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style9.xml" ContentType="application/vnd.ms-office.chartstyle+xml"/>
  <Override PartName="/xl/charts/chart12.xml" ContentType="application/vnd.openxmlformats-officedocument.drawingml.chart+xml"/>
  <Override PartName="/xl/charts/colors8.xml" ContentType="application/vnd.ms-office.chartcolorstyle+xml"/>
  <Override PartName="/xl/charts/style8.xml" ContentType="application/vnd.ms-office.chartstyle+xml"/>
  <Override PartName="/xl/charts/chart11.xml" ContentType="application/vnd.openxmlformats-officedocument.drawingml.chart+xml"/>
  <Override PartName="/xl/drawings/drawing15.xml" ContentType="application/vnd.openxmlformats-officedocument.drawing+xml"/>
  <Override PartName="/xl/charts/colors7.xml" ContentType="application/vnd.ms-office.chartcolorstyle+xml"/>
  <Override PartName="/xl/charts/style7.xml" ContentType="application/vnd.ms-office.chartstyle+xml"/>
  <Override PartName="/xl/charts/colors9.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charts/chart10.xml" ContentType="application/vnd.openxmlformats-officedocument.drawingml.chart+xml"/>
  <Override PartName="/xl/charts/colors6.xml" ContentType="application/vnd.ms-office.chartcolorstyle+xml"/>
  <Override PartName="/xl/charts/style6.xml" ContentType="application/vnd.ms-office.chartstyle+xml"/>
  <Override PartName="/xl/charts/chart6.xml" ContentType="application/vnd.openxmlformats-officedocument.drawingml.chart+xml"/>
  <Override PartName="/xl/charts/colors2.xml" ContentType="application/vnd.ms-office.chartcolorstyle+xml"/>
  <Override PartName="/xl/charts/style2.xml" ContentType="application/vnd.ms-office.chartstyle+xml"/>
  <Override PartName="/xl/charts/chart5.xml" ContentType="application/vnd.openxmlformats-officedocument.drawingml.chart+xml"/>
  <Override PartName="/xl/drawings/drawing12.xml" ContentType="application/vnd.openxmlformats-officedocument.drawing+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olors5.xml" ContentType="application/vnd.ms-office.chartcolorstyle+xml"/>
  <Override PartName="/xl/charts/style5.xml" ContentType="application/vnd.ms-office.chartstyle+xml"/>
  <Override PartName="/xl/charts/chart8.xml" ContentType="application/vnd.openxmlformats-officedocument.drawingml.chart+xml"/>
  <Override PartName="/xl/charts/colors4.xml" ContentType="application/vnd.ms-office.chartcolorstyle+xml"/>
  <Override PartName="/xl/charts/style4.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charts/chart1.xml" ContentType="application/vnd.openxmlformats-officedocument.drawingml.chart+xml"/>
  <Override PartName="/xl/drawings/drawing7.xml" ContentType="application/vnd.openxmlformats-officedocument.drawing+xml"/>
  <Override PartName="/xl/drawings/drawing6.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harts/colors1.xml" ContentType="application/vnd.ms-office.chartcolorstyle+xml"/>
  <Override PartName="/xl/charts/style1.xml" ContentType="application/vnd.ms-office.chartstyle+xml"/>
  <Override PartName="/xl/charts/chart3.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xl/comments8.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comments6.xml" ContentType="application/vnd.openxmlformats-officedocument.spreadsheetml.comments+xml"/>
  <Override PartName="/docProps/core.xml" ContentType="application/vnd.openxmlformats-package.core-properties+xml"/>
  <Override PartName="/xl/comments7.xml" ContentType="application/vnd.openxmlformats-officedocument.spreadsheetml.comments+xml"/>
  <Override PartName="/xl/comments1.xml" ContentType="application/vnd.openxmlformats-officedocument.spreadsheetml.comments+xml"/>
  <Override PartName="/xl/comments4.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Q:\901en\52023xx klimaaktiv Siedlungen und Quartiere\5_Inhaltliche Weiterentwicklung\1_Kriterienkatalog\Änderungen 2024\"/>
    </mc:Choice>
  </mc:AlternateContent>
  <bookViews>
    <workbookView xWindow="-450" yWindow="60" windowWidth="11910" windowHeight="7530" tabRatio="879"/>
  </bookViews>
  <sheets>
    <sheet name="0" sheetId="11" r:id="rId1"/>
    <sheet name="Eckdaten" sheetId="7" r:id="rId2"/>
    <sheet name="Daten" sheetId="26" r:id="rId3"/>
    <sheet name="Qualitätsprüfung" sheetId="5" r:id="rId4"/>
    <sheet name="RH Gebäude" sheetId="15" r:id="rId5"/>
    <sheet name="RH Städtebau" sheetId="18" r:id="rId6"/>
    <sheet name="RH Wärme-Strom" sheetId="20" r:id="rId7"/>
    <sheet name="RH Trinkwasser" sheetId="19" r:id="rId8"/>
    <sheet name="RH Abfall" sheetId="23" r:id="rId9"/>
    <sheet name="RH Mobilität" sheetId="16" r:id="rId10"/>
    <sheet name="Joker" sheetId="12" r:id="rId11"/>
    <sheet name="Aktionsplan" sheetId="6" r:id="rId12"/>
    <sheet name="Qualität_Ergebnis_HF" sheetId="3" r:id="rId13"/>
    <sheet name="Qualität_Ergebnis_ZG" sheetId="40" r:id="rId14"/>
    <sheet name="Qualität_Varianten" sheetId="24" r:id="rId15"/>
    <sheet name="Qualität_Portfolio" sheetId="25" r:id="rId16"/>
    <sheet name="1_Graue Energie_Benchmark" sheetId="31" r:id="rId17"/>
    <sheet name="1_Graue Energie_eco2soft" sheetId="32" r:id="rId18"/>
    <sheet name="2a_BE_EAW" sheetId="33" r:id="rId19"/>
    <sheet name="2a_BE_PHPP" sheetId="34" r:id="rId20"/>
    <sheet name="2b_Photovoltaik" sheetId="35" r:id="rId21"/>
    <sheet name="THG-Mobilität" sheetId="27" r:id="rId22"/>
    <sheet name="THG_Ergebnis 1" sheetId="36" r:id="rId23"/>
    <sheet name="THG_Ergebnis 2" sheetId="37" r:id="rId24"/>
    <sheet name="THG_Varianten" sheetId="38" r:id="rId25"/>
    <sheet name="THG_Portfolio" sheetId="39" r:id="rId26"/>
    <sheet name="Listen" sheetId="10" r:id="rId27"/>
    <sheet name="Datensatz AT Unterwegs" sheetId="29" state="hidden" r:id="rId28"/>
    <sheet name="Marketing" sheetId="22" state="hidden" r:id="rId29"/>
    <sheet name="Aktionsplan Ergebnis" sheetId="17" state="hidden" r:id="rId30"/>
  </sheets>
  <definedNames>
    <definedName name="Abfallvermeidung">Qualitätsprüfung!$C$1386</definedName>
    <definedName name="Angebote_für_den_täglichen_Bedarf">Qualitätsprüfung!$C$1050</definedName>
    <definedName name="Angemessene_Nutzungsdichte">Qualitätsprüfung!$C$1128</definedName>
    <definedName name="Art">Listen!$B$8:$B$10</definedName>
    <definedName name="Auditinhalt">Listen!$B$2:$B$6</definedName>
    <definedName name="Bedarf">Listen!$B$83:$B$85</definedName>
    <definedName name="Effizienz_der_Wassernutzung">Qualitätsprüfung!$C$1317</definedName>
    <definedName name="Eigenversorgungsgrad">Qualitätsprüfung!$C$1178</definedName>
    <definedName name="Energieträger">Listen!$B$18:$B$25</definedName>
    <definedName name="Freiraum">Qualitätsprüfung!$C$1003</definedName>
    <definedName name="Fuss_und_Radverkehr">Qualitätsprüfung!$C$1505</definedName>
    <definedName name="Gebäudekategorie">Listen!$B$51:$B$54</definedName>
    <definedName name="Gebäudestandards">Qualitätsprüfung!$C$1103</definedName>
    <definedName name="Gemeinde">Listen!$C$118:$C$2239</definedName>
    <definedName name="Halböffentliche_Räume">Qualitätsprüfung!$C$912</definedName>
    <definedName name="Handlungsfeld">Listen!$B$87:$B$92</definedName>
    <definedName name="Handlungsfeld1">Qualitätsprüfung!$B$4</definedName>
    <definedName name="Handlungsfeld2">Qualitätsprüfung!$B$514</definedName>
    <definedName name="Handlungsfeld3">Qualitätsprüfung!$B$724</definedName>
    <definedName name="Handlungsfeld4">Qualitätsprüfung!$B$1075</definedName>
    <definedName name="Handlungsfeld5">Qualitätsprüfung!$B$1175</definedName>
    <definedName name="Handlungsfeld6">Qualitätsprüfung!$B$1433</definedName>
    <definedName name="jn">Listen!$B$15:$B$16</definedName>
    <definedName name="Kältebereitstellung">Listen!$B$71:$B$73</definedName>
    <definedName name="Lebenszykluskosten">Qualitätsprüfung!$C$1078</definedName>
    <definedName name="Merker">Listen!$B$43:$B$46</definedName>
    <definedName name="MIV">Qualitätsprüfung!$C$1436</definedName>
    <definedName name="Monitoring_installieren">Qualitätsprüfung!$C$332</definedName>
    <definedName name="oben">Qualitätsprüfung!$B$3</definedName>
    <definedName name="ÖV">Listen!$B$31:$B$37</definedName>
    <definedName name="ÖV_Angebote">Qualitätsprüfung!$C$1574</definedName>
    <definedName name="Partizipation">Qualitätsprüfung!$C$517</definedName>
    <definedName name="Projektcontrolling_durchführen">Qualitätsprüfung!$C$445</definedName>
    <definedName name="Qualität_der_externen_Energieversorgung">Qualitätsprüfung!$C$1248</definedName>
    <definedName name="Rechtsform">Listen!$B$56:$B$58</definedName>
    <definedName name="Sensibilisierung_zu_Energie__und_Mobilitätsthemen">Qualitätsprüfung!$C$630</definedName>
    <definedName name="sq">Listen!$B$12:$B$13</definedName>
    <definedName name="Stadtklima">Qualitätsprüfung!$C$752</definedName>
    <definedName name="Standort">Listen!$B$27:$B$29</definedName>
    <definedName name="Strombereitstellung">Listen!$B$75:$B$81</definedName>
    <definedName name="Stromprodukt">Listen!$B$94:$B$95</definedName>
    <definedName name="Strukturen_etablieren">Qualitätsprüfung!$C$38</definedName>
    <definedName name="Tools_BE">Listen!$B$100:$B$101</definedName>
    <definedName name="Tools_GE">Listen!$B$97:$B$98</definedName>
    <definedName name="Umgang_mit_Dichte">Qualitätsprüfung!$D$730</definedName>
    <definedName name="Umsetzungskonzept">Qualitätsprüfung!$C$727</definedName>
    <definedName name="v1o2">Listen!$B$48:$B$49</definedName>
    <definedName name="Vielfalt_der_Nutzungen_und_der_Nutzenden">Qualitätsprüfung!$C$821</definedName>
    <definedName name="Vorbildwirkung">Qualitätsprüfung!$C$677</definedName>
    <definedName name="vorhanden">Listen!$B$39:$B$41</definedName>
    <definedName name="Wärmebereitstellung">Listen!$B$60:$B$69</definedName>
    <definedName name="Ziele_setzen">Qualitätsprüfung!$C$84</definedName>
    <definedName name="Ziele_übertragen_und_verbindlich_machen">Qualitätsprüfung!$C$195</definedName>
  </definedNames>
  <calcPr calcId="162913"/>
</workbook>
</file>

<file path=xl/calcChain.xml><?xml version="1.0" encoding="utf-8"?>
<calcChain xmlns="http://schemas.openxmlformats.org/spreadsheetml/2006/main">
  <c r="D69" i="40" l="1"/>
  <c r="E69" i="40"/>
  <c r="F69" i="40"/>
  <c r="G69" i="40"/>
  <c r="C69" i="40"/>
  <c r="D47" i="40"/>
  <c r="E47" i="40"/>
  <c r="F47" i="40"/>
  <c r="G47" i="40"/>
  <c r="D48" i="40"/>
  <c r="E48" i="40"/>
  <c r="F48" i="40"/>
  <c r="G48" i="40"/>
  <c r="D49" i="40"/>
  <c r="E49" i="40"/>
  <c r="F49" i="40"/>
  <c r="G49" i="40"/>
  <c r="D50" i="40"/>
  <c r="E50" i="40"/>
  <c r="F50" i="40"/>
  <c r="G50" i="40"/>
  <c r="D51" i="40"/>
  <c r="E51" i="40"/>
  <c r="F51" i="40"/>
  <c r="G51" i="40"/>
  <c r="D52" i="40"/>
  <c r="E52" i="40"/>
  <c r="F52" i="40"/>
  <c r="G52" i="40"/>
  <c r="D53" i="40"/>
  <c r="E53" i="40"/>
  <c r="F53" i="40"/>
  <c r="G53" i="40"/>
  <c r="D54" i="40"/>
  <c r="E54" i="40"/>
  <c r="F54" i="40"/>
  <c r="G54" i="40"/>
  <c r="D55" i="40"/>
  <c r="E55" i="40"/>
  <c r="F55" i="40"/>
  <c r="G55" i="40"/>
  <c r="D56" i="40"/>
  <c r="E56" i="40"/>
  <c r="F56" i="40"/>
  <c r="G56" i="40"/>
  <c r="D57" i="40"/>
  <c r="E57" i="40"/>
  <c r="F57" i="40"/>
  <c r="G57" i="40"/>
  <c r="D58" i="40"/>
  <c r="E58" i="40"/>
  <c r="F58" i="40"/>
  <c r="G58" i="40"/>
  <c r="D59" i="40"/>
  <c r="E59" i="40"/>
  <c r="F59" i="40"/>
  <c r="G59" i="40"/>
  <c r="D60" i="40"/>
  <c r="E60" i="40"/>
  <c r="F60" i="40"/>
  <c r="G60" i="40"/>
  <c r="D61" i="40"/>
  <c r="E61" i="40"/>
  <c r="F61" i="40"/>
  <c r="G61" i="40"/>
  <c r="D62" i="40"/>
  <c r="E62" i="40"/>
  <c r="F62" i="40"/>
  <c r="G62" i="40"/>
  <c r="D63" i="40"/>
  <c r="E63" i="40"/>
  <c r="F63" i="40"/>
  <c r="G63" i="40"/>
  <c r="D64" i="40"/>
  <c r="E64" i="40"/>
  <c r="F64" i="40"/>
  <c r="G64" i="40"/>
  <c r="D65" i="40"/>
  <c r="E65" i="40"/>
  <c r="F65" i="40"/>
  <c r="G65" i="40"/>
  <c r="D66" i="40"/>
  <c r="E66" i="40"/>
  <c r="F66" i="40"/>
  <c r="G66" i="40"/>
  <c r="D67" i="40"/>
  <c r="E67" i="40"/>
  <c r="F67" i="40"/>
  <c r="G67" i="40"/>
  <c r="D68" i="40"/>
  <c r="E68" i="40"/>
  <c r="F68" i="40"/>
  <c r="G68" i="40"/>
  <c r="D70" i="40"/>
  <c r="E70" i="40"/>
  <c r="F70" i="40"/>
  <c r="G70" i="40"/>
  <c r="D73" i="40"/>
  <c r="E73" i="40"/>
  <c r="F73" i="40"/>
  <c r="G73" i="40"/>
  <c r="D74" i="40"/>
  <c r="E74" i="40"/>
  <c r="F74" i="40"/>
  <c r="G74" i="40"/>
  <c r="D75" i="40"/>
  <c r="E75" i="40"/>
  <c r="F75" i="40"/>
  <c r="G75" i="40"/>
  <c r="D76" i="40"/>
  <c r="E76" i="40"/>
  <c r="F76" i="40"/>
  <c r="G76" i="40"/>
  <c r="D77" i="40"/>
  <c r="E77" i="40"/>
  <c r="F77" i="40"/>
  <c r="G77" i="40"/>
  <c r="D78" i="40"/>
  <c r="E78" i="40"/>
  <c r="F78" i="40"/>
  <c r="G78" i="40"/>
  <c r="D79" i="40"/>
  <c r="E79" i="40"/>
  <c r="F79" i="40"/>
  <c r="G79" i="40"/>
  <c r="D80" i="40"/>
  <c r="E80" i="40"/>
  <c r="F80" i="40"/>
  <c r="G80" i="40"/>
  <c r="D81" i="40"/>
  <c r="E81" i="40"/>
  <c r="F81" i="40"/>
  <c r="G81" i="40"/>
  <c r="D82" i="40"/>
  <c r="E82" i="40"/>
  <c r="F82" i="40"/>
  <c r="G82" i="40"/>
  <c r="D83" i="40"/>
  <c r="E83" i="40"/>
  <c r="F83" i="40"/>
  <c r="G83" i="40"/>
  <c r="D84" i="40"/>
  <c r="E84" i="40"/>
  <c r="F84" i="40"/>
  <c r="G84" i="40"/>
  <c r="D85" i="40"/>
  <c r="E85" i="40"/>
  <c r="F85" i="40"/>
  <c r="G85" i="40"/>
  <c r="D86" i="40"/>
  <c r="E86" i="40"/>
  <c r="F86" i="40"/>
  <c r="G86" i="40"/>
  <c r="D87" i="40"/>
  <c r="E87" i="40"/>
  <c r="F87" i="40"/>
  <c r="G87" i="40"/>
  <c r="D88" i="40"/>
  <c r="E88" i="40"/>
  <c r="F88" i="40"/>
  <c r="G88" i="40"/>
  <c r="D91" i="40"/>
  <c r="E91" i="40"/>
  <c r="F91" i="40"/>
  <c r="G91" i="40"/>
  <c r="D92" i="40"/>
  <c r="E92" i="40"/>
  <c r="F92" i="40"/>
  <c r="G92" i="40"/>
  <c r="D93" i="40"/>
  <c r="E93" i="40"/>
  <c r="F93" i="40"/>
  <c r="G93" i="40"/>
  <c r="D94" i="40"/>
  <c r="E94" i="40"/>
  <c r="F94" i="40"/>
  <c r="G94" i="40"/>
  <c r="D95" i="40"/>
  <c r="E95" i="40"/>
  <c r="F95" i="40"/>
  <c r="G95" i="40"/>
  <c r="D96" i="40"/>
  <c r="E96" i="40"/>
  <c r="F96" i="40"/>
  <c r="G96" i="40"/>
  <c r="D97" i="40"/>
  <c r="E97" i="40"/>
  <c r="F97" i="40"/>
  <c r="G97" i="40"/>
  <c r="D98" i="40"/>
  <c r="E98" i="40"/>
  <c r="F98" i="40"/>
  <c r="G98" i="40"/>
  <c r="D99" i="40"/>
  <c r="E99" i="40"/>
  <c r="F99" i="40"/>
  <c r="G99" i="40"/>
  <c r="D100" i="40"/>
  <c r="E100" i="40"/>
  <c r="F100" i="40"/>
  <c r="G100" i="40"/>
  <c r="D101" i="40"/>
  <c r="E101" i="40"/>
  <c r="F101" i="40"/>
  <c r="G101" i="40"/>
  <c r="D102" i="40"/>
  <c r="E102" i="40"/>
  <c r="F102" i="40"/>
  <c r="G102" i="40"/>
  <c r="D103" i="40"/>
  <c r="E103" i="40"/>
  <c r="F103" i="40"/>
  <c r="G103" i="40"/>
  <c r="D104" i="40"/>
  <c r="E104" i="40"/>
  <c r="F104" i="40"/>
  <c r="G104" i="40"/>
  <c r="D105" i="40"/>
  <c r="E105" i="40"/>
  <c r="F105" i="40"/>
  <c r="G105" i="40"/>
  <c r="D106" i="40"/>
  <c r="E106" i="40"/>
  <c r="F106" i="40"/>
  <c r="G106" i="40"/>
  <c r="D107" i="40"/>
  <c r="E107" i="40"/>
  <c r="F107" i="40"/>
  <c r="G107" i="40"/>
  <c r="D108" i="40"/>
  <c r="E108" i="40"/>
  <c r="F108" i="40"/>
  <c r="G108" i="40"/>
  <c r="D109" i="40"/>
  <c r="E109" i="40"/>
  <c r="F109" i="40"/>
  <c r="G109" i="40"/>
  <c r="D110" i="40"/>
  <c r="E110" i="40"/>
  <c r="F110" i="40"/>
  <c r="G110" i="40"/>
  <c r="D111" i="40"/>
  <c r="E111" i="40"/>
  <c r="F111" i="40"/>
  <c r="G111" i="40"/>
  <c r="D112" i="40"/>
  <c r="E112" i="40"/>
  <c r="F112" i="40"/>
  <c r="G112" i="40"/>
  <c r="D113" i="40"/>
  <c r="E113" i="40"/>
  <c r="F113" i="40"/>
  <c r="G113" i="40"/>
  <c r="D114" i="40"/>
  <c r="E114" i="40"/>
  <c r="F114" i="40"/>
  <c r="G114" i="40"/>
  <c r="C114" i="40"/>
  <c r="C113" i="40"/>
  <c r="C112" i="40"/>
  <c r="C111" i="40"/>
  <c r="C110" i="40"/>
  <c r="C109" i="40"/>
  <c r="C108" i="40"/>
  <c r="C107" i="40"/>
  <c r="C106" i="40"/>
  <c r="C105" i="40"/>
  <c r="C103" i="40"/>
  <c r="C104" i="40"/>
  <c r="C102" i="40"/>
  <c r="C101" i="40"/>
  <c r="C100" i="40"/>
  <c r="C99" i="40"/>
  <c r="C98" i="40"/>
  <c r="C97" i="40"/>
  <c r="C96" i="40"/>
  <c r="C95" i="40"/>
  <c r="C94" i="40"/>
  <c r="C93" i="40"/>
  <c r="C92" i="40"/>
  <c r="C91" i="40"/>
  <c r="C88" i="40"/>
  <c r="C87" i="40"/>
  <c r="C86" i="40"/>
  <c r="C85" i="40"/>
  <c r="C84" i="40"/>
  <c r="C83" i="40"/>
  <c r="C82" i="40"/>
  <c r="C81" i="40"/>
  <c r="C80" i="40"/>
  <c r="C79" i="40"/>
  <c r="C78" i="40"/>
  <c r="C77" i="40"/>
  <c r="C76" i="40"/>
  <c r="C75" i="40"/>
  <c r="C74" i="40"/>
  <c r="C73" i="40"/>
  <c r="C70" i="40"/>
  <c r="C68" i="40"/>
  <c r="C67" i="40"/>
  <c r="C66" i="40"/>
  <c r="C65" i="40"/>
  <c r="C64" i="40"/>
  <c r="C63" i="40"/>
  <c r="C62" i="40"/>
  <c r="C61" i="40"/>
  <c r="C60" i="40"/>
  <c r="C59" i="40"/>
  <c r="C58" i="40"/>
  <c r="C57" i="40"/>
  <c r="C56" i="40"/>
  <c r="C55" i="40"/>
  <c r="C54" i="40"/>
  <c r="C53" i="40"/>
  <c r="C52" i="40"/>
  <c r="C51" i="40"/>
  <c r="C50" i="40"/>
  <c r="C49" i="40"/>
  <c r="C48" i="40"/>
  <c r="C47" i="40"/>
  <c r="D42" i="40"/>
  <c r="E42" i="40"/>
  <c r="F42" i="40"/>
  <c r="G42" i="40"/>
  <c r="D43" i="40"/>
  <c r="E43" i="40"/>
  <c r="F43" i="40"/>
  <c r="G43" i="40"/>
  <c r="D44" i="40"/>
  <c r="E44" i="40"/>
  <c r="F44" i="40"/>
  <c r="G44" i="40"/>
  <c r="C44" i="40"/>
  <c r="C43" i="40"/>
  <c r="C42" i="40"/>
  <c r="D41" i="40"/>
  <c r="E41" i="40"/>
  <c r="F41" i="40"/>
  <c r="G41" i="40"/>
  <c r="C41" i="40"/>
  <c r="F40" i="40" l="1"/>
  <c r="I32" i="40" s="1"/>
  <c r="F32" i="40" s="1"/>
  <c r="E40" i="40"/>
  <c r="D40" i="40"/>
  <c r="C40" i="40"/>
  <c r="I40" i="40"/>
  <c r="I45" i="40"/>
  <c r="D54" i="37" l="1"/>
  <c r="E54" i="37"/>
  <c r="F54" i="37"/>
  <c r="G54" i="37"/>
  <c r="H54" i="37"/>
  <c r="I54" i="37"/>
  <c r="J54" i="37"/>
  <c r="K54" i="37"/>
  <c r="L54" i="37"/>
  <c r="C54" i="37"/>
  <c r="D53" i="37"/>
  <c r="E53" i="37"/>
  <c r="F53" i="37"/>
  <c r="G53" i="37"/>
  <c r="H53" i="37"/>
  <c r="I53" i="37"/>
  <c r="J53" i="37"/>
  <c r="K53" i="37"/>
  <c r="L53" i="37"/>
  <c r="C53" i="37"/>
  <c r="M47" i="37" l="1"/>
  <c r="M46" i="37"/>
  <c r="C47" i="37"/>
  <c r="C46" i="37"/>
  <c r="M39" i="37"/>
  <c r="M38" i="37"/>
  <c r="C39" i="37"/>
  <c r="C38" i="37"/>
  <c r="C4" i="16"/>
  <c r="C37" i="16"/>
  <c r="D127" i="3" l="1"/>
  <c r="D129" i="3" l="1"/>
  <c r="C45" i="20" l="1"/>
  <c r="C43" i="20"/>
  <c r="D7" i="27"/>
  <c r="D4" i="27"/>
  <c r="B36" i="37"/>
  <c r="I46" i="40" l="1"/>
  <c r="I72" i="40"/>
  <c r="I71" i="40"/>
  <c r="I90" i="40"/>
  <c r="B33" i="40"/>
  <c r="B34" i="40"/>
  <c r="B35" i="40"/>
  <c r="C90" i="40" l="1"/>
  <c r="C72" i="40"/>
  <c r="C46" i="40"/>
  <c r="C32" i="40" s="1"/>
  <c r="C33" i="40" l="1"/>
  <c r="C34" i="40" l="1"/>
  <c r="E7" i="38"/>
  <c r="F7" i="38"/>
  <c r="G7" i="38"/>
  <c r="H7" i="38"/>
  <c r="I7" i="38"/>
  <c r="D7" i="38"/>
  <c r="D26" i="25"/>
  <c r="E26" i="25"/>
  <c r="F26" i="25"/>
  <c r="G26" i="25"/>
  <c r="H26" i="25"/>
  <c r="I26" i="25"/>
  <c r="J26" i="25"/>
  <c r="K26" i="25"/>
  <c r="L26" i="25"/>
  <c r="C26" i="25"/>
  <c r="D10" i="39" l="1"/>
  <c r="B117" i="39" s="1"/>
  <c r="E10" i="39"/>
  <c r="F10" i="39"/>
  <c r="G10" i="39"/>
  <c r="H10" i="39"/>
  <c r="D11" i="39"/>
  <c r="B133" i="39" s="1"/>
  <c r="E11" i="39"/>
  <c r="F11" i="39"/>
  <c r="G11" i="39"/>
  <c r="H11" i="39"/>
  <c r="D12" i="39"/>
  <c r="B149" i="39" s="1"/>
  <c r="E12" i="39"/>
  <c r="F12" i="39"/>
  <c r="G12" i="39"/>
  <c r="H12" i="39"/>
  <c r="D13" i="39"/>
  <c r="B165" i="39" s="1"/>
  <c r="E13" i="39"/>
  <c r="F13" i="39"/>
  <c r="G13" i="39"/>
  <c r="H13" i="39"/>
  <c r="D14" i="39"/>
  <c r="B181" i="39" s="1"/>
  <c r="E14" i="39"/>
  <c r="F14" i="39"/>
  <c r="G14" i="39"/>
  <c r="H14" i="39"/>
  <c r="M27" i="25"/>
  <c r="M28" i="25"/>
  <c r="M29" i="25"/>
  <c r="M21" i="25"/>
  <c r="M22" i="25"/>
  <c r="M23" i="25"/>
  <c r="M24" i="25"/>
  <c r="M25" i="25"/>
  <c r="M20" i="25"/>
  <c r="C28" i="25"/>
  <c r="D28" i="25"/>
  <c r="E28" i="25"/>
  <c r="F28" i="25"/>
  <c r="G28" i="25"/>
  <c r="H28" i="25"/>
  <c r="I28" i="25"/>
  <c r="J28" i="25"/>
  <c r="K28" i="25"/>
  <c r="L28" i="25"/>
  <c r="C29" i="25"/>
  <c r="D29" i="25"/>
  <c r="E29" i="25"/>
  <c r="F29" i="25"/>
  <c r="G29" i="25"/>
  <c r="H29" i="25"/>
  <c r="I29" i="25"/>
  <c r="J29" i="25"/>
  <c r="K29" i="25"/>
  <c r="L29" i="25"/>
  <c r="L27" i="25"/>
  <c r="K27" i="25"/>
  <c r="J27" i="25"/>
  <c r="I27" i="25"/>
  <c r="H27" i="25"/>
  <c r="G27" i="25"/>
  <c r="F27" i="25"/>
  <c r="E27" i="25"/>
  <c r="D27" i="25"/>
  <c r="C27" i="25"/>
  <c r="J33" i="25"/>
  <c r="H20" i="25"/>
  <c r="I20" i="25"/>
  <c r="J20" i="25"/>
  <c r="K20" i="25"/>
  <c r="L20" i="25"/>
  <c r="H21" i="25"/>
  <c r="I21" i="25"/>
  <c r="J21" i="25"/>
  <c r="K21" i="25"/>
  <c r="L21" i="25"/>
  <c r="H22" i="25"/>
  <c r="I22" i="25"/>
  <c r="J22" i="25"/>
  <c r="K22" i="25"/>
  <c r="L22" i="25"/>
  <c r="H23" i="25"/>
  <c r="I23" i="25"/>
  <c r="J23" i="25"/>
  <c r="K23" i="25"/>
  <c r="L23" i="25"/>
  <c r="H24" i="25"/>
  <c r="I24" i="25"/>
  <c r="J24" i="25"/>
  <c r="K24" i="25"/>
  <c r="L24" i="25"/>
  <c r="H25" i="25"/>
  <c r="I25" i="25"/>
  <c r="J25" i="25"/>
  <c r="K25" i="25"/>
  <c r="L25" i="25"/>
  <c r="L19" i="25"/>
  <c r="L33" i="25" s="1"/>
  <c r="K19" i="25"/>
  <c r="K33" i="25" s="1"/>
  <c r="J19" i="25"/>
  <c r="I19" i="25"/>
  <c r="I33" i="25" s="1"/>
  <c r="H19" i="25"/>
  <c r="H33" i="25" s="1"/>
  <c r="E15" i="25"/>
  <c r="D15" i="25"/>
  <c r="M26" i="25" l="1"/>
  <c r="D52" i="37"/>
  <c r="E52" i="37"/>
  <c r="F52" i="37"/>
  <c r="G52" i="37"/>
  <c r="H52" i="37"/>
  <c r="I52" i="37"/>
  <c r="J52" i="37"/>
  <c r="K52" i="37"/>
  <c r="L52" i="37"/>
  <c r="M52" i="37"/>
  <c r="C52" i="37"/>
  <c r="D6" i="39" l="1"/>
  <c r="E6" i="39"/>
  <c r="G6" i="39"/>
  <c r="H6" i="39"/>
  <c r="D7" i="39"/>
  <c r="E7" i="39"/>
  <c r="G7" i="39"/>
  <c r="H7" i="39"/>
  <c r="D8" i="39"/>
  <c r="E8" i="39"/>
  <c r="G8" i="39"/>
  <c r="H8" i="39"/>
  <c r="D9" i="39"/>
  <c r="E9" i="39"/>
  <c r="G9" i="39"/>
  <c r="H9" i="39"/>
  <c r="E5" i="39"/>
  <c r="G5" i="39"/>
  <c r="H5" i="39"/>
  <c r="D5" i="39"/>
  <c r="E15" i="38"/>
  <c r="F15" i="38"/>
  <c r="G15" i="38"/>
  <c r="H15" i="38"/>
  <c r="I15" i="38"/>
  <c r="D15" i="38"/>
  <c r="C19" i="24"/>
  <c r="E19" i="24"/>
  <c r="F42" i="15"/>
  <c r="F43" i="15"/>
  <c r="E58" i="15"/>
  <c r="F51" i="15"/>
  <c r="F50" i="15"/>
  <c r="F49" i="15"/>
  <c r="F47" i="15"/>
  <c r="F46" i="15"/>
  <c r="F45" i="15"/>
  <c r="F44" i="15"/>
  <c r="F40" i="15"/>
  <c r="F57" i="15" l="1"/>
  <c r="C8" i="36"/>
  <c r="C15" i="35" l="1"/>
  <c r="C16" i="35"/>
  <c r="C29" i="35" s="1"/>
  <c r="C17" i="35"/>
  <c r="D17" i="35" s="1"/>
  <c r="C18" i="35"/>
  <c r="C19" i="35"/>
  <c r="C20" i="35"/>
  <c r="C21" i="35"/>
  <c r="C22" i="35"/>
  <c r="D22" i="35" s="1"/>
  <c r="C23" i="35"/>
  <c r="C24" i="35"/>
  <c r="D24" i="35" s="1"/>
  <c r="G24" i="35" s="1"/>
  <c r="C25" i="35"/>
  <c r="D25" i="35" s="1"/>
  <c r="F25" i="35" s="1"/>
  <c r="C26" i="35"/>
  <c r="C27" i="35"/>
  <c r="C28" i="35"/>
  <c r="C14" i="35"/>
  <c r="D14" i="35" s="1"/>
  <c r="G14" i="35" s="1"/>
  <c r="B28" i="35"/>
  <c r="B15" i="35"/>
  <c r="B16" i="35"/>
  <c r="B17" i="35"/>
  <c r="B18" i="35"/>
  <c r="B19" i="35"/>
  <c r="B20" i="35"/>
  <c r="B21" i="35"/>
  <c r="B22" i="35"/>
  <c r="B23" i="35"/>
  <c r="B24" i="35"/>
  <c r="B25" i="35"/>
  <c r="B26" i="35"/>
  <c r="B27" i="35"/>
  <c r="B14" i="35"/>
  <c r="D18" i="35"/>
  <c r="G18" i="35" s="1"/>
  <c r="D19" i="35"/>
  <c r="D20" i="35"/>
  <c r="G20" i="35" s="1"/>
  <c r="D21" i="35"/>
  <c r="F21" i="35" s="1"/>
  <c r="T15" i="34"/>
  <c r="T18" i="34" s="1"/>
  <c r="T20" i="34" s="1"/>
  <c r="T52" i="34" s="1"/>
  <c r="S15" i="34"/>
  <c r="S18" i="34" s="1"/>
  <c r="S20" i="34" s="1"/>
  <c r="S52" i="34" s="1"/>
  <c r="R15" i="34"/>
  <c r="R18" i="34" s="1"/>
  <c r="R20" i="34" s="1"/>
  <c r="R52" i="34" s="1"/>
  <c r="Q15" i="34"/>
  <c r="Q18" i="34" s="1"/>
  <c r="Q20" i="34" s="1"/>
  <c r="Q52" i="34" s="1"/>
  <c r="P15" i="34"/>
  <c r="P31" i="34" s="1"/>
  <c r="O15" i="34"/>
  <c r="O31" i="34" s="1"/>
  <c r="N15" i="34"/>
  <c r="N53" i="34" s="1"/>
  <c r="M15" i="34"/>
  <c r="M53" i="34" s="1"/>
  <c r="L15" i="34"/>
  <c r="L53" i="34" s="1"/>
  <c r="K15" i="34"/>
  <c r="K18" i="34" s="1"/>
  <c r="K20" i="34" s="1"/>
  <c r="K52" i="34" s="1"/>
  <c r="J15" i="34"/>
  <c r="J18" i="34" s="1"/>
  <c r="J20" i="34" s="1"/>
  <c r="J52" i="34" s="1"/>
  <c r="I15" i="34"/>
  <c r="I18" i="34" s="1"/>
  <c r="I20" i="34" s="1"/>
  <c r="I52" i="34" s="1"/>
  <c r="H15" i="34"/>
  <c r="H53" i="34" s="1"/>
  <c r="G15" i="34"/>
  <c r="G31" i="34" s="1"/>
  <c r="F15" i="34"/>
  <c r="F53" i="34" s="1"/>
  <c r="T14" i="34"/>
  <c r="S14" i="34"/>
  <c r="R14" i="34"/>
  <c r="Q14" i="34"/>
  <c r="P14" i="34"/>
  <c r="O14" i="34"/>
  <c r="N14" i="34"/>
  <c r="M14" i="34"/>
  <c r="L14" i="34"/>
  <c r="K14" i="34"/>
  <c r="J14" i="34"/>
  <c r="I14" i="34"/>
  <c r="H14" i="34"/>
  <c r="G14" i="34"/>
  <c r="F14" i="34"/>
  <c r="H26" i="15"/>
  <c r="E10" i="27" s="1"/>
  <c r="G26" i="15"/>
  <c r="F26" i="15"/>
  <c r="E26" i="15"/>
  <c r="D26" i="15"/>
  <c r="H25" i="15"/>
  <c r="E9" i="27" s="1"/>
  <c r="G25" i="15"/>
  <c r="F25" i="15"/>
  <c r="E25" i="15"/>
  <c r="D25" i="15"/>
  <c r="H24" i="15"/>
  <c r="E8" i="27" s="1"/>
  <c r="G24" i="15"/>
  <c r="F24" i="15"/>
  <c r="E24" i="15"/>
  <c r="D24" i="15"/>
  <c r="H23" i="15"/>
  <c r="E7" i="27" s="1"/>
  <c r="G23" i="15"/>
  <c r="F23" i="15"/>
  <c r="E23" i="15"/>
  <c r="D23" i="15"/>
  <c r="C4" i="27"/>
  <c r="I8" i="36" s="1"/>
  <c r="I12" i="36" s="1"/>
  <c r="D15" i="35"/>
  <c r="D23" i="35"/>
  <c r="F23" i="35" s="1"/>
  <c r="D27" i="35"/>
  <c r="F27" i="35" s="1"/>
  <c r="D28" i="35"/>
  <c r="G28" i="35" s="1"/>
  <c r="C57" i="33"/>
  <c r="C56" i="33"/>
  <c r="C55" i="33"/>
  <c r="C31" i="33"/>
  <c r="C30" i="33"/>
  <c r="C29" i="33"/>
  <c r="B20" i="32"/>
  <c r="B21" i="32"/>
  <c r="B22" i="32"/>
  <c r="B23" i="32"/>
  <c r="B24" i="32"/>
  <c r="B25" i="32"/>
  <c r="B26" i="32"/>
  <c r="B27" i="32"/>
  <c r="B28" i="32"/>
  <c r="B29" i="32"/>
  <c r="B30" i="32"/>
  <c r="B31" i="32"/>
  <c r="B32" i="32"/>
  <c r="B33" i="32"/>
  <c r="B19" i="32"/>
  <c r="C6" i="31"/>
  <c r="F6" i="31" s="1"/>
  <c r="C7" i="31"/>
  <c r="F7" i="31" s="1"/>
  <c r="C8" i="31"/>
  <c r="F8" i="31" s="1"/>
  <c r="C9" i="31"/>
  <c r="F9" i="31" s="1"/>
  <c r="C10" i="31"/>
  <c r="F10" i="31" s="1"/>
  <c r="C11" i="31"/>
  <c r="F11" i="31" s="1"/>
  <c r="C12" i="31"/>
  <c r="F12" i="31" s="1"/>
  <c r="C13" i="31"/>
  <c r="F13" i="31" s="1"/>
  <c r="C14" i="31"/>
  <c r="F14" i="31" s="1"/>
  <c r="C15" i="31"/>
  <c r="F15" i="31" s="1"/>
  <c r="C16" i="31"/>
  <c r="F16" i="31" s="1"/>
  <c r="C17" i="31"/>
  <c r="F17" i="31" s="1"/>
  <c r="C18" i="31"/>
  <c r="F18" i="31" s="1"/>
  <c r="C19" i="31"/>
  <c r="F19" i="31" s="1"/>
  <c r="C5" i="31"/>
  <c r="F5" i="31" s="1"/>
  <c r="B6" i="31"/>
  <c r="B7" i="31"/>
  <c r="B8" i="31"/>
  <c r="B9" i="31"/>
  <c r="B10" i="31"/>
  <c r="B11" i="31"/>
  <c r="B12" i="31"/>
  <c r="B13" i="31"/>
  <c r="B14" i="31"/>
  <c r="B15" i="31"/>
  <c r="B16" i="31"/>
  <c r="B17" i="31"/>
  <c r="B18" i="31"/>
  <c r="B19" i="31"/>
  <c r="B5" i="31"/>
  <c r="B101" i="39"/>
  <c r="B85" i="39"/>
  <c r="B69" i="39"/>
  <c r="B53" i="39"/>
  <c r="B37" i="39"/>
  <c r="E15" i="39"/>
  <c r="B44" i="37"/>
  <c r="E31" i="36"/>
  <c r="E4" i="36"/>
  <c r="D26" i="35"/>
  <c r="G26" i="35" s="1"/>
  <c r="G21" i="35"/>
  <c r="G19" i="35"/>
  <c r="F19" i="35"/>
  <c r="F18" i="35"/>
  <c r="D16" i="35"/>
  <c r="G16" i="35" s="1"/>
  <c r="T51" i="34"/>
  <c r="S51" i="34"/>
  <c r="R51" i="34"/>
  <c r="Q51" i="34"/>
  <c r="P51" i="34"/>
  <c r="O51" i="34"/>
  <c r="N51" i="34"/>
  <c r="M51" i="34"/>
  <c r="L51" i="34"/>
  <c r="K51" i="34"/>
  <c r="J51" i="34"/>
  <c r="I51" i="34"/>
  <c r="H51" i="34"/>
  <c r="G51" i="34"/>
  <c r="F51" i="34"/>
  <c r="T50" i="34"/>
  <c r="S50" i="34"/>
  <c r="R50" i="34"/>
  <c r="Q50" i="34"/>
  <c r="P50" i="34"/>
  <c r="O50" i="34"/>
  <c r="N50" i="34"/>
  <c r="M50" i="34"/>
  <c r="L50" i="34"/>
  <c r="K50" i="34"/>
  <c r="J50" i="34"/>
  <c r="I50" i="34"/>
  <c r="H50" i="34"/>
  <c r="G50" i="34"/>
  <c r="F50" i="34"/>
  <c r="T49" i="34"/>
  <c r="S49" i="34"/>
  <c r="R49" i="34"/>
  <c r="Q49" i="34"/>
  <c r="P49" i="34"/>
  <c r="O49" i="34"/>
  <c r="N49" i="34"/>
  <c r="M49" i="34"/>
  <c r="L49" i="34"/>
  <c r="K49" i="34"/>
  <c r="J49" i="34"/>
  <c r="I49" i="34"/>
  <c r="H49" i="34"/>
  <c r="G49" i="34"/>
  <c r="F49" i="34"/>
  <c r="T48" i="34"/>
  <c r="S48" i="34"/>
  <c r="R48" i="34"/>
  <c r="Q48" i="34"/>
  <c r="P48" i="34"/>
  <c r="O48" i="34"/>
  <c r="N48" i="34"/>
  <c r="M48" i="34"/>
  <c r="L48" i="34"/>
  <c r="K48" i="34"/>
  <c r="J48" i="34"/>
  <c r="I48" i="34"/>
  <c r="H48" i="34"/>
  <c r="G48" i="34"/>
  <c r="F48" i="34"/>
  <c r="T41" i="34"/>
  <c r="S41" i="34"/>
  <c r="R41" i="34"/>
  <c r="Q41" i="34"/>
  <c r="P41" i="34"/>
  <c r="O41" i="34"/>
  <c r="N41" i="34"/>
  <c r="M41" i="34"/>
  <c r="L41" i="34"/>
  <c r="K41" i="34"/>
  <c r="J41" i="34"/>
  <c r="I41" i="34"/>
  <c r="H41" i="34"/>
  <c r="G41" i="34"/>
  <c r="F41" i="34"/>
  <c r="T34" i="34"/>
  <c r="S34" i="34"/>
  <c r="R34" i="34"/>
  <c r="Q34" i="34"/>
  <c r="P34" i="34"/>
  <c r="O34" i="34"/>
  <c r="N34" i="34"/>
  <c r="M34" i="34"/>
  <c r="L34" i="34"/>
  <c r="K34" i="34"/>
  <c r="J34" i="34"/>
  <c r="I34" i="34"/>
  <c r="H34" i="34"/>
  <c r="G34" i="34"/>
  <c r="F34" i="34"/>
  <c r="T26" i="34"/>
  <c r="S26" i="34"/>
  <c r="R26" i="34"/>
  <c r="Q26" i="34"/>
  <c r="P26" i="34"/>
  <c r="O26" i="34"/>
  <c r="N26" i="34"/>
  <c r="M26" i="34"/>
  <c r="L26" i="34"/>
  <c r="K26" i="34"/>
  <c r="J26" i="34"/>
  <c r="I26" i="34"/>
  <c r="H26" i="34"/>
  <c r="G26" i="34"/>
  <c r="F26" i="34"/>
  <c r="D84" i="33"/>
  <c r="C63" i="33"/>
  <c r="G36" i="33"/>
  <c r="H35" i="33"/>
  <c r="G35" i="33"/>
  <c r="G34" i="33"/>
  <c r="C35" i="33" s="1"/>
  <c r="D34" i="32"/>
  <c r="C34" i="32"/>
  <c r="E46" i="31"/>
  <c r="P53" i="34" l="1"/>
  <c r="M18" i="34"/>
  <c r="M20" i="34" s="1"/>
  <c r="M52" i="34" s="1"/>
  <c r="O53" i="34"/>
  <c r="I54" i="34"/>
  <c r="O54" i="34"/>
  <c r="H31" i="34"/>
  <c r="H18" i="34"/>
  <c r="H20" i="34" s="1"/>
  <c r="H52" i="34" s="1"/>
  <c r="G53" i="34"/>
  <c r="G54" i="34"/>
  <c r="C9" i="27"/>
  <c r="C13" i="36"/>
  <c r="E13" i="36" s="1"/>
  <c r="G13" i="36" s="1"/>
  <c r="C7" i="27"/>
  <c r="C11" i="36"/>
  <c r="C8" i="27"/>
  <c r="C12" i="36"/>
  <c r="C10" i="27"/>
  <c r="C14" i="36"/>
  <c r="E14" i="36" s="1"/>
  <c r="G14" i="36" s="1"/>
  <c r="I14" i="36"/>
  <c r="G22" i="35"/>
  <c r="F22" i="35"/>
  <c r="F17" i="35"/>
  <c r="G17" i="35"/>
  <c r="F20" i="35"/>
  <c r="T53" i="34"/>
  <c r="Q54" i="34"/>
  <c r="P18" i="34"/>
  <c r="P20" i="34" s="1"/>
  <c r="P52" i="34" s="1"/>
  <c r="P54" i="34"/>
  <c r="L18" i="34"/>
  <c r="L20" i="34" s="1"/>
  <c r="L52" i="34" s="1"/>
  <c r="H54" i="34"/>
  <c r="C20" i="31"/>
  <c r="F15" i="35"/>
  <c r="G15" i="35"/>
  <c r="H34" i="33"/>
  <c r="C36" i="33" s="1"/>
  <c r="G91" i="33" s="1"/>
  <c r="H36" i="33"/>
  <c r="I11" i="36"/>
  <c r="I13" i="36"/>
  <c r="G23" i="35"/>
  <c r="G25" i="35"/>
  <c r="G27" i="35"/>
  <c r="F14" i="35"/>
  <c r="F16" i="35"/>
  <c r="F24" i="35"/>
  <c r="F26" i="35"/>
  <c r="F28" i="35"/>
  <c r="F18" i="34"/>
  <c r="F20" i="34" s="1"/>
  <c r="F52" i="34" s="1"/>
  <c r="N18" i="34"/>
  <c r="N20" i="34" s="1"/>
  <c r="N52" i="34" s="1"/>
  <c r="I31" i="34"/>
  <c r="Q31" i="34"/>
  <c r="I53" i="34"/>
  <c r="Q53" i="34"/>
  <c r="J54" i="34"/>
  <c r="R54" i="34"/>
  <c r="G18" i="34"/>
  <c r="G20" i="34" s="1"/>
  <c r="G52" i="34" s="1"/>
  <c r="O18" i="34"/>
  <c r="O20" i="34" s="1"/>
  <c r="O52" i="34" s="1"/>
  <c r="J31" i="34"/>
  <c r="R31" i="34"/>
  <c r="J53" i="34"/>
  <c r="R53" i="34"/>
  <c r="K54" i="34"/>
  <c r="S54" i="34"/>
  <c r="K31" i="34"/>
  <c r="S31" i="34"/>
  <c r="K53" i="34"/>
  <c r="S53" i="34"/>
  <c r="L54" i="34"/>
  <c r="T54" i="34"/>
  <c r="L31" i="34"/>
  <c r="T31" i="34"/>
  <c r="M54" i="34"/>
  <c r="M31" i="34"/>
  <c r="F54" i="34"/>
  <c r="N54" i="34"/>
  <c r="F31" i="34"/>
  <c r="N31" i="34"/>
  <c r="F20" i="31"/>
  <c r="E5" i="31"/>
  <c r="E7" i="31"/>
  <c r="E9" i="31"/>
  <c r="E11" i="31"/>
  <c r="E13" i="31"/>
  <c r="E15" i="31"/>
  <c r="E17" i="31"/>
  <c r="E19" i="31"/>
  <c r="E6" i="31"/>
  <c r="E8" i="31"/>
  <c r="E10" i="31"/>
  <c r="E12" i="31"/>
  <c r="E14" i="31"/>
  <c r="E16" i="31"/>
  <c r="E18" i="31"/>
  <c r="I55" i="34" l="1"/>
  <c r="M56" i="34"/>
  <c r="H55" i="34"/>
  <c r="O55" i="34"/>
  <c r="O56" i="34"/>
  <c r="P56" i="34"/>
  <c r="G56" i="34"/>
  <c r="P55" i="34"/>
  <c r="J56" i="34"/>
  <c r="K55" i="34"/>
  <c r="S56" i="34"/>
  <c r="I56" i="34"/>
  <c r="K56" i="34"/>
  <c r="H56" i="34"/>
  <c r="T55" i="34"/>
  <c r="R55" i="34"/>
  <c r="Q56" i="34"/>
  <c r="J55" i="34"/>
  <c r="S55" i="34"/>
  <c r="E12" i="36"/>
  <c r="G12" i="36" s="1"/>
  <c r="E11" i="36"/>
  <c r="G11" i="36" s="1"/>
  <c r="C15" i="36"/>
  <c r="Q55" i="34"/>
  <c r="N55" i="34"/>
  <c r="L55" i="34"/>
  <c r="G55" i="34"/>
  <c r="F55" i="34"/>
  <c r="F21" i="31"/>
  <c r="O11" i="36" s="1"/>
  <c r="G29" i="35"/>
  <c r="G92" i="33"/>
  <c r="G93" i="33"/>
  <c r="G90" i="33"/>
  <c r="F29" i="35"/>
  <c r="N56" i="34"/>
  <c r="M55" i="34"/>
  <c r="F56" i="34"/>
  <c r="T56" i="34"/>
  <c r="L56" i="34"/>
  <c r="R56" i="34"/>
  <c r="C61" i="34"/>
  <c r="I79" i="34" s="1"/>
  <c r="E20" i="31"/>
  <c r="E21" i="31" s="1"/>
  <c r="M11" i="36" s="1"/>
  <c r="E34" i="36" l="1"/>
  <c r="P11" i="36"/>
  <c r="F34" i="36" s="1"/>
  <c r="D13" i="36"/>
  <c r="R41" i="37"/>
  <c r="R26" i="37"/>
  <c r="R24" i="37"/>
  <c r="R42" i="37"/>
  <c r="R27" i="37"/>
  <c r="R30" i="37"/>
  <c r="R46" i="37"/>
  <c r="R39" i="37"/>
  <c r="R32" i="37"/>
  <c r="R40" i="37"/>
  <c r="R33" i="37"/>
  <c r="R43" i="37"/>
  <c r="R28" i="37"/>
  <c r="R44" i="37"/>
  <c r="R29" i="37"/>
  <c r="R45" i="37"/>
  <c r="R38" i="37"/>
  <c r="R31" i="37"/>
  <c r="R37" i="37"/>
  <c r="R25" i="37"/>
  <c r="N11" i="36"/>
  <c r="F23" i="36" s="1"/>
  <c r="E23" i="36"/>
  <c r="D11" i="36"/>
  <c r="D14" i="36"/>
  <c r="D12" i="36"/>
  <c r="F64" i="34"/>
  <c r="M14" i="36" s="1"/>
  <c r="F65" i="34"/>
  <c r="O14" i="36" s="1"/>
  <c r="H79" i="34"/>
  <c r="L79" i="34"/>
  <c r="D34" i="36" l="1"/>
  <c r="D35" i="36"/>
  <c r="C35" i="36"/>
  <c r="F15" i="36"/>
  <c r="D25" i="36"/>
  <c r="H15" i="36"/>
  <c r="C33" i="36"/>
  <c r="D33" i="36" s="1"/>
  <c r="D23" i="36"/>
  <c r="D15" i="36"/>
  <c r="C36" i="36"/>
  <c r="C34" i="36"/>
  <c r="G34" i="36" s="1"/>
  <c r="G15" i="36"/>
  <c r="D36" i="36"/>
  <c r="C23" i="36"/>
  <c r="G23" i="36" s="1"/>
  <c r="F48" i="15" s="1"/>
  <c r="F56" i="15" s="1"/>
  <c r="C32" i="36"/>
  <c r="D32" i="36" s="1"/>
  <c r="E15" i="36"/>
  <c r="C22" i="36"/>
  <c r="D22" i="36" s="1"/>
  <c r="C24" i="36"/>
  <c r="C25" i="36"/>
  <c r="D24" i="36"/>
  <c r="C21" i="36"/>
  <c r="D21" i="36" s="1"/>
  <c r="E83" i="34"/>
  <c r="E82" i="34"/>
  <c r="E81" i="34"/>
  <c r="K79" i="34"/>
  <c r="C49" i="37" l="1"/>
  <c r="C17" i="38"/>
  <c r="O47" i="37" s="1"/>
  <c r="C8" i="38"/>
  <c r="C11" i="38" s="1"/>
  <c r="O41" i="37" s="1"/>
  <c r="M49" i="37"/>
  <c r="R5" i="37"/>
  <c r="C41" i="37"/>
  <c r="C42" i="37"/>
  <c r="C12" i="38"/>
  <c r="O42" i="37" s="1"/>
  <c r="C18" i="38"/>
  <c r="O48" i="37" s="1"/>
  <c r="C10" i="38"/>
  <c r="O40" i="37" s="1"/>
  <c r="C50" i="37"/>
  <c r="C20" i="38"/>
  <c r="O50" i="37" s="1"/>
  <c r="C9" i="38"/>
  <c r="O39" i="37" s="1"/>
  <c r="C16" i="38"/>
  <c r="F83" i="34"/>
  <c r="F82" i="34"/>
  <c r="F81" i="34"/>
  <c r="J57" i="34"/>
  <c r="S57" i="34"/>
  <c r="P57" i="34"/>
  <c r="Q57" i="34"/>
  <c r="G57" i="34"/>
  <c r="R57" i="34"/>
  <c r="T57" i="34"/>
  <c r="H57" i="34"/>
  <c r="I57" i="34"/>
  <c r="M57" i="34"/>
  <c r="N57" i="34"/>
  <c r="K57" i="34"/>
  <c r="L57" i="34"/>
  <c r="O57" i="34"/>
  <c r="F57" i="34"/>
  <c r="R17" i="37" l="1"/>
  <c r="M54" i="37"/>
  <c r="O38" i="37"/>
  <c r="R14" i="37"/>
  <c r="D46" i="37"/>
  <c r="E46" i="37" s="1"/>
  <c r="F46" i="37" s="1"/>
  <c r="G46" i="37" s="1"/>
  <c r="H46" i="37" s="1"/>
  <c r="I46" i="37" s="1"/>
  <c r="J46" i="37" s="1"/>
  <c r="K46" i="37" s="1"/>
  <c r="L46" i="37" s="1"/>
  <c r="R18" i="37"/>
  <c r="R13" i="37"/>
  <c r="D49" i="37"/>
  <c r="E49" i="37" s="1"/>
  <c r="F49" i="37" s="1"/>
  <c r="G49" i="37" s="1"/>
  <c r="H49" i="37" s="1"/>
  <c r="I49" i="37" s="1"/>
  <c r="J49" i="37" s="1"/>
  <c r="K49" i="37" s="1"/>
  <c r="L49" i="37" s="1"/>
  <c r="O46" i="37"/>
  <c r="C19" i="38"/>
  <c r="O49" i="37" s="1"/>
  <c r="D42" i="37"/>
  <c r="E42" i="37" s="1"/>
  <c r="F42" i="37" s="1"/>
  <c r="G42" i="37" s="1"/>
  <c r="H42" i="37" s="1"/>
  <c r="I42" i="37" s="1"/>
  <c r="J42" i="37" s="1"/>
  <c r="K42" i="37" s="1"/>
  <c r="L42" i="37" s="1"/>
  <c r="M42" i="37" s="1"/>
  <c r="R3" i="37"/>
  <c r="R4" i="37"/>
  <c r="D50" i="37"/>
  <c r="E50" i="37" s="1"/>
  <c r="F50" i="37" s="1"/>
  <c r="G50" i="37" s="1"/>
  <c r="H50" i="37" s="1"/>
  <c r="I50" i="37" s="1"/>
  <c r="J50" i="37" s="1"/>
  <c r="K50" i="37" s="1"/>
  <c r="L50" i="37" s="1"/>
  <c r="M50" i="37" s="1"/>
  <c r="N49" i="37" s="1"/>
  <c r="R22" i="37" s="1"/>
  <c r="R12" i="37"/>
  <c r="R9" i="37"/>
  <c r="M41" i="37"/>
  <c r="M53" i="37" s="1"/>
  <c r="D38" i="37"/>
  <c r="E38" i="37" s="1"/>
  <c r="F38" i="37" s="1"/>
  <c r="G38" i="37" s="1"/>
  <c r="H38" i="37" s="1"/>
  <c r="I38" i="37" s="1"/>
  <c r="J38" i="37" s="1"/>
  <c r="K38" i="37" s="1"/>
  <c r="L38" i="37" s="1"/>
  <c r="H58" i="34"/>
  <c r="K58" i="34"/>
  <c r="P58" i="34"/>
  <c r="S58" i="34"/>
  <c r="M58" i="34"/>
  <c r="L58" i="34"/>
  <c r="I58" i="34"/>
  <c r="R58" i="34"/>
  <c r="T58" i="34"/>
  <c r="G58" i="34"/>
  <c r="Q58" i="34"/>
  <c r="J58" i="34"/>
  <c r="N58" i="34"/>
  <c r="O58" i="34"/>
  <c r="F58" i="34"/>
  <c r="G64" i="34"/>
  <c r="N14" i="36" s="1"/>
  <c r="R47" i="37" l="1"/>
  <c r="R48" i="37" s="1"/>
  <c r="R8" i="37"/>
  <c r="N41" i="37"/>
  <c r="R21" i="37" s="1"/>
  <c r="D41" i="37"/>
  <c r="E41" i="37" s="1"/>
  <c r="F41" i="37" s="1"/>
  <c r="G41" i="37" s="1"/>
  <c r="H41" i="37" s="1"/>
  <c r="I41" i="37" s="1"/>
  <c r="J41" i="37" s="1"/>
  <c r="K41" i="37" s="1"/>
  <c r="L41" i="37" s="1"/>
  <c r="R34" i="37"/>
  <c r="R35" i="37" s="1"/>
  <c r="G65" i="34"/>
  <c r="P14" i="36" s="1"/>
  <c r="D103" i="27"/>
  <c r="C103" i="27"/>
  <c r="H91" i="27"/>
  <c r="G91" i="27"/>
  <c r="G110" i="27" s="1"/>
  <c r="F91" i="27"/>
  <c r="F110" i="27" s="1"/>
  <c r="E91" i="27"/>
  <c r="E110" i="27" s="1"/>
  <c r="D84" i="27"/>
  <c r="C84" i="27"/>
  <c r="D68" i="27"/>
  <c r="C68" i="27"/>
  <c r="C59" i="27"/>
  <c r="D58" i="27"/>
  <c r="C58" i="27"/>
  <c r="B51" i="27"/>
  <c r="F35" i="27"/>
  <c r="A34" i="27"/>
  <c r="A33" i="27"/>
  <c r="A31" i="27"/>
  <c r="A30" i="27"/>
  <c r="A29" i="27"/>
  <c r="A27" i="27"/>
  <c r="A26" i="27"/>
  <c r="A25" i="27"/>
  <c r="E11" i="27"/>
  <c r="C11" i="27"/>
  <c r="F7" i="27" s="1"/>
  <c r="G10" i="27"/>
  <c r="D10" i="27"/>
  <c r="G9" i="27"/>
  <c r="D9" i="27"/>
  <c r="G8" i="27"/>
  <c r="D8" i="27"/>
  <c r="G7" i="27"/>
  <c r="A75" i="27"/>
  <c r="I145" i="29"/>
  <c r="H145" i="29"/>
  <c r="G145" i="29"/>
  <c r="F145" i="29"/>
  <c r="J145" i="29" s="1"/>
  <c r="E145" i="29"/>
  <c r="J144" i="29"/>
  <c r="J143" i="29"/>
  <c r="J142" i="29"/>
  <c r="J141" i="29"/>
  <c r="J140" i="29"/>
  <c r="J139" i="29"/>
  <c r="J138" i="29"/>
  <c r="J137" i="29"/>
  <c r="J136" i="29"/>
  <c r="J135" i="29"/>
  <c r="J134" i="29"/>
  <c r="B134" i="29"/>
  <c r="B135" i="29" s="1"/>
  <c r="J133" i="29"/>
  <c r="D133" i="29"/>
  <c r="I132" i="29"/>
  <c r="H132" i="29"/>
  <c r="G132" i="29"/>
  <c r="F132" i="29"/>
  <c r="J132" i="29" s="1"/>
  <c r="E132" i="29"/>
  <c r="J131" i="29"/>
  <c r="J130" i="29"/>
  <c r="J129" i="29"/>
  <c r="J128" i="29"/>
  <c r="J127" i="29"/>
  <c r="J126" i="29"/>
  <c r="J125" i="29"/>
  <c r="J124" i="29"/>
  <c r="J123" i="29"/>
  <c r="J122" i="29"/>
  <c r="B122" i="29"/>
  <c r="B123" i="29" s="1"/>
  <c r="J121" i="29"/>
  <c r="D121" i="29"/>
  <c r="B121" i="29"/>
  <c r="J120" i="29"/>
  <c r="D120" i="29"/>
  <c r="I119" i="29"/>
  <c r="H119" i="29"/>
  <c r="G119" i="29"/>
  <c r="F119" i="29"/>
  <c r="J119" i="29" s="1"/>
  <c r="E119" i="29"/>
  <c r="J118" i="29"/>
  <c r="J117" i="29"/>
  <c r="J116" i="29"/>
  <c r="J115" i="29"/>
  <c r="J114" i="29"/>
  <c r="J113" i="29"/>
  <c r="J112" i="29"/>
  <c r="J111" i="29"/>
  <c r="J110" i="29"/>
  <c r="B110" i="29"/>
  <c r="B111" i="29" s="1"/>
  <c r="J109" i="29"/>
  <c r="D109" i="29"/>
  <c r="B109" i="29"/>
  <c r="J108" i="29"/>
  <c r="D108" i="29"/>
  <c r="B108" i="29"/>
  <c r="J107" i="29"/>
  <c r="D107" i="29"/>
  <c r="J106" i="29"/>
  <c r="I106" i="29"/>
  <c r="H106" i="29"/>
  <c r="G106" i="29"/>
  <c r="F106" i="29"/>
  <c r="E106" i="29"/>
  <c r="J105" i="29"/>
  <c r="J104" i="29"/>
  <c r="J103" i="29"/>
  <c r="J102" i="29"/>
  <c r="J101" i="29"/>
  <c r="J100" i="29"/>
  <c r="J99" i="29"/>
  <c r="J98" i="29"/>
  <c r="J97" i="29"/>
  <c r="J96" i="29"/>
  <c r="J95" i="29"/>
  <c r="B95" i="29"/>
  <c r="D95" i="29" s="1"/>
  <c r="J94" i="29"/>
  <c r="D94" i="29"/>
  <c r="I93" i="29"/>
  <c r="H93" i="29"/>
  <c r="G93" i="29"/>
  <c r="F93" i="29"/>
  <c r="J93" i="29" s="1"/>
  <c r="E93" i="29"/>
  <c r="J92" i="29"/>
  <c r="J91" i="29"/>
  <c r="J90" i="29"/>
  <c r="J89" i="29"/>
  <c r="J88" i="29"/>
  <c r="J87" i="29"/>
  <c r="J86" i="29"/>
  <c r="J85" i="29"/>
  <c r="J84" i="29"/>
  <c r="J83" i="29"/>
  <c r="B83" i="29"/>
  <c r="D83" i="29" s="1"/>
  <c r="J82" i="29"/>
  <c r="B82" i="29"/>
  <c r="D82" i="29" s="1"/>
  <c r="J81" i="29"/>
  <c r="D81" i="29"/>
  <c r="J80" i="29"/>
  <c r="I80" i="29"/>
  <c r="H80" i="29"/>
  <c r="G80" i="29"/>
  <c r="F80" i="29"/>
  <c r="E80" i="29"/>
  <c r="J79" i="29"/>
  <c r="J78" i="29"/>
  <c r="J77" i="29"/>
  <c r="J76" i="29"/>
  <c r="J75" i="29"/>
  <c r="J74" i="29"/>
  <c r="J73" i="29"/>
  <c r="J72" i="29"/>
  <c r="J71" i="29"/>
  <c r="J70" i="29"/>
  <c r="J69" i="29"/>
  <c r="B69" i="29"/>
  <c r="B70" i="29" s="1"/>
  <c r="J68" i="29"/>
  <c r="D68" i="29"/>
  <c r="J67" i="29"/>
  <c r="I67" i="29"/>
  <c r="H67" i="29"/>
  <c r="G67" i="29"/>
  <c r="F67" i="29"/>
  <c r="E67" i="29"/>
  <c r="J66" i="29"/>
  <c r="J65" i="29"/>
  <c r="J64" i="29"/>
  <c r="J63" i="29"/>
  <c r="J62" i="29"/>
  <c r="J61" i="29"/>
  <c r="J60" i="29"/>
  <c r="J59" i="29"/>
  <c r="J58" i="29"/>
  <c r="J57" i="29"/>
  <c r="B57" i="29"/>
  <c r="B58" i="29" s="1"/>
  <c r="J56" i="29"/>
  <c r="D56" i="29"/>
  <c r="B56" i="29"/>
  <c r="J55" i="29"/>
  <c r="D55" i="29"/>
  <c r="I54" i="29"/>
  <c r="H54" i="29"/>
  <c r="G54" i="29"/>
  <c r="F54" i="29"/>
  <c r="J54" i="29" s="1"/>
  <c r="E54" i="29"/>
  <c r="J53" i="29"/>
  <c r="J52" i="29"/>
  <c r="J51" i="29"/>
  <c r="J50" i="29"/>
  <c r="J49" i="29"/>
  <c r="J48" i="29"/>
  <c r="J47" i="29"/>
  <c r="B47" i="29"/>
  <c r="B48" i="29" s="1"/>
  <c r="J46" i="29"/>
  <c r="B46" i="29"/>
  <c r="D46" i="29" s="1"/>
  <c r="J45" i="29"/>
  <c r="B45" i="29"/>
  <c r="D45" i="29" s="1"/>
  <c r="J44" i="29"/>
  <c r="D44" i="29"/>
  <c r="B44" i="29"/>
  <c r="J43" i="29"/>
  <c r="D43" i="29"/>
  <c r="B43" i="29"/>
  <c r="J42" i="29"/>
  <c r="D42" i="29"/>
  <c r="J41" i="29"/>
  <c r="I41" i="29"/>
  <c r="H41" i="29"/>
  <c r="G41" i="29"/>
  <c r="F41" i="29"/>
  <c r="E41" i="29"/>
  <c r="J40" i="29"/>
  <c r="J39" i="29"/>
  <c r="J38" i="29"/>
  <c r="J37" i="29"/>
  <c r="J36" i="29"/>
  <c r="J35" i="29"/>
  <c r="J34" i="29"/>
  <c r="J33" i="29"/>
  <c r="J32" i="29"/>
  <c r="J31" i="29"/>
  <c r="J30" i="29"/>
  <c r="B30" i="29"/>
  <c r="B31" i="29" s="1"/>
  <c r="J29" i="29"/>
  <c r="D29" i="29"/>
  <c r="I28" i="29"/>
  <c r="H28" i="29"/>
  <c r="G28" i="29"/>
  <c r="F28" i="29"/>
  <c r="J28" i="29" s="1"/>
  <c r="E28" i="29"/>
  <c r="J27" i="29"/>
  <c r="J26" i="29"/>
  <c r="J25" i="29"/>
  <c r="J24" i="29"/>
  <c r="J23" i="29"/>
  <c r="J22" i="29"/>
  <c r="J21" i="29"/>
  <c r="J20" i="29"/>
  <c r="J19" i="29"/>
  <c r="J18" i="29"/>
  <c r="B18" i="29"/>
  <c r="B19" i="29" s="1"/>
  <c r="J17" i="29"/>
  <c r="D17" i="29"/>
  <c r="B17" i="29"/>
  <c r="J16" i="29"/>
  <c r="D16" i="29"/>
  <c r="I15" i="29"/>
  <c r="H15" i="29"/>
  <c r="G15" i="29"/>
  <c r="F15" i="29"/>
  <c r="J15" i="29" s="1"/>
  <c r="E15" i="29"/>
  <c r="J14" i="29"/>
  <c r="J13" i="29"/>
  <c r="J12" i="29"/>
  <c r="J11" i="29"/>
  <c r="J10" i="29"/>
  <c r="J9" i="29"/>
  <c r="J8" i="29"/>
  <c r="J7" i="29"/>
  <c r="J6" i="29"/>
  <c r="J5" i="29"/>
  <c r="J4" i="29"/>
  <c r="D4" i="29"/>
  <c r="B4" i="29"/>
  <c r="B5" i="29" s="1"/>
  <c r="J3" i="29"/>
  <c r="D3" i="29"/>
  <c r="F10" i="27" l="1"/>
  <c r="F36" i="27"/>
  <c r="L47" i="27" s="1"/>
  <c r="F8" i="27"/>
  <c r="A70" i="27"/>
  <c r="A74" i="27"/>
  <c r="H110" i="27"/>
  <c r="A66" i="27"/>
  <c r="A69" i="27"/>
  <c r="A73" i="27"/>
  <c r="A68" i="27"/>
  <c r="F9" i="27"/>
  <c r="F11" i="27" s="1"/>
  <c r="A72" i="27"/>
  <c r="C60" i="27"/>
  <c r="C61" i="27" s="1"/>
  <c r="A67" i="27"/>
  <c r="A71" i="27"/>
  <c r="B112" i="29"/>
  <c r="D111" i="29"/>
  <c r="B20" i="29"/>
  <c r="D19" i="29"/>
  <c r="B49" i="29"/>
  <c r="D48" i="29"/>
  <c r="B32" i="29"/>
  <c r="D31" i="29"/>
  <c r="D58" i="29"/>
  <c r="B59" i="29"/>
  <c r="D5" i="29"/>
  <c r="B6" i="29"/>
  <c r="B124" i="29"/>
  <c r="D123" i="29"/>
  <c r="B71" i="29"/>
  <c r="D70" i="29"/>
  <c r="B136" i="29"/>
  <c r="D135" i="29"/>
  <c r="D47" i="29"/>
  <c r="D18" i="29"/>
  <c r="D30" i="29"/>
  <c r="D110" i="29"/>
  <c r="D122" i="29"/>
  <c r="D134" i="29"/>
  <c r="D57" i="29"/>
  <c r="D69" i="29"/>
  <c r="B84" i="29"/>
  <c r="B96" i="29"/>
  <c r="E73" i="27" l="1"/>
  <c r="H73" i="27"/>
  <c r="F73" i="27"/>
  <c r="G73" i="27"/>
  <c r="E69" i="27"/>
  <c r="F69" i="27"/>
  <c r="G69" i="27"/>
  <c r="H69" i="27"/>
  <c r="E67" i="27"/>
  <c r="F67" i="27"/>
  <c r="G67" i="27"/>
  <c r="H67" i="27"/>
  <c r="H72" i="27"/>
  <c r="E72" i="27"/>
  <c r="F72" i="27"/>
  <c r="G72" i="27"/>
  <c r="E71" i="27"/>
  <c r="F71" i="27"/>
  <c r="G71" i="27"/>
  <c r="H71" i="27"/>
  <c r="H66" i="27"/>
  <c r="G66" i="27"/>
  <c r="E66" i="27"/>
  <c r="F66" i="27"/>
  <c r="H70" i="27"/>
  <c r="F70" i="27"/>
  <c r="G70" i="27"/>
  <c r="E70" i="27"/>
  <c r="H74" i="27"/>
  <c r="E74" i="27"/>
  <c r="G74" i="27"/>
  <c r="F74" i="27"/>
  <c r="H68" i="27"/>
  <c r="E68" i="27"/>
  <c r="F68" i="27"/>
  <c r="G68" i="27"/>
  <c r="H11" i="27"/>
  <c r="G11" i="27"/>
  <c r="J110" i="27"/>
  <c r="I91" i="27"/>
  <c r="I110" i="27"/>
  <c r="D11" i="27"/>
  <c r="J91" i="27"/>
  <c r="D59" i="29"/>
  <c r="B60" i="29"/>
  <c r="D112" i="29"/>
  <c r="B113" i="29"/>
  <c r="D71" i="29"/>
  <c r="B72" i="29"/>
  <c r="D32" i="29"/>
  <c r="B33" i="29"/>
  <c r="B97" i="29"/>
  <c r="D96" i="29"/>
  <c r="D136" i="29"/>
  <c r="B137" i="29"/>
  <c r="D124" i="29"/>
  <c r="B125" i="29"/>
  <c r="D49" i="29"/>
  <c r="B50" i="29"/>
  <c r="B7" i="29"/>
  <c r="D6" i="29"/>
  <c r="B85" i="29"/>
  <c r="D84" i="29"/>
  <c r="D20" i="29"/>
  <c r="B21" i="29"/>
  <c r="M67" i="27" l="1"/>
  <c r="J67" i="27"/>
  <c r="I67" i="27"/>
  <c r="C127" i="27"/>
  <c r="J70" i="27"/>
  <c r="I70" i="27"/>
  <c r="M70" i="27"/>
  <c r="G75" i="27"/>
  <c r="R74" i="27" s="1"/>
  <c r="I73" i="27"/>
  <c r="M73" i="27"/>
  <c r="L73" i="27"/>
  <c r="J73" i="27"/>
  <c r="M72" i="27"/>
  <c r="L72" i="27"/>
  <c r="J72" i="27"/>
  <c r="I72" i="27"/>
  <c r="H75" i="27"/>
  <c r="S71" i="27" s="1"/>
  <c r="I69" i="27"/>
  <c r="M69" i="27"/>
  <c r="K69" i="27"/>
  <c r="J69" i="27"/>
  <c r="M71" i="27"/>
  <c r="L71" i="27"/>
  <c r="J71" i="27"/>
  <c r="I71" i="27"/>
  <c r="C128" i="27"/>
  <c r="L74" i="27"/>
  <c r="J74" i="27"/>
  <c r="I74" i="27"/>
  <c r="M74" i="27"/>
  <c r="E75" i="27"/>
  <c r="P74" i="27" s="1"/>
  <c r="J66" i="27"/>
  <c r="I66" i="27"/>
  <c r="C126" i="27"/>
  <c r="M66" i="27"/>
  <c r="M68" i="27"/>
  <c r="J68" i="27"/>
  <c r="I68" i="27"/>
  <c r="C130" i="27"/>
  <c r="F75" i="27"/>
  <c r="Q68" i="27" s="1"/>
  <c r="B8" i="29"/>
  <c r="D7" i="29"/>
  <c r="D85" i="29"/>
  <c r="B86" i="29"/>
  <c r="B61" i="29"/>
  <c r="D60" i="29"/>
  <c r="D97" i="29"/>
  <c r="B98" i="29"/>
  <c r="B34" i="29"/>
  <c r="D33" i="29"/>
  <c r="B51" i="29"/>
  <c r="D50" i="29"/>
  <c r="B22" i="29"/>
  <c r="D21" i="29"/>
  <c r="B126" i="29"/>
  <c r="D125" i="29"/>
  <c r="B73" i="29"/>
  <c r="D72" i="29"/>
  <c r="B138" i="29"/>
  <c r="D137" i="29"/>
  <c r="B114" i="29"/>
  <c r="D113" i="29"/>
  <c r="R70" i="27" l="1"/>
  <c r="R67" i="27"/>
  <c r="R66" i="27"/>
  <c r="R73" i="27"/>
  <c r="R68" i="27"/>
  <c r="R71" i="27"/>
  <c r="R69" i="27"/>
  <c r="P70" i="27"/>
  <c r="S72" i="27"/>
  <c r="S69" i="27"/>
  <c r="S70" i="27"/>
  <c r="Q69" i="27"/>
  <c r="Q74" i="27"/>
  <c r="P66" i="27"/>
  <c r="S73" i="27"/>
  <c r="P67" i="27"/>
  <c r="Q75" i="27"/>
  <c r="Q67" i="27"/>
  <c r="Q66" i="27"/>
  <c r="P73" i="27"/>
  <c r="I75" i="27"/>
  <c r="I76" i="27" s="1"/>
  <c r="P71" i="27"/>
  <c r="P69" i="27"/>
  <c r="S74" i="27"/>
  <c r="S67" i="27"/>
  <c r="J75" i="27"/>
  <c r="J76" i="27" s="1"/>
  <c r="R75" i="27"/>
  <c r="R72" i="27"/>
  <c r="M75" i="27"/>
  <c r="N70" i="27" s="1"/>
  <c r="K70" i="27"/>
  <c r="K75" i="27" s="1"/>
  <c r="C131" i="27"/>
  <c r="C153" i="27" s="1"/>
  <c r="P75" i="27"/>
  <c r="Q73" i="27"/>
  <c r="P72" i="27"/>
  <c r="Q72" i="27"/>
  <c r="L75" i="27"/>
  <c r="S75" i="27"/>
  <c r="Q71" i="27"/>
  <c r="P68" i="27"/>
  <c r="S68" i="27"/>
  <c r="Q70" i="27"/>
  <c r="S66" i="27"/>
  <c r="B52" i="29"/>
  <c r="D51" i="29"/>
  <c r="B74" i="29"/>
  <c r="D73" i="29"/>
  <c r="D8" i="29"/>
  <c r="B9" i="29"/>
  <c r="B99" i="29"/>
  <c r="D98" i="29"/>
  <c r="B127" i="29"/>
  <c r="D126" i="29"/>
  <c r="D34" i="29"/>
  <c r="B35" i="29"/>
  <c r="B115" i="29"/>
  <c r="D114" i="29"/>
  <c r="D22" i="29"/>
  <c r="B23" i="29"/>
  <c r="D61" i="29"/>
  <c r="B62" i="29"/>
  <c r="B139" i="29"/>
  <c r="D138" i="29"/>
  <c r="B87" i="29"/>
  <c r="D86" i="29"/>
  <c r="N71" i="27" l="1"/>
  <c r="N68" i="27"/>
  <c r="M47" i="27" s="1"/>
  <c r="N66" i="27"/>
  <c r="N73" i="27"/>
  <c r="N74" i="27"/>
  <c r="N69" i="27"/>
  <c r="C150" i="27"/>
  <c r="C152" i="27"/>
  <c r="N67" i="27"/>
  <c r="I77" i="27"/>
  <c r="C122" i="27" s="1"/>
  <c r="C120" i="27"/>
  <c r="N72" i="27"/>
  <c r="C154" i="27"/>
  <c r="C151" i="27"/>
  <c r="C121" i="27"/>
  <c r="J77" i="27"/>
  <c r="C123" i="27" s="1"/>
  <c r="B53" i="29"/>
  <c r="D52" i="29"/>
  <c r="D23" i="29"/>
  <c r="B24" i="29"/>
  <c r="B100" i="29"/>
  <c r="D99" i="29"/>
  <c r="D139" i="29"/>
  <c r="B140" i="29"/>
  <c r="B75" i="29"/>
  <c r="D74" i="29"/>
  <c r="B63" i="29"/>
  <c r="D62" i="29"/>
  <c r="B10" i="29"/>
  <c r="D9" i="29"/>
  <c r="B88" i="29"/>
  <c r="D87" i="29"/>
  <c r="D115" i="29"/>
  <c r="B116" i="29"/>
  <c r="D127" i="29"/>
  <c r="B128" i="29"/>
  <c r="D35" i="29"/>
  <c r="B36" i="29"/>
  <c r="N75" i="27" l="1"/>
  <c r="C155" i="27"/>
  <c r="B117" i="29"/>
  <c r="D116" i="29"/>
  <c r="B76" i="29"/>
  <c r="D75" i="29"/>
  <c r="B129" i="29"/>
  <c r="D128" i="29"/>
  <c r="B25" i="29"/>
  <c r="D24" i="29"/>
  <c r="B54" i="29"/>
  <c r="D54" i="29" s="1"/>
  <c r="D53" i="29"/>
  <c r="B64" i="29"/>
  <c r="D63" i="29"/>
  <c r="B141" i="29"/>
  <c r="D140" i="29"/>
  <c r="D88" i="29"/>
  <c r="B89" i="29"/>
  <c r="B37" i="29"/>
  <c r="D36" i="29"/>
  <c r="B11" i="29"/>
  <c r="D10" i="29"/>
  <c r="D100" i="29"/>
  <c r="B101" i="29"/>
  <c r="D37" i="29" l="1"/>
  <c r="B38" i="29"/>
  <c r="D25" i="29"/>
  <c r="B26" i="29"/>
  <c r="B118" i="29"/>
  <c r="D117" i="29"/>
  <c r="B90" i="29"/>
  <c r="D89" i="29"/>
  <c r="B102" i="29"/>
  <c r="D101" i="29"/>
  <c r="B142" i="29"/>
  <c r="D141" i="29"/>
  <c r="B130" i="29"/>
  <c r="D129" i="29"/>
  <c r="D11" i="29"/>
  <c r="B12" i="29"/>
  <c r="D64" i="29"/>
  <c r="B65" i="29"/>
  <c r="D76" i="29"/>
  <c r="B77" i="29"/>
  <c r="B13" i="29" l="1"/>
  <c r="D12" i="29"/>
  <c r="B91" i="29"/>
  <c r="D90" i="29"/>
  <c r="B39" i="29"/>
  <c r="D38" i="29"/>
  <c r="B131" i="29"/>
  <c r="D130" i="29"/>
  <c r="B119" i="29"/>
  <c r="D119" i="29" s="1"/>
  <c r="D118" i="29"/>
  <c r="B78" i="29"/>
  <c r="D77" i="29"/>
  <c r="B27" i="29"/>
  <c r="D26" i="29"/>
  <c r="B143" i="29"/>
  <c r="D142" i="29"/>
  <c r="B66" i="29"/>
  <c r="D65" i="29"/>
  <c r="B103" i="29"/>
  <c r="D102" i="29"/>
  <c r="B79" i="29" l="1"/>
  <c r="D78" i="29"/>
  <c r="B144" i="29"/>
  <c r="D143" i="29"/>
  <c r="B132" i="29"/>
  <c r="D132" i="29" s="1"/>
  <c r="D131" i="29"/>
  <c r="B28" i="29"/>
  <c r="D28" i="29" s="1"/>
  <c r="D27" i="29"/>
  <c r="B40" i="29"/>
  <c r="D39" i="29"/>
  <c r="D103" i="29"/>
  <c r="B104" i="29"/>
  <c r="D91" i="29"/>
  <c r="B92" i="29"/>
  <c r="D66" i="29"/>
  <c r="B67" i="29"/>
  <c r="D67" i="29" s="1"/>
  <c r="D13" i="29"/>
  <c r="B14" i="29"/>
  <c r="D40" i="29" l="1"/>
  <c r="B41" i="29"/>
  <c r="D41" i="29" s="1"/>
  <c r="B93" i="29"/>
  <c r="D93" i="29" s="1"/>
  <c r="D92" i="29"/>
  <c r="D144" i="29"/>
  <c r="B145" i="29"/>
  <c r="D145" i="29" s="1"/>
  <c r="B15" i="29"/>
  <c r="D15" i="29" s="1"/>
  <c r="D14" i="29"/>
  <c r="D79" i="29"/>
  <c r="B80" i="29"/>
  <c r="D80" i="29" s="1"/>
  <c r="B105" i="29"/>
  <c r="D104" i="29"/>
  <c r="B106" i="29" l="1"/>
  <c r="D106" i="29" s="1"/>
  <c r="D105" i="29"/>
  <c r="AC20" i="15" l="1"/>
  <c r="F92" i="19" l="1"/>
  <c r="E92" i="19"/>
  <c r="C53" i="23"/>
  <c r="F79" i="23"/>
  <c r="E79" i="23"/>
  <c r="F63" i="23"/>
  <c r="E63" i="23"/>
  <c r="F71" i="23"/>
  <c r="E71" i="23"/>
  <c r="F55" i="23"/>
  <c r="E55" i="23"/>
  <c r="F47" i="23"/>
  <c r="E47" i="23"/>
  <c r="J80" i="23"/>
  <c r="I80" i="23"/>
  <c r="C79" i="23"/>
  <c r="C63" i="23"/>
  <c r="C71" i="23"/>
  <c r="C55" i="23"/>
  <c r="C47" i="23"/>
  <c r="C12" i="23"/>
  <c r="C80" i="23" l="1"/>
  <c r="E80" i="23" l="1"/>
  <c r="F80" i="23"/>
  <c r="F2" i="5" l="1"/>
  <c r="H2" i="5" s="1"/>
  <c r="G613" i="5" s="1"/>
  <c r="D19" i="24"/>
  <c r="F19" i="24"/>
  <c r="G19" i="24"/>
  <c r="H19" i="24"/>
  <c r="H1381" i="5"/>
  <c r="H1359" i="5"/>
  <c r="D128" i="3" s="1"/>
  <c r="D145" i="3"/>
  <c r="D144" i="3"/>
  <c r="D142" i="3"/>
  <c r="D141" i="3"/>
  <c r="D140" i="3"/>
  <c r="D136" i="3"/>
  <c r="D132" i="3"/>
  <c r="D131" i="3"/>
  <c r="D125" i="3"/>
  <c r="D124" i="3"/>
  <c r="D123" i="3"/>
  <c r="D121" i="3"/>
  <c r="E65" i="15"/>
  <c r="G65" i="15" s="1"/>
  <c r="E66" i="15"/>
  <c r="G66" i="15" s="1"/>
  <c r="C65" i="15"/>
  <c r="D65" i="15" s="1"/>
  <c r="C66" i="15"/>
  <c r="D66" i="15" s="1"/>
  <c r="D120" i="3"/>
  <c r="D119" i="3"/>
  <c r="D112" i="3"/>
  <c r="D111" i="3" s="1"/>
  <c r="D110" i="3"/>
  <c r="D109" i="3" s="1"/>
  <c r="D100" i="3"/>
  <c r="D106" i="3"/>
  <c r="D105" i="3" s="1"/>
  <c r="D80" i="3"/>
  <c r="D79" i="3"/>
  <c r="D69" i="3"/>
  <c r="D68" i="3"/>
  <c r="D67" i="3"/>
  <c r="D58" i="3"/>
  <c r="D51" i="3"/>
  <c r="D50" i="3"/>
  <c r="D49" i="3"/>
  <c r="D48" i="3"/>
  <c r="D46" i="3"/>
  <c r="D45" i="3"/>
  <c r="C145" i="3"/>
  <c r="C144" i="3"/>
  <c r="E144" i="3" s="1"/>
  <c r="C142" i="3"/>
  <c r="C141" i="3"/>
  <c r="C140" i="3"/>
  <c r="C138" i="3"/>
  <c r="C137" i="3"/>
  <c r="C136" i="3"/>
  <c r="C132" i="3"/>
  <c r="C131" i="3"/>
  <c r="C129" i="3"/>
  <c r="C128" i="3"/>
  <c r="C127" i="3"/>
  <c r="C125" i="3"/>
  <c r="C124" i="3"/>
  <c r="C123" i="3"/>
  <c r="C121" i="3"/>
  <c r="C120" i="3"/>
  <c r="C119" i="3"/>
  <c r="C115" i="3"/>
  <c r="C114" i="3"/>
  <c r="C112" i="3"/>
  <c r="C111" i="3" s="1"/>
  <c r="C110" i="3"/>
  <c r="C109" i="3" s="1"/>
  <c r="C106" i="3"/>
  <c r="C101" i="3"/>
  <c r="C100" i="3"/>
  <c r="C95" i="3"/>
  <c r="C91" i="3"/>
  <c r="C83" i="3"/>
  <c r="C82" i="3"/>
  <c r="C80" i="3"/>
  <c r="C79" i="3"/>
  <c r="C74" i="3"/>
  <c r="C75" i="3"/>
  <c r="C76" i="3"/>
  <c r="C77" i="3"/>
  <c r="C73" i="3"/>
  <c r="C68" i="3"/>
  <c r="C69" i="3"/>
  <c r="C67" i="3"/>
  <c r="C62" i="3"/>
  <c r="C63" i="3"/>
  <c r="C64" i="3"/>
  <c r="C65" i="3"/>
  <c r="C61" i="3"/>
  <c r="C56" i="3"/>
  <c r="C57" i="3"/>
  <c r="C58" i="3"/>
  <c r="C59" i="3"/>
  <c r="C50" i="3"/>
  <c r="C51" i="3"/>
  <c r="C49" i="3"/>
  <c r="C48" i="3"/>
  <c r="C46" i="3"/>
  <c r="E46" i="3" s="1"/>
  <c r="C45" i="3"/>
  <c r="O799" i="5"/>
  <c r="B54" i="40" s="1"/>
  <c r="I54" i="40" s="1"/>
  <c r="H998" i="5"/>
  <c r="J79" i="16"/>
  <c r="J81" i="16" s="1"/>
  <c r="J83" i="16"/>
  <c r="J65" i="16"/>
  <c r="J69" i="16"/>
  <c r="F58" i="16"/>
  <c r="F32" i="16"/>
  <c r="F25" i="16"/>
  <c r="C52" i="3"/>
  <c r="C54" i="3"/>
  <c r="G25" i="25"/>
  <c r="F25" i="25"/>
  <c r="E25" i="25"/>
  <c r="D25" i="25"/>
  <c r="C25" i="25"/>
  <c r="B25" i="25"/>
  <c r="G24" i="25"/>
  <c r="F24" i="25"/>
  <c r="E24" i="25"/>
  <c r="D24" i="25"/>
  <c r="C24" i="25"/>
  <c r="B24" i="25"/>
  <c r="G23" i="25"/>
  <c r="F23" i="25"/>
  <c r="E23" i="25"/>
  <c r="D23" i="25"/>
  <c r="C23" i="25"/>
  <c r="B23" i="25"/>
  <c r="G22" i="25"/>
  <c r="F22" i="25"/>
  <c r="E22" i="25"/>
  <c r="D22" i="25"/>
  <c r="C22" i="25"/>
  <c r="B22" i="25"/>
  <c r="G21" i="25"/>
  <c r="F21" i="25"/>
  <c r="E21" i="25"/>
  <c r="D21" i="25"/>
  <c r="C21" i="25"/>
  <c r="B21" i="25"/>
  <c r="G20" i="25"/>
  <c r="F20" i="25"/>
  <c r="E20" i="25"/>
  <c r="D20" i="25"/>
  <c r="C20" i="25"/>
  <c r="B20" i="25"/>
  <c r="G19" i="25"/>
  <c r="G33" i="25" s="1"/>
  <c r="F19" i="25"/>
  <c r="F33" i="25" s="1"/>
  <c r="E19" i="25"/>
  <c r="E33" i="25" s="1"/>
  <c r="D19" i="25"/>
  <c r="D33" i="25" s="1"/>
  <c r="C19" i="25"/>
  <c r="C33" i="25" s="1"/>
  <c r="F737" i="5"/>
  <c r="O86" i="5"/>
  <c r="B73" i="40" s="1"/>
  <c r="I73" i="40" s="1"/>
  <c r="G123" i="20"/>
  <c r="I123" i="20"/>
  <c r="F109" i="20"/>
  <c r="F110" i="20"/>
  <c r="F111" i="20"/>
  <c r="F112" i="20"/>
  <c r="F113" i="20"/>
  <c r="F114" i="20"/>
  <c r="F115" i="20"/>
  <c r="F116" i="20"/>
  <c r="F117" i="20"/>
  <c r="F118" i="20"/>
  <c r="F119" i="20"/>
  <c r="F120" i="20"/>
  <c r="F121" i="20"/>
  <c r="F122" i="20"/>
  <c r="F108" i="20"/>
  <c r="G50" i="20"/>
  <c r="J50" i="20" s="1"/>
  <c r="F97" i="16"/>
  <c r="J95" i="16"/>
  <c r="J84" i="16"/>
  <c r="J80" i="16"/>
  <c r="I85" i="16"/>
  <c r="H85" i="16"/>
  <c r="G85" i="16"/>
  <c r="F85" i="16"/>
  <c r="E85" i="16"/>
  <c r="D85" i="16"/>
  <c r="C85" i="16"/>
  <c r="I81" i="16"/>
  <c r="H81" i="16"/>
  <c r="G81" i="16"/>
  <c r="F81" i="16"/>
  <c r="E81" i="16"/>
  <c r="D81" i="16"/>
  <c r="C81" i="16"/>
  <c r="J70" i="16"/>
  <c r="J66" i="16"/>
  <c r="G67" i="16"/>
  <c r="H67" i="16"/>
  <c r="I67" i="16"/>
  <c r="G71" i="16"/>
  <c r="H71" i="16"/>
  <c r="I71" i="16"/>
  <c r="F71" i="16"/>
  <c r="E71" i="16"/>
  <c r="D71" i="16"/>
  <c r="C71" i="16"/>
  <c r="D67" i="16"/>
  <c r="E67" i="16"/>
  <c r="F67" i="16"/>
  <c r="C67" i="16"/>
  <c r="H97" i="16"/>
  <c r="I97" i="16"/>
  <c r="G96" i="16"/>
  <c r="G97" i="16"/>
  <c r="H96" i="16"/>
  <c r="I96" i="16"/>
  <c r="F96" i="16"/>
  <c r="H123" i="20"/>
  <c r="C154" i="20" s="1"/>
  <c r="G140" i="20"/>
  <c r="J140" i="20" s="1"/>
  <c r="G141" i="20"/>
  <c r="J141" i="20" s="1"/>
  <c r="G142" i="20"/>
  <c r="J142" i="20" s="1"/>
  <c r="G139" i="20"/>
  <c r="J139" i="20" s="1"/>
  <c r="G145" i="20"/>
  <c r="J145" i="20" s="1"/>
  <c r="G144" i="20"/>
  <c r="G143" i="20"/>
  <c r="J143" i="20" s="1"/>
  <c r="C140" i="20"/>
  <c r="C48" i="33" s="1"/>
  <c r="C141" i="20"/>
  <c r="C49" i="33" s="1"/>
  <c r="C142" i="20"/>
  <c r="C50" i="33" s="1"/>
  <c r="C145" i="20"/>
  <c r="C53" i="33" s="1"/>
  <c r="D130" i="20"/>
  <c r="E123" i="20"/>
  <c r="D123" i="20"/>
  <c r="C123" i="20"/>
  <c r="E129" i="20" s="1"/>
  <c r="F7" i="20"/>
  <c r="F8" i="20"/>
  <c r="F9" i="20"/>
  <c r="F10" i="20"/>
  <c r="F11" i="20"/>
  <c r="F12" i="20"/>
  <c r="F13" i="20"/>
  <c r="F14" i="20"/>
  <c r="F15" i="20"/>
  <c r="F16" i="20"/>
  <c r="F17" i="20"/>
  <c r="F18" i="20"/>
  <c r="F19" i="20"/>
  <c r="F20" i="20"/>
  <c r="F6" i="20"/>
  <c r="E21" i="20"/>
  <c r="G91" i="20"/>
  <c r="J91" i="20" s="1"/>
  <c r="G89" i="20"/>
  <c r="J89" i="20" s="1"/>
  <c r="G90" i="20"/>
  <c r="J90" i="20" s="1"/>
  <c r="G88" i="20"/>
  <c r="J88" i="20" s="1"/>
  <c r="G87" i="20"/>
  <c r="J87" i="20" s="1"/>
  <c r="D77" i="20"/>
  <c r="J48" i="20"/>
  <c r="G47" i="20"/>
  <c r="J47" i="20" s="1"/>
  <c r="G45" i="20"/>
  <c r="J45" i="20" s="1"/>
  <c r="G43" i="20"/>
  <c r="J43" i="20" s="1"/>
  <c r="G41" i="20"/>
  <c r="J41" i="20" s="1"/>
  <c r="G39" i="20"/>
  <c r="J39" i="20" s="1"/>
  <c r="G40" i="20"/>
  <c r="J40" i="20" s="1"/>
  <c r="G38" i="20"/>
  <c r="J38" i="20" s="1"/>
  <c r="G49" i="20"/>
  <c r="J49" i="20" s="1"/>
  <c r="G46" i="20"/>
  <c r="J46" i="20" s="1"/>
  <c r="G44" i="20"/>
  <c r="J44" i="20" s="1"/>
  <c r="G42" i="20"/>
  <c r="J42" i="20" s="1"/>
  <c r="C46" i="20"/>
  <c r="C23" i="33" s="1"/>
  <c r="C44" i="20"/>
  <c r="C21" i="33" s="1"/>
  <c r="C22" i="33"/>
  <c r="C20" i="33"/>
  <c r="D28" i="20"/>
  <c r="C40" i="20"/>
  <c r="C17" i="33" s="1"/>
  <c r="C47" i="20"/>
  <c r="C24" i="33" s="1"/>
  <c r="C48" i="20"/>
  <c r="C25" i="33" s="1"/>
  <c r="C49" i="20"/>
  <c r="C26" i="33" s="1"/>
  <c r="C50" i="20"/>
  <c r="C27" i="33" s="1"/>
  <c r="B7" i="20"/>
  <c r="B57" i="20" s="1"/>
  <c r="B8" i="20"/>
  <c r="B58" i="20" s="1"/>
  <c r="B9" i="20"/>
  <c r="B59" i="20" s="1"/>
  <c r="B10" i="20"/>
  <c r="B60" i="20" s="1"/>
  <c r="B11" i="20"/>
  <c r="B61" i="20" s="1"/>
  <c r="B12" i="20"/>
  <c r="B62" i="20" s="1"/>
  <c r="B13" i="20"/>
  <c r="B63" i="20" s="1"/>
  <c r="B14" i="20"/>
  <c r="B64" i="20" s="1"/>
  <c r="B15" i="20"/>
  <c r="B65" i="20" s="1"/>
  <c r="B16" i="20"/>
  <c r="B66" i="20" s="1"/>
  <c r="B17" i="20"/>
  <c r="B67" i="20" s="1"/>
  <c r="B18" i="20"/>
  <c r="B68" i="20" s="1"/>
  <c r="B19" i="20"/>
  <c r="B69" i="20" s="1"/>
  <c r="B20" i="20"/>
  <c r="B70" i="20" s="1"/>
  <c r="D21" i="20"/>
  <c r="C71" i="20"/>
  <c r="E74" i="20" s="1"/>
  <c r="C21" i="20"/>
  <c r="B6" i="20"/>
  <c r="B56" i="20" s="1"/>
  <c r="E102" i="23"/>
  <c r="F102" i="23"/>
  <c r="E104" i="23"/>
  <c r="F104" i="23"/>
  <c r="E103" i="23"/>
  <c r="F103" i="23"/>
  <c r="E105" i="23"/>
  <c r="F105" i="23"/>
  <c r="F101" i="23"/>
  <c r="E101" i="23"/>
  <c r="J106" i="23"/>
  <c r="I106" i="23"/>
  <c r="C102" i="23"/>
  <c r="C104" i="23"/>
  <c r="C105" i="23"/>
  <c r="F76" i="19"/>
  <c r="E76" i="19"/>
  <c r="F73" i="19"/>
  <c r="E73" i="19"/>
  <c r="F70" i="19"/>
  <c r="E70" i="19"/>
  <c r="H69" i="19"/>
  <c r="I69" i="19"/>
  <c r="H71" i="19"/>
  <c r="I71" i="19"/>
  <c r="H73" i="19"/>
  <c r="I73" i="19"/>
  <c r="H74" i="19"/>
  <c r="I74" i="19"/>
  <c r="C77" i="19"/>
  <c r="C78" i="19" s="1"/>
  <c r="H1367" i="5" s="1"/>
  <c r="G84" i="19"/>
  <c r="G21" i="19"/>
  <c r="G22" i="19"/>
  <c r="G23" i="19"/>
  <c r="G25" i="19"/>
  <c r="G26" i="19"/>
  <c r="G27" i="19"/>
  <c r="G28" i="19"/>
  <c r="G29" i="19"/>
  <c r="G30" i="19"/>
  <c r="G20" i="19"/>
  <c r="G97" i="23"/>
  <c r="G96" i="23"/>
  <c r="G93" i="23"/>
  <c r="G92" i="23"/>
  <c r="G91" i="23"/>
  <c r="G88" i="23"/>
  <c r="G87" i="23"/>
  <c r="G86" i="23"/>
  <c r="G29" i="23"/>
  <c r="G28" i="23"/>
  <c r="G25" i="23"/>
  <c r="G24" i="23"/>
  <c r="G23" i="23"/>
  <c r="G20" i="23"/>
  <c r="G19" i="23"/>
  <c r="G18" i="23"/>
  <c r="AH20" i="15"/>
  <c r="C144" i="20"/>
  <c r="C52" i="33" s="1"/>
  <c r="C143" i="20"/>
  <c r="C51" i="33" s="1"/>
  <c r="C87" i="20"/>
  <c r="C39" i="33" s="1"/>
  <c r="C90" i="20"/>
  <c r="C42" i="33" s="1"/>
  <c r="AG6" i="15"/>
  <c r="AG7" i="15"/>
  <c r="AG8" i="15"/>
  <c r="AG9" i="15"/>
  <c r="AG10" i="15"/>
  <c r="AG11" i="15"/>
  <c r="AG12" i="15"/>
  <c r="AG13" i="15"/>
  <c r="AG14" i="15"/>
  <c r="AG15" i="15"/>
  <c r="AG16" i="15"/>
  <c r="AG17" i="15"/>
  <c r="AG18" i="15"/>
  <c r="AG19" i="15"/>
  <c r="AG5" i="15"/>
  <c r="AA6" i="15"/>
  <c r="AA7" i="15"/>
  <c r="AA8" i="15"/>
  <c r="AA9" i="15"/>
  <c r="AA10" i="15"/>
  <c r="AA11" i="15"/>
  <c r="AA12" i="15"/>
  <c r="AA13" i="15"/>
  <c r="AA14" i="15"/>
  <c r="AA15" i="15"/>
  <c r="AA16" i="15"/>
  <c r="AA17" i="15"/>
  <c r="AA18" i="15"/>
  <c r="AA19" i="15"/>
  <c r="AA5" i="15"/>
  <c r="U6" i="15"/>
  <c r="U7" i="15"/>
  <c r="U8" i="15"/>
  <c r="U9" i="15"/>
  <c r="U10" i="15"/>
  <c r="U11" i="15"/>
  <c r="U12" i="15"/>
  <c r="U13" i="15"/>
  <c r="U14" i="15"/>
  <c r="U15" i="15"/>
  <c r="U16" i="15"/>
  <c r="U17" i="15"/>
  <c r="U18" i="15"/>
  <c r="U19" i="15"/>
  <c r="U5" i="15"/>
  <c r="C91" i="20"/>
  <c r="C43" i="33" s="1"/>
  <c r="C139" i="20"/>
  <c r="C47" i="33" s="1"/>
  <c r="C89" i="20"/>
  <c r="C41" i="33" s="1"/>
  <c r="C44" i="33" s="1"/>
  <c r="C88" i="20"/>
  <c r="C40" i="33" s="1"/>
  <c r="C39" i="20"/>
  <c r="C16" i="33" s="1"/>
  <c r="C38" i="20"/>
  <c r="C15" i="33" s="1"/>
  <c r="C41" i="20"/>
  <c r="C18" i="33" s="1"/>
  <c r="C42" i="20"/>
  <c r="C19" i="33" s="1"/>
  <c r="C103" i="23"/>
  <c r="C33" i="7"/>
  <c r="C6" i="7"/>
  <c r="B2" i="22" s="1"/>
  <c r="C23" i="7"/>
  <c r="E155" i="3" s="1"/>
  <c r="C29" i="7"/>
  <c r="C20" i="22" s="1"/>
  <c r="C28" i="7"/>
  <c r="P34" i="5"/>
  <c r="G14" i="19"/>
  <c r="B3" i="22"/>
  <c r="C5" i="22"/>
  <c r="C4" i="22"/>
  <c r="C39" i="22"/>
  <c r="C43" i="22"/>
  <c r="C25" i="22"/>
  <c r="C24" i="22"/>
  <c r="C21" i="22"/>
  <c r="C18" i="22"/>
  <c r="C19" i="22"/>
  <c r="C17" i="22"/>
  <c r="C16" i="22"/>
  <c r="C15" i="22"/>
  <c r="C13" i="22"/>
  <c r="C14" i="22"/>
  <c r="B11" i="22"/>
  <c r="G51" i="19"/>
  <c r="G52" i="19"/>
  <c r="Q34" i="5"/>
  <c r="C5" i="18"/>
  <c r="C38" i="18" s="1"/>
  <c r="C39" i="18" s="1"/>
  <c r="C64" i="15"/>
  <c r="C63" i="15"/>
  <c r="E46" i="18"/>
  <c r="E47" i="18"/>
  <c r="E48" i="18"/>
  <c r="E49" i="18"/>
  <c r="E50" i="18"/>
  <c r="E51" i="18"/>
  <c r="E52" i="18"/>
  <c r="E53" i="18"/>
  <c r="E54" i="18"/>
  <c r="E55" i="18"/>
  <c r="E56" i="18"/>
  <c r="E57" i="18"/>
  <c r="E58" i="18"/>
  <c r="E59" i="18"/>
  <c r="E60" i="18"/>
  <c r="E61" i="18"/>
  <c r="E62" i="18"/>
  <c r="E63" i="18"/>
  <c r="E64" i="18"/>
  <c r="E65" i="18"/>
  <c r="E66" i="18"/>
  <c r="E67" i="18"/>
  <c r="E45" i="18"/>
  <c r="G87" i="19"/>
  <c r="F61" i="19"/>
  <c r="E61" i="19"/>
  <c r="G56" i="19"/>
  <c r="G53" i="19"/>
  <c r="F45" i="19"/>
  <c r="E45" i="19"/>
  <c r="G33" i="19"/>
  <c r="G34" i="19" s="1"/>
  <c r="G19" i="19"/>
  <c r="G16" i="19"/>
  <c r="G15" i="19"/>
  <c r="G13" i="19"/>
  <c r="G12" i="19"/>
  <c r="H54" i="16"/>
  <c r="H53" i="16"/>
  <c r="H52" i="16"/>
  <c r="H51" i="16"/>
  <c r="H50" i="16"/>
  <c r="H49" i="16"/>
  <c r="H48" i="16"/>
  <c r="H47" i="16"/>
  <c r="H46" i="16"/>
  <c r="H45" i="16"/>
  <c r="H56" i="16"/>
  <c r="J41" i="16"/>
  <c r="J42" i="16"/>
  <c r="J43" i="16"/>
  <c r="J44" i="16"/>
  <c r="J45" i="16"/>
  <c r="J46" i="16"/>
  <c r="J47" i="16"/>
  <c r="J48" i="16"/>
  <c r="J49" i="16"/>
  <c r="J50" i="16"/>
  <c r="J51" i="16"/>
  <c r="J52" i="16"/>
  <c r="J53" i="16"/>
  <c r="J54" i="16"/>
  <c r="J55" i="16"/>
  <c r="J56" i="16"/>
  <c r="J57" i="16"/>
  <c r="G40" i="16"/>
  <c r="I40" i="16" s="1"/>
  <c r="J40" i="16" s="1"/>
  <c r="G41" i="16"/>
  <c r="I41" i="16" s="1"/>
  <c r="G42" i="16"/>
  <c r="I42" i="16" s="1"/>
  <c r="G43" i="16"/>
  <c r="I43" i="16" s="1"/>
  <c r="G44" i="16"/>
  <c r="I44" i="16" s="1"/>
  <c r="G45" i="16"/>
  <c r="I45" i="16" s="1"/>
  <c r="G46" i="16"/>
  <c r="I46" i="16" s="1"/>
  <c r="G47" i="16"/>
  <c r="I47" i="16" s="1"/>
  <c r="G48" i="16"/>
  <c r="I48" i="16" s="1"/>
  <c r="G49" i="16"/>
  <c r="I49" i="16" s="1"/>
  <c r="G50" i="16"/>
  <c r="I50" i="16" s="1"/>
  <c r="G51" i="16"/>
  <c r="I51" i="16" s="1"/>
  <c r="G52" i="16"/>
  <c r="I52" i="16" s="1"/>
  <c r="G53" i="16"/>
  <c r="I53" i="16" s="1"/>
  <c r="G54" i="16"/>
  <c r="I54" i="16" s="1"/>
  <c r="G55" i="16"/>
  <c r="I55" i="16" s="1"/>
  <c r="G56" i="16"/>
  <c r="I56" i="16" s="1"/>
  <c r="G57" i="16"/>
  <c r="I57" i="16" s="1"/>
  <c r="G8" i="16"/>
  <c r="I8" i="16" s="1"/>
  <c r="G9" i="16"/>
  <c r="I9" i="16" s="1"/>
  <c r="G10" i="16"/>
  <c r="I10" i="16" s="1"/>
  <c r="G12" i="16"/>
  <c r="I12" i="16" s="1"/>
  <c r="G13" i="16"/>
  <c r="I13" i="16" s="1"/>
  <c r="G14" i="16"/>
  <c r="I14" i="16" s="1"/>
  <c r="G15" i="16"/>
  <c r="I15" i="16" s="1"/>
  <c r="G16" i="16"/>
  <c r="I16" i="16" s="1"/>
  <c r="G17" i="16"/>
  <c r="I17" i="16" s="1"/>
  <c r="G18" i="16"/>
  <c r="I18" i="16" s="1"/>
  <c r="G19" i="16"/>
  <c r="I19" i="16" s="1"/>
  <c r="G20" i="16"/>
  <c r="I20" i="16" s="1"/>
  <c r="G21" i="16"/>
  <c r="I21" i="16" s="1"/>
  <c r="G22" i="16"/>
  <c r="I22" i="16" s="1"/>
  <c r="G23" i="16"/>
  <c r="I23" i="16" s="1"/>
  <c r="G24" i="16"/>
  <c r="I24" i="16" s="1"/>
  <c r="J8" i="16"/>
  <c r="J9" i="16"/>
  <c r="J10" i="16"/>
  <c r="J12" i="16"/>
  <c r="J13" i="16"/>
  <c r="J14" i="16"/>
  <c r="J15" i="16"/>
  <c r="J16" i="16"/>
  <c r="J17" i="16"/>
  <c r="J18" i="16"/>
  <c r="J19" i="16"/>
  <c r="J20" i="16"/>
  <c r="J21" i="16"/>
  <c r="J22" i="16"/>
  <c r="J24" i="16"/>
  <c r="E158" i="3"/>
  <c r="AB20" i="15"/>
  <c r="W20" i="15"/>
  <c r="V20" i="15"/>
  <c r="C5" i="17"/>
  <c r="C6" i="17"/>
  <c r="C7" i="17"/>
  <c r="C8" i="17"/>
  <c r="C9" i="17"/>
  <c r="C10" i="17"/>
  <c r="C11" i="17"/>
  <c r="C12" i="17"/>
  <c r="C13" i="17"/>
  <c r="C14" i="17"/>
  <c r="C15" i="17"/>
  <c r="C16" i="17"/>
  <c r="C17" i="17"/>
  <c r="C18" i="17"/>
  <c r="C19" i="17"/>
  <c r="C20" i="17"/>
  <c r="C21" i="17"/>
  <c r="C22" i="17"/>
  <c r="C23" i="17"/>
  <c r="C4" i="17"/>
  <c r="I70" i="3"/>
  <c r="I71" i="3"/>
  <c r="I84" i="3"/>
  <c r="I85" i="3"/>
  <c r="I107" i="3"/>
  <c r="I108" i="3"/>
  <c r="I116" i="3"/>
  <c r="I117" i="3"/>
  <c r="I133" i="3"/>
  <c r="I134" i="3"/>
  <c r="F20" i="15"/>
  <c r="J12" i="15" s="1"/>
  <c r="E64" i="15"/>
  <c r="E63" i="15"/>
  <c r="G63" i="15" s="1"/>
  <c r="G7" i="16"/>
  <c r="H57" i="16"/>
  <c r="H55" i="16"/>
  <c r="H44" i="16"/>
  <c r="H43" i="16"/>
  <c r="H42" i="16"/>
  <c r="H41" i="16"/>
  <c r="H40" i="16"/>
  <c r="H39" i="16"/>
  <c r="G6" i="16"/>
  <c r="I6" i="16" s="1"/>
  <c r="N43" i="5"/>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N221" i="5" s="1"/>
  <c r="N222" i="5" s="1"/>
  <c r="N223" i="5" s="1"/>
  <c r="N224" i="5" s="1"/>
  <c r="N225" i="5" s="1"/>
  <c r="N226" i="5" s="1"/>
  <c r="N227" i="5" s="1"/>
  <c r="N228" i="5" s="1"/>
  <c r="N229" i="5" s="1"/>
  <c r="N230" i="5" s="1"/>
  <c r="N231" i="5" s="1"/>
  <c r="N232" i="5" s="1"/>
  <c r="N233" i="5" s="1"/>
  <c r="N234" i="5" s="1"/>
  <c r="N235" i="5" s="1"/>
  <c r="N236" i="5" s="1"/>
  <c r="N237" i="5" s="1"/>
  <c r="N238" i="5" s="1"/>
  <c r="N239" i="5" s="1"/>
  <c r="N240" i="5" s="1"/>
  <c r="N241" i="5" s="1"/>
  <c r="N242" i="5" s="1"/>
  <c r="N243" i="5" s="1"/>
  <c r="N244" i="5" s="1"/>
  <c r="N245" i="5" s="1"/>
  <c r="N246" i="5" s="1"/>
  <c r="N247" i="5" s="1"/>
  <c r="N248" i="5" s="1"/>
  <c r="N249" i="5" s="1"/>
  <c r="N250" i="5" s="1"/>
  <c r="N251" i="5" s="1"/>
  <c r="N252" i="5" s="1"/>
  <c r="N253" i="5" s="1"/>
  <c r="N254" i="5" s="1"/>
  <c r="N255" i="5" s="1"/>
  <c r="N256" i="5" s="1"/>
  <c r="N257" i="5" s="1"/>
  <c r="N258" i="5" s="1"/>
  <c r="N259" i="5" s="1"/>
  <c r="N260" i="5" s="1"/>
  <c r="N261" i="5" s="1"/>
  <c r="N262" i="5" s="1"/>
  <c r="N263" i="5" s="1"/>
  <c r="N264" i="5" s="1"/>
  <c r="N265" i="5" s="1"/>
  <c r="N266" i="5" s="1"/>
  <c r="N267" i="5" s="1"/>
  <c r="N268" i="5" s="1"/>
  <c r="N269" i="5" s="1"/>
  <c r="N270" i="5" s="1"/>
  <c r="N271" i="5" s="1"/>
  <c r="N272" i="5" s="1"/>
  <c r="N273" i="5" s="1"/>
  <c r="N274" i="5" s="1"/>
  <c r="N275" i="5" s="1"/>
  <c r="N276" i="5" s="1"/>
  <c r="N277" i="5" s="1"/>
  <c r="N278" i="5" s="1"/>
  <c r="N279" i="5" s="1"/>
  <c r="N280" i="5" s="1"/>
  <c r="N281" i="5" s="1"/>
  <c r="N282" i="5" s="1"/>
  <c r="N283" i="5" s="1"/>
  <c r="N284" i="5" s="1"/>
  <c r="N285" i="5" s="1"/>
  <c r="N286" i="5" s="1"/>
  <c r="N287" i="5" s="1"/>
  <c r="N288" i="5" s="1"/>
  <c r="N289" i="5" s="1"/>
  <c r="N290" i="5" s="1"/>
  <c r="N291" i="5" s="1"/>
  <c r="N292" i="5" s="1"/>
  <c r="N293" i="5" s="1"/>
  <c r="N294" i="5" s="1"/>
  <c r="N295" i="5" s="1"/>
  <c r="N296" i="5" s="1"/>
  <c r="N297" i="5" s="1"/>
  <c r="N298" i="5" s="1"/>
  <c r="N299" i="5" s="1"/>
  <c r="N300" i="5" s="1"/>
  <c r="N301" i="5" s="1"/>
  <c r="N302" i="5" s="1"/>
  <c r="N303" i="5" s="1"/>
  <c r="N304" i="5" s="1"/>
  <c r="N305" i="5" s="1"/>
  <c r="N306" i="5" s="1"/>
  <c r="N307" i="5" s="1"/>
  <c r="N308" i="5" s="1"/>
  <c r="N309" i="5" s="1"/>
  <c r="N310" i="5" s="1"/>
  <c r="N311" i="5" s="1"/>
  <c r="N312" i="5" s="1"/>
  <c r="N313" i="5" s="1"/>
  <c r="N314" i="5" s="1"/>
  <c r="N315" i="5" s="1"/>
  <c r="N316" i="5" s="1"/>
  <c r="N317" i="5" s="1"/>
  <c r="N318" i="5" s="1"/>
  <c r="N319" i="5" s="1"/>
  <c r="N320" i="5" s="1"/>
  <c r="N321" i="5" s="1"/>
  <c r="N322" i="5" s="1"/>
  <c r="N323" i="5" s="1"/>
  <c r="N324" i="5" s="1"/>
  <c r="N325" i="5" s="1"/>
  <c r="N326" i="5" s="1"/>
  <c r="N327" i="5" s="1"/>
  <c r="N328" i="5" s="1"/>
  <c r="N329" i="5" s="1"/>
  <c r="N330" i="5" s="1"/>
  <c r="N331" i="5" s="1"/>
  <c r="N332" i="5" s="1"/>
  <c r="N333" i="5" s="1"/>
  <c r="N334" i="5" s="1"/>
  <c r="N335" i="5" s="1"/>
  <c r="N336" i="5" s="1"/>
  <c r="N337" i="5" s="1"/>
  <c r="N338" i="5" s="1"/>
  <c r="N339" i="5" s="1"/>
  <c r="N340" i="5" s="1"/>
  <c r="N341" i="5" s="1"/>
  <c r="N342" i="5" s="1"/>
  <c r="N343" i="5" s="1"/>
  <c r="N344" i="5" s="1"/>
  <c r="N345" i="5" s="1"/>
  <c r="N346" i="5" s="1"/>
  <c r="N347" i="5" s="1"/>
  <c r="N348" i="5" s="1"/>
  <c r="N349" i="5" s="1"/>
  <c r="N350" i="5" s="1"/>
  <c r="N351" i="5" s="1"/>
  <c r="N352" i="5" s="1"/>
  <c r="N353" i="5" s="1"/>
  <c r="N354" i="5" s="1"/>
  <c r="N355" i="5" s="1"/>
  <c r="N356" i="5" s="1"/>
  <c r="N357" i="5" s="1"/>
  <c r="N358" i="5" s="1"/>
  <c r="N359" i="5" s="1"/>
  <c r="N360" i="5" s="1"/>
  <c r="N361" i="5" s="1"/>
  <c r="N362" i="5" s="1"/>
  <c r="N363" i="5" s="1"/>
  <c r="N364" i="5" s="1"/>
  <c r="N365" i="5" s="1"/>
  <c r="N366" i="5" s="1"/>
  <c r="N367" i="5" s="1"/>
  <c r="N368" i="5" s="1"/>
  <c r="N369" i="5" s="1"/>
  <c r="N370" i="5" s="1"/>
  <c r="N371" i="5" s="1"/>
  <c r="N372" i="5" s="1"/>
  <c r="N373" i="5" s="1"/>
  <c r="N374" i="5" s="1"/>
  <c r="N375" i="5" s="1"/>
  <c r="N376" i="5" s="1"/>
  <c r="N377" i="5" s="1"/>
  <c r="N378" i="5" s="1"/>
  <c r="N379" i="5" s="1"/>
  <c r="N380" i="5" s="1"/>
  <c r="N381" i="5" s="1"/>
  <c r="N382" i="5" s="1"/>
  <c r="N383" i="5" s="1"/>
  <c r="N384" i="5" s="1"/>
  <c r="N385" i="5" s="1"/>
  <c r="N386" i="5" s="1"/>
  <c r="N387" i="5" s="1"/>
  <c r="N388" i="5" s="1"/>
  <c r="N389" i="5" s="1"/>
  <c r="N390" i="5" s="1"/>
  <c r="N391" i="5" s="1"/>
  <c r="N392" i="5" s="1"/>
  <c r="N393" i="5" s="1"/>
  <c r="N394" i="5" s="1"/>
  <c r="N395" i="5" s="1"/>
  <c r="N396" i="5" s="1"/>
  <c r="N397" i="5" s="1"/>
  <c r="N398" i="5" s="1"/>
  <c r="N399" i="5" s="1"/>
  <c r="N400" i="5" s="1"/>
  <c r="N401" i="5" s="1"/>
  <c r="N402" i="5" s="1"/>
  <c r="N403" i="5" s="1"/>
  <c r="N404" i="5" s="1"/>
  <c r="N405" i="5" s="1"/>
  <c r="N406" i="5" s="1"/>
  <c r="N407" i="5" s="1"/>
  <c r="N408" i="5" s="1"/>
  <c r="N409" i="5" s="1"/>
  <c r="N410" i="5" s="1"/>
  <c r="N411" i="5" s="1"/>
  <c r="N412" i="5" s="1"/>
  <c r="N413" i="5" s="1"/>
  <c r="N414" i="5" s="1"/>
  <c r="N415" i="5" s="1"/>
  <c r="N416" i="5" s="1"/>
  <c r="N417" i="5" s="1"/>
  <c r="N418" i="5" s="1"/>
  <c r="N419" i="5" s="1"/>
  <c r="N420" i="5" s="1"/>
  <c r="N421" i="5" s="1"/>
  <c r="N422" i="5" s="1"/>
  <c r="N423" i="5" s="1"/>
  <c r="N424" i="5" s="1"/>
  <c r="N425" i="5" s="1"/>
  <c r="N426" i="5" s="1"/>
  <c r="N427" i="5" s="1"/>
  <c r="N428" i="5" s="1"/>
  <c r="N429" i="5" s="1"/>
  <c r="N430" i="5" s="1"/>
  <c r="N431" i="5" s="1"/>
  <c r="N432" i="5" s="1"/>
  <c r="N433" i="5" s="1"/>
  <c r="N434" i="5" s="1"/>
  <c r="N435" i="5" s="1"/>
  <c r="N436" i="5" s="1"/>
  <c r="N437" i="5" s="1"/>
  <c r="N438" i="5" s="1"/>
  <c r="N439" i="5" s="1"/>
  <c r="N440" i="5" s="1"/>
  <c r="N441" i="5" s="1"/>
  <c r="N442" i="5" s="1"/>
  <c r="N443" i="5" s="1"/>
  <c r="N444" i="5" s="1"/>
  <c r="N445" i="5" s="1"/>
  <c r="N446" i="5" s="1"/>
  <c r="N447" i="5" s="1"/>
  <c r="N448" i="5" s="1"/>
  <c r="N449" i="5" s="1"/>
  <c r="N450" i="5" s="1"/>
  <c r="N451" i="5" s="1"/>
  <c r="N452" i="5" s="1"/>
  <c r="N453" i="5" s="1"/>
  <c r="N454" i="5" s="1"/>
  <c r="N455" i="5" s="1"/>
  <c r="N456" i="5" s="1"/>
  <c r="N457" i="5" s="1"/>
  <c r="N458" i="5" s="1"/>
  <c r="N459" i="5" s="1"/>
  <c r="N460" i="5" s="1"/>
  <c r="N461" i="5" s="1"/>
  <c r="N462" i="5" s="1"/>
  <c r="N463" i="5" s="1"/>
  <c r="N464" i="5" s="1"/>
  <c r="N465" i="5" s="1"/>
  <c r="N466" i="5" s="1"/>
  <c r="N467" i="5" s="1"/>
  <c r="N468" i="5" s="1"/>
  <c r="N469" i="5" s="1"/>
  <c r="N470" i="5" s="1"/>
  <c r="N471" i="5" s="1"/>
  <c r="N472" i="5" s="1"/>
  <c r="N473" i="5" s="1"/>
  <c r="N474" i="5" s="1"/>
  <c r="N475" i="5" s="1"/>
  <c r="N476" i="5" s="1"/>
  <c r="N477" i="5" s="1"/>
  <c r="N478" i="5" s="1"/>
  <c r="N479" i="5" s="1"/>
  <c r="N480" i="5" s="1"/>
  <c r="N481" i="5" s="1"/>
  <c r="N482" i="5" s="1"/>
  <c r="N483" i="5" s="1"/>
  <c r="N484" i="5" s="1"/>
  <c r="N485" i="5" s="1"/>
  <c r="N486" i="5" s="1"/>
  <c r="N487" i="5" s="1"/>
  <c r="N488" i="5" s="1"/>
  <c r="N489" i="5" s="1"/>
  <c r="N490" i="5" s="1"/>
  <c r="N491" i="5" s="1"/>
  <c r="N492" i="5" s="1"/>
  <c r="N493" i="5" s="1"/>
  <c r="N494" i="5" s="1"/>
  <c r="N495" i="5" s="1"/>
  <c r="N496" i="5" s="1"/>
  <c r="N497" i="5" s="1"/>
  <c r="N498" i="5" s="1"/>
  <c r="N499" i="5" s="1"/>
  <c r="N500" i="5" s="1"/>
  <c r="N501" i="5" s="1"/>
  <c r="N502" i="5" s="1"/>
  <c r="N503" i="5" s="1"/>
  <c r="N504" i="5" s="1"/>
  <c r="N505" i="5" s="1"/>
  <c r="N506" i="5" s="1"/>
  <c r="N507" i="5" s="1"/>
  <c r="N508" i="5" s="1"/>
  <c r="N509" i="5" s="1"/>
  <c r="N510" i="5" s="1"/>
  <c r="N511" i="5" s="1"/>
  <c r="N512" i="5" s="1"/>
  <c r="N513" i="5" s="1"/>
  <c r="N514" i="5" s="1"/>
  <c r="N515" i="5" s="1"/>
  <c r="N516" i="5" s="1"/>
  <c r="N517" i="5" s="1"/>
  <c r="N518" i="5" s="1"/>
  <c r="N519" i="5" s="1"/>
  <c r="N520" i="5" s="1"/>
  <c r="N521" i="5" s="1"/>
  <c r="N522" i="5" s="1"/>
  <c r="N523" i="5" s="1"/>
  <c r="N524" i="5" s="1"/>
  <c r="N525" i="5" s="1"/>
  <c r="N526" i="5" s="1"/>
  <c r="N527" i="5" s="1"/>
  <c r="N528" i="5" s="1"/>
  <c r="N529" i="5" s="1"/>
  <c r="N530" i="5" s="1"/>
  <c r="N531" i="5" s="1"/>
  <c r="N532" i="5" s="1"/>
  <c r="N533" i="5" s="1"/>
  <c r="N534" i="5" s="1"/>
  <c r="N535" i="5" s="1"/>
  <c r="N536" i="5" s="1"/>
  <c r="N537" i="5" s="1"/>
  <c r="N538" i="5" s="1"/>
  <c r="N539" i="5" s="1"/>
  <c r="N540" i="5" s="1"/>
  <c r="N541" i="5" s="1"/>
  <c r="N542" i="5" s="1"/>
  <c r="N543" i="5" s="1"/>
  <c r="N544" i="5" s="1"/>
  <c r="N545" i="5" s="1"/>
  <c r="N546" i="5" s="1"/>
  <c r="N547" i="5" s="1"/>
  <c r="N548" i="5" s="1"/>
  <c r="N549" i="5" s="1"/>
  <c r="N550" i="5" s="1"/>
  <c r="N551" i="5" s="1"/>
  <c r="N552" i="5" s="1"/>
  <c r="N553" i="5" s="1"/>
  <c r="N554" i="5" s="1"/>
  <c r="N555" i="5" s="1"/>
  <c r="N556" i="5" s="1"/>
  <c r="N557" i="5" s="1"/>
  <c r="N558" i="5" s="1"/>
  <c r="N559" i="5" s="1"/>
  <c r="N560" i="5" s="1"/>
  <c r="N561" i="5" s="1"/>
  <c r="N562" i="5" s="1"/>
  <c r="N563" i="5" s="1"/>
  <c r="N564" i="5" s="1"/>
  <c r="N565" i="5" s="1"/>
  <c r="N566" i="5" s="1"/>
  <c r="N567" i="5" s="1"/>
  <c r="N568" i="5" s="1"/>
  <c r="N569" i="5" s="1"/>
  <c r="N570" i="5" s="1"/>
  <c r="N571" i="5" s="1"/>
  <c r="N572" i="5" s="1"/>
  <c r="N573" i="5" s="1"/>
  <c r="N574" i="5" s="1"/>
  <c r="N575" i="5" s="1"/>
  <c r="N576" i="5" s="1"/>
  <c r="N577" i="5" s="1"/>
  <c r="N578" i="5" s="1"/>
  <c r="N579" i="5" s="1"/>
  <c r="N580" i="5" s="1"/>
  <c r="N581" i="5" s="1"/>
  <c r="N582" i="5" s="1"/>
  <c r="N583" i="5" s="1"/>
  <c r="N584" i="5" s="1"/>
  <c r="N585" i="5" s="1"/>
  <c r="N586" i="5" s="1"/>
  <c r="N587" i="5" s="1"/>
  <c r="N588" i="5" s="1"/>
  <c r="N589" i="5" s="1"/>
  <c r="N590" i="5" s="1"/>
  <c r="N591" i="5" s="1"/>
  <c r="N592" i="5" s="1"/>
  <c r="N593" i="5" s="1"/>
  <c r="N594" i="5" s="1"/>
  <c r="N595" i="5" s="1"/>
  <c r="N596" i="5" s="1"/>
  <c r="N597" i="5" s="1"/>
  <c r="N598" i="5" s="1"/>
  <c r="N599" i="5" s="1"/>
  <c r="N600" i="5" s="1"/>
  <c r="N601" i="5" s="1"/>
  <c r="N602" i="5" s="1"/>
  <c r="N603" i="5" s="1"/>
  <c r="N604" i="5" s="1"/>
  <c r="N605" i="5" s="1"/>
  <c r="N606" i="5" s="1"/>
  <c r="N607" i="5" s="1"/>
  <c r="N608" i="5" s="1"/>
  <c r="N609" i="5" s="1"/>
  <c r="N610" i="5" s="1"/>
  <c r="N611" i="5" s="1"/>
  <c r="N612" i="5" s="1"/>
  <c r="N613" i="5" s="1"/>
  <c r="N614" i="5" s="1"/>
  <c r="N615" i="5" s="1"/>
  <c r="N616" i="5" s="1"/>
  <c r="N617" i="5" s="1"/>
  <c r="N618" i="5" s="1"/>
  <c r="N619" i="5" s="1"/>
  <c r="N620" i="5" s="1"/>
  <c r="N621" i="5" s="1"/>
  <c r="N622" i="5" s="1"/>
  <c r="N623" i="5" s="1"/>
  <c r="N624" i="5" s="1"/>
  <c r="N625" i="5" s="1"/>
  <c r="N626" i="5" s="1"/>
  <c r="N627" i="5" s="1"/>
  <c r="N628" i="5" s="1"/>
  <c r="N629" i="5" s="1"/>
  <c r="N630" i="5" s="1"/>
  <c r="N631" i="5" s="1"/>
  <c r="N632" i="5" s="1"/>
  <c r="N633" i="5" s="1"/>
  <c r="N634" i="5" s="1"/>
  <c r="N635" i="5" s="1"/>
  <c r="N636" i="5" s="1"/>
  <c r="N637" i="5" s="1"/>
  <c r="N638" i="5" s="1"/>
  <c r="N639" i="5" s="1"/>
  <c r="N640" i="5" s="1"/>
  <c r="N641" i="5" s="1"/>
  <c r="N642" i="5" s="1"/>
  <c r="N643" i="5" s="1"/>
  <c r="N644" i="5" s="1"/>
  <c r="N645" i="5" s="1"/>
  <c r="N646" i="5" s="1"/>
  <c r="N647" i="5" s="1"/>
  <c r="N648" i="5" s="1"/>
  <c r="N649" i="5" s="1"/>
  <c r="N650" i="5" s="1"/>
  <c r="N651" i="5" s="1"/>
  <c r="N652" i="5" s="1"/>
  <c r="N653" i="5" s="1"/>
  <c r="N654" i="5" s="1"/>
  <c r="N655" i="5" s="1"/>
  <c r="N656" i="5" s="1"/>
  <c r="N657" i="5" s="1"/>
  <c r="N658" i="5" s="1"/>
  <c r="N659" i="5" s="1"/>
  <c r="N660" i="5" s="1"/>
  <c r="N661" i="5" s="1"/>
  <c r="N662" i="5" s="1"/>
  <c r="N663" i="5" s="1"/>
  <c r="N664" i="5" s="1"/>
  <c r="N665" i="5" s="1"/>
  <c r="N666" i="5" s="1"/>
  <c r="N667" i="5" s="1"/>
  <c r="N668" i="5" s="1"/>
  <c r="N669" i="5" s="1"/>
  <c r="N670" i="5" s="1"/>
  <c r="N671" i="5" s="1"/>
  <c r="N672" i="5" s="1"/>
  <c r="N673" i="5" s="1"/>
  <c r="N674" i="5" s="1"/>
  <c r="N675" i="5" s="1"/>
  <c r="N676" i="5" s="1"/>
  <c r="N677" i="5" s="1"/>
  <c r="N678" i="5" s="1"/>
  <c r="N679" i="5" s="1"/>
  <c r="N680" i="5" s="1"/>
  <c r="N681" i="5" s="1"/>
  <c r="N682" i="5" s="1"/>
  <c r="N683" i="5" s="1"/>
  <c r="N684" i="5" s="1"/>
  <c r="N685" i="5" s="1"/>
  <c r="N686" i="5" s="1"/>
  <c r="N687" i="5" s="1"/>
  <c r="N688" i="5" s="1"/>
  <c r="N689" i="5" s="1"/>
  <c r="N690" i="5" s="1"/>
  <c r="N691" i="5" s="1"/>
  <c r="N692" i="5" s="1"/>
  <c r="N693" i="5" s="1"/>
  <c r="N694" i="5" s="1"/>
  <c r="N695" i="5" s="1"/>
  <c r="N696" i="5" s="1"/>
  <c r="N697" i="5" s="1"/>
  <c r="N698" i="5" s="1"/>
  <c r="N699" i="5" s="1"/>
  <c r="N700" i="5" s="1"/>
  <c r="N701" i="5" s="1"/>
  <c r="N702" i="5" s="1"/>
  <c r="N703" i="5" s="1"/>
  <c r="N704" i="5" s="1"/>
  <c r="N705" i="5" s="1"/>
  <c r="N706" i="5" s="1"/>
  <c r="N707" i="5" s="1"/>
  <c r="N708" i="5" s="1"/>
  <c r="N709" i="5" s="1"/>
  <c r="N710" i="5" s="1"/>
  <c r="N711" i="5" s="1"/>
  <c r="N712" i="5" s="1"/>
  <c r="N713" i="5" s="1"/>
  <c r="N714" i="5" s="1"/>
  <c r="N715" i="5" s="1"/>
  <c r="N716" i="5" s="1"/>
  <c r="N717" i="5" s="1"/>
  <c r="N718" i="5" s="1"/>
  <c r="N719" i="5" s="1"/>
  <c r="N720" i="5" s="1"/>
  <c r="N721" i="5" s="1"/>
  <c r="N722" i="5" s="1"/>
  <c r="N723" i="5" s="1"/>
  <c r="N724" i="5" s="1"/>
  <c r="N725" i="5" s="1"/>
  <c r="N726" i="5" s="1"/>
  <c r="N727" i="5" s="1"/>
  <c r="N728" i="5" s="1"/>
  <c r="N729" i="5" s="1"/>
  <c r="N730" i="5" s="1"/>
  <c r="N731" i="5" s="1"/>
  <c r="N732" i="5" s="1"/>
  <c r="N733" i="5" s="1"/>
  <c r="N734" i="5" s="1"/>
  <c r="N735" i="5" s="1"/>
  <c r="N736" i="5" s="1"/>
  <c r="N737" i="5" s="1"/>
  <c r="N738" i="5" s="1"/>
  <c r="N739" i="5" s="1"/>
  <c r="N740" i="5" s="1"/>
  <c r="N741" i="5" s="1"/>
  <c r="N742" i="5" s="1"/>
  <c r="N743" i="5" s="1"/>
  <c r="N744" i="5" s="1"/>
  <c r="N745" i="5" s="1"/>
  <c r="N746" i="5" s="1"/>
  <c r="N747" i="5" s="1"/>
  <c r="N748" i="5" s="1"/>
  <c r="N749" i="5" s="1"/>
  <c r="N750" i="5" s="1"/>
  <c r="N751" i="5" s="1"/>
  <c r="N752" i="5" s="1"/>
  <c r="N753" i="5" s="1"/>
  <c r="N754" i="5" s="1"/>
  <c r="N755" i="5" s="1"/>
  <c r="N756" i="5" s="1"/>
  <c r="N757" i="5" s="1"/>
  <c r="N758" i="5" s="1"/>
  <c r="N759" i="5" s="1"/>
  <c r="N760" i="5" s="1"/>
  <c r="N761" i="5" s="1"/>
  <c r="N762" i="5" s="1"/>
  <c r="N763" i="5" s="1"/>
  <c r="N764" i="5" s="1"/>
  <c r="N765" i="5" s="1"/>
  <c r="N766" i="5" s="1"/>
  <c r="N767" i="5" s="1"/>
  <c r="N768" i="5" s="1"/>
  <c r="N769" i="5" s="1"/>
  <c r="N770" i="5" s="1"/>
  <c r="N771" i="5" s="1"/>
  <c r="N772" i="5" s="1"/>
  <c r="N773" i="5" s="1"/>
  <c r="N774" i="5" s="1"/>
  <c r="N775" i="5" s="1"/>
  <c r="N776" i="5" s="1"/>
  <c r="N777" i="5" s="1"/>
  <c r="N778" i="5" s="1"/>
  <c r="N779" i="5" s="1"/>
  <c r="N780" i="5" s="1"/>
  <c r="N781" i="5" s="1"/>
  <c r="N782" i="5" s="1"/>
  <c r="N783" i="5" s="1"/>
  <c r="N784" i="5" s="1"/>
  <c r="N785" i="5" s="1"/>
  <c r="N786" i="5" s="1"/>
  <c r="N787" i="5" s="1"/>
  <c r="N788" i="5" s="1"/>
  <c r="N789" i="5" s="1"/>
  <c r="N790" i="5" s="1"/>
  <c r="N791" i="5" s="1"/>
  <c r="N792" i="5" s="1"/>
  <c r="N793" i="5" s="1"/>
  <c r="N794" i="5" s="1"/>
  <c r="N795" i="5" s="1"/>
  <c r="N796" i="5" s="1"/>
  <c r="N797" i="5" s="1"/>
  <c r="N798" i="5" s="1"/>
  <c r="N799" i="5" s="1"/>
  <c r="N800" i="5" s="1"/>
  <c r="N801" i="5" s="1"/>
  <c r="N802" i="5" s="1"/>
  <c r="N803" i="5" s="1"/>
  <c r="N804" i="5" s="1"/>
  <c r="N805" i="5" s="1"/>
  <c r="N806" i="5" s="1"/>
  <c r="N807" i="5" s="1"/>
  <c r="N808" i="5" s="1"/>
  <c r="N809" i="5" s="1"/>
  <c r="N810" i="5" s="1"/>
  <c r="N811" i="5" s="1"/>
  <c r="N812" i="5" s="1"/>
  <c r="N813" i="5" s="1"/>
  <c r="N814" i="5" s="1"/>
  <c r="N815" i="5" s="1"/>
  <c r="N816" i="5" s="1"/>
  <c r="N817" i="5" s="1"/>
  <c r="N818" i="5" s="1"/>
  <c r="N819" i="5" s="1"/>
  <c r="N820" i="5" s="1"/>
  <c r="N821" i="5" s="1"/>
  <c r="N822" i="5" s="1"/>
  <c r="N823" i="5" s="1"/>
  <c r="N824" i="5" s="1"/>
  <c r="N825" i="5" s="1"/>
  <c r="N826" i="5" s="1"/>
  <c r="N827" i="5" s="1"/>
  <c r="N828" i="5" s="1"/>
  <c r="N829" i="5" s="1"/>
  <c r="N830" i="5" s="1"/>
  <c r="N831" i="5" s="1"/>
  <c r="N832" i="5" s="1"/>
  <c r="N833" i="5" s="1"/>
  <c r="N834" i="5" s="1"/>
  <c r="N835" i="5" s="1"/>
  <c r="N836" i="5" s="1"/>
  <c r="N837" i="5" s="1"/>
  <c r="N838" i="5" s="1"/>
  <c r="N839" i="5" s="1"/>
  <c r="N840" i="5" s="1"/>
  <c r="N841" i="5" s="1"/>
  <c r="N842" i="5" s="1"/>
  <c r="N843" i="5" s="1"/>
  <c r="N844" i="5" s="1"/>
  <c r="N845" i="5" s="1"/>
  <c r="N846" i="5" s="1"/>
  <c r="N847" i="5" s="1"/>
  <c r="N848" i="5" s="1"/>
  <c r="N849" i="5" s="1"/>
  <c r="N850" i="5" s="1"/>
  <c r="N851" i="5" s="1"/>
  <c r="N852" i="5" s="1"/>
  <c r="N853" i="5" s="1"/>
  <c r="N854" i="5" s="1"/>
  <c r="N855" i="5" s="1"/>
  <c r="N856" i="5" s="1"/>
  <c r="N857" i="5" s="1"/>
  <c r="N858" i="5" s="1"/>
  <c r="N859" i="5" s="1"/>
  <c r="N860" i="5" s="1"/>
  <c r="N861" i="5" s="1"/>
  <c r="N862" i="5" s="1"/>
  <c r="N863" i="5" s="1"/>
  <c r="N864" i="5" s="1"/>
  <c r="N865" i="5" s="1"/>
  <c r="N866" i="5" s="1"/>
  <c r="N867" i="5" s="1"/>
  <c r="N868" i="5" s="1"/>
  <c r="N869" i="5" s="1"/>
  <c r="N870" i="5" s="1"/>
  <c r="N871" i="5" s="1"/>
  <c r="N872" i="5" s="1"/>
  <c r="N873" i="5" s="1"/>
  <c r="N874" i="5" s="1"/>
  <c r="N875" i="5" s="1"/>
  <c r="N876" i="5" s="1"/>
  <c r="N877" i="5" s="1"/>
  <c r="N878" i="5" s="1"/>
  <c r="N879" i="5" s="1"/>
  <c r="N880" i="5" s="1"/>
  <c r="N881" i="5" s="1"/>
  <c r="N882" i="5" s="1"/>
  <c r="N883" i="5" s="1"/>
  <c r="N884" i="5" s="1"/>
  <c r="N885" i="5" s="1"/>
  <c r="N886" i="5" s="1"/>
  <c r="N887" i="5" s="1"/>
  <c r="N888" i="5" s="1"/>
  <c r="N889" i="5" s="1"/>
  <c r="N890" i="5" s="1"/>
  <c r="N891" i="5" s="1"/>
  <c r="N892" i="5" s="1"/>
  <c r="N893" i="5" s="1"/>
  <c r="N894" i="5" s="1"/>
  <c r="N895" i="5" s="1"/>
  <c r="N896" i="5" s="1"/>
  <c r="N897" i="5" s="1"/>
  <c r="N898" i="5" s="1"/>
  <c r="N899" i="5" s="1"/>
  <c r="N900" i="5" s="1"/>
  <c r="N901" i="5" s="1"/>
  <c r="N902" i="5" s="1"/>
  <c r="N903" i="5" s="1"/>
  <c r="N904" i="5" s="1"/>
  <c r="N905" i="5" s="1"/>
  <c r="N906" i="5" s="1"/>
  <c r="N907" i="5" s="1"/>
  <c r="N908" i="5" s="1"/>
  <c r="N909" i="5" s="1"/>
  <c r="N910" i="5" s="1"/>
  <c r="N911" i="5" s="1"/>
  <c r="N912" i="5" s="1"/>
  <c r="N913" i="5" s="1"/>
  <c r="N914" i="5" s="1"/>
  <c r="N915" i="5" s="1"/>
  <c r="N916" i="5" s="1"/>
  <c r="N917" i="5" s="1"/>
  <c r="N918" i="5" s="1"/>
  <c r="N919" i="5" s="1"/>
  <c r="N920" i="5" s="1"/>
  <c r="N921" i="5" s="1"/>
  <c r="N922" i="5" s="1"/>
  <c r="N923" i="5" s="1"/>
  <c r="N924" i="5" s="1"/>
  <c r="N925" i="5" s="1"/>
  <c r="N926" i="5" s="1"/>
  <c r="N927" i="5" s="1"/>
  <c r="N928" i="5" s="1"/>
  <c r="N929" i="5" s="1"/>
  <c r="N930" i="5" s="1"/>
  <c r="N931" i="5" s="1"/>
  <c r="N932" i="5" s="1"/>
  <c r="N933" i="5" s="1"/>
  <c r="N934" i="5" s="1"/>
  <c r="N935" i="5" s="1"/>
  <c r="N936" i="5" s="1"/>
  <c r="N937" i="5" s="1"/>
  <c r="N938" i="5" s="1"/>
  <c r="N939" i="5" s="1"/>
  <c r="N940" i="5" s="1"/>
  <c r="N941" i="5" s="1"/>
  <c r="N942" i="5" s="1"/>
  <c r="N943" i="5" s="1"/>
  <c r="N944" i="5" s="1"/>
  <c r="N945" i="5" s="1"/>
  <c r="N946" i="5" s="1"/>
  <c r="N947" i="5" s="1"/>
  <c r="N948" i="5" s="1"/>
  <c r="N949" i="5" s="1"/>
  <c r="N950" i="5" s="1"/>
  <c r="N951" i="5" s="1"/>
  <c r="N952" i="5" s="1"/>
  <c r="N953" i="5" s="1"/>
  <c r="N954" i="5" s="1"/>
  <c r="N955" i="5" s="1"/>
  <c r="N956" i="5" s="1"/>
  <c r="N957" i="5" s="1"/>
  <c r="N958" i="5" s="1"/>
  <c r="N959" i="5" s="1"/>
  <c r="N960" i="5" s="1"/>
  <c r="N961" i="5" s="1"/>
  <c r="N962" i="5" s="1"/>
  <c r="N963" i="5" s="1"/>
  <c r="N964" i="5" s="1"/>
  <c r="N965" i="5" s="1"/>
  <c r="N966" i="5" s="1"/>
  <c r="N967" i="5" s="1"/>
  <c r="N968" i="5" s="1"/>
  <c r="N969" i="5" s="1"/>
  <c r="N970" i="5" s="1"/>
  <c r="N971" i="5" s="1"/>
  <c r="N972" i="5" s="1"/>
  <c r="N973" i="5" s="1"/>
  <c r="N974" i="5" s="1"/>
  <c r="N975" i="5" s="1"/>
  <c r="N976" i="5" s="1"/>
  <c r="N977" i="5" s="1"/>
  <c r="N978" i="5" s="1"/>
  <c r="N979" i="5" s="1"/>
  <c r="N980" i="5" s="1"/>
  <c r="N981" i="5" s="1"/>
  <c r="N982" i="5" s="1"/>
  <c r="N983" i="5" s="1"/>
  <c r="N984" i="5" s="1"/>
  <c r="N985" i="5" s="1"/>
  <c r="N986" i="5" s="1"/>
  <c r="N987" i="5" s="1"/>
  <c r="N988" i="5" s="1"/>
  <c r="N989" i="5" s="1"/>
  <c r="N990" i="5" s="1"/>
  <c r="N991" i="5" s="1"/>
  <c r="N992" i="5" s="1"/>
  <c r="N993" i="5" s="1"/>
  <c r="N994" i="5" s="1"/>
  <c r="N995" i="5" s="1"/>
  <c r="N996" i="5" s="1"/>
  <c r="N997" i="5" s="1"/>
  <c r="N998" i="5" s="1"/>
  <c r="N999" i="5" s="1"/>
  <c r="N1000" i="5" s="1"/>
  <c r="N1001" i="5" s="1"/>
  <c r="N1002" i="5" s="1"/>
  <c r="N1003" i="5" s="1"/>
  <c r="N1004" i="5" s="1"/>
  <c r="N1005" i="5" s="1"/>
  <c r="N1006" i="5" s="1"/>
  <c r="N1007" i="5" s="1"/>
  <c r="N1008" i="5" s="1"/>
  <c r="N1009" i="5" s="1"/>
  <c r="N1010" i="5" s="1"/>
  <c r="N1011" i="5" s="1"/>
  <c r="N1012" i="5" s="1"/>
  <c r="N1013" i="5" s="1"/>
  <c r="N1014" i="5" s="1"/>
  <c r="N1015" i="5" s="1"/>
  <c r="N1016" i="5" s="1"/>
  <c r="N1017" i="5" s="1"/>
  <c r="N1018" i="5" s="1"/>
  <c r="N1019" i="5" s="1"/>
  <c r="N1020" i="5" s="1"/>
  <c r="N1021" i="5" s="1"/>
  <c r="N1022" i="5" s="1"/>
  <c r="N1023" i="5" s="1"/>
  <c r="N1024" i="5" s="1"/>
  <c r="N1025" i="5" s="1"/>
  <c r="N1026" i="5" s="1"/>
  <c r="N1027" i="5" s="1"/>
  <c r="N1028" i="5" s="1"/>
  <c r="N1029" i="5" s="1"/>
  <c r="N1030" i="5" s="1"/>
  <c r="N1031" i="5" s="1"/>
  <c r="N1032" i="5" s="1"/>
  <c r="N1033" i="5" s="1"/>
  <c r="N1034" i="5" s="1"/>
  <c r="N1035" i="5" s="1"/>
  <c r="N1036" i="5" s="1"/>
  <c r="N1037" i="5" s="1"/>
  <c r="N1038" i="5" s="1"/>
  <c r="N1039" i="5" s="1"/>
  <c r="N1040" i="5" s="1"/>
  <c r="N1041" i="5" s="1"/>
  <c r="N1042" i="5" s="1"/>
  <c r="N1043" i="5" s="1"/>
  <c r="N1044" i="5" s="1"/>
  <c r="N1045" i="5" s="1"/>
  <c r="N1046" i="5" s="1"/>
  <c r="N1047" i="5" s="1"/>
  <c r="N1048" i="5" s="1"/>
  <c r="N1049" i="5" s="1"/>
  <c r="N1050" i="5" s="1"/>
  <c r="N1051" i="5" s="1"/>
  <c r="N1052" i="5" s="1"/>
  <c r="N1053" i="5" s="1"/>
  <c r="N1054" i="5" s="1"/>
  <c r="N1055" i="5" s="1"/>
  <c r="N1056" i="5" s="1"/>
  <c r="N1057" i="5" s="1"/>
  <c r="N1058" i="5" s="1"/>
  <c r="N1059" i="5" s="1"/>
  <c r="N1060" i="5" s="1"/>
  <c r="N1061" i="5" s="1"/>
  <c r="N1062" i="5" s="1"/>
  <c r="N1063" i="5" s="1"/>
  <c r="N1064" i="5" s="1"/>
  <c r="N1065" i="5" s="1"/>
  <c r="N1066" i="5" s="1"/>
  <c r="N1067" i="5" s="1"/>
  <c r="N1068" i="5" s="1"/>
  <c r="N1069" i="5" s="1"/>
  <c r="N1070" i="5" s="1"/>
  <c r="N1071" i="5" s="1"/>
  <c r="N1072" i="5" s="1"/>
  <c r="N1073" i="5" s="1"/>
  <c r="N1074" i="5" s="1"/>
  <c r="N1075" i="5" s="1"/>
  <c r="N1076" i="5" s="1"/>
  <c r="N1077" i="5" s="1"/>
  <c r="N1078" i="5" s="1"/>
  <c r="N1079" i="5" s="1"/>
  <c r="N1080" i="5" s="1"/>
  <c r="N1081" i="5" s="1"/>
  <c r="N1082" i="5" s="1"/>
  <c r="N1083" i="5" s="1"/>
  <c r="N1084" i="5" s="1"/>
  <c r="N1085" i="5" s="1"/>
  <c r="N1086" i="5" s="1"/>
  <c r="N1087" i="5" s="1"/>
  <c r="N1088" i="5" s="1"/>
  <c r="N1089" i="5" s="1"/>
  <c r="N1090" i="5" s="1"/>
  <c r="N1091" i="5" s="1"/>
  <c r="N1092" i="5" s="1"/>
  <c r="N1093" i="5" s="1"/>
  <c r="N1094" i="5" s="1"/>
  <c r="N1095" i="5" s="1"/>
  <c r="N1096" i="5" s="1"/>
  <c r="N1097" i="5" s="1"/>
  <c r="N1098" i="5" s="1"/>
  <c r="N1099" i="5" s="1"/>
  <c r="N1100" i="5" s="1"/>
  <c r="N1101" i="5" s="1"/>
  <c r="N1102" i="5" s="1"/>
  <c r="N1103" i="5" s="1"/>
  <c r="N1104" i="5" s="1"/>
  <c r="N1105" i="5" s="1"/>
  <c r="N1106" i="5" s="1"/>
  <c r="N1107" i="5" s="1"/>
  <c r="N1108" i="5" s="1"/>
  <c r="N1109" i="5" s="1"/>
  <c r="N1110" i="5" s="1"/>
  <c r="N1111" i="5" s="1"/>
  <c r="N1112" i="5" s="1"/>
  <c r="N1113" i="5" s="1"/>
  <c r="N1114" i="5" s="1"/>
  <c r="N1115" i="5" s="1"/>
  <c r="N1116" i="5" s="1"/>
  <c r="N1117" i="5" s="1"/>
  <c r="N1118" i="5" s="1"/>
  <c r="N1119" i="5" s="1"/>
  <c r="N1120" i="5" s="1"/>
  <c r="N1121" i="5" s="1"/>
  <c r="N1122" i="5" s="1"/>
  <c r="N1123" i="5" s="1"/>
  <c r="N1124" i="5" s="1"/>
  <c r="N1125" i="5" s="1"/>
  <c r="N1126" i="5" s="1"/>
  <c r="N1127" i="5" s="1"/>
  <c r="N1128" i="5" s="1"/>
  <c r="N1129" i="5" s="1"/>
  <c r="N1130" i="5" s="1"/>
  <c r="N1131" i="5" s="1"/>
  <c r="N1132" i="5" s="1"/>
  <c r="N1133" i="5" s="1"/>
  <c r="N1134" i="5" s="1"/>
  <c r="N1135" i="5" s="1"/>
  <c r="N1136" i="5" s="1"/>
  <c r="N1137" i="5" s="1"/>
  <c r="N1138" i="5" s="1"/>
  <c r="N1139" i="5" s="1"/>
  <c r="N1140" i="5" s="1"/>
  <c r="N1141" i="5" s="1"/>
  <c r="N1142" i="5" s="1"/>
  <c r="N1143" i="5" s="1"/>
  <c r="N1144" i="5" s="1"/>
  <c r="N1145" i="5" s="1"/>
  <c r="N1146" i="5" s="1"/>
  <c r="N1147" i="5" s="1"/>
  <c r="N1148" i="5" s="1"/>
  <c r="N1149" i="5" s="1"/>
  <c r="N1150" i="5" s="1"/>
  <c r="N1151" i="5" s="1"/>
  <c r="N1152" i="5" s="1"/>
  <c r="N1153" i="5" s="1"/>
  <c r="N1154" i="5" s="1"/>
  <c r="N1155" i="5" s="1"/>
  <c r="N1156" i="5" s="1"/>
  <c r="N1157" i="5" s="1"/>
  <c r="N1158" i="5" s="1"/>
  <c r="N1159" i="5" s="1"/>
  <c r="N1160" i="5" s="1"/>
  <c r="N1161" i="5" s="1"/>
  <c r="N1162" i="5" s="1"/>
  <c r="N1163" i="5" s="1"/>
  <c r="N1164" i="5" s="1"/>
  <c r="N1165" i="5" s="1"/>
  <c r="N1166" i="5" s="1"/>
  <c r="N1167" i="5" s="1"/>
  <c r="N1168" i="5" s="1"/>
  <c r="N1169" i="5" s="1"/>
  <c r="N1170" i="5" s="1"/>
  <c r="N1171" i="5" s="1"/>
  <c r="N1172" i="5" s="1"/>
  <c r="N1173" i="5" s="1"/>
  <c r="N1174" i="5" s="1"/>
  <c r="N1175" i="5" s="1"/>
  <c r="N1176" i="5" s="1"/>
  <c r="N1177" i="5" s="1"/>
  <c r="N1178" i="5" s="1"/>
  <c r="N1179" i="5" s="1"/>
  <c r="N1180" i="5" s="1"/>
  <c r="N1181" i="5" s="1"/>
  <c r="N1182" i="5" s="1"/>
  <c r="N1183" i="5" s="1"/>
  <c r="N1184" i="5" s="1"/>
  <c r="N1185" i="5" s="1"/>
  <c r="N1186" i="5" s="1"/>
  <c r="N1187" i="5" s="1"/>
  <c r="N1188" i="5" s="1"/>
  <c r="N1189" i="5" s="1"/>
  <c r="N1190" i="5" s="1"/>
  <c r="N1191" i="5" s="1"/>
  <c r="N1192" i="5" s="1"/>
  <c r="N1193" i="5" s="1"/>
  <c r="N1194" i="5" s="1"/>
  <c r="N1195" i="5" s="1"/>
  <c r="N1196" i="5" s="1"/>
  <c r="N1197" i="5" s="1"/>
  <c r="N1198" i="5" s="1"/>
  <c r="N1199" i="5" s="1"/>
  <c r="N1200" i="5" s="1"/>
  <c r="N1201" i="5" s="1"/>
  <c r="N1202" i="5" s="1"/>
  <c r="N1203" i="5" s="1"/>
  <c r="N1204" i="5" s="1"/>
  <c r="N1205" i="5" s="1"/>
  <c r="N1206" i="5" s="1"/>
  <c r="N1207" i="5" s="1"/>
  <c r="N1208" i="5" s="1"/>
  <c r="N1209" i="5" s="1"/>
  <c r="N1210" i="5" s="1"/>
  <c r="N1211" i="5" s="1"/>
  <c r="N1212" i="5" s="1"/>
  <c r="N1213" i="5" s="1"/>
  <c r="N1214" i="5" s="1"/>
  <c r="N1215" i="5" s="1"/>
  <c r="N1216" i="5" s="1"/>
  <c r="N1217" i="5" s="1"/>
  <c r="N1218" i="5" s="1"/>
  <c r="N1219" i="5" s="1"/>
  <c r="N1220" i="5" s="1"/>
  <c r="N1221" i="5" s="1"/>
  <c r="N1222" i="5" s="1"/>
  <c r="N1223" i="5" s="1"/>
  <c r="N1224" i="5" s="1"/>
  <c r="N1225" i="5" s="1"/>
  <c r="N1226" i="5" s="1"/>
  <c r="N1227" i="5" s="1"/>
  <c r="N1228" i="5" s="1"/>
  <c r="N1229" i="5" s="1"/>
  <c r="N1230" i="5" s="1"/>
  <c r="N1231" i="5" s="1"/>
  <c r="N1232" i="5" s="1"/>
  <c r="N1233" i="5" s="1"/>
  <c r="N1234" i="5" s="1"/>
  <c r="N1235" i="5" s="1"/>
  <c r="N1236" i="5" s="1"/>
  <c r="N1237" i="5" s="1"/>
  <c r="N1238" i="5" s="1"/>
  <c r="M43" i="5"/>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106" i="5" s="1"/>
  <c r="M107" i="5" s="1"/>
  <c r="M108" i="5" s="1"/>
  <c r="M109" i="5" s="1"/>
  <c r="M110" i="5" s="1"/>
  <c r="M111" i="5" s="1"/>
  <c r="M112" i="5" s="1"/>
  <c r="M113" i="5" s="1"/>
  <c r="M114" i="5" s="1"/>
  <c r="M115" i="5" s="1"/>
  <c r="M116" i="5" s="1"/>
  <c r="M117" i="5" s="1"/>
  <c r="M118" i="5" s="1"/>
  <c r="M119" i="5" s="1"/>
  <c r="M120" i="5" s="1"/>
  <c r="M121" i="5" s="1"/>
  <c r="M122" i="5" s="1"/>
  <c r="M123" i="5" s="1"/>
  <c r="M124" i="5" s="1"/>
  <c r="M125" i="5" s="1"/>
  <c r="M126" i="5" s="1"/>
  <c r="M127" i="5" s="1"/>
  <c r="M128" i="5" s="1"/>
  <c r="M129" i="5" s="1"/>
  <c r="M130" i="5" s="1"/>
  <c r="M131" i="5" s="1"/>
  <c r="M132" i="5" s="1"/>
  <c r="M133" i="5" s="1"/>
  <c r="M134" i="5" s="1"/>
  <c r="M135" i="5" s="1"/>
  <c r="M136" i="5" s="1"/>
  <c r="M137" i="5" s="1"/>
  <c r="M138" i="5" s="1"/>
  <c r="M139" i="5" s="1"/>
  <c r="M140" i="5" s="1"/>
  <c r="M141" i="5" s="1"/>
  <c r="M142" i="5" s="1"/>
  <c r="M143" i="5" s="1"/>
  <c r="M144" i="5" s="1"/>
  <c r="M145" i="5" s="1"/>
  <c r="M146" i="5" s="1"/>
  <c r="M147" i="5" s="1"/>
  <c r="M148" i="5" s="1"/>
  <c r="M149" i="5" s="1"/>
  <c r="M150" i="5" s="1"/>
  <c r="M151" i="5" s="1"/>
  <c r="M152" i="5" s="1"/>
  <c r="M153" i="5" s="1"/>
  <c r="M154" i="5" s="1"/>
  <c r="M155" i="5" s="1"/>
  <c r="M156" i="5" s="1"/>
  <c r="M157" i="5" s="1"/>
  <c r="M158" i="5" s="1"/>
  <c r="M159" i="5" s="1"/>
  <c r="M160" i="5" s="1"/>
  <c r="M161" i="5" s="1"/>
  <c r="M162" i="5" s="1"/>
  <c r="M163" i="5" s="1"/>
  <c r="M164" i="5" s="1"/>
  <c r="M165" i="5" s="1"/>
  <c r="M166" i="5" s="1"/>
  <c r="M167" i="5" s="1"/>
  <c r="M168" i="5" s="1"/>
  <c r="M169" i="5" s="1"/>
  <c r="M170" i="5" s="1"/>
  <c r="M171" i="5" s="1"/>
  <c r="M172" i="5" s="1"/>
  <c r="M173" i="5" s="1"/>
  <c r="M174" i="5" s="1"/>
  <c r="M175" i="5" s="1"/>
  <c r="M176" i="5" s="1"/>
  <c r="M177" i="5" s="1"/>
  <c r="M178" i="5" s="1"/>
  <c r="M179" i="5" s="1"/>
  <c r="M180" i="5" s="1"/>
  <c r="M181" i="5" s="1"/>
  <c r="M182" i="5" s="1"/>
  <c r="M183" i="5" s="1"/>
  <c r="M184" i="5" s="1"/>
  <c r="M185" i="5" s="1"/>
  <c r="M186" i="5" s="1"/>
  <c r="M187" i="5" s="1"/>
  <c r="M188" i="5" s="1"/>
  <c r="M189" i="5" s="1"/>
  <c r="M190" i="5" s="1"/>
  <c r="M191" i="5" s="1"/>
  <c r="M192" i="5" s="1"/>
  <c r="M193" i="5" s="1"/>
  <c r="M194" i="5" s="1"/>
  <c r="M195" i="5" s="1"/>
  <c r="M196" i="5" s="1"/>
  <c r="M197" i="5" s="1"/>
  <c r="M198" i="5" s="1"/>
  <c r="M199" i="5" s="1"/>
  <c r="M200" i="5" s="1"/>
  <c r="M201" i="5" s="1"/>
  <c r="M202" i="5" s="1"/>
  <c r="M203" i="5" s="1"/>
  <c r="M204" i="5" s="1"/>
  <c r="M205" i="5" s="1"/>
  <c r="M206" i="5" s="1"/>
  <c r="M207" i="5" s="1"/>
  <c r="M208" i="5" s="1"/>
  <c r="M209" i="5" s="1"/>
  <c r="M210" i="5" s="1"/>
  <c r="M211" i="5" s="1"/>
  <c r="M212" i="5" s="1"/>
  <c r="M213" i="5" s="1"/>
  <c r="M214" i="5" s="1"/>
  <c r="M215" i="5" s="1"/>
  <c r="M216" i="5" s="1"/>
  <c r="M217" i="5" s="1"/>
  <c r="M218" i="5" s="1"/>
  <c r="M219" i="5" s="1"/>
  <c r="M220" i="5" s="1"/>
  <c r="M221" i="5" s="1"/>
  <c r="M222" i="5" s="1"/>
  <c r="M223" i="5" s="1"/>
  <c r="M224" i="5" s="1"/>
  <c r="M225" i="5" s="1"/>
  <c r="M226" i="5" s="1"/>
  <c r="M227" i="5" s="1"/>
  <c r="M228" i="5" s="1"/>
  <c r="M229" i="5" s="1"/>
  <c r="M230" i="5" s="1"/>
  <c r="M231" i="5" s="1"/>
  <c r="M232" i="5" s="1"/>
  <c r="M233" i="5" s="1"/>
  <c r="M234" i="5" s="1"/>
  <c r="M235" i="5" s="1"/>
  <c r="M236" i="5" s="1"/>
  <c r="M237" i="5" s="1"/>
  <c r="M238" i="5" s="1"/>
  <c r="M239" i="5" s="1"/>
  <c r="M240" i="5" s="1"/>
  <c r="M241" i="5" s="1"/>
  <c r="M242" i="5" s="1"/>
  <c r="M243" i="5" s="1"/>
  <c r="M244" i="5" s="1"/>
  <c r="M245" i="5" s="1"/>
  <c r="M246" i="5" s="1"/>
  <c r="M247" i="5" s="1"/>
  <c r="M248" i="5" s="1"/>
  <c r="M249" i="5" s="1"/>
  <c r="M250" i="5" s="1"/>
  <c r="M251" i="5" s="1"/>
  <c r="M252" i="5" s="1"/>
  <c r="M253" i="5" s="1"/>
  <c r="M254" i="5" s="1"/>
  <c r="M255" i="5" s="1"/>
  <c r="M256" i="5" s="1"/>
  <c r="M257" i="5" s="1"/>
  <c r="M258" i="5" s="1"/>
  <c r="M259" i="5" s="1"/>
  <c r="M260" i="5" s="1"/>
  <c r="M261" i="5" s="1"/>
  <c r="M262" i="5" s="1"/>
  <c r="M263" i="5" s="1"/>
  <c r="M264" i="5" s="1"/>
  <c r="M265" i="5" s="1"/>
  <c r="M266" i="5" s="1"/>
  <c r="M267" i="5" s="1"/>
  <c r="M268" i="5" s="1"/>
  <c r="M269" i="5" s="1"/>
  <c r="M270" i="5" s="1"/>
  <c r="M271" i="5" s="1"/>
  <c r="M272" i="5" s="1"/>
  <c r="M273" i="5" s="1"/>
  <c r="M274" i="5" s="1"/>
  <c r="M275" i="5" s="1"/>
  <c r="M276" i="5" s="1"/>
  <c r="M277" i="5" s="1"/>
  <c r="M278" i="5" s="1"/>
  <c r="M279" i="5" s="1"/>
  <c r="M280" i="5" s="1"/>
  <c r="M281" i="5" s="1"/>
  <c r="M282" i="5" s="1"/>
  <c r="M283" i="5" s="1"/>
  <c r="M284" i="5" s="1"/>
  <c r="M285" i="5" s="1"/>
  <c r="M286" i="5" s="1"/>
  <c r="M287" i="5" s="1"/>
  <c r="M288" i="5" s="1"/>
  <c r="M289" i="5" s="1"/>
  <c r="M290" i="5" s="1"/>
  <c r="M291" i="5" s="1"/>
  <c r="M292" i="5" s="1"/>
  <c r="M293" i="5" s="1"/>
  <c r="M294" i="5" s="1"/>
  <c r="M295" i="5" s="1"/>
  <c r="M296" i="5" s="1"/>
  <c r="M297" i="5" s="1"/>
  <c r="M298" i="5" s="1"/>
  <c r="M299" i="5" s="1"/>
  <c r="M300" i="5" s="1"/>
  <c r="M301" i="5" s="1"/>
  <c r="M302" i="5" s="1"/>
  <c r="M303" i="5" s="1"/>
  <c r="M304" i="5" s="1"/>
  <c r="M305" i="5" s="1"/>
  <c r="M306" i="5" s="1"/>
  <c r="M307" i="5" s="1"/>
  <c r="M308" i="5" s="1"/>
  <c r="M309" i="5" s="1"/>
  <c r="M310" i="5" s="1"/>
  <c r="M311" i="5" s="1"/>
  <c r="M312" i="5" s="1"/>
  <c r="M313" i="5" s="1"/>
  <c r="M314" i="5" s="1"/>
  <c r="M315" i="5" s="1"/>
  <c r="M316" i="5" s="1"/>
  <c r="M317" i="5" s="1"/>
  <c r="M318" i="5" s="1"/>
  <c r="M319" i="5" s="1"/>
  <c r="M320" i="5" s="1"/>
  <c r="M321" i="5" s="1"/>
  <c r="M322" i="5" s="1"/>
  <c r="M323" i="5" s="1"/>
  <c r="M324" i="5" s="1"/>
  <c r="M325" i="5" s="1"/>
  <c r="M326" i="5" s="1"/>
  <c r="M327" i="5" s="1"/>
  <c r="M328" i="5" s="1"/>
  <c r="M329" i="5" s="1"/>
  <c r="M330" i="5" s="1"/>
  <c r="M331" i="5" s="1"/>
  <c r="M332" i="5" s="1"/>
  <c r="M333" i="5" s="1"/>
  <c r="M334" i="5" s="1"/>
  <c r="M335" i="5" s="1"/>
  <c r="M336" i="5" s="1"/>
  <c r="M337" i="5" s="1"/>
  <c r="M338" i="5" s="1"/>
  <c r="M339" i="5" s="1"/>
  <c r="M340" i="5" s="1"/>
  <c r="M341" i="5" s="1"/>
  <c r="M342" i="5" s="1"/>
  <c r="M343" i="5" s="1"/>
  <c r="M344" i="5" s="1"/>
  <c r="M345" i="5" s="1"/>
  <c r="M346" i="5" s="1"/>
  <c r="M347" i="5" s="1"/>
  <c r="M348" i="5" s="1"/>
  <c r="M349" i="5" s="1"/>
  <c r="M350" i="5" s="1"/>
  <c r="M351" i="5" s="1"/>
  <c r="M352" i="5" s="1"/>
  <c r="M353" i="5" s="1"/>
  <c r="M354" i="5" s="1"/>
  <c r="M355" i="5" s="1"/>
  <c r="M356" i="5" s="1"/>
  <c r="M357" i="5" s="1"/>
  <c r="M358" i="5" s="1"/>
  <c r="M359" i="5" s="1"/>
  <c r="M360" i="5" s="1"/>
  <c r="M361" i="5" s="1"/>
  <c r="M362" i="5" s="1"/>
  <c r="M363" i="5" s="1"/>
  <c r="M364" i="5" s="1"/>
  <c r="M365" i="5" s="1"/>
  <c r="M366" i="5" s="1"/>
  <c r="M367" i="5" s="1"/>
  <c r="M368" i="5" s="1"/>
  <c r="M369" i="5" s="1"/>
  <c r="M370" i="5" s="1"/>
  <c r="M371" i="5" s="1"/>
  <c r="M372" i="5" s="1"/>
  <c r="M373" i="5" s="1"/>
  <c r="M374" i="5" s="1"/>
  <c r="M375" i="5" s="1"/>
  <c r="M376" i="5" s="1"/>
  <c r="M377" i="5" s="1"/>
  <c r="M378" i="5" s="1"/>
  <c r="M379" i="5" s="1"/>
  <c r="M380" i="5" s="1"/>
  <c r="M381" i="5" s="1"/>
  <c r="M382" i="5" s="1"/>
  <c r="M383" i="5" s="1"/>
  <c r="M384" i="5" s="1"/>
  <c r="M385" i="5" s="1"/>
  <c r="M386" i="5" s="1"/>
  <c r="M387" i="5" s="1"/>
  <c r="M388" i="5" s="1"/>
  <c r="M389" i="5" s="1"/>
  <c r="M390" i="5" s="1"/>
  <c r="M391" i="5" s="1"/>
  <c r="M392" i="5" s="1"/>
  <c r="M393" i="5" s="1"/>
  <c r="M394" i="5" s="1"/>
  <c r="M395" i="5" s="1"/>
  <c r="M396" i="5" s="1"/>
  <c r="M397" i="5" s="1"/>
  <c r="M398" i="5" s="1"/>
  <c r="M399" i="5" s="1"/>
  <c r="M400" i="5" s="1"/>
  <c r="M401" i="5" s="1"/>
  <c r="M402" i="5" s="1"/>
  <c r="M403" i="5" s="1"/>
  <c r="M404" i="5" s="1"/>
  <c r="M405" i="5" s="1"/>
  <c r="M406" i="5" s="1"/>
  <c r="M407" i="5" s="1"/>
  <c r="M408" i="5" s="1"/>
  <c r="M409" i="5" s="1"/>
  <c r="M410" i="5" s="1"/>
  <c r="M411" i="5" s="1"/>
  <c r="M412" i="5" s="1"/>
  <c r="M413" i="5" s="1"/>
  <c r="M414" i="5" s="1"/>
  <c r="M415" i="5" s="1"/>
  <c r="M416" i="5" s="1"/>
  <c r="M417" i="5" s="1"/>
  <c r="M418" i="5" s="1"/>
  <c r="M419" i="5" s="1"/>
  <c r="M420" i="5" s="1"/>
  <c r="M421" i="5" s="1"/>
  <c r="M422" i="5" s="1"/>
  <c r="M423" i="5" s="1"/>
  <c r="M424" i="5" s="1"/>
  <c r="M425" i="5" s="1"/>
  <c r="M426" i="5" s="1"/>
  <c r="M427" i="5" s="1"/>
  <c r="M428" i="5" s="1"/>
  <c r="M429" i="5" s="1"/>
  <c r="M430" i="5" s="1"/>
  <c r="M431" i="5" s="1"/>
  <c r="M432" i="5" s="1"/>
  <c r="M433" i="5" s="1"/>
  <c r="M434" i="5" s="1"/>
  <c r="M435" i="5" s="1"/>
  <c r="M436" i="5" s="1"/>
  <c r="M437" i="5" s="1"/>
  <c r="M438" i="5" s="1"/>
  <c r="M439" i="5" s="1"/>
  <c r="M440" i="5" s="1"/>
  <c r="M441" i="5" s="1"/>
  <c r="M442" i="5" s="1"/>
  <c r="M443" i="5" s="1"/>
  <c r="M444" i="5" s="1"/>
  <c r="M445" i="5" s="1"/>
  <c r="M446" i="5" s="1"/>
  <c r="M447" i="5" s="1"/>
  <c r="M448" i="5" s="1"/>
  <c r="M449" i="5" s="1"/>
  <c r="M450" i="5" s="1"/>
  <c r="M451" i="5" s="1"/>
  <c r="M452" i="5" s="1"/>
  <c r="M453" i="5" s="1"/>
  <c r="M454" i="5" s="1"/>
  <c r="M455" i="5" s="1"/>
  <c r="M456" i="5" s="1"/>
  <c r="M457" i="5" s="1"/>
  <c r="M458" i="5" s="1"/>
  <c r="M459" i="5" s="1"/>
  <c r="M460" i="5" s="1"/>
  <c r="M461" i="5" s="1"/>
  <c r="M462" i="5" s="1"/>
  <c r="M463" i="5" s="1"/>
  <c r="M464" i="5" s="1"/>
  <c r="M465" i="5" s="1"/>
  <c r="M466" i="5" s="1"/>
  <c r="M467" i="5" s="1"/>
  <c r="M468" i="5" s="1"/>
  <c r="M469" i="5" s="1"/>
  <c r="M470" i="5" s="1"/>
  <c r="M471" i="5" s="1"/>
  <c r="M472" i="5" s="1"/>
  <c r="M473" i="5" s="1"/>
  <c r="M474" i="5" s="1"/>
  <c r="M475" i="5" s="1"/>
  <c r="M476" i="5" s="1"/>
  <c r="M477" i="5" s="1"/>
  <c r="M478" i="5" s="1"/>
  <c r="M479" i="5" s="1"/>
  <c r="M480" i="5" s="1"/>
  <c r="M481" i="5" s="1"/>
  <c r="M482" i="5" s="1"/>
  <c r="M483" i="5" s="1"/>
  <c r="M484" i="5" s="1"/>
  <c r="M485" i="5" s="1"/>
  <c r="M486" i="5" s="1"/>
  <c r="M487" i="5" s="1"/>
  <c r="M488" i="5" s="1"/>
  <c r="M489" i="5" s="1"/>
  <c r="M490" i="5" s="1"/>
  <c r="M491" i="5" s="1"/>
  <c r="M492" i="5" s="1"/>
  <c r="M493" i="5" s="1"/>
  <c r="M494" i="5" s="1"/>
  <c r="M495" i="5" s="1"/>
  <c r="M496" i="5" s="1"/>
  <c r="M497" i="5" s="1"/>
  <c r="M498" i="5" s="1"/>
  <c r="M499" i="5" s="1"/>
  <c r="M500" i="5" s="1"/>
  <c r="M501" i="5" s="1"/>
  <c r="M502" i="5" s="1"/>
  <c r="M503" i="5" s="1"/>
  <c r="M504" i="5" s="1"/>
  <c r="M505" i="5" s="1"/>
  <c r="M506" i="5" s="1"/>
  <c r="M507" i="5" s="1"/>
  <c r="M508" i="5" s="1"/>
  <c r="M509" i="5" s="1"/>
  <c r="M510" i="5" s="1"/>
  <c r="M511" i="5" s="1"/>
  <c r="M512" i="5" s="1"/>
  <c r="M513" i="5" s="1"/>
  <c r="M514" i="5" s="1"/>
  <c r="M515" i="5" s="1"/>
  <c r="M516" i="5" s="1"/>
  <c r="M517" i="5" s="1"/>
  <c r="M518" i="5" s="1"/>
  <c r="M519" i="5" s="1"/>
  <c r="M520" i="5" s="1"/>
  <c r="M521" i="5" s="1"/>
  <c r="M522" i="5" s="1"/>
  <c r="M523" i="5" s="1"/>
  <c r="M524" i="5" s="1"/>
  <c r="M525" i="5" s="1"/>
  <c r="M526" i="5" s="1"/>
  <c r="M527" i="5" s="1"/>
  <c r="M528" i="5" s="1"/>
  <c r="M529" i="5" s="1"/>
  <c r="M530" i="5" s="1"/>
  <c r="M531" i="5" s="1"/>
  <c r="M532" i="5" s="1"/>
  <c r="M533" i="5" s="1"/>
  <c r="M534" i="5" s="1"/>
  <c r="M535" i="5" s="1"/>
  <c r="M536" i="5" s="1"/>
  <c r="M537" i="5" s="1"/>
  <c r="M538" i="5" s="1"/>
  <c r="M539" i="5" s="1"/>
  <c r="M540" i="5" s="1"/>
  <c r="M541" i="5" s="1"/>
  <c r="M542" i="5" s="1"/>
  <c r="M543" i="5" s="1"/>
  <c r="M544" i="5" s="1"/>
  <c r="M545" i="5" s="1"/>
  <c r="M546" i="5" s="1"/>
  <c r="M547" i="5" s="1"/>
  <c r="M548" i="5" s="1"/>
  <c r="M549" i="5" s="1"/>
  <c r="M550" i="5" s="1"/>
  <c r="M551" i="5" s="1"/>
  <c r="M552" i="5" s="1"/>
  <c r="M553" i="5" s="1"/>
  <c r="M554" i="5" s="1"/>
  <c r="M555" i="5" s="1"/>
  <c r="M556" i="5" s="1"/>
  <c r="M557" i="5" s="1"/>
  <c r="M558" i="5" s="1"/>
  <c r="M559" i="5" s="1"/>
  <c r="M560" i="5" s="1"/>
  <c r="M561" i="5" s="1"/>
  <c r="M562" i="5" s="1"/>
  <c r="M563" i="5" s="1"/>
  <c r="M564" i="5" s="1"/>
  <c r="M565" i="5" s="1"/>
  <c r="M566" i="5" s="1"/>
  <c r="M567" i="5" s="1"/>
  <c r="M568" i="5" s="1"/>
  <c r="M569" i="5" s="1"/>
  <c r="M570" i="5" s="1"/>
  <c r="M571" i="5" s="1"/>
  <c r="M572" i="5" s="1"/>
  <c r="M573" i="5" s="1"/>
  <c r="M574" i="5" s="1"/>
  <c r="M575" i="5" s="1"/>
  <c r="M576" i="5" s="1"/>
  <c r="M577" i="5" s="1"/>
  <c r="M578" i="5" s="1"/>
  <c r="M579" i="5" s="1"/>
  <c r="M580" i="5" s="1"/>
  <c r="M581" i="5" s="1"/>
  <c r="M582" i="5" s="1"/>
  <c r="M583" i="5" s="1"/>
  <c r="M584" i="5" s="1"/>
  <c r="M585" i="5" s="1"/>
  <c r="M586" i="5" s="1"/>
  <c r="M587" i="5" s="1"/>
  <c r="M588" i="5" s="1"/>
  <c r="M589" i="5" s="1"/>
  <c r="M590" i="5" s="1"/>
  <c r="M591" i="5" s="1"/>
  <c r="M592" i="5" s="1"/>
  <c r="M593" i="5" s="1"/>
  <c r="M594" i="5" s="1"/>
  <c r="M595" i="5" s="1"/>
  <c r="M596" i="5" s="1"/>
  <c r="M597" i="5" s="1"/>
  <c r="M598" i="5" s="1"/>
  <c r="M599" i="5" s="1"/>
  <c r="M600" i="5" s="1"/>
  <c r="M601" i="5" s="1"/>
  <c r="M602" i="5" s="1"/>
  <c r="M603" i="5" s="1"/>
  <c r="M604" i="5" s="1"/>
  <c r="M605" i="5" s="1"/>
  <c r="M606" i="5" s="1"/>
  <c r="M607" i="5" s="1"/>
  <c r="M608" i="5" s="1"/>
  <c r="M609" i="5" s="1"/>
  <c r="M610" i="5" s="1"/>
  <c r="M611" i="5" s="1"/>
  <c r="M612" i="5" s="1"/>
  <c r="M613" i="5" s="1"/>
  <c r="M614" i="5" s="1"/>
  <c r="M615" i="5" s="1"/>
  <c r="M616" i="5" s="1"/>
  <c r="M617" i="5" s="1"/>
  <c r="M618" i="5" s="1"/>
  <c r="M619" i="5" s="1"/>
  <c r="M620" i="5" s="1"/>
  <c r="M621" i="5" s="1"/>
  <c r="M622" i="5" s="1"/>
  <c r="M623" i="5" s="1"/>
  <c r="M624" i="5" s="1"/>
  <c r="M625" i="5" s="1"/>
  <c r="M626" i="5" s="1"/>
  <c r="M627" i="5" s="1"/>
  <c r="M628" i="5" s="1"/>
  <c r="M629" i="5" s="1"/>
  <c r="M630" i="5" s="1"/>
  <c r="M631" i="5" s="1"/>
  <c r="M632" i="5" s="1"/>
  <c r="M633" i="5" s="1"/>
  <c r="M634" i="5" s="1"/>
  <c r="M635" i="5" s="1"/>
  <c r="M636" i="5" s="1"/>
  <c r="M637" i="5" s="1"/>
  <c r="M638" i="5" s="1"/>
  <c r="M639" i="5" s="1"/>
  <c r="M640" i="5" s="1"/>
  <c r="M641" i="5" s="1"/>
  <c r="M642" i="5" s="1"/>
  <c r="M643" i="5" s="1"/>
  <c r="M644" i="5" s="1"/>
  <c r="M645" i="5" s="1"/>
  <c r="M646" i="5" s="1"/>
  <c r="M647" i="5" s="1"/>
  <c r="M648" i="5" s="1"/>
  <c r="M649" i="5" s="1"/>
  <c r="M650" i="5" s="1"/>
  <c r="M651" i="5" s="1"/>
  <c r="M652" i="5" s="1"/>
  <c r="M653" i="5" s="1"/>
  <c r="M654" i="5" s="1"/>
  <c r="M655" i="5" s="1"/>
  <c r="M656" i="5" s="1"/>
  <c r="M657" i="5" s="1"/>
  <c r="M658" i="5" s="1"/>
  <c r="M659" i="5" s="1"/>
  <c r="M660" i="5" s="1"/>
  <c r="M661" i="5" s="1"/>
  <c r="M662" i="5" s="1"/>
  <c r="M663" i="5" s="1"/>
  <c r="M664" i="5" s="1"/>
  <c r="M665" i="5" s="1"/>
  <c r="M666" i="5" s="1"/>
  <c r="M667" i="5" s="1"/>
  <c r="M668" i="5" s="1"/>
  <c r="M669" i="5" s="1"/>
  <c r="M670" i="5" s="1"/>
  <c r="M671" i="5" s="1"/>
  <c r="M672" i="5" s="1"/>
  <c r="M673" i="5" s="1"/>
  <c r="M674" i="5" s="1"/>
  <c r="M675" i="5" s="1"/>
  <c r="M676" i="5" s="1"/>
  <c r="M677" i="5" s="1"/>
  <c r="M678" i="5" s="1"/>
  <c r="M679" i="5" s="1"/>
  <c r="M680" i="5" s="1"/>
  <c r="M681" i="5" s="1"/>
  <c r="M682" i="5" s="1"/>
  <c r="M683" i="5" s="1"/>
  <c r="M684" i="5" s="1"/>
  <c r="M685" i="5" s="1"/>
  <c r="M686" i="5" s="1"/>
  <c r="M687" i="5" s="1"/>
  <c r="M688" i="5" s="1"/>
  <c r="M689" i="5" s="1"/>
  <c r="M690" i="5" s="1"/>
  <c r="M691" i="5" s="1"/>
  <c r="M692" i="5" s="1"/>
  <c r="M693" i="5" s="1"/>
  <c r="M694" i="5" s="1"/>
  <c r="M695" i="5" s="1"/>
  <c r="M696" i="5" s="1"/>
  <c r="M697" i="5" s="1"/>
  <c r="M698" i="5" s="1"/>
  <c r="M699" i="5" s="1"/>
  <c r="M700" i="5" s="1"/>
  <c r="M701" i="5" s="1"/>
  <c r="M702" i="5" s="1"/>
  <c r="M703" i="5" s="1"/>
  <c r="M704" i="5" s="1"/>
  <c r="M705" i="5" s="1"/>
  <c r="M706" i="5" s="1"/>
  <c r="M707" i="5" s="1"/>
  <c r="M708" i="5" s="1"/>
  <c r="M709" i="5" s="1"/>
  <c r="M710" i="5" s="1"/>
  <c r="M711" i="5" s="1"/>
  <c r="M712" i="5" s="1"/>
  <c r="M713" i="5" s="1"/>
  <c r="M714" i="5" s="1"/>
  <c r="M715" i="5" s="1"/>
  <c r="M716" i="5" s="1"/>
  <c r="M717" i="5" s="1"/>
  <c r="M718" i="5" s="1"/>
  <c r="M719" i="5" s="1"/>
  <c r="M720" i="5" s="1"/>
  <c r="M721" i="5" s="1"/>
  <c r="M722" i="5" s="1"/>
  <c r="M723" i="5" s="1"/>
  <c r="M724" i="5" s="1"/>
  <c r="M725" i="5" s="1"/>
  <c r="M726" i="5" s="1"/>
  <c r="M727" i="5" s="1"/>
  <c r="M728" i="5" s="1"/>
  <c r="M729" i="5" s="1"/>
  <c r="M730" i="5" s="1"/>
  <c r="M731" i="5" s="1"/>
  <c r="M732" i="5" s="1"/>
  <c r="M733" i="5" s="1"/>
  <c r="M734" i="5" s="1"/>
  <c r="M735" i="5" s="1"/>
  <c r="M736" i="5" s="1"/>
  <c r="M737" i="5" s="1"/>
  <c r="M738" i="5" s="1"/>
  <c r="M739" i="5" s="1"/>
  <c r="M740" i="5" s="1"/>
  <c r="M741" i="5" s="1"/>
  <c r="M742" i="5" s="1"/>
  <c r="M743" i="5" s="1"/>
  <c r="M744" i="5" s="1"/>
  <c r="M745" i="5" s="1"/>
  <c r="M746" i="5" s="1"/>
  <c r="M747" i="5" s="1"/>
  <c r="M748" i="5" s="1"/>
  <c r="M749" i="5" s="1"/>
  <c r="M750" i="5" s="1"/>
  <c r="M751" i="5" s="1"/>
  <c r="M752" i="5" s="1"/>
  <c r="M753" i="5" s="1"/>
  <c r="M754" i="5" s="1"/>
  <c r="M755" i="5" s="1"/>
  <c r="M756" i="5" s="1"/>
  <c r="M757" i="5" s="1"/>
  <c r="M758" i="5" s="1"/>
  <c r="M759" i="5" s="1"/>
  <c r="M760" i="5" s="1"/>
  <c r="M761" i="5" s="1"/>
  <c r="M762" i="5" s="1"/>
  <c r="M763" i="5" s="1"/>
  <c r="M764" i="5" s="1"/>
  <c r="M765" i="5" s="1"/>
  <c r="M766" i="5" s="1"/>
  <c r="M767" i="5" s="1"/>
  <c r="M768" i="5" s="1"/>
  <c r="M769" i="5" s="1"/>
  <c r="M770" i="5" s="1"/>
  <c r="M771" i="5" s="1"/>
  <c r="M772" i="5" s="1"/>
  <c r="M773" i="5" s="1"/>
  <c r="M774" i="5" s="1"/>
  <c r="M775" i="5" s="1"/>
  <c r="M776" i="5" s="1"/>
  <c r="M777" i="5" s="1"/>
  <c r="M778" i="5" s="1"/>
  <c r="M779" i="5" s="1"/>
  <c r="M780" i="5" s="1"/>
  <c r="M781" i="5" s="1"/>
  <c r="M782" i="5" s="1"/>
  <c r="M783" i="5" s="1"/>
  <c r="M784" i="5" s="1"/>
  <c r="M785" i="5" s="1"/>
  <c r="M786" i="5" s="1"/>
  <c r="M787" i="5" s="1"/>
  <c r="M788" i="5" s="1"/>
  <c r="M789" i="5" s="1"/>
  <c r="M790" i="5" s="1"/>
  <c r="M791" i="5" s="1"/>
  <c r="M792" i="5" s="1"/>
  <c r="M793" i="5" s="1"/>
  <c r="M794" i="5" s="1"/>
  <c r="M795" i="5" s="1"/>
  <c r="M796" i="5" s="1"/>
  <c r="M797" i="5" s="1"/>
  <c r="M798" i="5" s="1"/>
  <c r="M799" i="5" s="1"/>
  <c r="M800" i="5" s="1"/>
  <c r="M801" i="5" s="1"/>
  <c r="M802" i="5" s="1"/>
  <c r="M803" i="5" s="1"/>
  <c r="M804" i="5" s="1"/>
  <c r="M805" i="5" s="1"/>
  <c r="M806" i="5" s="1"/>
  <c r="M807" i="5" s="1"/>
  <c r="M808" i="5" s="1"/>
  <c r="M809" i="5" s="1"/>
  <c r="M810" i="5" s="1"/>
  <c r="M811" i="5" s="1"/>
  <c r="M812" i="5" s="1"/>
  <c r="M813" i="5" s="1"/>
  <c r="M814" i="5" s="1"/>
  <c r="M815" i="5" s="1"/>
  <c r="M816" i="5" s="1"/>
  <c r="M817" i="5" s="1"/>
  <c r="M818" i="5" s="1"/>
  <c r="M819" i="5" s="1"/>
  <c r="M820" i="5" s="1"/>
  <c r="M821" i="5" s="1"/>
  <c r="M822" i="5" s="1"/>
  <c r="M823" i="5" s="1"/>
  <c r="M824" i="5" s="1"/>
  <c r="M825" i="5" s="1"/>
  <c r="M826" i="5" s="1"/>
  <c r="M827" i="5" s="1"/>
  <c r="M828" i="5" s="1"/>
  <c r="M829" i="5" s="1"/>
  <c r="M830" i="5" s="1"/>
  <c r="M831" i="5" s="1"/>
  <c r="M832" i="5" s="1"/>
  <c r="M833" i="5" s="1"/>
  <c r="M834" i="5" s="1"/>
  <c r="M835" i="5" s="1"/>
  <c r="M836" i="5" s="1"/>
  <c r="M837" i="5" s="1"/>
  <c r="M838" i="5" s="1"/>
  <c r="M839" i="5" s="1"/>
  <c r="M840" i="5" s="1"/>
  <c r="M841" i="5" s="1"/>
  <c r="M842" i="5" s="1"/>
  <c r="M843" i="5" s="1"/>
  <c r="M844" i="5" s="1"/>
  <c r="M845" i="5" s="1"/>
  <c r="M846" i="5" s="1"/>
  <c r="M847" i="5" s="1"/>
  <c r="M848" i="5" s="1"/>
  <c r="M849" i="5" s="1"/>
  <c r="M850" i="5" s="1"/>
  <c r="M851" i="5" s="1"/>
  <c r="M852" i="5" s="1"/>
  <c r="M853" i="5" s="1"/>
  <c r="M854" i="5" s="1"/>
  <c r="M855" i="5" s="1"/>
  <c r="M856" i="5" s="1"/>
  <c r="M857" i="5" s="1"/>
  <c r="M858" i="5" s="1"/>
  <c r="M859" i="5" s="1"/>
  <c r="M860" i="5" s="1"/>
  <c r="M861" i="5" s="1"/>
  <c r="M862" i="5" s="1"/>
  <c r="M863" i="5" s="1"/>
  <c r="M864" i="5" s="1"/>
  <c r="M865" i="5" s="1"/>
  <c r="M866" i="5" s="1"/>
  <c r="M867" i="5" s="1"/>
  <c r="M868" i="5" s="1"/>
  <c r="M869" i="5" s="1"/>
  <c r="M870" i="5" s="1"/>
  <c r="M871" i="5" s="1"/>
  <c r="M872" i="5" s="1"/>
  <c r="M873" i="5" s="1"/>
  <c r="M874" i="5" s="1"/>
  <c r="M875" i="5" s="1"/>
  <c r="M876" i="5" s="1"/>
  <c r="M877" i="5" s="1"/>
  <c r="M878" i="5" s="1"/>
  <c r="M879" i="5" s="1"/>
  <c r="M880" i="5" s="1"/>
  <c r="M881" i="5" s="1"/>
  <c r="M882" i="5" s="1"/>
  <c r="M883" i="5" s="1"/>
  <c r="M884" i="5" s="1"/>
  <c r="M885" i="5" s="1"/>
  <c r="M886" i="5" s="1"/>
  <c r="M887" i="5" s="1"/>
  <c r="M888" i="5" s="1"/>
  <c r="M889" i="5" s="1"/>
  <c r="M890" i="5" s="1"/>
  <c r="M891" i="5" s="1"/>
  <c r="M892" i="5" s="1"/>
  <c r="M893" i="5" s="1"/>
  <c r="M894" i="5" s="1"/>
  <c r="M895" i="5" s="1"/>
  <c r="M896" i="5" s="1"/>
  <c r="M897" i="5" s="1"/>
  <c r="M898" i="5" s="1"/>
  <c r="M899" i="5" s="1"/>
  <c r="M900" i="5" s="1"/>
  <c r="M901" i="5" s="1"/>
  <c r="M902" i="5" s="1"/>
  <c r="M903" i="5" s="1"/>
  <c r="M904" i="5" s="1"/>
  <c r="M905" i="5" s="1"/>
  <c r="M906" i="5" s="1"/>
  <c r="M907" i="5" s="1"/>
  <c r="M908" i="5" s="1"/>
  <c r="M909" i="5" s="1"/>
  <c r="M910" i="5" s="1"/>
  <c r="M911" i="5" s="1"/>
  <c r="M912" i="5" s="1"/>
  <c r="M913" i="5" s="1"/>
  <c r="M914" i="5" s="1"/>
  <c r="M915" i="5" s="1"/>
  <c r="M916" i="5" s="1"/>
  <c r="M917" i="5" s="1"/>
  <c r="M918" i="5" s="1"/>
  <c r="M919" i="5" s="1"/>
  <c r="M920" i="5" s="1"/>
  <c r="M921" i="5" s="1"/>
  <c r="M922" i="5" s="1"/>
  <c r="M923" i="5" s="1"/>
  <c r="M924" i="5" s="1"/>
  <c r="M925" i="5" s="1"/>
  <c r="M926" i="5" s="1"/>
  <c r="M927" i="5" s="1"/>
  <c r="M928" i="5" s="1"/>
  <c r="M929" i="5" s="1"/>
  <c r="M930" i="5" s="1"/>
  <c r="M931" i="5" s="1"/>
  <c r="M932" i="5" s="1"/>
  <c r="M933" i="5" s="1"/>
  <c r="M934" i="5" s="1"/>
  <c r="M935" i="5" s="1"/>
  <c r="M936" i="5" s="1"/>
  <c r="M937" i="5" s="1"/>
  <c r="M938" i="5" s="1"/>
  <c r="M939" i="5" s="1"/>
  <c r="M940" i="5" s="1"/>
  <c r="M941" i="5" s="1"/>
  <c r="M942" i="5" s="1"/>
  <c r="M943" i="5" s="1"/>
  <c r="M944" i="5" s="1"/>
  <c r="M945" i="5" s="1"/>
  <c r="M946" i="5" s="1"/>
  <c r="M947" i="5" s="1"/>
  <c r="M948" i="5" s="1"/>
  <c r="M949" i="5" s="1"/>
  <c r="M950" i="5" s="1"/>
  <c r="M951" i="5" s="1"/>
  <c r="M952" i="5" s="1"/>
  <c r="M953" i="5" s="1"/>
  <c r="M954" i="5" s="1"/>
  <c r="M955" i="5" s="1"/>
  <c r="M956" i="5" s="1"/>
  <c r="M957" i="5" s="1"/>
  <c r="M958" i="5" s="1"/>
  <c r="M959" i="5" s="1"/>
  <c r="M960" i="5" s="1"/>
  <c r="M961" i="5" s="1"/>
  <c r="M962" i="5" s="1"/>
  <c r="M963" i="5" s="1"/>
  <c r="M964" i="5" s="1"/>
  <c r="M965" i="5" s="1"/>
  <c r="M966" i="5" s="1"/>
  <c r="M967" i="5" s="1"/>
  <c r="M968" i="5" s="1"/>
  <c r="M969" i="5" s="1"/>
  <c r="M970" i="5" s="1"/>
  <c r="M971" i="5" s="1"/>
  <c r="M972" i="5" s="1"/>
  <c r="M973" i="5" s="1"/>
  <c r="M974" i="5" s="1"/>
  <c r="M975" i="5" s="1"/>
  <c r="M976" i="5" s="1"/>
  <c r="M977" i="5" s="1"/>
  <c r="M978" i="5" s="1"/>
  <c r="M979" i="5" s="1"/>
  <c r="M980" i="5" s="1"/>
  <c r="M981" i="5" s="1"/>
  <c r="M982" i="5" s="1"/>
  <c r="M983" i="5" s="1"/>
  <c r="M984" i="5" s="1"/>
  <c r="M985" i="5" s="1"/>
  <c r="M986" i="5" s="1"/>
  <c r="M987" i="5" s="1"/>
  <c r="M988" i="5" s="1"/>
  <c r="M989" i="5" s="1"/>
  <c r="M990" i="5" s="1"/>
  <c r="M991" i="5" s="1"/>
  <c r="M992" i="5" s="1"/>
  <c r="M993" i="5" s="1"/>
  <c r="M994" i="5" s="1"/>
  <c r="M995" i="5" s="1"/>
  <c r="M996" i="5" s="1"/>
  <c r="M997" i="5" s="1"/>
  <c r="M998" i="5" s="1"/>
  <c r="M999" i="5" s="1"/>
  <c r="M1000" i="5" s="1"/>
  <c r="M1001" i="5" s="1"/>
  <c r="M1002" i="5" s="1"/>
  <c r="M1003" i="5" s="1"/>
  <c r="M1004" i="5" s="1"/>
  <c r="M1005" i="5" s="1"/>
  <c r="M1006" i="5" s="1"/>
  <c r="M1007" i="5" s="1"/>
  <c r="M1008" i="5" s="1"/>
  <c r="M1009" i="5" s="1"/>
  <c r="M1010" i="5" s="1"/>
  <c r="M1011" i="5" s="1"/>
  <c r="M1012" i="5" s="1"/>
  <c r="M1013" i="5" s="1"/>
  <c r="M1014" i="5" s="1"/>
  <c r="M1015" i="5" s="1"/>
  <c r="M1016" i="5" s="1"/>
  <c r="M1017" i="5" s="1"/>
  <c r="M1018" i="5" s="1"/>
  <c r="M1019" i="5" s="1"/>
  <c r="M1020" i="5" s="1"/>
  <c r="M1021" i="5" s="1"/>
  <c r="M1022" i="5" s="1"/>
  <c r="M1023" i="5" s="1"/>
  <c r="M1024" i="5" s="1"/>
  <c r="M1025" i="5" s="1"/>
  <c r="M1026" i="5" s="1"/>
  <c r="M1027" i="5" s="1"/>
  <c r="M1028" i="5" s="1"/>
  <c r="M1029" i="5" s="1"/>
  <c r="M1030" i="5" s="1"/>
  <c r="M1031" i="5" s="1"/>
  <c r="M1032" i="5" s="1"/>
  <c r="M1033" i="5" s="1"/>
  <c r="M1034" i="5" s="1"/>
  <c r="M1035" i="5" s="1"/>
  <c r="M1036" i="5" s="1"/>
  <c r="M1037" i="5" s="1"/>
  <c r="M1038" i="5" s="1"/>
  <c r="M1039" i="5" s="1"/>
  <c r="M1040" i="5" s="1"/>
  <c r="M1041" i="5" s="1"/>
  <c r="M1042" i="5" s="1"/>
  <c r="M1043" i="5" s="1"/>
  <c r="M1044" i="5" s="1"/>
  <c r="M1045" i="5" s="1"/>
  <c r="M1046" i="5" s="1"/>
  <c r="M1047" i="5" s="1"/>
  <c r="M1048" i="5" s="1"/>
  <c r="M1049" i="5" s="1"/>
  <c r="M1050" i="5" s="1"/>
  <c r="M1051" i="5" s="1"/>
  <c r="M1052" i="5" s="1"/>
  <c r="M1053" i="5" s="1"/>
  <c r="M1054" i="5" s="1"/>
  <c r="M1055" i="5" s="1"/>
  <c r="M1056" i="5" s="1"/>
  <c r="M1057" i="5" s="1"/>
  <c r="M1058" i="5" s="1"/>
  <c r="M1059" i="5" s="1"/>
  <c r="M1060" i="5" s="1"/>
  <c r="M1061" i="5" s="1"/>
  <c r="M1062" i="5" s="1"/>
  <c r="M1063" i="5" s="1"/>
  <c r="M1064" i="5" s="1"/>
  <c r="M1065" i="5" s="1"/>
  <c r="M1066" i="5" s="1"/>
  <c r="M1067" i="5" s="1"/>
  <c r="M1068" i="5" s="1"/>
  <c r="M1069" i="5" s="1"/>
  <c r="M1070" i="5" s="1"/>
  <c r="M1071" i="5" s="1"/>
  <c r="M1072" i="5" s="1"/>
  <c r="M1073" i="5" s="1"/>
  <c r="M1074" i="5" s="1"/>
  <c r="M1075" i="5" s="1"/>
  <c r="M1076" i="5" s="1"/>
  <c r="M1077" i="5" s="1"/>
  <c r="M1078" i="5" s="1"/>
  <c r="M1079" i="5" s="1"/>
  <c r="M1080" i="5" s="1"/>
  <c r="M1081" i="5" s="1"/>
  <c r="M1082" i="5" s="1"/>
  <c r="M1083" i="5" s="1"/>
  <c r="M1084" i="5" s="1"/>
  <c r="M1085" i="5" s="1"/>
  <c r="M1086" i="5" s="1"/>
  <c r="M1087" i="5" s="1"/>
  <c r="M1088" i="5" s="1"/>
  <c r="M1089" i="5" s="1"/>
  <c r="M1090" i="5" s="1"/>
  <c r="M1091" i="5" s="1"/>
  <c r="M1092" i="5" s="1"/>
  <c r="M1093" i="5" s="1"/>
  <c r="M1094" i="5" s="1"/>
  <c r="M1095" i="5" s="1"/>
  <c r="M1096" i="5" s="1"/>
  <c r="M1097" i="5" s="1"/>
  <c r="M1098" i="5" s="1"/>
  <c r="M1099" i="5" s="1"/>
  <c r="M1100" i="5" s="1"/>
  <c r="M1101" i="5" s="1"/>
  <c r="M1102" i="5" s="1"/>
  <c r="M1103" i="5" s="1"/>
  <c r="M1104" i="5" s="1"/>
  <c r="M1105" i="5" s="1"/>
  <c r="M1106" i="5" s="1"/>
  <c r="M1107" i="5" s="1"/>
  <c r="M1108" i="5" s="1"/>
  <c r="M1109" i="5" s="1"/>
  <c r="M1110" i="5" s="1"/>
  <c r="M1111" i="5" s="1"/>
  <c r="M1112" i="5" s="1"/>
  <c r="M1113" i="5" s="1"/>
  <c r="M1114" i="5" s="1"/>
  <c r="M1115" i="5" s="1"/>
  <c r="M1116" i="5" s="1"/>
  <c r="M1117" i="5" s="1"/>
  <c r="M1118" i="5" s="1"/>
  <c r="M1119" i="5" s="1"/>
  <c r="M1120" i="5" s="1"/>
  <c r="M1121" i="5" s="1"/>
  <c r="M1122" i="5" s="1"/>
  <c r="M1123" i="5" s="1"/>
  <c r="M1124" i="5" s="1"/>
  <c r="M1125" i="5" s="1"/>
  <c r="M1126" i="5" s="1"/>
  <c r="M1127" i="5" s="1"/>
  <c r="M1128" i="5" s="1"/>
  <c r="M1129" i="5" s="1"/>
  <c r="M1130" i="5" s="1"/>
  <c r="M1131" i="5" s="1"/>
  <c r="M1132" i="5" s="1"/>
  <c r="M1133" i="5" s="1"/>
  <c r="M1134" i="5" s="1"/>
  <c r="M1135" i="5" s="1"/>
  <c r="M1136" i="5" s="1"/>
  <c r="M1137" i="5" s="1"/>
  <c r="M1138" i="5" s="1"/>
  <c r="M1139" i="5" s="1"/>
  <c r="M1140" i="5" s="1"/>
  <c r="M1141" i="5" s="1"/>
  <c r="M1142" i="5" s="1"/>
  <c r="M1143" i="5" s="1"/>
  <c r="M1144" i="5" s="1"/>
  <c r="M1145" i="5" s="1"/>
  <c r="M1146" i="5" s="1"/>
  <c r="M1147" i="5" s="1"/>
  <c r="M1148" i="5" s="1"/>
  <c r="M1149" i="5" s="1"/>
  <c r="M1150" i="5" s="1"/>
  <c r="M1151" i="5" s="1"/>
  <c r="M1152" i="5" s="1"/>
  <c r="M1153" i="5" s="1"/>
  <c r="M1154" i="5" s="1"/>
  <c r="M1155" i="5" s="1"/>
  <c r="M1156" i="5" s="1"/>
  <c r="M1157" i="5" s="1"/>
  <c r="M1158" i="5" s="1"/>
  <c r="M1159" i="5" s="1"/>
  <c r="M1160" i="5" s="1"/>
  <c r="M1161" i="5" s="1"/>
  <c r="M1162" i="5" s="1"/>
  <c r="M1163" i="5" s="1"/>
  <c r="M1164" i="5" s="1"/>
  <c r="M1165" i="5" s="1"/>
  <c r="M1166" i="5" s="1"/>
  <c r="M1167" i="5" s="1"/>
  <c r="M1168" i="5" s="1"/>
  <c r="M1169" i="5" s="1"/>
  <c r="M1170" i="5" s="1"/>
  <c r="M1171" i="5" s="1"/>
  <c r="M1172" i="5" s="1"/>
  <c r="M1173" i="5" s="1"/>
  <c r="M1174" i="5" s="1"/>
  <c r="M1175" i="5" s="1"/>
  <c r="M1176" i="5" s="1"/>
  <c r="M1177" i="5" s="1"/>
  <c r="M1178" i="5" s="1"/>
  <c r="M1179" i="5" s="1"/>
  <c r="M1180" i="5" s="1"/>
  <c r="M1181" i="5" s="1"/>
  <c r="M1182" i="5" s="1"/>
  <c r="M1183" i="5" s="1"/>
  <c r="M1184" i="5" s="1"/>
  <c r="M1185" i="5" s="1"/>
  <c r="M1186" i="5" s="1"/>
  <c r="M1187" i="5" s="1"/>
  <c r="M1188" i="5" s="1"/>
  <c r="M1189" i="5" s="1"/>
  <c r="M1190" i="5" s="1"/>
  <c r="M1191" i="5" s="1"/>
  <c r="M1192" i="5" s="1"/>
  <c r="M1193" i="5" s="1"/>
  <c r="M1194" i="5" s="1"/>
  <c r="M1195" i="5" s="1"/>
  <c r="M1196" i="5" s="1"/>
  <c r="M1197" i="5" s="1"/>
  <c r="M1198" i="5" s="1"/>
  <c r="M1199" i="5" s="1"/>
  <c r="M1200" i="5" s="1"/>
  <c r="M1201" i="5" s="1"/>
  <c r="M1202" i="5" s="1"/>
  <c r="M1203" i="5" s="1"/>
  <c r="M1204" i="5" s="1"/>
  <c r="M1205" i="5" s="1"/>
  <c r="M1206" i="5" s="1"/>
  <c r="M1207" i="5" s="1"/>
  <c r="M1208" i="5" s="1"/>
  <c r="M1209" i="5" s="1"/>
  <c r="M1210" i="5" s="1"/>
  <c r="M1211" i="5" s="1"/>
  <c r="M1212" i="5" s="1"/>
  <c r="M1213" i="5" s="1"/>
  <c r="M1214" i="5" s="1"/>
  <c r="M1215" i="5" s="1"/>
  <c r="M1216" i="5" s="1"/>
  <c r="M1217" i="5" s="1"/>
  <c r="M1218" i="5" s="1"/>
  <c r="M1219" i="5" s="1"/>
  <c r="M1220" i="5" s="1"/>
  <c r="M1221" i="5" s="1"/>
  <c r="M1222" i="5" s="1"/>
  <c r="M1223" i="5" s="1"/>
  <c r="M1224" i="5" s="1"/>
  <c r="M1225" i="5" s="1"/>
  <c r="M1226" i="5" s="1"/>
  <c r="M1227" i="5" s="1"/>
  <c r="M1228" i="5" s="1"/>
  <c r="M1229" i="5" s="1"/>
  <c r="M1230" i="5" s="1"/>
  <c r="M1231" i="5" s="1"/>
  <c r="M1232" i="5" s="1"/>
  <c r="M1233" i="5" s="1"/>
  <c r="M1234" i="5" s="1"/>
  <c r="M1235" i="5" s="1"/>
  <c r="M1236" i="5" s="1"/>
  <c r="M1237" i="5" s="1"/>
  <c r="M1238" i="5" s="1"/>
  <c r="L43" i="5"/>
  <c r="K43" i="5"/>
  <c r="K44" i="5"/>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297" i="5" s="1"/>
  <c r="K298" i="5" s="1"/>
  <c r="K299" i="5" s="1"/>
  <c r="K300" i="5" s="1"/>
  <c r="K301" i="5" s="1"/>
  <c r="K302" i="5" s="1"/>
  <c r="K303" i="5" s="1"/>
  <c r="K304" i="5" s="1"/>
  <c r="K305" i="5" s="1"/>
  <c r="K306" i="5" s="1"/>
  <c r="K307" i="5" s="1"/>
  <c r="K308" i="5" s="1"/>
  <c r="K309" i="5" s="1"/>
  <c r="K310" i="5" s="1"/>
  <c r="K311" i="5" s="1"/>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96" i="5" s="1"/>
  <c r="K497" i="5" s="1"/>
  <c r="K498" i="5" s="1"/>
  <c r="K499" i="5" s="1"/>
  <c r="K500" i="5" s="1"/>
  <c r="K501" i="5" s="1"/>
  <c r="K502" i="5" s="1"/>
  <c r="K503" i="5" s="1"/>
  <c r="K504" i="5" s="1"/>
  <c r="K505" i="5" s="1"/>
  <c r="K506" i="5" s="1"/>
  <c r="K507" i="5" s="1"/>
  <c r="K508" i="5" s="1"/>
  <c r="K509" i="5" s="1"/>
  <c r="K510" i="5" s="1"/>
  <c r="K511" i="5" s="1"/>
  <c r="K512" i="5" s="1"/>
  <c r="K513" i="5" s="1"/>
  <c r="K514" i="5" s="1"/>
  <c r="K515" i="5" s="1"/>
  <c r="K516" i="5" s="1"/>
  <c r="K517" i="5" s="1"/>
  <c r="K518" i="5" s="1"/>
  <c r="K519" i="5" s="1"/>
  <c r="K520" i="5" s="1"/>
  <c r="K521" i="5" s="1"/>
  <c r="K522" i="5" s="1"/>
  <c r="K523" i="5" s="1"/>
  <c r="K524" i="5" s="1"/>
  <c r="K525" i="5" s="1"/>
  <c r="K526" i="5" s="1"/>
  <c r="K527" i="5" s="1"/>
  <c r="K528" i="5" s="1"/>
  <c r="K529" i="5" s="1"/>
  <c r="K530" i="5" s="1"/>
  <c r="K531" i="5" s="1"/>
  <c r="K532" i="5" s="1"/>
  <c r="K533" i="5" s="1"/>
  <c r="K534" i="5" s="1"/>
  <c r="K535" i="5" s="1"/>
  <c r="K536" i="5" s="1"/>
  <c r="K537" i="5" s="1"/>
  <c r="K538" i="5" s="1"/>
  <c r="K539" i="5" s="1"/>
  <c r="K540" i="5" s="1"/>
  <c r="K541" i="5" s="1"/>
  <c r="K542" i="5" s="1"/>
  <c r="K543" i="5" s="1"/>
  <c r="K544" i="5" s="1"/>
  <c r="K545" i="5" s="1"/>
  <c r="K546" i="5" s="1"/>
  <c r="K547" i="5" s="1"/>
  <c r="K548" i="5" s="1"/>
  <c r="K549" i="5" s="1"/>
  <c r="K550" i="5" s="1"/>
  <c r="K551" i="5" s="1"/>
  <c r="K552" i="5" s="1"/>
  <c r="K553" i="5" s="1"/>
  <c r="K554" i="5" s="1"/>
  <c r="K555" i="5" s="1"/>
  <c r="K556" i="5" s="1"/>
  <c r="K557" i="5" s="1"/>
  <c r="K558" i="5" s="1"/>
  <c r="K559" i="5" s="1"/>
  <c r="K560" i="5" s="1"/>
  <c r="K561" i="5" s="1"/>
  <c r="K562" i="5" s="1"/>
  <c r="K563" i="5" s="1"/>
  <c r="K564" i="5" s="1"/>
  <c r="K565" i="5" s="1"/>
  <c r="K566" i="5" s="1"/>
  <c r="K567" i="5" s="1"/>
  <c r="K568" i="5" s="1"/>
  <c r="K569" i="5" s="1"/>
  <c r="K570" i="5" s="1"/>
  <c r="K571" i="5" s="1"/>
  <c r="K572" i="5" s="1"/>
  <c r="K573" i="5" s="1"/>
  <c r="K574" i="5" s="1"/>
  <c r="K575" i="5" s="1"/>
  <c r="K576" i="5" s="1"/>
  <c r="K577" i="5" s="1"/>
  <c r="K578" i="5" s="1"/>
  <c r="K579" i="5" s="1"/>
  <c r="K580" i="5" s="1"/>
  <c r="K581" i="5" s="1"/>
  <c r="K582" i="5" s="1"/>
  <c r="K583" i="5" s="1"/>
  <c r="K584" i="5" s="1"/>
  <c r="K585" i="5" s="1"/>
  <c r="K586" i="5" s="1"/>
  <c r="K587" i="5" s="1"/>
  <c r="K588" i="5" s="1"/>
  <c r="K589" i="5" s="1"/>
  <c r="K590" i="5" s="1"/>
  <c r="K591" i="5" s="1"/>
  <c r="K592" i="5" s="1"/>
  <c r="K593" i="5" s="1"/>
  <c r="L44" i="5"/>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L290" i="5" s="1"/>
  <c r="L291" i="5" s="1"/>
  <c r="L292" i="5" s="1"/>
  <c r="L293" i="5" s="1"/>
  <c r="L294" i="5" s="1"/>
  <c r="L295" i="5" s="1"/>
  <c r="L296" i="5" s="1"/>
  <c r="L297" i="5" s="1"/>
  <c r="L298" i="5" s="1"/>
  <c r="L299" i="5" s="1"/>
  <c r="L300" i="5" s="1"/>
  <c r="L301" i="5" s="1"/>
  <c r="L302" i="5" s="1"/>
  <c r="L303" i="5" s="1"/>
  <c r="L304" i="5" s="1"/>
  <c r="L305" i="5" s="1"/>
  <c r="L306" i="5" s="1"/>
  <c r="L307" i="5" s="1"/>
  <c r="L308" i="5" s="1"/>
  <c r="L309" i="5" s="1"/>
  <c r="L310" i="5" s="1"/>
  <c r="L311" i="5" s="1"/>
  <c r="L312" i="5" s="1"/>
  <c r="L313" i="5" s="1"/>
  <c r="L314" i="5" s="1"/>
  <c r="L315" i="5" s="1"/>
  <c r="L316" i="5" s="1"/>
  <c r="L317" i="5" s="1"/>
  <c r="L318" i="5" s="1"/>
  <c r="L319" i="5" s="1"/>
  <c r="L320" i="5" s="1"/>
  <c r="L321" i="5" s="1"/>
  <c r="L322" i="5" s="1"/>
  <c r="L323" i="5" s="1"/>
  <c r="L324" i="5" s="1"/>
  <c r="L325" i="5" s="1"/>
  <c r="L326" i="5" s="1"/>
  <c r="L327" i="5" s="1"/>
  <c r="L328" i="5" s="1"/>
  <c r="L329" i="5" s="1"/>
  <c r="L330" i="5" s="1"/>
  <c r="L331" i="5" s="1"/>
  <c r="L332" i="5" s="1"/>
  <c r="L333" i="5" s="1"/>
  <c r="L334" i="5" s="1"/>
  <c r="L335" i="5" s="1"/>
  <c r="L336" i="5" s="1"/>
  <c r="L337" i="5" s="1"/>
  <c r="L338" i="5" s="1"/>
  <c r="L339" i="5" s="1"/>
  <c r="L340" i="5" s="1"/>
  <c r="L341" i="5" s="1"/>
  <c r="L342" i="5" s="1"/>
  <c r="L343" i="5" s="1"/>
  <c r="L344" i="5" s="1"/>
  <c r="L345" i="5" s="1"/>
  <c r="L346" i="5" s="1"/>
  <c r="L347" i="5" s="1"/>
  <c r="L348" i="5" s="1"/>
  <c r="L349" i="5" s="1"/>
  <c r="L350" i="5" s="1"/>
  <c r="L351" i="5" s="1"/>
  <c r="L352" i="5" s="1"/>
  <c r="L353" i="5" s="1"/>
  <c r="L354" i="5" s="1"/>
  <c r="L355" i="5" s="1"/>
  <c r="L356" i="5" s="1"/>
  <c r="L357" i="5" s="1"/>
  <c r="L358" i="5" s="1"/>
  <c r="L359" i="5" s="1"/>
  <c r="L360" i="5" s="1"/>
  <c r="L361" i="5" s="1"/>
  <c r="L362" i="5" s="1"/>
  <c r="L363" i="5" s="1"/>
  <c r="L364" i="5" s="1"/>
  <c r="L365" i="5" s="1"/>
  <c r="L366" i="5" s="1"/>
  <c r="L367" i="5" s="1"/>
  <c r="L368" i="5" s="1"/>
  <c r="L369" i="5" s="1"/>
  <c r="L370" i="5" s="1"/>
  <c r="L371" i="5" s="1"/>
  <c r="L372" i="5" s="1"/>
  <c r="L373" i="5" s="1"/>
  <c r="L374" i="5" s="1"/>
  <c r="L375" i="5" s="1"/>
  <c r="L376" i="5" s="1"/>
  <c r="L377" i="5" s="1"/>
  <c r="L378" i="5" s="1"/>
  <c r="L379" i="5" s="1"/>
  <c r="L380" i="5" s="1"/>
  <c r="L381" i="5" s="1"/>
  <c r="L382" i="5" s="1"/>
  <c r="L383" i="5" s="1"/>
  <c r="L384" i="5" s="1"/>
  <c r="L385" i="5" s="1"/>
  <c r="L386" i="5" s="1"/>
  <c r="L387" i="5" s="1"/>
  <c r="L388" i="5" s="1"/>
  <c r="L389" i="5" s="1"/>
  <c r="L390" i="5" s="1"/>
  <c r="L391" i="5" s="1"/>
  <c r="L392" i="5" s="1"/>
  <c r="L393" i="5" s="1"/>
  <c r="L394" i="5" s="1"/>
  <c r="L395" i="5" s="1"/>
  <c r="L396" i="5" s="1"/>
  <c r="L397" i="5" s="1"/>
  <c r="L398" i="5" s="1"/>
  <c r="L399" i="5" s="1"/>
  <c r="L400" i="5" s="1"/>
  <c r="L401" i="5" s="1"/>
  <c r="L402" i="5" s="1"/>
  <c r="L403" i="5" s="1"/>
  <c r="L404" i="5" s="1"/>
  <c r="L405" i="5" s="1"/>
  <c r="L406" i="5" s="1"/>
  <c r="L407" i="5" s="1"/>
  <c r="L408" i="5" s="1"/>
  <c r="L409" i="5" s="1"/>
  <c r="L410" i="5" s="1"/>
  <c r="L411" i="5" s="1"/>
  <c r="L412" i="5" s="1"/>
  <c r="L413" i="5" s="1"/>
  <c r="L414" i="5" s="1"/>
  <c r="L415" i="5" s="1"/>
  <c r="L416" i="5" s="1"/>
  <c r="L417" i="5" s="1"/>
  <c r="L418" i="5" s="1"/>
  <c r="L419" i="5" s="1"/>
  <c r="L420" i="5" s="1"/>
  <c r="L421" i="5" s="1"/>
  <c r="L422" i="5" s="1"/>
  <c r="L423" i="5" s="1"/>
  <c r="L424" i="5" s="1"/>
  <c r="L425" i="5" s="1"/>
  <c r="L426" i="5" s="1"/>
  <c r="L427" i="5" s="1"/>
  <c r="L428" i="5" s="1"/>
  <c r="L429" i="5" s="1"/>
  <c r="L430" i="5" s="1"/>
  <c r="L431" i="5" s="1"/>
  <c r="L432" i="5" s="1"/>
  <c r="L433" i="5" s="1"/>
  <c r="L434" i="5" s="1"/>
  <c r="L435" i="5" s="1"/>
  <c r="L436" i="5" s="1"/>
  <c r="L437" i="5" s="1"/>
  <c r="L438" i="5" s="1"/>
  <c r="L439" i="5" s="1"/>
  <c r="L440" i="5" s="1"/>
  <c r="L441" i="5" s="1"/>
  <c r="L442" i="5" s="1"/>
  <c r="L443" i="5" s="1"/>
  <c r="L444" i="5" s="1"/>
  <c r="L445" i="5" s="1"/>
  <c r="L446" i="5" s="1"/>
  <c r="L447" i="5" s="1"/>
  <c r="L448" i="5" s="1"/>
  <c r="L449" i="5" s="1"/>
  <c r="L450" i="5" s="1"/>
  <c r="L451" i="5" s="1"/>
  <c r="L452" i="5" s="1"/>
  <c r="L453" i="5" s="1"/>
  <c r="L454" i="5" s="1"/>
  <c r="L455" i="5" s="1"/>
  <c r="L456" i="5" s="1"/>
  <c r="L457" i="5" s="1"/>
  <c r="L458" i="5" s="1"/>
  <c r="L459" i="5" s="1"/>
  <c r="L460" i="5" s="1"/>
  <c r="L461" i="5" s="1"/>
  <c r="L462" i="5" s="1"/>
  <c r="L463" i="5" s="1"/>
  <c r="L464" i="5" s="1"/>
  <c r="L465" i="5" s="1"/>
  <c r="L466" i="5" s="1"/>
  <c r="L467" i="5" s="1"/>
  <c r="L468" i="5" s="1"/>
  <c r="L469" i="5" s="1"/>
  <c r="L470" i="5" s="1"/>
  <c r="L471" i="5" s="1"/>
  <c r="L472" i="5" s="1"/>
  <c r="L473" i="5" s="1"/>
  <c r="L474" i="5" s="1"/>
  <c r="L475" i="5" s="1"/>
  <c r="L476" i="5" s="1"/>
  <c r="L477" i="5" s="1"/>
  <c r="L478" i="5" s="1"/>
  <c r="L479" i="5" s="1"/>
  <c r="L480" i="5" s="1"/>
  <c r="L481" i="5" s="1"/>
  <c r="L482" i="5" s="1"/>
  <c r="L483" i="5" s="1"/>
  <c r="L484" i="5" s="1"/>
  <c r="L485" i="5" s="1"/>
  <c r="L486" i="5" s="1"/>
  <c r="L487" i="5" s="1"/>
  <c r="L488" i="5" s="1"/>
  <c r="L489" i="5" s="1"/>
  <c r="L490" i="5" s="1"/>
  <c r="L491" i="5" s="1"/>
  <c r="L492" i="5" s="1"/>
  <c r="L493" i="5" s="1"/>
  <c r="L494" i="5" s="1"/>
  <c r="L495" i="5" s="1"/>
  <c r="L496" i="5" s="1"/>
  <c r="L497" i="5" s="1"/>
  <c r="L498" i="5" s="1"/>
  <c r="L499" i="5" s="1"/>
  <c r="L500" i="5" s="1"/>
  <c r="L501" i="5" s="1"/>
  <c r="L502" i="5" s="1"/>
  <c r="L503" i="5" s="1"/>
  <c r="L504" i="5" s="1"/>
  <c r="L505" i="5" s="1"/>
  <c r="L506" i="5" s="1"/>
  <c r="L507" i="5" s="1"/>
  <c r="L508" i="5" s="1"/>
  <c r="L509" i="5" s="1"/>
  <c r="L510" i="5" s="1"/>
  <c r="L511" i="5" s="1"/>
  <c r="L512" i="5" s="1"/>
  <c r="L513" i="5" s="1"/>
  <c r="L514" i="5" s="1"/>
  <c r="L515" i="5" s="1"/>
  <c r="L516" i="5" s="1"/>
  <c r="L517" i="5" s="1"/>
  <c r="L518" i="5" s="1"/>
  <c r="L519" i="5" s="1"/>
  <c r="L520" i="5" s="1"/>
  <c r="L521" i="5" s="1"/>
  <c r="L522" i="5" s="1"/>
  <c r="L523" i="5" s="1"/>
  <c r="L524" i="5" s="1"/>
  <c r="L525" i="5" s="1"/>
  <c r="L526" i="5" s="1"/>
  <c r="L527" i="5" s="1"/>
  <c r="L528" i="5" s="1"/>
  <c r="L529" i="5" s="1"/>
  <c r="L530" i="5" s="1"/>
  <c r="L531" i="5" s="1"/>
  <c r="L532" i="5" s="1"/>
  <c r="L533" i="5" s="1"/>
  <c r="L534" i="5" s="1"/>
  <c r="L535" i="5" s="1"/>
  <c r="L536" i="5" s="1"/>
  <c r="L537" i="5" s="1"/>
  <c r="L538" i="5" s="1"/>
  <c r="L539" i="5" s="1"/>
  <c r="L540" i="5" s="1"/>
  <c r="L541" i="5" s="1"/>
  <c r="L542" i="5" s="1"/>
  <c r="L543" i="5" s="1"/>
  <c r="L544" i="5" s="1"/>
  <c r="L545" i="5" s="1"/>
  <c r="L546" i="5" s="1"/>
  <c r="L547" i="5" s="1"/>
  <c r="L548" i="5" s="1"/>
  <c r="L549" i="5" s="1"/>
  <c r="L550" i="5" s="1"/>
  <c r="L551" i="5" s="1"/>
  <c r="L552" i="5" s="1"/>
  <c r="L553" i="5" s="1"/>
  <c r="L554" i="5" s="1"/>
  <c r="L555" i="5" s="1"/>
  <c r="L556" i="5" s="1"/>
  <c r="L557" i="5" s="1"/>
  <c r="L558" i="5" s="1"/>
  <c r="L559" i="5" s="1"/>
  <c r="L560" i="5" s="1"/>
  <c r="L561" i="5" s="1"/>
  <c r="L562" i="5" s="1"/>
  <c r="L563" i="5" s="1"/>
  <c r="L564" i="5" s="1"/>
  <c r="L565" i="5" s="1"/>
  <c r="L566" i="5" s="1"/>
  <c r="L567" i="5" s="1"/>
  <c r="L568" i="5" s="1"/>
  <c r="L569" i="5" s="1"/>
  <c r="L570" i="5" s="1"/>
  <c r="L571" i="5" s="1"/>
  <c r="L572" i="5" s="1"/>
  <c r="L573" i="5" s="1"/>
  <c r="L574" i="5" s="1"/>
  <c r="L575" i="5" s="1"/>
  <c r="L576" i="5" s="1"/>
  <c r="L577" i="5" s="1"/>
  <c r="L578" i="5" s="1"/>
  <c r="L579" i="5" s="1"/>
  <c r="L580" i="5" s="1"/>
  <c r="L581" i="5" s="1"/>
  <c r="L582" i="5" s="1"/>
  <c r="L583" i="5" s="1"/>
  <c r="L584" i="5" s="1"/>
  <c r="L585" i="5" s="1"/>
  <c r="L586" i="5" s="1"/>
  <c r="L587" i="5" s="1"/>
  <c r="L588" i="5" s="1"/>
  <c r="L589" i="5" s="1"/>
  <c r="L590" i="5" s="1"/>
  <c r="L591" i="5" s="1"/>
  <c r="L592" i="5" s="1"/>
  <c r="L593" i="5" s="1"/>
  <c r="L594" i="5" s="1"/>
  <c r="L595" i="5" s="1"/>
  <c r="L596" i="5" s="1"/>
  <c r="L597" i="5" s="1"/>
  <c r="L598" i="5" s="1"/>
  <c r="L599" i="5" s="1"/>
  <c r="L600" i="5" s="1"/>
  <c r="L601" i="5" s="1"/>
  <c r="L602" i="5" s="1"/>
  <c r="L603" i="5" s="1"/>
  <c r="L604" i="5" s="1"/>
  <c r="L605" i="5" s="1"/>
  <c r="L606" i="5" s="1"/>
  <c r="L607" i="5" s="1"/>
  <c r="L608" i="5" s="1"/>
  <c r="L609" i="5" s="1"/>
  <c r="L610" i="5" s="1"/>
  <c r="L611" i="5" s="1"/>
  <c r="L612" i="5" s="1"/>
  <c r="L613" i="5" s="1"/>
  <c r="L614" i="5" s="1"/>
  <c r="L615" i="5" s="1"/>
  <c r="L616" i="5" s="1"/>
  <c r="L617" i="5" s="1"/>
  <c r="L618" i="5" s="1"/>
  <c r="L619" i="5" s="1"/>
  <c r="L620" i="5" s="1"/>
  <c r="L621" i="5" s="1"/>
  <c r="L622" i="5" s="1"/>
  <c r="L623" i="5" s="1"/>
  <c r="L624" i="5" s="1"/>
  <c r="L625" i="5" s="1"/>
  <c r="L626" i="5" s="1"/>
  <c r="L627" i="5" s="1"/>
  <c r="L628" i="5" s="1"/>
  <c r="L629" i="5" s="1"/>
  <c r="L630" i="5" s="1"/>
  <c r="L631" i="5" s="1"/>
  <c r="L632" i="5" s="1"/>
  <c r="L633" i="5" s="1"/>
  <c r="L634" i="5" s="1"/>
  <c r="L635" i="5" s="1"/>
  <c r="L636" i="5" s="1"/>
  <c r="L637" i="5" s="1"/>
  <c r="L638" i="5" s="1"/>
  <c r="L639" i="5" s="1"/>
  <c r="L640" i="5" s="1"/>
  <c r="L641" i="5" s="1"/>
  <c r="L642" i="5" s="1"/>
  <c r="L643" i="5" s="1"/>
  <c r="L644" i="5" s="1"/>
  <c r="L645" i="5" s="1"/>
  <c r="L646" i="5" s="1"/>
  <c r="L647" i="5" s="1"/>
  <c r="L648" i="5" s="1"/>
  <c r="L649" i="5" s="1"/>
  <c r="L650" i="5" s="1"/>
  <c r="L651" i="5" s="1"/>
  <c r="L652" i="5" s="1"/>
  <c r="L653" i="5" s="1"/>
  <c r="L654" i="5" s="1"/>
  <c r="L655" i="5" s="1"/>
  <c r="L656" i="5" s="1"/>
  <c r="L657" i="5" s="1"/>
  <c r="L658" i="5" s="1"/>
  <c r="L659" i="5" s="1"/>
  <c r="L660" i="5" s="1"/>
  <c r="L661" i="5" s="1"/>
  <c r="L662" i="5" s="1"/>
  <c r="L663" i="5" s="1"/>
  <c r="L664" i="5" s="1"/>
  <c r="L665" i="5" s="1"/>
  <c r="L666" i="5" s="1"/>
  <c r="L667" i="5" s="1"/>
  <c r="L668" i="5" s="1"/>
  <c r="L669" i="5" s="1"/>
  <c r="L670" i="5" s="1"/>
  <c r="L671" i="5" s="1"/>
  <c r="L672" i="5" s="1"/>
  <c r="L673" i="5" s="1"/>
  <c r="L674" i="5" s="1"/>
  <c r="L675" i="5" s="1"/>
  <c r="L676" i="5" s="1"/>
  <c r="L677" i="5" s="1"/>
  <c r="L678" i="5" s="1"/>
  <c r="L679" i="5" s="1"/>
  <c r="L680" i="5" s="1"/>
  <c r="L681" i="5" s="1"/>
  <c r="L682" i="5" s="1"/>
  <c r="L683" i="5" s="1"/>
  <c r="L684" i="5" s="1"/>
  <c r="L685" i="5" s="1"/>
  <c r="L686" i="5" s="1"/>
  <c r="L687" i="5" s="1"/>
  <c r="L688" i="5" s="1"/>
  <c r="L689" i="5" s="1"/>
  <c r="L690" i="5" s="1"/>
  <c r="L691" i="5" s="1"/>
  <c r="L692" i="5" s="1"/>
  <c r="L693" i="5" s="1"/>
  <c r="L694" i="5" s="1"/>
  <c r="L695" i="5" s="1"/>
  <c r="L696" i="5" s="1"/>
  <c r="L697" i="5" s="1"/>
  <c r="L698" i="5" s="1"/>
  <c r="L699" i="5" s="1"/>
  <c r="L700" i="5" s="1"/>
  <c r="L701" i="5" s="1"/>
  <c r="L702" i="5" s="1"/>
  <c r="L703" i="5" s="1"/>
  <c r="L704" i="5" s="1"/>
  <c r="L705" i="5" s="1"/>
  <c r="L706" i="5" s="1"/>
  <c r="L707" i="5" s="1"/>
  <c r="L708" i="5" s="1"/>
  <c r="L709" i="5" s="1"/>
  <c r="L710" i="5" s="1"/>
  <c r="L711" i="5" s="1"/>
  <c r="L712" i="5" s="1"/>
  <c r="L713" i="5" s="1"/>
  <c r="L714" i="5" s="1"/>
  <c r="L715" i="5" s="1"/>
  <c r="L716" i="5" s="1"/>
  <c r="L717" i="5" s="1"/>
  <c r="L718" i="5" s="1"/>
  <c r="L719" i="5" s="1"/>
  <c r="L720" i="5" s="1"/>
  <c r="L721" i="5" s="1"/>
  <c r="L722" i="5" s="1"/>
  <c r="L723" i="5" s="1"/>
  <c r="L724" i="5" s="1"/>
  <c r="L725" i="5" s="1"/>
  <c r="L726" i="5" s="1"/>
  <c r="L727" i="5" s="1"/>
  <c r="L728" i="5" s="1"/>
  <c r="L729" i="5" s="1"/>
  <c r="L730" i="5" s="1"/>
  <c r="L731" i="5" s="1"/>
  <c r="L732" i="5" s="1"/>
  <c r="L733" i="5" s="1"/>
  <c r="L734" i="5" s="1"/>
  <c r="L735" i="5" s="1"/>
  <c r="L736" i="5" s="1"/>
  <c r="L737" i="5" s="1"/>
  <c r="L738" i="5" s="1"/>
  <c r="L739" i="5" s="1"/>
  <c r="L740" i="5" s="1"/>
  <c r="L741" i="5" s="1"/>
  <c r="L742" i="5" s="1"/>
  <c r="L743" i="5" s="1"/>
  <c r="L744" i="5" s="1"/>
  <c r="L745" i="5" s="1"/>
  <c r="L746" i="5" s="1"/>
  <c r="L747" i="5" s="1"/>
  <c r="L748" i="5" s="1"/>
  <c r="L749" i="5" s="1"/>
  <c r="L750" i="5" s="1"/>
  <c r="L751" i="5" s="1"/>
  <c r="L752" i="5" s="1"/>
  <c r="L753" i="5" s="1"/>
  <c r="L754" i="5" s="1"/>
  <c r="L755" i="5" s="1"/>
  <c r="L756" i="5" s="1"/>
  <c r="L757" i="5" s="1"/>
  <c r="L758" i="5" s="1"/>
  <c r="L759" i="5" s="1"/>
  <c r="L760" i="5" s="1"/>
  <c r="L761" i="5" s="1"/>
  <c r="L762" i="5" s="1"/>
  <c r="L763" i="5" s="1"/>
  <c r="L764" i="5" s="1"/>
  <c r="L765" i="5" s="1"/>
  <c r="L766" i="5" s="1"/>
  <c r="L767" i="5" s="1"/>
  <c r="L768" i="5" s="1"/>
  <c r="L769" i="5" s="1"/>
  <c r="L770" i="5" s="1"/>
  <c r="L771" i="5" s="1"/>
  <c r="L772" i="5" s="1"/>
  <c r="L773" i="5" s="1"/>
  <c r="L774" i="5" s="1"/>
  <c r="L775" i="5" s="1"/>
  <c r="L776" i="5" s="1"/>
  <c r="L777" i="5" s="1"/>
  <c r="L778" i="5" s="1"/>
  <c r="L779" i="5" s="1"/>
  <c r="L780" i="5" s="1"/>
  <c r="L781" i="5" s="1"/>
  <c r="L782" i="5" s="1"/>
  <c r="L783" i="5" s="1"/>
  <c r="L784" i="5" s="1"/>
  <c r="L785" i="5" s="1"/>
  <c r="L786" i="5" s="1"/>
  <c r="L787" i="5" s="1"/>
  <c r="L788" i="5" s="1"/>
  <c r="L789" i="5" s="1"/>
  <c r="L790" i="5" s="1"/>
  <c r="L791" i="5" s="1"/>
  <c r="L792" i="5" s="1"/>
  <c r="L793" i="5" s="1"/>
  <c r="L794" i="5" s="1"/>
  <c r="L795" i="5" s="1"/>
  <c r="L796" i="5" s="1"/>
  <c r="L797" i="5" s="1"/>
  <c r="L798" i="5" s="1"/>
  <c r="L799" i="5" s="1"/>
  <c r="L800" i="5" s="1"/>
  <c r="L801" i="5" s="1"/>
  <c r="L802" i="5" s="1"/>
  <c r="L803" i="5" s="1"/>
  <c r="L804" i="5" s="1"/>
  <c r="L805" i="5" s="1"/>
  <c r="L806" i="5" s="1"/>
  <c r="L807" i="5" s="1"/>
  <c r="L808" i="5" s="1"/>
  <c r="L809" i="5" s="1"/>
  <c r="L810" i="5" s="1"/>
  <c r="L811" i="5" s="1"/>
  <c r="L812" i="5" s="1"/>
  <c r="L813" i="5" s="1"/>
  <c r="L814" i="5" s="1"/>
  <c r="L815" i="5" s="1"/>
  <c r="L816" i="5" s="1"/>
  <c r="L817" i="5" s="1"/>
  <c r="L818" i="5" s="1"/>
  <c r="L819" i="5" s="1"/>
  <c r="L820" i="5" s="1"/>
  <c r="L821" i="5" s="1"/>
  <c r="L822" i="5" s="1"/>
  <c r="L823" i="5" s="1"/>
  <c r="L824" i="5" s="1"/>
  <c r="L825" i="5" s="1"/>
  <c r="L826" i="5" s="1"/>
  <c r="L827" i="5" s="1"/>
  <c r="L828" i="5" s="1"/>
  <c r="L829" i="5" s="1"/>
  <c r="L830" i="5" s="1"/>
  <c r="L831" i="5" s="1"/>
  <c r="L832" i="5" s="1"/>
  <c r="L833" i="5" s="1"/>
  <c r="L834" i="5" s="1"/>
  <c r="L835" i="5" s="1"/>
  <c r="L836" i="5" s="1"/>
  <c r="L837" i="5" s="1"/>
  <c r="L838" i="5" s="1"/>
  <c r="L839" i="5" s="1"/>
  <c r="L840" i="5" s="1"/>
  <c r="L841" i="5" s="1"/>
  <c r="L842" i="5" s="1"/>
  <c r="L843" i="5" s="1"/>
  <c r="L844" i="5" s="1"/>
  <c r="L845" i="5" s="1"/>
  <c r="L846" i="5" s="1"/>
  <c r="L847" i="5" s="1"/>
  <c r="L848" i="5" s="1"/>
  <c r="L849" i="5" s="1"/>
  <c r="L850" i="5" s="1"/>
  <c r="L851" i="5" s="1"/>
  <c r="L852" i="5" s="1"/>
  <c r="L853" i="5" s="1"/>
  <c r="L854" i="5" s="1"/>
  <c r="L855" i="5" s="1"/>
  <c r="L856" i="5" s="1"/>
  <c r="L857" i="5" s="1"/>
  <c r="L858" i="5" s="1"/>
  <c r="L859" i="5" s="1"/>
  <c r="L860" i="5" s="1"/>
  <c r="L861" i="5" s="1"/>
  <c r="L862" i="5" s="1"/>
  <c r="L863" i="5" s="1"/>
  <c r="L864" i="5" s="1"/>
  <c r="L865" i="5" s="1"/>
  <c r="L866" i="5" s="1"/>
  <c r="L867" i="5" s="1"/>
  <c r="L868" i="5" s="1"/>
  <c r="L869" i="5" s="1"/>
  <c r="L870" i="5" s="1"/>
  <c r="L871" i="5" s="1"/>
  <c r="L872" i="5" s="1"/>
  <c r="L873" i="5" s="1"/>
  <c r="L874" i="5" s="1"/>
  <c r="L875" i="5" s="1"/>
  <c r="L876" i="5" s="1"/>
  <c r="L877" i="5" s="1"/>
  <c r="L878" i="5" s="1"/>
  <c r="L879" i="5" s="1"/>
  <c r="L880" i="5" s="1"/>
  <c r="L881" i="5" s="1"/>
  <c r="L882" i="5" s="1"/>
  <c r="L883" i="5" s="1"/>
  <c r="L884" i="5" s="1"/>
  <c r="L885" i="5" s="1"/>
  <c r="L886" i="5" s="1"/>
  <c r="L887" i="5" s="1"/>
  <c r="L888" i="5" s="1"/>
  <c r="L889" i="5" s="1"/>
  <c r="L890" i="5" s="1"/>
  <c r="L891" i="5" s="1"/>
  <c r="L892" i="5" s="1"/>
  <c r="L893" i="5" s="1"/>
  <c r="L894" i="5" s="1"/>
  <c r="L895" i="5" s="1"/>
  <c r="L896" i="5" s="1"/>
  <c r="L897" i="5" s="1"/>
  <c r="L898" i="5" s="1"/>
  <c r="L899" i="5" s="1"/>
  <c r="L900" i="5" s="1"/>
  <c r="L901" i="5" s="1"/>
  <c r="L902" i="5" s="1"/>
  <c r="L903" i="5" s="1"/>
  <c r="L904" i="5" s="1"/>
  <c r="L905" i="5" s="1"/>
  <c r="L906" i="5" s="1"/>
  <c r="L907" i="5" s="1"/>
  <c r="L908" i="5" s="1"/>
  <c r="L909" i="5" s="1"/>
  <c r="L910" i="5" s="1"/>
  <c r="L911" i="5" s="1"/>
  <c r="L912" i="5" s="1"/>
  <c r="L913" i="5" s="1"/>
  <c r="L914" i="5" s="1"/>
  <c r="L915" i="5" s="1"/>
  <c r="L916" i="5" s="1"/>
  <c r="L917" i="5" s="1"/>
  <c r="L918" i="5" s="1"/>
  <c r="L919" i="5" s="1"/>
  <c r="L920" i="5" s="1"/>
  <c r="L921" i="5" s="1"/>
  <c r="L922" i="5" s="1"/>
  <c r="L923" i="5" s="1"/>
  <c r="L924" i="5" s="1"/>
  <c r="L925" i="5" s="1"/>
  <c r="L926" i="5" s="1"/>
  <c r="L927" i="5" s="1"/>
  <c r="L928" i="5" s="1"/>
  <c r="L929" i="5" s="1"/>
  <c r="L930" i="5" s="1"/>
  <c r="L931" i="5" s="1"/>
  <c r="L932" i="5" s="1"/>
  <c r="L933" i="5" s="1"/>
  <c r="L934" i="5" s="1"/>
  <c r="L935" i="5" s="1"/>
  <c r="L936" i="5" s="1"/>
  <c r="L937" i="5" s="1"/>
  <c r="L938" i="5" s="1"/>
  <c r="L939" i="5" s="1"/>
  <c r="L940" i="5" s="1"/>
  <c r="L941" i="5" s="1"/>
  <c r="L942" i="5" s="1"/>
  <c r="L943" i="5" s="1"/>
  <c r="L944" i="5" s="1"/>
  <c r="L945" i="5" s="1"/>
  <c r="L946" i="5" s="1"/>
  <c r="L947" i="5" s="1"/>
  <c r="L948" i="5" s="1"/>
  <c r="L949" i="5" s="1"/>
  <c r="L950" i="5" s="1"/>
  <c r="L951" i="5" s="1"/>
  <c r="L952" i="5" s="1"/>
  <c r="L953" i="5" s="1"/>
  <c r="L954" i="5" s="1"/>
  <c r="L955" i="5" s="1"/>
  <c r="L956" i="5" s="1"/>
  <c r="L957" i="5" s="1"/>
  <c r="L958" i="5" s="1"/>
  <c r="L959" i="5" s="1"/>
  <c r="L960" i="5" s="1"/>
  <c r="L961" i="5" s="1"/>
  <c r="L962" i="5" s="1"/>
  <c r="L963" i="5" s="1"/>
  <c r="L964" i="5" s="1"/>
  <c r="L965" i="5" s="1"/>
  <c r="L966" i="5" s="1"/>
  <c r="L967" i="5" s="1"/>
  <c r="L968" i="5" s="1"/>
  <c r="L969" i="5" s="1"/>
  <c r="L970" i="5" s="1"/>
  <c r="L971" i="5" s="1"/>
  <c r="L972" i="5" s="1"/>
  <c r="L973" i="5" s="1"/>
  <c r="L974" i="5" s="1"/>
  <c r="L975" i="5" s="1"/>
  <c r="L976" i="5" s="1"/>
  <c r="L977" i="5" s="1"/>
  <c r="L978" i="5" s="1"/>
  <c r="L979" i="5" s="1"/>
  <c r="L980" i="5" s="1"/>
  <c r="L981" i="5" s="1"/>
  <c r="L982" i="5" s="1"/>
  <c r="L983" i="5" s="1"/>
  <c r="L984" i="5" s="1"/>
  <c r="L985" i="5" s="1"/>
  <c r="L986" i="5" s="1"/>
  <c r="L987" i="5" s="1"/>
  <c r="L988" i="5" s="1"/>
  <c r="L989" i="5" s="1"/>
  <c r="L990" i="5" s="1"/>
  <c r="L991" i="5" s="1"/>
  <c r="L992" i="5" s="1"/>
  <c r="L993" i="5" s="1"/>
  <c r="L994" i="5" s="1"/>
  <c r="L995" i="5" s="1"/>
  <c r="L996" i="5" s="1"/>
  <c r="L997" i="5" s="1"/>
  <c r="L998" i="5" s="1"/>
  <c r="L999" i="5" s="1"/>
  <c r="L1000" i="5" s="1"/>
  <c r="L1001" i="5" s="1"/>
  <c r="L1002" i="5" s="1"/>
  <c r="L1003" i="5" s="1"/>
  <c r="L1004" i="5" s="1"/>
  <c r="L1005" i="5" s="1"/>
  <c r="L1006" i="5" s="1"/>
  <c r="L1007" i="5" s="1"/>
  <c r="L1008" i="5" s="1"/>
  <c r="L1009" i="5" s="1"/>
  <c r="L1010" i="5" s="1"/>
  <c r="L1011" i="5" s="1"/>
  <c r="L1012" i="5" s="1"/>
  <c r="L1013" i="5" s="1"/>
  <c r="L1014" i="5" s="1"/>
  <c r="L1015" i="5" s="1"/>
  <c r="L1016" i="5" s="1"/>
  <c r="L1017" i="5" s="1"/>
  <c r="L1018" i="5" s="1"/>
  <c r="L1019" i="5" s="1"/>
  <c r="L1020" i="5" s="1"/>
  <c r="L1021" i="5" s="1"/>
  <c r="L1022" i="5" s="1"/>
  <c r="L1023" i="5" s="1"/>
  <c r="L1024" i="5" s="1"/>
  <c r="L1025" i="5" s="1"/>
  <c r="L1026" i="5" s="1"/>
  <c r="L1027" i="5" s="1"/>
  <c r="L1028" i="5" s="1"/>
  <c r="L1029" i="5" s="1"/>
  <c r="L1030" i="5" s="1"/>
  <c r="L1031" i="5" s="1"/>
  <c r="L1032" i="5" s="1"/>
  <c r="L1033" i="5" s="1"/>
  <c r="L1034" i="5" s="1"/>
  <c r="L1035" i="5" s="1"/>
  <c r="L1036" i="5" s="1"/>
  <c r="L1037" i="5" s="1"/>
  <c r="L1038" i="5" s="1"/>
  <c r="L1039" i="5" s="1"/>
  <c r="L1040" i="5" s="1"/>
  <c r="L1041" i="5" s="1"/>
  <c r="L1042" i="5" s="1"/>
  <c r="L1043" i="5" s="1"/>
  <c r="L1044" i="5" s="1"/>
  <c r="L1045" i="5" s="1"/>
  <c r="L1046" i="5" s="1"/>
  <c r="L1047" i="5" s="1"/>
  <c r="L1048" i="5" s="1"/>
  <c r="L1049" i="5" s="1"/>
  <c r="L1050" i="5" s="1"/>
  <c r="L1051" i="5" s="1"/>
  <c r="L1052" i="5" s="1"/>
  <c r="L1053" i="5" s="1"/>
  <c r="L1054" i="5" s="1"/>
  <c r="L1055" i="5" s="1"/>
  <c r="L1056" i="5" s="1"/>
  <c r="L1057" i="5" s="1"/>
  <c r="L1058" i="5" s="1"/>
  <c r="L1059" i="5" s="1"/>
  <c r="L1060" i="5" s="1"/>
  <c r="L1061" i="5" s="1"/>
  <c r="L1062" i="5" s="1"/>
  <c r="L1063" i="5" s="1"/>
  <c r="L1064" i="5" s="1"/>
  <c r="L1065" i="5" s="1"/>
  <c r="L1066" i="5" s="1"/>
  <c r="L1067" i="5" s="1"/>
  <c r="L1068" i="5" s="1"/>
  <c r="L1069" i="5" s="1"/>
  <c r="L1070" i="5" s="1"/>
  <c r="L1071" i="5" s="1"/>
  <c r="L1072" i="5" s="1"/>
  <c r="L1073" i="5" s="1"/>
  <c r="L1074" i="5" s="1"/>
  <c r="L1075" i="5" s="1"/>
  <c r="L1076" i="5" s="1"/>
  <c r="L1077" i="5" s="1"/>
  <c r="L1078" i="5" s="1"/>
  <c r="O1552" i="5"/>
  <c r="B87" i="40" s="1"/>
  <c r="I87" i="40" s="1"/>
  <c r="O1530" i="5"/>
  <c r="B86" i="40" s="1"/>
  <c r="I86" i="40" s="1"/>
  <c r="O281" i="5"/>
  <c r="H281" i="5" s="1"/>
  <c r="O266" i="5"/>
  <c r="O188" i="5"/>
  <c r="H188" i="5" s="1"/>
  <c r="O173" i="5"/>
  <c r="B94" i="40" s="1"/>
  <c r="I94" i="40" s="1"/>
  <c r="B142" i="3"/>
  <c r="I142" i="3" s="1"/>
  <c r="O1557" i="5"/>
  <c r="O1555" i="5"/>
  <c r="O1534" i="5"/>
  <c r="O1533" i="5"/>
  <c r="F3" i="5"/>
  <c r="F11" i="5" s="1"/>
  <c r="F1175" i="5"/>
  <c r="F4" i="5"/>
  <c r="H20" i="15"/>
  <c r="H27" i="15" s="1"/>
  <c r="E20" i="15"/>
  <c r="E27" i="15" s="1"/>
  <c r="G20" i="15"/>
  <c r="G27" i="15" s="1"/>
  <c r="D64" i="15"/>
  <c r="G11" i="16"/>
  <c r="I11" i="16" s="1"/>
  <c r="D33" i="16"/>
  <c r="D20" i="15"/>
  <c r="D63" i="15"/>
  <c r="G39" i="16"/>
  <c r="I39" i="16" s="1"/>
  <c r="J6" i="16"/>
  <c r="B34" i="3"/>
  <c r="O752" i="5"/>
  <c r="O1003" i="5"/>
  <c r="J23" i="16"/>
  <c r="J11" i="16"/>
  <c r="O1295" i="5"/>
  <c r="B66" i="40" s="1"/>
  <c r="I66" i="40" s="1"/>
  <c r="O1225" i="5"/>
  <c r="B63" i="40" s="1"/>
  <c r="I63" i="40" s="1"/>
  <c r="C99" i="3"/>
  <c r="C98" i="3"/>
  <c r="C96" i="3"/>
  <c r="C94" i="3"/>
  <c r="C93" i="3"/>
  <c r="C90" i="3"/>
  <c r="C89" i="3"/>
  <c r="C104" i="3"/>
  <c r="C103" i="3"/>
  <c r="C87" i="3"/>
  <c r="C55" i="3"/>
  <c r="C118" i="3"/>
  <c r="H32" i="12"/>
  <c r="H33" i="12"/>
  <c r="H34" i="12"/>
  <c r="H35" i="12"/>
  <c r="H36" i="12"/>
  <c r="H31" i="12"/>
  <c r="G32" i="12"/>
  <c r="G33" i="12"/>
  <c r="G34" i="12"/>
  <c r="I34" i="12" s="1"/>
  <c r="H33" i="40" s="1"/>
  <c r="G35" i="12"/>
  <c r="G36" i="12"/>
  <c r="G31" i="12"/>
  <c r="F32" i="12"/>
  <c r="F33" i="12"/>
  <c r="F34" i="12"/>
  <c r="F35" i="12"/>
  <c r="F36" i="12"/>
  <c r="F31" i="12"/>
  <c r="B37" i="3"/>
  <c r="B36" i="3"/>
  <c r="B35" i="3"/>
  <c r="B33" i="3"/>
  <c r="B32" i="3"/>
  <c r="O1574" i="5"/>
  <c r="O1505" i="5"/>
  <c r="O1436" i="5"/>
  <c r="O1599" i="5"/>
  <c r="B88" i="40" s="1"/>
  <c r="I88" i="40" s="1"/>
  <c r="O1577" i="5"/>
  <c r="B44" i="40" s="1"/>
  <c r="I44" i="40" s="1"/>
  <c r="O1508" i="5"/>
  <c r="B114" i="40" s="1"/>
  <c r="I114" i="40" s="1"/>
  <c r="O1483" i="5"/>
  <c r="B70" i="40" s="1"/>
  <c r="I70" i="40" s="1"/>
  <c r="O1461" i="5"/>
  <c r="B85" i="40" s="1"/>
  <c r="I85" i="40" s="1"/>
  <c r="O1439" i="5"/>
  <c r="B113" i="40" s="1"/>
  <c r="I113" i="40" s="1"/>
  <c r="C130" i="3"/>
  <c r="O1386" i="5"/>
  <c r="O1317" i="5"/>
  <c r="O1248" i="5"/>
  <c r="O1178" i="5"/>
  <c r="O1411" i="5"/>
  <c r="B84" i="40" s="1"/>
  <c r="I84" i="40" s="1"/>
  <c r="O1389" i="5"/>
  <c r="B83" i="40" s="1"/>
  <c r="I83" i="40" s="1"/>
  <c r="O1364" i="5"/>
  <c r="B69" i="40" s="1"/>
  <c r="I69" i="40" s="1"/>
  <c r="O1342" i="5"/>
  <c r="B68" i="40" s="1"/>
  <c r="I68" i="40" s="1"/>
  <c r="O1320" i="5"/>
  <c r="B67" i="40" s="1"/>
  <c r="I67" i="40" s="1"/>
  <c r="O1273" i="5"/>
  <c r="B65" i="40" s="1"/>
  <c r="I65" i="40" s="1"/>
  <c r="O1251" i="5"/>
  <c r="B64" i="40" s="1"/>
  <c r="I64" i="40" s="1"/>
  <c r="O1203" i="5"/>
  <c r="B62" i="40" s="1"/>
  <c r="I62" i="40" s="1"/>
  <c r="O1181" i="5"/>
  <c r="B112" i="40" s="1"/>
  <c r="I112" i="40" s="1"/>
  <c r="O1128" i="5"/>
  <c r="O1103" i="5"/>
  <c r="O1078" i="5"/>
  <c r="O1153" i="5"/>
  <c r="B61" i="40" s="1"/>
  <c r="I61" i="40" s="1"/>
  <c r="O1131" i="5"/>
  <c r="B111" i="40" s="1"/>
  <c r="I111" i="40" s="1"/>
  <c r="O1106" i="5"/>
  <c r="B60" i="40" s="1"/>
  <c r="I60" i="40" s="1"/>
  <c r="O1081" i="5"/>
  <c r="B59" i="40" s="1"/>
  <c r="I59" i="40" s="1"/>
  <c r="O1050" i="5"/>
  <c r="O912" i="5"/>
  <c r="O821" i="5"/>
  <c r="O727" i="5"/>
  <c r="O1053" i="5"/>
  <c r="B43" i="40" s="1"/>
  <c r="I43" i="40" s="1"/>
  <c r="O981" i="5"/>
  <c r="B56" i="40" s="1"/>
  <c r="I56" i="40" s="1"/>
  <c r="O959" i="5"/>
  <c r="B55" i="40" s="1"/>
  <c r="I55" i="40" s="1"/>
  <c r="O937" i="5"/>
  <c r="B110" i="40" s="1"/>
  <c r="I110" i="40" s="1"/>
  <c r="O915" i="5"/>
  <c r="B109" i="40" s="1"/>
  <c r="I109" i="40" s="1"/>
  <c r="O890" i="5"/>
  <c r="B82" i="40" s="1"/>
  <c r="I82" i="40" s="1"/>
  <c r="O868" i="5"/>
  <c r="B42" i="40" s="1"/>
  <c r="I42" i="40" s="1"/>
  <c r="O846" i="5"/>
  <c r="B108" i="40" s="1"/>
  <c r="I108" i="40" s="1"/>
  <c r="O824" i="5"/>
  <c r="B107" i="40" s="1"/>
  <c r="I107" i="40" s="1"/>
  <c r="O777" i="5"/>
  <c r="B81" i="40" s="1"/>
  <c r="I81" i="40" s="1"/>
  <c r="O755" i="5"/>
  <c r="B80" i="40" s="1"/>
  <c r="I80" i="40" s="1"/>
  <c r="O1028" i="5"/>
  <c r="B58" i="40" s="1"/>
  <c r="I58" i="40" s="1"/>
  <c r="O1006" i="5"/>
  <c r="B57" i="40" s="1"/>
  <c r="I57" i="40" s="1"/>
  <c r="O730" i="5"/>
  <c r="B41" i="40" s="1"/>
  <c r="I41" i="40" s="1"/>
  <c r="O677" i="5"/>
  <c r="O630" i="5"/>
  <c r="O517" i="5"/>
  <c r="O702" i="5"/>
  <c r="B106" i="40" s="1"/>
  <c r="I106" i="40" s="1"/>
  <c r="O680" i="5"/>
  <c r="B105" i="40" s="1"/>
  <c r="I105" i="40" s="1"/>
  <c r="O655" i="5"/>
  <c r="B79" i="40" s="1"/>
  <c r="I79" i="40" s="1"/>
  <c r="O633" i="5"/>
  <c r="B53" i="40" s="1"/>
  <c r="I53" i="40" s="1"/>
  <c r="O608" i="5"/>
  <c r="O586" i="5"/>
  <c r="B103" i="40" s="1"/>
  <c r="I103" i="40" s="1"/>
  <c r="O564" i="5"/>
  <c r="B102" i="40" s="1"/>
  <c r="I102" i="40" s="1"/>
  <c r="O542" i="5"/>
  <c r="B101" i="40" s="1"/>
  <c r="I101" i="40" s="1"/>
  <c r="O520" i="5"/>
  <c r="B100" i="40" s="1"/>
  <c r="I100" i="40" s="1"/>
  <c r="F730" i="5"/>
  <c r="F1053" i="5"/>
  <c r="B81" i="3"/>
  <c r="I81" i="3" s="1"/>
  <c r="F1050" i="5"/>
  <c r="B72" i="3"/>
  <c r="I72" i="3" s="1"/>
  <c r="F821" i="5"/>
  <c r="O918" i="5"/>
  <c r="O733" i="5"/>
  <c r="O1323" i="5"/>
  <c r="B132" i="3"/>
  <c r="I132" i="3" s="1"/>
  <c r="O523" i="5"/>
  <c r="O1443" i="5"/>
  <c r="O1392" i="5"/>
  <c r="O758" i="5"/>
  <c r="O546" i="5"/>
  <c r="O1010" i="5"/>
  <c r="O1009" i="5"/>
  <c r="B91" i="3"/>
  <c r="I91" i="3" s="1"/>
  <c r="O803" i="5"/>
  <c r="O802" i="5"/>
  <c r="O894" i="5"/>
  <c r="O985" i="5"/>
  <c r="O1580" i="5"/>
  <c r="O445" i="5"/>
  <c r="O38" i="5"/>
  <c r="O332" i="5"/>
  <c r="O195" i="5"/>
  <c r="O84" i="5"/>
  <c r="O492" i="5"/>
  <c r="B99" i="40" s="1"/>
  <c r="I99" i="40" s="1"/>
  <c r="O470" i="5"/>
  <c r="B98" i="40" s="1"/>
  <c r="I98" i="40" s="1"/>
  <c r="O448" i="5"/>
  <c r="B97" i="40" s="1"/>
  <c r="I97" i="40" s="1"/>
  <c r="O40" i="5"/>
  <c r="B91" i="40" s="1"/>
  <c r="I91" i="40" s="1"/>
  <c r="O62" i="5"/>
  <c r="B92" i="40" s="1"/>
  <c r="I92" i="40" s="1"/>
  <c r="O423" i="5"/>
  <c r="B78" i="40" s="1"/>
  <c r="I78" i="40" s="1"/>
  <c r="O401" i="5"/>
  <c r="B77" i="40" s="1"/>
  <c r="I77" i="40" s="1"/>
  <c r="O379" i="5"/>
  <c r="B52" i="40" s="1"/>
  <c r="I52" i="40" s="1"/>
  <c r="O357" i="5"/>
  <c r="B51" i="40" s="1"/>
  <c r="I51" i="40" s="1"/>
  <c r="O335" i="5"/>
  <c r="B50" i="40" s="1"/>
  <c r="I50" i="40" s="1"/>
  <c r="O310" i="5"/>
  <c r="B96" i="40" s="1"/>
  <c r="I96" i="40" s="1"/>
  <c r="O288" i="5"/>
  <c r="B49" i="40" s="1"/>
  <c r="I49" i="40" s="1"/>
  <c r="O242" i="5"/>
  <c r="B95" i="40" s="1"/>
  <c r="I95" i="40" s="1"/>
  <c r="O220" i="5"/>
  <c r="B76" i="40" s="1"/>
  <c r="I76" i="40" s="1"/>
  <c r="O198" i="5"/>
  <c r="B75" i="40" s="1"/>
  <c r="I75" i="40" s="1"/>
  <c r="O152" i="5"/>
  <c r="B74" i="40" s="1"/>
  <c r="I74" i="40" s="1"/>
  <c r="O130" i="5"/>
  <c r="B93" i="40" s="1"/>
  <c r="I93" i="40" s="1"/>
  <c r="O108" i="5"/>
  <c r="B47" i="40" s="1"/>
  <c r="I47" i="40" s="1"/>
  <c r="F62" i="5"/>
  <c r="O47" i="5"/>
  <c r="B60" i="3"/>
  <c r="I60" i="3" s="1"/>
  <c r="B44" i="3"/>
  <c r="I44" i="3" s="1"/>
  <c r="F445" i="5"/>
  <c r="O223" i="5"/>
  <c r="B56" i="3"/>
  <c r="I56" i="3" s="1"/>
  <c r="O246" i="5"/>
  <c r="O245" i="5"/>
  <c r="O247" i="5"/>
  <c r="B46" i="3"/>
  <c r="I46" i="3" s="1"/>
  <c r="O66" i="5"/>
  <c r="O65" i="5"/>
  <c r="O67" i="5"/>
  <c r="O157" i="5"/>
  <c r="O134" i="5"/>
  <c r="O137" i="5"/>
  <c r="O133" i="5"/>
  <c r="O362" i="5"/>
  <c r="B48" i="3"/>
  <c r="I48" i="3" s="1"/>
  <c r="O93" i="5"/>
  <c r="O89" i="5"/>
  <c r="O92" i="5"/>
  <c r="O91" i="5"/>
  <c r="O90" i="5"/>
  <c r="B69" i="3"/>
  <c r="I69" i="3" s="1"/>
  <c r="O496" i="5"/>
  <c r="O952" i="5"/>
  <c r="H952" i="5" s="1"/>
  <c r="O905" i="5"/>
  <c r="H905" i="5" s="1"/>
  <c r="O792" i="5"/>
  <c r="H792" i="5" s="1"/>
  <c r="O770" i="5"/>
  <c r="H770" i="5" s="1"/>
  <c r="O1043" i="5"/>
  <c r="H1043" i="5" s="1"/>
  <c r="O507" i="5"/>
  <c r="H507" i="5" s="1"/>
  <c r="H511" i="5" s="1"/>
  <c r="O485" i="5"/>
  <c r="H485" i="5" s="1"/>
  <c r="H489" i="5" s="1"/>
  <c r="O438" i="5"/>
  <c r="H438" i="5" s="1"/>
  <c r="O416" i="5"/>
  <c r="H416" i="5" s="1"/>
  <c r="O394" i="5"/>
  <c r="H394" i="5" s="1"/>
  <c r="O101" i="5"/>
  <c r="H101" i="5"/>
  <c r="H105" i="5" s="1"/>
  <c r="O1096" i="5"/>
  <c r="H1096" i="5" s="1"/>
  <c r="H1100" i="5" s="1"/>
  <c r="O861" i="5"/>
  <c r="H861" i="5" s="1"/>
  <c r="O839" i="5"/>
  <c r="H839" i="5"/>
  <c r="O695" i="5"/>
  <c r="H695" i="5" s="1"/>
  <c r="O670" i="5"/>
  <c r="H670" i="5"/>
  <c r="H674" i="5" s="1"/>
  <c r="O648" i="5"/>
  <c r="H648" i="5" s="1"/>
  <c r="H652" i="5" s="1"/>
  <c r="O557" i="5"/>
  <c r="H557" i="5" s="1"/>
  <c r="O535" i="5"/>
  <c r="H535" i="5" s="1"/>
  <c r="O463" i="5"/>
  <c r="H463" i="5" s="1"/>
  <c r="H467" i="5" s="1"/>
  <c r="O55" i="5"/>
  <c r="H55" i="5" s="1"/>
  <c r="H59" i="5" s="1"/>
  <c r="O77" i="5"/>
  <c r="H77" i="5" s="1"/>
  <c r="O372" i="5"/>
  <c r="H372" i="5" s="1"/>
  <c r="O350" i="5"/>
  <c r="H350" i="5" s="1"/>
  <c r="O325" i="5"/>
  <c r="H325" i="5" s="1"/>
  <c r="O303" i="5"/>
  <c r="H303" i="5" s="1"/>
  <c r="H307" i="5" s="1"/>
  <c r="O257" i="5"/>
  <c r="H257" i="5" s="1"/>
  <c r="O235" i="5"/>
  <c r="H235" i="5" s="1"/>
  <c r="O213" i="5"/>
  <c r="H213" i="5" s="1"/>
  <c r="O167" i="5"/>
  <c r="H167" i="5" s="1"/>
  <c r="H171" i="5" s="1"/>
  <c r="O145" i="5"/>
  <c r="H145" i="5"/>
  <c r="H149" i="5" s="1"/>
  <c r="O123" i="5"/>
  <c r="H123" i="5" s="1"/>
  <c r="H127" i="5" s="1"/>
  <c r="I43" i="3"/>
  <c r="I36" i="12" l="1"/>
  <c r="H37" i="3" s="1"/>
  <c r="I31" i="12"/>
  <c r="H32" i="3" s="1"/>
  <c r="I32" i="12"/>
  <c r="I33" i="12"/>
  <c r="H34" i="3" s="1"/>
  <c r="E100" i="3"/>
  <c r="H33" i="3"/>
  <c r="I35" i="12"/>
  <c r="H36" i="3" s="1"/>
  <c r="H35" i="3"/>
  <c r="C54" i="33"/>
  <c r="C60" i="33"/>
  <c r="G129" i="33" s="1"/>
  <c r="F129" i="33" s="1"/>
  <c r="F27" i="5"/>
  <c r="F38" i="5"/>
  <c r="F86" i="5"/>
  <c r="B128" i="3"/>
  <c r="I128" i="3" s="1"/>
  <c r="F517" i="5"/>
  <c r="F1181" i="5"/>
  <c r="B129" i="3"/>
  <c r="I129" i="3" s="1"/>
  <c r="O962" i="5"/>
  <c r="F1251" i="5"/>
  <c r="F608" i="5"/>
  <c r="F514" i="5"/>
  <c r="F9" i="5"/>
  <c r="F23" i="5"/>
  <c r="F1552" i="5"/>
  <c r="F30" i="5"/>
  <c r="F13" i="5"/>
  <c r="F5" i="5"/>
  <c r="F35" i="5"/>
  <c r="F28" i="5"/>
  <c r="F17" i="5"/>
  <c r="F26" i="5"/>
  <c r="O384" i="5"/>
  <c r="B99" i="3"/>
  <c r="I99" i="3" s="1"/>
  <c r="B122" i="3"/>
  <c r="I122" i="3" s="1"/>
  <c r="F1439" i="5"/>
  <c r="F1075" i="5"/>
  <c r="F24" i="5"/>
  <c r="F29" i="5"/>
  <c r="F1530" i="5"/>
  <c r="E131" i="3"/>
  <c r="E58" i="3"/>
  <c r="F130" i="5"/>
  <c r="F799" i="5"/>
  <c r="F14" i="5"/>
  <c r="F1433" i="5"/>
  <c r="F12" i="5"/>
  <c r="F19" i="5"/>
  <c r="B58" i="3"/>
  <c r="I58" i="3" s="1"/>
  <c r="O159" i="5"/>
  <c r="F152" i="5"/>
  <c r="O661" i="5"/>
  <c r="F1364" i="5"/>
  <c r="O1229" i="5"/>
  <c r="B102" i="3"/>
  <c r="I102" i="3" s="1"/>
  <c r="F21" i="5"/>
  <c r="F7" i="5"/>
  <c r="F20" i="5"/>
  <c r="F18" i="5"/>
  <c r="F31" i="5"/>
  <c r="F15" i="5"/>
  <c r="O158" i="5"/>
  <c r="O204" i="5"/>
  <c r="F492" i="5"/>
  <c r="O567" i="5"/>
  <c r="F1411" i="5"/>
  <c r="F25" i="5"/>
  <c r="F8" i="5"/>
  <c r="F33" i="5"/>
  <c r="F32" i="5"/>
  <c r="F49" i="3"/>
  <c r="O1603" i="5"/>
  <c r="O1298" i="5"/>
  <c r="F220" i="5"/>
  <c r="O895" i="5"/>
  <c r="B103" i="3"/>
  <c r="I103" i="3" s="1"/>
  <c r="O1486" i="5"/>
  <c r="O569" i="5"/>
  <c r="B98" i="3"/>
  <c r="I98" i="3" s="1"/>
  <c r="F1436" i="5"/>
  <c r="F542" i="5"/>
  <c r="F1483" i="5"/>
  <c r="O1302" i="5"/>
  <c r="F6" i="5"/>
  <c r="B101" i="3"/>
  <c r="I101" i="3" s="1"/>
  <c r="B83" i="3"/>
  <c r="I83" i="3" s="1"/>
  <c r="F1461" i="5"/>
  <c r="O203" i="5"/>
  <c r="F332" i="5"/>
  <c r="F242" i="5"/>
  <c r="O893" i="5"/>
  <c r="O638" i="5"/>
  <c r="B138" i="3"/>
  <c r="I138" i="3" s="1"/>
  <c r="B75" i="3"/>
  <c r="I75" i="3" s="1"/>
  <c r="O1414" i="5"/>
  <c r="B130" i="3"/>
  <c r="I130" i="3" s="1"/>
  <c r="B135" i="3"/>
  <c r="I135" i="3" s="1"/>
  <c r="F564" i="5"/>
  <c r="F586" i="5"/>
  <c r="B125" i="3"/>
  <c r="I125" i="3" s="1"/>
  <c r="F1003" i="5"/>
  <c r="B54" i="3"/>
  <c r="I54" i="3" s="1"/>
  <c r="B97" i="3"/>
  <c r="I97" i="3" s="1"/>
  <c r="O224" i="5"/>
  <c r="B115" i="3"/>
  <c r="I115" i="3" s="1"/>
  <c r="O1184" i="5"/>
  <c r="B124" i="3"/>
  <c r="I124" i="3" s="1"/>
  <c r="O1134" i="5"/>
  <c r="O1324" i="5"/>
  <c r="F1317" i="5"/>
  <c r="B105" i="3"/>
  <c r="I105" i="3" s="1"/>
  <c r="F824" i="5"/>
  <c r="B74" i="3"/>
  <c r="I74" i="3" s="1"/>
  <c r="B131" i="3"/>
  <c r="I131" i="3" s="1"/>
  <c r="B55" i="3"/>
  <c r="I55" i="3" s="1"/>
  <c r="O984" i="5"/>
  <c r="O827" i="5"/>
  <c r="O1056" i="5"/>
  <c r="B127" i="3"/>
  <c r="I127" i="3" s="1"/>
  <c r="B126" i="3"/>
  <c r="I126" i="3" s="1"/>
  <c r="F1273" i="5"/>
  <c r="C153" i="3"/>
  <c r="H81" i="5"/>
  <c r="O177" i="5"/>
  <c r="B80" i="3"/>
  <c r="I80" i="3" s="1"/>
  <c r="O759" i="5"/>
  <c r="F173" i="5"/>
  <c r="O46" i="5"/>
  <c r="O155" i="5"/>
  <c r="F288" i="5"/>
  <c r="O1368" i="5"/>
  <c r="O1109" i="5"/>
  <c r="B89" i="3"/>
  <c r="I89" i="3" s="1"/>
  <c r="O1276" i="5"/>
  <c r="B120" i="3"/>
  <c r="I120" i="3" s="1"/>
  <c r="B95" i="3"/>
  <c r="I95" i="3" s="1"/>
  <c r="O524" i="5"/>
  <c r="O683" i="5"/>
  <c r="B104" i="3"/>
  <c r="I104" i="3" s="1"/>
  <c r="F677" i="5"/>
  <c r="F1081" i="5"/>
  <c r="F777" i="5"/>
  <c r="O1232" i="5"/>
  <c r="O1235" i="5"/>
  <c r="E50" i="3"/>
  <c r="E79" i="3"/>
  <c r="G79" i="3" s="1"/>
  <c r="E106" i="3"/>
  <c r="E105" i="3" s="1"/>
  <c r="B66" i="3"/>
  <c r="I66" i="3" s="1"/>
  <c r="O1032" i="5"/>
  <c r="O45" i="5"/>
  <c r="B112" i="3"/>
  <c r="I112" i="3" s="1"/>
  <c r="F1106" i="5"/>
  <c r="O1234" i="5"/>
  <c r="O1512" i="5"/>
  <c r="B114" i="3"/>
  <c r="I114" i="3" s="1"/>
  <c r="O781" i="5"/>
  <c r="O589" i="5"/>
  <c r="F959" i="5"/>
  <c r="O1231" i="5"/>
  <c r="O1233" i="5"/>
  <c r="B52" i="3"/>
  <c r="I52" i="3" s="1"/>
  <c r="O404" i="5"/>
  <c r="O292" i="5"/>
  <c r="B68" i="3"/>
  <c r="I68" i="3" s="1"/>
  <c r="F195" i="5"/>
  <c r="F198" i="5"/>
  <c r="B123" i="3"/>
  <c r="I123" i="3" s="1"/>
  <c r="O548" i="5"/>
  <c r="O941" i="5"/>
  <c r="B145" i="3"/>
  <c r="I145" i="3" s="1"/>
  <c r="O659" i="5"/>
  <c r="B140" i="3"/>
  <c r="I140" i="3" s="1"/>
  <c r="O1084" i="5"/>
  <c r="B90" i="3"/>
  <c r="I90" i="3" s="1"/>
  <c r="B76" i="3"/>
  <c r="I76" i="3" s="1"/>
  <c r="B92" i="3"/>
  <c r="I92" i="3" s="1"/>
  <c r="F655" i="5"/>
  <c r="F1577" i="5"/>
  <c r="F981" i="5"/>
  <c r="B121" i="3"/>
  <c r="I121" i="3" s="1"/>
  <c r="F1295" i="5"/>
  <c r="F752" i="5"/>
  <c r="E80" i="3"/>
  <c r="O44" i="5"/>
  <c r="B144" i="3"/>
  <c r="I144" i="3" s="1"/>
  <c r="O1206" i="5"/>
  <c r="B100" i="3"/>
  <c r="I100" i="3" s="1"/>
  <c r="O526" i="5"/>
  <c r="O1031" i="5"/>
  <c r="F755" i="5"/>
  <c r="O43" i="5"/>
  <c r="O780" i="5"/>
  <c r="O525" i="5"/>
  <c r="O684" i="5"/>
  <c r="O1230" i="5"/>
  <c r="B45" i="3"/>
  <c r="I45" i="3" s="1"/>
  <c r="O111" i="5"/>
  <c r="O1254" i="5"/>
  <c r="O547" i="5"/>
  <c r="O940" i="5"/>
  <c r="O1602" i="5"/>
  <c r="F1131" i="5"/>
  <c r="F1508" i="5"/>
  <c r="B64" i="3"/>
  <c r="I64" i="3" s="1"/>
  <c r="O291" i="5"/>
  <c r="O383" i="5"/>
  <c r="B53" i="3"/>
  <c r="I53" i="3" s="1"/>
  <c r="O545" i="5"/>
  <c r="O942" i="5"/>
  <c r="O660" i="5"/>
  <c r="O1442" i="5"/>
  <c r="B110" i="3"/>
  <c r="I110" i="3" s="1"/>
  <c r="O705" i="5"/>
  <c r="B143" i="3"/>
  <c r="I143" i="3" s="1"/>
  <c r="F1248" i="5"/>
  <c r="F1203" i="5"/>
  <c r="F1599" i="5"/>
  <c r="F680" i="5"/>
  <c r="O1299" i="5"/>
  <c r="B88" i="3"/>
  <c r="I88" i="3" s="1"/>
  <c r="F10" i="5"/>
  <c r="F724" i="5"/>
  <c r="F22" i="5"/>
  <c r="F16" i="5"/>
  <c r="O176" i="5"/>
  <c r="B141" i="3"/>
  <c r="I141" i="3" s="1"/>
  <c r="N1240" i="5"/>
  <c r="N1241" i="5" s="1"/>
  <c r="N1242" i="5" s="1"/>
  <c r="N1243" i="5" s="1"/>
  <c r="N1244" i="5" s="1"/>
  <c r="N1245" i="5" s="1"/>
  <c r="N1246" i="5" s="1"/>
  <c r="N1247" i="5" s="1"/>
  <c r="N1248" i="5" s="1"/>
  <c r="N1249" i="5" s="1"/>
  <c r="N1250" i="5" s="1"/>
  <c r="N1251" i="5" s="1"/>
  <c r="N1252" i="5" s="1"/>
  <c r="N1253" i="5" s="1"/>
  <c r="N1254" i="5" s="1"/>
  <c r="N1255" i="5" s="1"/>
  <c r="N1256" i="5" s="1"/>
  <c r="N1257" i="5" s="1"/>
  <c r="N1258" i="5" s="1"/>
  <c r="N1259" i="5" s="1"/>
  <c r="N1260" i="5" s="1"/>
  <c r="N1261" i="5" s="1"/>
  <c r="N1262" i="5" s="1"/>
  <c r="N1263" i="5" s="1"/>
  <c r="N1264" i="5" s="1"/>
  <c r="N1265" i="5" s="1"/>
  <c r="N1266" i="5" s="1"/>
  <c r="N1267" i="5" s="1"/>
  <c r="N1268" i="5" s="1"/>
  <c r="N1269" i="5" s="1"/>
  <c r="N1270" i="5" s="1"/>
  <c r="N1271" i="5" s="1"/>
  <c r="N1272" i="5" s="1"/>
  <c r="N1273" i="5" s="1"/>
  <c r="N1274" i="5" s="1"/>
  <c r="N1275" i="5" s="1"/>
  <c r="N1276" i="5" s="1"/>
  <c r="N1277" i="5" s="1"/>
  <c r="N1278" i="5" s="1"/>
  <c r="N1279" i="5" s="1"/>
  <c r="N1280" i="5" s="1"/>
  <c r="N1281" i="5" s="1"/>
  <c r="N1282" i="5" s="1"/>
  <c r="N1283" i="5" s="1"/>
  <c r="N1284" i="5" s="1"/>
  <c r="N1285" i="5" s="1"/>
  <c r="N1286" i="5" s="1"/>
  <c r="N1287" i="5" s="1"/>
  <c r="N1288" i="5" s="1"/>
  <c r="N1289" i="5" s="1"/>
  <c r="N1290" i="5" s="1"/>
  <c r="N1291" i="5" s="1"/>
  <c r="N1292" i="5" s="1"/>
  <c r="N1293" i="5" s="1"/>
  <c r="N1294" i="5" s="1"/>
  <c r="N1295" i="5" s="1"/>
  <c r="N1296" i="5" s="1"/>
  <c r="N1297" i="5" s="1"/>
  <c r="N1298" i="5" s="1"/>
  <c r="N1299" i="5" s="1"/>
  <c r="N1300" i="5" s="1"/>
  <c r="N1301" i="5" s="1"/>
  <c r="N1302" i="5" s="1"/>
  <c r="N1303" i="5" s="1"/>
  <c r="N1304" i="5" s="1"/>
  <c r="N1305" i="5" s="1"/>
  <c r="N1306" i="5" s="1"/>
  <c r="N1307" i="5" s="1"/>
  <c r="N1308" i="5" s="1"/>
  <c r="N1309" i="5" s="1"/>
  <c r="N1310" i="5" s="1"/>
  <c r="N1311" i="5" s="1"/>
  <c r="N1312" i="5" s="1"/>
  <c r="N1313" i="5" s="1"/>
  <c r="N1314" i="5" s="1"/>
  <c r="N1315" i="5" s="1"/>
  <c r="N1316" i="5" s="1"/>
  <c r="N1317" i="5" s="1"/>
  <c r="N1318" i="5" s="1"/>
  <c r="N1319" i="5" s="1"/>
  <c r="N1320" i="5" s="1"/>
  <c r="N1321" i="5" s="1"/>
  <c r="N1322" i="5" s="1"/>
  <c r="N1323" i="5" s="1"/>
  <c r="N1324" i="5" s="1"/>
  <c r="N1325" i="5" s="1"/>
  <c r="N1326" i="5" s="1"/>
  <c r="N1327" i="5" s="1"/>
  <c r="N1328" i="5" s="1"/>
  <c r="N1329" i="5" s="1"/>
  <c r="N1330" i="5" s="1"/>
  <c r="N1331" i="5" s="1"/>
  <c r="N1332" i="5" s="1"/>
  <c r="N1333" i="5" s="1"/>
  <c r="N1334" i="5" s="1"/>
  <c r="N1335" i="5" s="1"/>
  <c r="N1336" i="5" s="1"/>
  <c r="N1337" i="5" s="1"/>
  <c r="N1338" i="5" s="1"/>
  <c r="N1339" i="5" s="1"/>
  <c r="N1340" i="5" s="1"/>
  <c r="N1341" i="5" s="1"/>
  <c r="N1342" i="5" s="1"/>
  <c r="N1343" i="5" s="1"/>
  <c r="N1344" i="5" s="1"/>
  <c r="N1345" i="5" s="1"/>
  <c r="N1346" i="5" s="1"/>
  <c r="N1347" i="5" s="1"/>
  <c r="N1348" i="5" s="1"/>
  <c r="N1349" i="5" s="1"/>
  <c r="N1350" i="5" s="1"/>
  <c r="N1351" i="5" s="1"/>
  <c r="N1352" i="5" s="1"/>
  <c r="N1353" i="5" s="1"/>
  <c r="N1354" i="5" s="1"/>
  <c r="N1355" i="5" s="1"/>
  <c r="N1356" i="5" s="1"/>
  <c r="N1357" i="5" s="1"/>
  <c r="N1358" i="5" s="1"/>
  <c r="N1359" i="5" s="1"/>
  <c r="N1360" i="5" s="1"/>
  <c r="N1361" i="5" s="1"/>
  <c r="N1362" i="5" s="1"/>
  <c r="N1363" i="5" s="1"/>
  <c r="N1364" i="5" s="1"/>
  <c r="N1365" i="5" s="1"/>
  <c r="N1366" i="5" s="1"/>
  <c r="N1367" i="5" s="1"/>
  <c r="N1368" i="5" s="1"/>
  <c r="N1369" i="5" s="1"/>
  <c r="N1370" i="5" s="1"/>
  <c r="N1371" i="5" s="1"/>
  <c r="N1372" i="5" s="1"/>
  <c r="N1373" i="5" s="1"/>
  <c r="N1374" i="5" s="1"/>
  <c r="N1375" i="5" s="1"/>
  <c r="N1376" i="5" s="1"/>
  <c r="N1377" i="5" s="1"/>
  <c r="N1378" i="5" s="1"/>
  <c r="N1379" i="5" s="1"/>
  <c r="N1380" i="5" s="1"/>
  <c r="N1381" i="5" s="1"/>
  <c r="N1382" i="5" s="1"/>
  <c r="N1383" i="5" s="1"/>
  <c r="N1384" i="5" s="1"/>
  <c r="N1385" i="5" s="1"/>
  <c r="N1386" i="5" s="1"/>
  <c r="N1387" i="5" s="1"/>
  <c r="N1388" i="5" s="1"/>
  <c r="N1389" i="5" s="1"/>
  <c r="N1390" i="5" s="1"/>
  <c r="N1391" i="5" s="1"/>
  <c r="N1392" i="5" s="1"/>
  <c r="N1393" i="5" s="1"/>
  <c r="N1394" i="5" s="1"/>
  <c r="N1395" i="5" s="1"/>
  <c r="N1396" i="5" s="1"/>
  <c r="N1397" i="5" s="1"/>
  <c r="N1398" i="5" s="1"/>
  <c r="N1399" i="5" s="1"/>
  <c r="N1400" i="5" s="1"/>
  <c r="N1401" i="5" s="1"/>
  <c r="N1402" i="5" s="1"/>
  <c r="N1403" i="5" s="1"/>
  <c r="N1404" i="5" s="1"/>
  <c r="N1405" i="5" s="1"/>
  <c r="N1406" i="5" s="1"/>
  <c r="N1407" i="5" s="1"/>
  <c r="N1408" i="5" s="1"/>
  <c r="N1409" i="5" s="1"/>
  <c r="N1410" i="5" s="1"/>
  <c r="N1411" i="5" s="1"/>
  <c r="N1412" i="5" s="1"/>
  <c r="N1413" i="5" s="1"/>
  <c r="N1414" i="5" s="1"/>
  <c r="N1415" i="5" s="1"/>
  <c r="N1416" i="5" s="1"/>
  <c r="N1417" i="5" s="1"/>
  <c r="N1418" i="5" s="1"/>
  <c r="N1419" i="5" s="1"/>
  <c r="N1420" i="5" s="1"/>
  <c r="N1421" i="5" s="1"/>
  <c r="N1422" i="5" s="1"/>
  <c r="N1423" i="5" s="1"/>
  <c r="N1424" i="5" s="1"/>
  <c r="N1425" i="5" s="1"/>
  <c r="N1426" i="5" s="1"/>
  <c r="N1427" i="5" s="1"/>
  <c r="N1428" i="5" s="1"/>
  <c r="N1429" i="5" s="1"/>
  <c r="N1430" i="5" s="1"/>
  <c r="N1431" i="5" s="1"/>
  <c r="N1432" i="5" s="1"/>
  <c r="N1433" i="5" s="1"/>
  <c r="N1434" i="5" s="1"/>
  <c r="N1435" i="5" s="1"/>
  <c r="N1436" i="5" s="1"/>
  <c r="N1437" i="5" s="1"/>
  <c r="N1438" i="5" s="1"/>
  <c r="N1439" i="5" s="1"/>
  <c r="N1440" i="5" s="1"/>
  <c r="N1441" i="5" s="1"/>
  <c r="N1442" i="5" s="1"/>
  <c r="N1443" i="5" s="1"/>
  <c r="N1444" i="5" s="1"/>
  <c r="N1445" i="5" s="1"/>
  <c r="N1446" i="5" s="1"/>
  <c r="N1447" i="5" s="1"/>
  <c r="N1448" i="5" s="1"/>
  <c r="N1449" i="5" s="1"/>
  <c r="N1450" i="5" s="1"/>
  <c r="N1451" i="5" s="1"/>
  <c r="N1452" i="5" s="1"/>
  <c r="N1453" i="5" s="1"/>
  <c r="N1454" i="5" s="1"/>
  <c r="N1455" i="5" s="1"/>
  <c r="N1456" i="5" s="1"/>
  <c r="N1457" i="5" s="1"/>
  <c r="N1458" i="5" s="1"/>
  <c r="N1459" i="5" s="1"/>
  <c r="N1460" i="5" s="1"/>
  <c r="N1461" i="5" s="1"/>
  <c r="N1462" i="5" s="1"/>
  <c r="N1463" i="5" s="1"/>
  <c r="N1464" i="5" s="1"/>
  <c r="N1465" i="5" s="1"/>
  <c r="N1466" i="5" s="1"/>
  <c r="N1467" i="5" s="1"/>
  <c r="N1468" i="5" s="1"/>
  <c r="N1469" i="5" s="1"/>
  <c r="N1470" i="5" s="1"/>
  <c r="N1471" i="5" s="1"/>
  <c r="N1472" i="5" s="1"/>
  <c r="N1473" i="5" s="1"/>
  <c r="N1474" i="5" s="1"/>
  <c r="N1475" i="5" s="1"/>
  <c r="N1476" i="5" s="1"/>
  <c r="N1477" i="5" s="1"/>
  <c r="N1478" i="5" s="1"/>
  <c r="N1479" i="5" s="1"/>
  <c r="N1480" i="5" s="1"/>
  <c r="N1481" i="5" s="1"/>
  <c r="N1482" i="5" s="1"/>
  <c r="N1483" i="5" s="1"/>
  <c r="N1484" i="5" s="1"/>
  <c r="N1485" i="5" s="1"/>
  <c r="N1486" i="5" s="1"/>
  <c r="N1487" i="5" s="1"/>
  <c r="N1488" i="5" s="1"/>
  <c r="N1489" i="5" s="1"/>
  <c r="N1490" i="5" s="1"/>
  <c r="N1491" i="5" s="1"/>
  <c r="N1492" i="5" s="1"/>
  <c r="N1493" i="5" s="1"/>
  <c r="N1494" i="5" s="1"/>
  <c r="N1495" i="5" s="1"/>
  <c r="N1496" i="5" s="1"/>
  <c r="N1497" i="5" s="1"/>
  <c r="N1498" i="5" s="1"/>
  <c r="N1499" i="5" s="1"/>
  <c r="N1500" i="5" s="1"/>
  <c r="N1501" i="5" s="1"/>
  <c r="N1502" i="5" s="1"/>
  <c r="N1503" i="5" s="1"/>
  <c r="N1504" i="5" s="1"/>
  <c r="N1505" i="5" s="1"/>
  <c r="N1506" i="5" s="1"/>
  <c r="N1507" i="5" s="1"/>
  <c r="N1508" i="5" s="1"/>
  <c r="N1509" i="5" s="1"/>
  <c r="N1510" i="5" s="1"/>
  <c r="N1511" i="5" s="1"/>
  <c r="N1512" i="5" s="1"/>
  <c r="N1513" i="5" s="1"/>
  <c r="N1514" i="5" s="1"/>
  <c r="N1515" i="5" s="1"/>
  <c r="N1516" i="5" s="1"/>
  <c r="N1517" i="5" s="1"/>
  <c r="N1518" i="5" s="1"/>
  <c r="N1519" i="5" s="1"/>
  <c r="N1520" i="5" s="1"/>
  <c r="N1521" i="5" s="1"/>
  <c r="N1522" i="5" s="1"/>
  <c r="N1523" i="5" s="1"/>
  <c r="N1524" i="5" s="1"/>
  <c r="N1525" i="5" s="1"/>
  <c r="N1526" i="5" s="1"/>
  <c r="N1527" i="5" s="1"/>
  <c r="N1528" i="5" s="1"/>
  <c r="N1529" i="5" s="1"/>
  <c r="N1530" i="5" s="1"/>
  <c r="N1531" i="5" s="1"/>
  <c r="N1532" i="5" s="1"/>
  <c r="N1533" i="5" s="1"/>
  <c r="N1534" i="5" s="1"/>
  <c r="N1535" i="5" s="1"/>
  <c r="N1536" i="5" s="1"/>
  <c r="N1537" i="5" s="1"/>
  <c r="N1538" i="5" s="1"/>
  <c r="N1539" i="5" s="1"/>
  <c r="N1540" i="5" s="1"/>
  <c r="N1541" i="5" s="1"/>
  <c r="N1542" i="5" s="1"/>
  <c r="N1543" i="5" s="1"/>
  <c r="N1544" i="5" s="1"/>
  <c r="N1545" i="5" s="1"/>
  <c r="N1546" i="5" s="1"/>
  <c r="N1547" i="5" s="1"/>
  <c r="N1548" i="5" s="1"/>
  <c r="N1549" i="5" s="1"/>
  <c r="N1550" i="5" s="1"/>
  <c r="N1551" i="5" s="1"/>
  <c r="N1552" i="5" s="1"/>
  <c r="N1553" i="5" s="1"/>
  <c r="N1554" i="5" s="1"/>
  <c r="N1555" i="5" s="1"/>
  <c r="N1556" i="5" s="1"/>
  <c r="N1557" i="5" s="1"/>
  <c r="N1558" i="5" s="1"/>
  <c r="N1559" i="5" s="1"/>
  <c r="N1560" i="5" s="1"/>
  <c r="N1561" i="5" s="1"/>
  <c r="N1562" i="5" s="1"/>
  <c r="N1563" i="5" s="1"/>
  <c r="N1564" i="5" s="1"/>
  <c r="N1565" i="5" s="1"/>
  <c r="N1566" i="5" s="1"/>
  <c r="N1567" i="5" s="1"/>
  <c r="N1568" i="5" s="1"/>
  <c r="N1569" i="5" s="1"/>
  <c r="N1570" i="5" s="1"/>
  <c r="N1571" i="5" s="1"/>
  <c r="N1572" i="5" s="1"/>
  <c r="N1573" i="5" s="1"/>
  <c r="N1574" i="5" s="1"/>
  <c r="N1575" i="5" s="1"/>
  <c r="N1576" i="5" s="1"/>
  <c r="N1577" i="5" s="1"/>
  <c r="N1578" i="5" s="1"/>
  <c r="N1579" i="5" s="1"/>
  <c r="N1580" i="5" s="1"/>
  <c r="N1581" i="5" s="1"/>
  <c r="N1582" i="5" s="1"/>
  <c r="N1583" i="5" s="1"/>
  <c r="N1584" i="5" s="1"/>
  <c r="N1585" i="5" s="1"/>
  <c r="N1586" i="5" s="1"/>
  <c r="N1587" i="5" s="1"/>
  <c r="N1588" i="5" s="1"/>
  <c r="N1589" i="5" s="1"/>
  <c r="N1590" i="5" s="1"/>
  <c r="N1591" i="5" s="1"/>
  <c r="N1592" i="5" s="1"/>
  <c r="N1593" i="5" s="1"/>
  <c r="N1594" i="5" s="1"/>
  <c r="N1595" i="5" s="1"/>
  <c r="N1596" i="5" s="1"/>
  <c r="N1597" i="5" s="1"/>
  <c r="N1598" i="5" s="1"/>
  <c r="N1599" i="5" s="1"/>
  <c r="N1600" i="5" s="1"/>
  <c r="N1601" i="5" s="1"/>
  <c r="N1602" i="5" s="1"/>
  <c r="N1603" i="5" s="1"/>
  <c r="N1604" i="5" s="1"/>
  <c r="N1605" i="5" s="1"/>
  <c r="N1239" i="5"/>
  <c r="F51" i="3"/>
  <c r="F80" i="3"/>
  <c r="F48" i="3"/>
  <c r="F69" i="3"/>
  <c r="F45" i="3"/>
  <c r="F58" i="3"/>
  <c r="G58" i="3" s="1"/>
  <c r="F50" i="3"/>
  <c r="G50" i="3" s="1"/>
  <c r="F67" i="3"/>
  <c r="F110" i="3"/>
  <c r="F109" i="3" s="1"/>
  <c r="F68" i="3"/>
  <c r="F79" i="3"/>
  <c r="B61" i="3"/>
  <c r="I61" i="3" s="1"/>
  <c r="O473" i="5"/>
  <c r="O1346" i="5"/>
  <c r="O735" i="5"/>
  <c r="F912" i="5"/>
  <c r="M1239" i="5"/>
  <c r="M1240" i="5"/>
  <c r="M1241" i="5" s="1"/>
  <c r="M1242" i="5" s="1"/>
  <c r="M1243" i="5" s="1"/>
  <c r="M1244" i="5" s="1"/>
  <c r="M1245" i="5" s="1"/>
  <c r="M1246" i="5" s="1"/>
  <c r="M1247" i="5" s="1"/>
  <c r="M1248" i="5" s="1"/>
  <c r="M1249" i="5" s="1"/>
  <c r="M1250" i="5" s="1"/>
  <c r="M1251" i="5" s="1"/>
  <c r="M1252" i="5" s="1"/>
  <c r="M1253" i="5" s="1"/>
  <c r="M1254" i="5" s="1"/>
  <c r="M1255" i="5" s="1"/>
  <c r="M1256" i="5" s="1"/>
  <c r="M1257" i="5" s="1"/>
  <c r="M1258" i="5" s="1"/>
  <c r="M1259" i="5" s="1"/>
  <c r="M1260" i="5" s="1"/>
  <c r="M1261" i="5" s="1"/>
  <c r="M1262" i="5" s="1"/>
  <c r="M1263" i="5" s="1"/>
  <c r="M1264" i="5" s="1"/>
  <c r="M1265" i="5" s="1"/>
  <c r="M1266" i="5" s="1"/>
  <c r="M1267" i="5" s="1"/>
  <c r="M1268" i="5" s="1"/>
  <c r="M1269" i="5" s="1"/>
  <c r="M1270" i="5" s="1"/>
  <c r="M1271" i="5" s="1"/>
  <c r="M1272" i="5" s="1"/>
  <c r="M1273" i="5" s="1"/>
  <c r="M1274" i="5" s="1"/>
  <c r="M1275" i="5" s="1"/>
  <c r="M1276" i="5" s="1"/>
  <c r="M1277" i="5" s="1"/>
  <c r="M1278" i="5" s="1"/>
  <c r="M1279" i="5" s="1"/>
  <c r="M1280" i="5" s="1"/>
  <c r="M1281" i="5" s="1"/>
  <c r="M1282" i="5" s="1"/>
  <c r="M1283" i="5" s="1"/>
  <c r="M1284" i="5" s="1"/>
  <c r="M1285" i="5" s="1"/>
  <c r="M1286" i="5" s="1"/>
  <c r="M1287" i="5" s="1"/>
  <c r="M1288" i="5" s="1"/>
  <c r="M1289" i="5" s="1"/>
  <c r="M1290" i="5" s="1"/>
  <c r="M1291" i="5" s="1"/>
  <c r="M1292" i="5" s="1"/>
  <c r="M1293" i="5" s="1"/>
  <c r="M1294" i="5" s="1"/>
  <c r="M1295" i="5" s="1"/>
  <c r="M1296" i="5" s="1"/>
  <c r="M1297" i="5" s="1"/>
  <c r="M1298" i="5" s="1"/>
  <c r="M1299" i="5" s="1"/>
  <c r="M1300" i="5" s="1"/>
  <c r="M1301" i="5" s="1"/>
  <c r="M1302" i="5" s="1"/>
  <c r="M1303" i="5" s="1"/>
  <c r="M1304" i="5" s="1"/>
  <c r="M1305" i="5" s="1"/>
  <c r="M1306" i="5" s="1"/>
  <c r="M1307" i="5" s="1"/>
  <c r="M1308" i="5" s="1"/>
  <c r="M1309" i="5" s="1"/>
  <c r="M1310" i="5" s="1"/>
  <c r="M1311" i="5" s="1"/>
  <c r="M1312" i="5" s="1"/>
  <c r="M1313" i="5" s="1"/>
  <c r="M1314" i="5" s="1"/>
  <c r="M1315" i="5" s="1"/>
  <c r="M1316" i="5" s="1"/>
  <c r="M1317" i="5" s="1"/>
  <c r="M1318" i="5" s="1"/>
  <c r="M1319" i="5" s="1"/>
  <c r="M1320" i="5" s="1"/>
  <c r="M1321" i="5" s="1"/>
  <c r="M1322" i="5" s="1"/>
  <c r="M1323" i="5" s="1"/>
  <c r="M1324" i="5" s="1"/>
  <c r="M1325" i="5" s="1"/>
  <c r="M1326" i="5" s="1"/>
  <c r="M1327" i="5" s="1"/>
  <c r="M1328" i="5" s="1"/>
  <c r="M1329" i="5" s="1"/>
  <c r="M1330" i="5" s="1"/>
  <c r="M1331" i="5" s="1"/>
  <c r="M1332" i="5" s="1"/>
  <c r="M1333" i="5" s="1"/>
  <c r="M1334" i="5" s="1"/>
  <c r="M1335" i="5" s="1"/>
  <c r="M1336" i="5" s="1"/>
  <c r="M1337" i="5" s="1"/>
  <c r="M1338" i="5" s="1"/>
  <c r="M1339" i="5" s="1"/>
  <c r="M1340" i="5" s="1"/>
  <c r="M1341" i="5" s="1"/>
  <c r="M1342" i="5" s="1"/>
  <c r="M1343" i="5" s="1"/>
  <c r="M1344" i="5" s="1"/>
  <c r="M1345" i="5" s="1"/>
  <c r="M1346" i="5" s="1"/>
  <c r="M1347" i="5" s="1"/>
  <c r="M1348" i="5" s="1"/>
  <c r="M1349" i="5" s="1"/>
  <c r="M1350" i="5" s="1"/>
  <c r="M1351" i="5" s="1"/>
  <c r="M1352" i="5" s="1"/>
  <c r="M1353" i="5" s="1"/>
  <c r="M1354" i="5" s="1"/>
  <c r="M1355" i="5" s="1"/>
  <c r="M1356" i="5" s="1"/>
  <c r="M1357" i="5" s="1"/>
  <c r="M1358" i="5" s="1"/>
  <c r="M1359" i="5" s="1"/>
  <c r="M1360" i="5" s="1"/>
  <c r="M1361" i="5" s="1"/>
  <c r="M1362" i="5" s="1"/>
  <c r="M1363" i="5" s="1"/>
  <c r="M1364" i="5" s="1"/>
  <c r="M1365" i="5" s="1"/>
  <c r="M1366" i="5" s="1"/>
  <c r="M1367" i="5" s="1"/>
  <c r="M1368" i="5" s="1"/>
  <c r="M1369" i="5" s="1"/>
  <c r="M1370" i="5" s="1"/>
  <c r="M1371" i="5" s="1"/>
  <c r="M1372" i="5" s="1"/>
  <c r="M1373" i="5" s="1"/>
  <c r="M1374" i="5" s="1"/>
  <c r="M1375" i="5" s="1"/>
  <c r="M1376" i="5" s="1"/>
  <c r="M1377" i="5" s="1"/>
  <c r="M1378" i="5" s="1"/>
  <c r="M1379" i="5" s="1"/>
  <c r="M1380" i="5" s="1"/>
  <c r="M1381" i="5" s="1"/>
  <c r="M1382" i="5" s="1"/>
  <c r="M1383" i="5" s="1"/>
  <c r="M1384" i="5" s="1"/>
  <c r="M1385" i="5" s="1"/>
  <c r="M1386" i="5" s="1"/>
  <c r="M1387" i="5" s="1"/>
  <c r="M1388" i="5" s="1"/>
  <c r="M1389" i="5" s="1"/>
  <c r="M1390" i="5" s="1"/>
  <c r="M1391" i="5" s="1"/>
  <c r="M1392" i="5" s="1"/>
  <c r="M1393" i="5" s="1"/>
  <c r="M1394" i="5" s="1"/>
  <c r="M1395" i="5" s="1"/>
  <c r="M1396" i="5" s="1"/>
  <c r="M1397" i="5" s="1"/>
  <c r="M1398" i="5" s="1"/>
  <c r="M1399" i="5" s="1"/>
  <c r="M1400" i="5" s="1"/>
  <c r="M1401" i="5" s="1"/>
  <c r="M1402" i="5" s="1"/>
  <c r="M1403" i="5" s="1"/>
  <c r="M1404" i="5" s="1"/>
  <c r="M1405" i="5" s="1"/>
  <c r="M1406" i="5" s="1"/>
  <c r="M1407" i="5" s="1"/>
  <c r="M1408" i="5" s="1"/>
  <c r="M1409" i="5" s="1"/>
  <c r="M1410" i="5" s="1"/>
  <c r="M1411" i="5" s="1"/>
  <c r="M1412" i="5" s="1"/>
  <c r="M1413" i="5" s="1"/>
  <c r="M1414" i="5" s="1"/>
  <c r="M1415" i="5" s="1"/>
  <c r="M1416" i="5" s="1"/>
  <c r="M1417" i="5" s="1"/>
  <c r="M1418" i="5" s="1"/>
  <c r="M1419" i="5" s="1"/>
  <c r="M1420" i="5" s="1"/>
  <c r="M1421" i="5" s="1"/>
  <c r="M1422" i="5" s="1"/>
  <c r="M1423" i="5" s="1"/>
  <c r="M1424" i="5" s="1"/>
  <c r="M1425" i="5" s="1"/>
  <c r="M1426" i="5" s="1"/>
  <c r="M1427" i="5" s="1"/>
  <c r="M1428" i="5" s="1"/>
  <c r="M1429" i="5" s="1"/>
  <c r="M1430" i="5" s="1"/>
  <c r="M1431" i="5" s="1"/>
  <c r="M1432" i="5" s="1"/>
  <c r="M1433" i="5" s="1"/>
  <c r="M1434" i="5" s="1"/>
  <c r="M1435" i="5" s="1"/>
  <c r="M1436" i="5" s="1"/>
  <c r="M1437" i="5" s="1"/>
  <c r="M1438" i="5" s="1"/>
  <c r="M1439" i="5" s="1"/>
  <c r="M1440" i="5" s="1"/>
  <c r="M1441" i="5" s="1"/>
  <c r="M1442" i="5" s="1"/>
  <c r="M1443" i="5" s="1"/>
  <c r="M1444" i="5" s="1"/>
  <c r="M1445" i="5" s="1"/>
  <c r="M1446" i="5" s="1"/>
  <c r="M1447" i="5" s="1"/>
  <c r="M1448" i="5" s="1"/>
  <c r="M1449" i="5" s="1"/>
  <c r="M1450" i="5" s="1"/>
  <c r="M1451" i="5" s="1"/>
  <c r="M1452" i="5" s="1"/>
  <c r="M1453" i="5" s="1"/>
  <c r="M1454" i="5" s="1"/>
  <c r="M1455" i="5" s="1"/>
  <c r="M1456" i="5" s="1"/>
  <c r="M1457" i="5" s="1"/>
  <c r="M1458" i="5" s="1"/>
  <c r="M1459" i="5" s="1"/>
  <c r="M1460" i="5" s="1"/>
  <c r="M1461" i="5" s="1"/>
  <c r="M1462" i="5" s="1"/>
  <c r="M1463" i="5" s="1"/>
  <c r="M1464" i="5" s="1"/>
  <c r="M1465" i="5" s="1"/>
  <c r="M1466" i="5" s="1"/>
  <c r="M1467" i="5" s="1"/>
  <c r="M1468" i="5" s="1"/>
  <c r="M1469" i="5" s="1"/>
  <c r="M1470" i="5" s="1"/>
  <c r="M1471" i="5" s="1"/>
  <c r="M1472" i="5" s="1"/>
  <c r="M1473" i="5" s="1"/>
  <c r="M1474" i="5" s="1"/>
  <c r="M1475" i="5" s="1"/>
  <c r="M1476" i="5" s="1"/>
  <c r="M1477" i="5" s="1"/>
  <c r="M1478" i="5" s="1"/>
  <c r="M1479" i="5" s="1"/>
  <c r="M1480" i="5" s="1"/>
  <c r="M1481" i="5" s="1"/>
  <c r="M1482" i="5" s="1"/>
  <c r="M1483" i="5" s="1"/>
  <c r="M1484" i="5" s="1"/>
  <c r="M1485" i="5" s="1"/>
  <c r="M1486" i="5" s="1"/>
  <c r="M1487" i="5" s="1"/>
  <c r="M1488" i="5" s="1"/>
  <c r="M1489" i="5" s="1"/>
  <c r="M1490" i="5" s="1"/>
  <c r="M1491" i="5" s="1"/>
  <c r="M1492" i="5" s="1"/>
  <c r="M1493" i="5" s="1"/>
  <c r="M1494" i="5" s="1"/>
  <c r="M1495" i="5" s="1"/>
  <c r="M1496" i="5" s="1"/>
  <c r="M1497" i="5" s="1"/>
  <c r="M1498" i="5" s="1"/>
  <c r="M1499" i="5" s="1"/>
  <c r="M1500" i="5" s="1"/>
  <c r="M1501" i="5" s="1"/>
  <c r="M1502" i="5" s="1"/>
  <c r="M1503" i="5" s="1"/>
  <c r="M1504" i="5" s="1"/>
  <c r="M1505" i="5" s="1"/>
  <c r="M1506" i="5" s="1"/>
  <c r="M1507" i="5" s="1"/>
  <c r="M1508" i="5" s="1"/>
  <c r="M1509" i="5" s="1"/>
  <c r="M1510" i="5" s="1"/>
  <c r="M1511" i="5" s="1"/>
  <c r="M1512" i="5" s="1"/>
  <c r="M1513" i="5" s="1"/>
  <c r="M1514" i="5" s="1"/>
  <c r="M1515" i="5" s="1"/>
  <c r="M1516" i="5" s="1"/>
  <c r="M1517" i="5" s="1"/>
  <c r="M1518" i="5" s="1"/>
  <c r="M1519" i="5" s="1"/>
  <c r="M1520" i="5" s="1"/>
  <c r="M1521" i="5" s="1"/>
  <c r="M1522" i="5" s="1"/>
  <c r="M1523" i="5" s="1"/>
  <c r="M1524" i="5" s="1"/>
  <c r="M1525" i="5" s="1"/>
  <c r="M1526" i="5" s="1"/>
  <c r="M1527" i="5" s="1"/>
  <c r="M1528" i="5" s="1"/>
  <c r="M1529" i="5" s="1"/>
  <c r="M1530" i="5" s="1"/>
  <c r="M1531" i="5" s="1"/>
  <c r="M1532" i="5" s="1"/>
  <c r="M1533" i="5" s="1"/>
  <c r="M1534" i="5" s="1"/>
  <c r="M1535" i="5" s="1"/>
  <c r="M1536" i="5" s="1"/>
  <c r="M1537" i="5" s="1"/>
  <c r="M1538" i="5" s="1"/>
  <c r="M1539" i="5" s="1"/>
  <c r="M1540" i="5" s="1"/>
  <c r="M1541" i="5" s="1"/>
  <c r="M1542" i="5" s="1"/>
  <c r="M1543" i="5" s="1"/>
  <c r="M1544" i="5" s="1"/>
  <c r="M1545" i="5" s="1"/>
  <c r="M1546" i="5" s="1"/>
  <c r="M1547" i="5" s="1"/>
  <c r="M1548" i="5" s="1"/>
  <c r="M1549" i="5" s="1"/>
  <c r="M1550" i="5" s="1"/>
  <c r="M1551" i="5" s="1"/>
  <c r="M1552" i="5" s="1"/>
  <c r="M1553" i="5" s="1"/>
  <c r="M1554" i="5" s="1"/>
  <c r="M1555" i="5" s="1"/>
  <c r="M1556" i="5" s="1"/>
  <c r="M1557" i="5" s="1"/>
  <c r="M1558" i="5" s="1"/>
  <c r="M1559" i="5" s="1"/>
  <c r="M1560" i="5" s="1"/>
  <c r="M1561" i="5" s="1"/>
  <c r="M1562" i="5" s="1"/>
  <c r="M1563" i="5" s="1"/>
  <c r="M1564" i="5" s="1"/>
  <c r="M1565" i="5" s="1"/>
  <c r="M1566" i="5" s="1"/>
  <c r="M1567" i="5" s="1"/>
  <c r="M1568" i="5" s="1"/>
  <c r="M1569" i="5" s="1"/>
  <c r="M1570" i="5" s="1"/>
  <c r="M1571" i="5" s="1"/>
  <c r="M1572" i="5" s="1"/>
  <c r="M1573" i="5" s="1"/>
  <c r="M1574" i="5" s="1"/>
  <c r="M1575" i="5" s="1"/>
  <c r="M1576" i="5" s="1"/>
  <c r="M1577" i="5" s="1"/>
  <c r="M1578" i="5" s="1"/>
  <c r="M1579" i="5" s="1"/>
  <c r="M1580" i="5" s="1"/>
  <c r="M1581" i="5" s="1"/>
  <c r="M1582" i="5" s="1"/>
  <c r="M1583" i="5" s="1"/>
  <c r="M1584" i="5" s="1"/>
  <c r="M1585" i="5" s="1"/>
  <c r="M1586" i="5" s="1"/>
  <c r="M1587" i="5" s="1"/>
  <c r="M1588" i="5" s="1"/>
  <c r="M1589" i="5" s="1"/>
  <c r="M1590" i="5" s="1"/>
  <c r="M1591" i="5" s="1"/>
  <c r="M1592" i="5" s="1"/>
  <c r="M1593" i="5" s="1"/>
  <c r="M1594" i="5" s="1"/>
  <c r="M1595" i="5" s="1"/>
  <c r="M1596" i="5" s="1"/>
  <c r="M1597" i="5" s="1"/>
  <c r="M1598" i="5" s="1"/>
  <c r="M1599" i="5" s="1"/>
  <c r="M1600" i="5" s="1"/>
  <c r="M1601" i="5" s="1"/>
  <c r="M1602" i="5" s="1"/>
  <c r="M1603" i="5" s="1"/>
  <c r="M1604" i="5" s="1"/>
  <c r="M1605" i="5" s="1"/>
  <c r="O114" i="5"/>
  <c r="B87" i="3"/>
  <c r="I87" i="3" s="1"/>
  <c r="F1505" i="5"/>
  <c r="F630" i="5"/>
  <c r="B104" i="40"/>
  <c r="I104" i="40" s="1"/>
  <c r="O613" i="5"/>
  <c r="C86" i="3"/>
  <c r="B48" i="40"/>
  <c r="I48" i="40" s="1"/>
  <c r="B57" i="3"/>
  <c r="I57" i="3" s="1"/>
  <c r="O271" i="5"/>
  <c r="O269" i="5"/>
  <c r="F266" i="5"/>
  <c r="O270" i="5"/>
  <c r="B139" i="3"/>
  <c r="I139" i="3" s="1"/>
  <c r="B50" i="3"/>
  <c r="I50" i="3" s="1"/>
  <c r="O849" i="5"/>
  <c r="C154" i="3"/>
  <c r="O495" i="5"/>
  <c r="O313" i="5"/>
  <c r="O361" i="5"/>
  <c r="O451" i="5"/>
  <c r="O112" i="5"/>
  <c r="O382" i="5"/>
  <c r="B51" i="3"/>
  <c r="I51" i="3" s="1"/>
  <c r="F357" i="5"/>
  <c r="O1156" i="5"/>
  <c r="B96" i="3"/>
  <c r="I96" i="3" s="1"/>
  <c r="O637" i="5"/>
  <c r="O828" i="5"/>
  <c r="B106" i="3"/>
  <c r="I106" i="3" s="1"/>
  <c r="B73" i="3"/>
  <c r="I73" i="3" s="1"/>
  <c r="O850" i="5"/>
  <c r="O686" i="5"/>
  <c r="F1386" i="5"/>
  <c r="F1574" i="5"/>
  <c r="F1128" i="5"/>
  <c r="F1389" i="5"/>
  <c r="F633" i="5"/>
  <c r="F846" i="5"/>
  <c r="O360" i="5"/>
  <c r="O115" i="5"/>
  <c r="O851" i="5"/>
  <c r="B113" i="3"/>
  <c r="I113" i="3" s="1"/>
  <c r="F868" i="5"/>
  <c r="F890" i="5"/>
  <c r="L1079" i="5"/>
  <c r="F335" i="5"/>
  <c r="B59" i="3"/>
  <c r="I59" i="3" s="1"/>
  <c r="B62" i="3"/>
  <c r="I62" i="3" s="1"/>
  <c r="O452" i="5"/>
  <c r="O113" i="5"/>
  <c r="F310" i="5"/>
  <c r="O1464" i="5"/>
  <c r="O639" i="5"/>
  <c r="O497" i="5"/>
  <c r="O202" i="5"/>
  <c r="O136" i="5"/>
  <c r="B67" i="3"/>
  <c r="I67" i="3" s="1"/>
  <c r="B49" i="3"/>
  <c r="I49" i="3" s="1"/>
  <c r="B63" i="3"/>
  <c r="I63" i="3" s="1"/>
  <c r="O426" i="5"/>
  <c r="B47" i="3"/>
  <c r="I47" i="3" s="1"/>
  <c r="F40" i="5"/>
  <c r="F401" i="5"/>
  <c r="F448" i="5"/>
  <c r="B137" i="3"/>
  <c r="I137" i="3" s="1"/>
  <c r="O636" i="5"/>
  <c r="B119" i="3"/>
  <c r="I119" i="3" s="1"/>
  <c r="B93" i="3"/>
  <c r="I93" i="3" s="1"/>
  <c r="B136" i="3"/>
  <c r="I136" i="3" s="1"/>
  <c r="O1085" i="5"/>
  <c r="O611" i="5"/>
  <c r="O1415" i="5"/>
  <c r="B94" i="3"/>
  <c r="I94" i="3" s="1"/>
  <c r="O685" i="5"/>
  <c r="O1033" i="5"/>
  <c r="F1078" i="5"/>
  <c r="F1178" i="5"/>
  <c r="F727" i="5"/>
  <c r="F1103" i="5"/>
  <c r="F1342" i="5"/>
  <c r="F1006" i="5"/>
  <c r="F1153" i="5"/>
  <c r="F915" i="5"/>
  <c r="F702" i="5"/>
  <c r="O1300" i="5"/>
  <c r="O1236" i="5"/>
  <c r="B78" i="3"/>
  <c r="I78" i="3" s="1"/>
  <c r="F84" i="5"/>
  <c r="F379" i="5"/>
  <c r="O498" i="5"/>
  <c r="O201" i="5"/>
  <c r="O135" i="5"/>
  <c r="O338" i="5"/>
  <c r="O474" i="5"/>
  <c r="O156" i="5"/>
  <c r="B65" i="3"/>
  <c r="I65" i="3" s="1"/>
  <c r="F108" i="5"/>
  <c r="F423" i="5"/>
  <c r="F470" i="5"/>
  <c r="O1367" i="5"/>
  <c r="B79" i="3"/>
  <c r="I79" i="3" s="1"/>
  <c r="O1393" i="5"/>
  <c r="O658" i="5"/>
  <c r="O1511" i="5"/>
  <c r="O1345" i="5"/>
  <c r="O1086" i="5"/>
  <c r="O871" i="5"/>
  <c r="B77" i="3"/>
  <c r="I77" i="3" s="1"/>
  <c r="O734" i="5"/>
  <c r="B82" i="3"/>
  <c r="I82" i="3" s="1"/>
  <c r="O1034" i="5"/>
  <c r="B109" i="3"/>
  <c r="I109" i="3" s="1"/>
  <c r="B118" i="3"/>
  <c r="I118" i="3" s="1"/>
  <c r="B86" i="3"/>
  <c r="I86" i="3" s="1"/>
  <c r="B111" i="3"/>
  <c r="I111" i="3" s="1"/>
  <c r="F1320" i="5"/>
  <c r="F1028" i="5"/>
  <c r="F520" i="5"/>
  <c r="F937" i="5"/>
  <c r="O1228" i="5"/>
  <c r="O1301" i="5"/>
  <c r="F1225" i="5"/>
  <c r="K594" i="5"/>
  <c r="O1556" i="5"/>
  <c r="E127" i="3"/>
  <c r="E128" i="3"/>
  <c r="D101" i="3"/>
  <c r="E101" i="3" s="1"/>
  <c r="C28" i="33"/>
  <c r="E142" i="3"/>
  <c r="C122" i="3"/>
  <c r="C44" i="3"/>
  <c r="C139" i="3"/>
  <c r="E49" i="3"/>
  <c r="E48" i="3"/>
  <c r="C60" i="3"/>
  <c r="E51" i="3"/>
  <c r="G51" i="3" s="1"/>
  <c r="D139" i="3"/>
  <c r="C105" i="3"/>
  <c r="E141" i="3"/>
  <c r="E120" i="3"/>
  <c r="E69" i="3"/>
  <c r="G69" i="3" s="1"/>
  <c r="F38" i="15" s="1"/>
  <c r="D122" i="3"/>
  <c r="E140" i="3"/>
  <c r="C72" i="3"/>
  <c r="E67" i="3"/>
  <c r="E119" i="3"/>
  <c r="E132" i="3"/>
  <c r="E130" i="3" s="1"/>
  <c r="C102" i="3"/>
  <c r="C81" i="3"/>
  <c r="C113" i="3"/>
  <c r="C108" i="3" s="1"/>
  <c r="C35" i="3" s="1"/>
  <c r="C126" i="3"/>
  <c r="D44" i="3"/>
  <c r="D143" i="3"/>
  <c r="C53" i="3"/>
  <c r="D66" i="3"/>
  <c r="E121" i="3"/>
  <c r="D78" i="3"/>
  <c r="E110" i="3"/>
  <c r="G110" i="3" s="1"/>
  <c r="F41" i="15" s="1"/>
  <c r="C143" i="3"/>
  <c r="C97" i="3"/>
  <c r="E125" i="3"/>
  <c r="C135" i="3"/>
  <c r="C47" i="3"/>
  <c r="C78" i="3"/>
  <c r="E136" i="3"/>
  <c r="D118" i="3"/>
  <c r="E68" i="3"/>
  <c r="C88" i="3"/>
  <c r="D130" i="3"/>
  <c r="E45" i="3"/>
  <c r="C66" i="3"/>
  <c r="E112" i="3"/>
  <c r="E111" i="3" s="1"/>
  <c r="E123" i="3"/>
  <c r="E124" i="3"/>
  <c r="E129" i="3"/>
  <c r="D4" i="16"/>
  <c r="H19" i="16" s="1"/>
  <c r="F6" i="39"/>
  <c r="F8" i="39"/>
  <c r="F7" i="39"/>
  <c r="F5" i="39"/>
  <c r="F9" i="39"/>
  <c r="C67" i="15"/>
  <c r="B114" i="20"/>
  <c r="D35" i="35"/>
  <c r="E32" i="35"/>
  <c r="D32" i="35"/>
  <c r="D36" i="35"/>
  <c r="E35" i="35"/>
  <c r="D33" i="35"/>
  <c r="J5" i="15"/>
  <c r="D68" i="33"/>
  <c r="D35" i="32"/>
  <c r="O12" i="36" s="1"/>
  <c r="P12" i="36" s="1"/>
  <c r="C35" i="32"/>
  <c r="M12" i="36" s="1"/>
  <c r="N12" i="36" s="1"/>
  <c r="F27" i="15"/>
  <c r="E67" i="15"/>
  <c r="C157" i="20"/>
  <c r="D27" i="15"/>
  <c r="D97" i="20"/>
  <c r="E76" i="20"/>
  <c r="J97" i="16"/>
  <c r="C94" i="16" s="1"/>
  <c r="G60" i="19"/>
  <c r="C68" i="18"/>
  <c r="E127" i="20"/>
  <c r="E128" i="20"/>
  <c r="E75" i="20"/>
  <c r="F21" i="20"/>
  <c r="E27" i="20" s="1"/>
  <c r="C92" i="20"/>
  <c r="D89" i="20" s="1"/>
  <c r="F123" i="20"/>
  <c r="C51" i="20"/>
  <c r="D41" i="20" s="1"/>
  <c r="C98" i="20"/>
  <c r="C152" i="20"/>
  <c r="C146" i="20"/>
  <c r="D140" i="20" s="1"/>
  <c r="C155" i="20"/>
  <c r="C156" i="20" s="1"/>
  <c r="H1254" i="5" s="1"/>
  <c r="G91" i="19"/>
  <c r="G17" i="19"/>
  <c r="G31" i="19"/>
  <c r="F77" i="19"/>
  <c r="E77" i="19"/>
  <c r="J85" i="16"/>
  <c r="J86" i="16" s="1"/>
  <c r="J71" i="16"/>
  <c r="J67" i="16"/>
  <c r="J39" i="16"/>
  <c r="J58" i="16" s="1"/>
  <c r="J144" i="20"/>
  <c r="J146" i="20" s="1"/>
  <c r="C159" i="20" s="1"/>
  <c r="H1276" i="5" s="1"/>
  <c r="J92" i="20"/>
  <c r="D101" i="20" s="1"/>
  <c r="D98" i="20"/>
  <c r="J51" i="20"/>
  <c r="C101" i="20" s="1"/>
  <c r="R735" i="5"/>
  <c r="R736" i="5" s="1"/>
  <c r="C158" i="20"/>
  <c r="C92" i="3"/>
  <c r="E145" i="3"/>
  <c r="E143" i="3" s="1"/>
  <c r="G2" i="5"/>
  <c r="F1209" i="5" s="1"/>
  <c r="O1209" i="5" s="1"/>
  <c r="G30" i="23"/>
  <c r="G98" i="23"/>
  <c r="G21" i="23"/>
  <c r="G89" i="23"/>
  <c r="F106" i="23"/>
  <c r="E106" i="23"/>
  <c r="G26" i="23"/>
  <c r="G94" i="23"/>
  <c r="G64" i="15"/>
  <c r="G67" i="15" s="1"/>
  <c r="H1134" i="5" s="1"/>
  <c r="J11" i="15"/>
  <c r="B116" i="20"/>
  <c r="J10" i="15"/>
  <c r="J9" i="15"/>
  <c r="J8" i="15"/>
  <c r="J7" i="15"/>
  <c r="J6" i="15"/>
  <c r="J13" i="15"/>
  <c r="AD20" i="15"/>
  <c r="X20" i="15"/>
  <c r="Y20" i="15" s="1"/>
  <c r="B121" i="20"/>
  <c r="J17" i="15"/>
  <c r="B118" i="20"/>
  <c r="J15" i="15"/>
  <c r="B112" i="20"/>
  <c r="J19" i="15"/>
  <c r="J18" i="15"/>
  <c r="B122" i="20"/>
  <c r="B120" i="20"/>
  <c r="J14" i="15"/>
  <c r="B110" i="20"/>
  <c r="J16" i="15"/>
  <c r="B119" i="20"/>
  <c r="B111" i="20"/>
  <c r="B115" i="20"/>
  <c r="B108" i="20"/>
  <c r="B109" i="20"/>
  <c r="B113" i="20"/>
  <c r="B117" i="20"/>
  <c r="G1236" i="5"/>
  <c r="H1236" i="5" s="1"/>
  <c r="G1560" i="5"/>
  <c r="H885" i="5"/>
  <c r="G1421" i="5"/>
  <c r="G90" i="5"/>
  <c r="G1058" i="5"/>
  <c r="G1056" i="5"/>
  <c r="G874" i="5"/>
  <c r="G502" i="5"/>
  <c r="G362" i="5"/>
  <c r="C12" i="22"/>
  <c r="G113" i="5"/>
  <c r="G547" i="5"/>
  <c r="G1090" i="5"/>
  <c r="G1607" i="5"/>
  <c r="G705" i="5"/>
  <c r="H705" i="5" s="1"/>
  <c r="G136" i="5"/>
  <c r="G641" i="5"/>
  <c r="G1210" i="5"/>
  <c r="G1160" i="5"/>
  <c r="G569" i="5"/>
  <c r="H569" i="5" s="1"/>
  <c r="G159" i="5"/>
  <c r="G661" i="5"/>
  <c r="G1323" i="5"/>
  <c r="G808" i="5"/>
  <c r="H794" i="5"/>
  <c r="G204" i="5"/>
  <c r="G685" i="5"/>
  <c r="G1351" i="5"/>
  <c r="G707" i="5"/>
  <c r="H707" i="5" s="1"/>
  <c r="G271" i="5"/>
  <c r="G781" i="5"/>
  <c r="G1393" i="5"/>
  <c r="E32" i="23" s="1"/>
  <c r="H1170" i="5"/>
  <c r="G47" i="5"/>
  <c r="G473" i="5"/>
  <c r="G985" i="5"/>
  <c r="G1514" i="5"/>
  <c r="H237" i="5"/>
  <c r="H418" i="5"/>
  <c r="G1299" i="5"/>
  <c r="H1299" i="5" s="1"/>
  <c r="H352" i="5"/>
  <c r="G45" i="5"/>
  <c r="G92" i="5"/>
  <c r="G115" i="5"/>
  <c r="G139" i="5"/>
  <c r="G162" i="5"/>
  <c r="G224" i="5"/>
  <c r="G292" i="5"/>
  <c r="G383" i="5"/>
  <c r="G495" i="5"/>
  <c r="G523" i="5"/>
  <c r="G550" i="5"/>
  <c r="G643" i="5"/>
  <c r="G664" i="5"/>
  <c r="G733" i="5"/>
  <c r="G827" i="5"/>
  <c r="G893" i="5"/>
  <c r="G1012" i="5"/>
  <c r="G1060" i="5"/>
  <c r="G1186" i="5"/>
  <c r="G1257" i="5"/>
  <c r="G1328" i="5"/>
  <c r="G1367" i="5"/>
  <c r="G1398" i="5"/>
  <c r="G1446" i="5"/>
  <c r="G1516" i="5"/>
  <c r="G1580" i="5"/>
  <c r="H1580" i="5" s="1"/>
  <c r="G1009" i="5"/>
  <c r="G918" i="5"/>
  <c r="G589" i="5"/>
  <c r="H589" i="5" s="1"/>
  <c r="O601" i="5" s="1"/>
  <c r="H601" i="5" s="1"/>
  <c r="G1156" i="5"/>
  <c r="H907" i="5"/>
  <c r="H772" i="5"/>
  <c r="H215" i="5"/>
  <c r="H440" i="5"/>
  <c r="H559" i="5"/>
  <c r="G567" i="5"/>
  <c r="H567" i="5" s="1"/>
  <c r="G668" i="5"/>
  <c r="G1304" i="5"/>
  <c r="G1300" i="5"/>
  <c r="H1300" i="5" s="1"/>
  <c r="G44" i="5"/>
  <c r="G93" i="5"/>
  <c r="G117" i="5"/>
  <c r="G140" i="5"/>
  <c r="G176" i="5"/>
  <c r="G245" i="5"/>
  <c r="G294" i="5"/>
  <c r="G384" i="5"/>
  <c r="G496" i="5"/>
  <c r="G524" i="5"/>
  <c r="G551" i="5"/>
  <c r="G644" i="5"/>
  <c r="G665" i="5"/>
  <c r="G734" i="5"/>
  <c r="G828" i="5"/>
  <c r="G894" i="5"/>
  <c r="G1013" i="5"/>
  <c r="G1084" i="5"/>
  <c r="G1187" i="5"/>
  <c r="G1258" i="5"/>
  <c r="G1329" i="5"/>
  <c r="G1368" i="5"/>
  <c r="E90" i="19" s="1"/>
  <c r="G1399" i="5"/>
  <c r="G1447" i="5"/>
  <c r="G1536" i="5"/>
  <c r="G1582" i="5"/>
  <c r="G1486" i="5"/>
  <c r="H30" i="16" s="1"/>
  <c r="G1555" i="5"/>
  <c r="H1555" i="5" s="1"/>
  <c r="G1134" i="5"/>
  <c r="F63" i="15" s="1"/>
  <c r="G853" i="5"/>
  <c r="G964" i="5"/>
  <c r="G988" i="5"/>
  <c r="H581" i="5"/>
  <c r="G1229" i="5"/>
  <c r="H1229" i="5" s="1"/>
  <c r="G1233" i="5"/>
  <c r="H1233" i="5" s="1"/>
  <c r="G1305" i="5"/>
  <c r="G65" i="5"/>
  <c r="G95" i="5"/>
  <c r="G118" i="5"/>
  <c r="G155" i="5"/>
  <c r="G177" i="5"/>
  <c r="G246" i="5"/>
  <c r="G313" i="5"/>
  <c r="G404" i="5"/>
  <c r="G497" i="5"/>
  <c r="G525" i="5"/>
  <c r="G636" i="5"/>
  <c r="G645" i="5"/>
  <c r="G666" i="5"/>
  <c r="G735" i="5"/>
  <c r="G849" i="5"/>
  <c r="G895" i="5"/>
  <c r="G1031" i="5"/>
  <c r="G1085" i="5"/>
  <c r="G1188" i="5"/>
  <c r="G1276" i="5"/>
  <c r="H137" i="20" s="1"/>
  <c r="G1330" i="5"/>
  <c r="G1372" i="5"/>
  <c r="G1414" i="5"/>
  <c r="G1464" i="5"/>
  <c r="H1464" i="5" s="1"/>
  <c r="G1537" i="5"/>
  <c r="G1583" i="5"/>
  <c r="G1442" i="5"/>
  <c r="L25" i="16" s="1"/>
  <c r="G871" i="5"/>
  <c r="H871" i="5" s="1"/>
  <c r="O883" i="5" s="1"/>
  <c r="H883" i="5" s="1"/>
  <c r="G854" i="5"/>
  <c r="H374" i="5"/>
  <c r="H932" i="5"/>
  <c r="H603" i="5"/>
  <c r="G611" i="5"/>
  <c r="H611" i="5" s="1"/>
  <c r="G1238" i="5"/>
  <c r="G1306" i="5"/>
  <c r="G1301" i="5"/>
  <c r="H1301" i="5" s="1"/>
  <c r="G505" i="5"/>
  <c r="G66" i="5"/>
  <c r="G96" i="5"/>
  <c r="G133" i="5"/>
  <c r="G156" i="5"/>
  <c r="G201" i="5"/>
  <c r="G247" i="5"/>
  <c r="G338" i="5"/>
  <c r="G426" i="5"/>
  <c r="G498" i="5"/>
  <c r="G526" i="5"/>
  <c r="G637" i="5"/>
  <c r="G658" i="5"/>
  <c r="G667" i="5"/>
  <c r="G758" i="5"/>
  <c r="G850" i="5"/>
  <c r="G940" i="5"/>
  <c r="G1032" i="5"/>
  <c r="G1086" i="5"/>
  <c r="G1206" i="5"/>
  <c r="H36" i="20" s="1"/>
  <c r="H85" i="20" s="1"/>
  <c r="G1278" i="5"/>
  <c r="G1345" i="5"/>
  <c r="E43" i="19" s="1"/>
  <c r="C46" i="19" s="1"/>
  <c r="H1345" i="5" s="1"/>
  <c r="G1373" i="5"/>
  <c r="G1415" i="5"/>
  <c r="E100" i="23" s="1"/>
  <c r="G1466" i="5"/>
  <c r="G1538" i="5"/>
  <c r="G1584" i="5"/>
  <c r="G1557" i="5"/>
  <c r="H1557" i="5" s="1"/>
  <c r="G984" i="5"/>
  <c r="AE18" i="15" s="1"/>
  <c r="G249" i="5"/>
  <c r="G855" i="5"/>
  <c r="G965" i="5"/>
  <c r="G989" i="5"/>
  <c r="H841" i="5"/>
  <c r="H747" i="5"/>
  <c r="H190" i="5"/>
  <c r="H1500" i="5"/>
  <c r="H625" i="5"/>
  <c r="H697" i="5"/>
  <c r="G1239" i="5"/>
  <c r="G1230" i="5"/>
  <c r="H1230" i="5" s="1"/>
  <c r="G1234" i="5"/>
  <c r="H1234" i="5" s="1"/>
  <c r="G67" i="5"/>
  <c r="G111" i="5"/>
  <c r="G134" i="5"/>
  <c r="G157" i="5"/>
  <c r="G202" i="5"/>
  <c r="G269" i="5"/>
  <c r="G360" i="5"/>
  <c r="G451" i="5"/>
  <c r="G500" i="5"/>
  <c r="G545" i="5"/>
  <c r="G638" i="5"/>
  <c r="G659" i="5"/>
  <c r="G683" i="5"/>
  <c r="G759" i="5"/>
  <c r="G851" i="5"/>
  <c r="G941" i="5"/>
  <c r="G1033" i="5"/>
  <c r="G1088" i="5"/>
  <c r="G1208" i="5"/>
  <c r="G1279" i="5"/>
  <c r="G1346" i="5"/>
  <c r="E60" i="19" s="1"/>
  <c r="C61" i="19" s="1"/>
  <c r="G1374" i="5"/>
  <c r="G1419" i="5"/>
  <c r="G1467" i="5"/>
  <c r="G1556" i="5"/>
  <c r="G1605" i="5"/>
  <c r="G1443" i="5"/>
  <c r="H1443" i="5" s="1"/>
  <c r="G1109" i="5"/>
  <c r="G802" i="5"/>
  <c r="H802" i="5" s="1"/>
  <c r="H805" i="5" s="1"/>
  <c r="O814" i="5" s="1"/>
  <c r="H814" i="5" s="1"/>
  <c r="G1158" i="5"/>
  <c r="H1045" i="5"/>
  <c r="H283" i="5"/>
  <c r="H396" i="5"/>
  <c r="H954" i="5"/>
  <c r="H259" i="5"/>
  <c r="H613" i="5"/>
  <c r="H719" i="5"/>
  <c r="G1240" i="5"/>
  <c r="G1298" i="5"/>
  <c r="H1298" i="5" s="1"/>
  <c r="G1302" i="5"/>
  <c r="H1302" i="5" s="1"/>
  <c r="G43" i="5"/>
  <c r="G89" i="5"/>
  <c r="G112" i="5"/>
  <c r="G135" i="5"/>
  <c r="G158" i="5"/>
  <c r="G203" i="5"/>
  <c r="G270" i="5"/>
  <c r="G361" i="5"/>
  <c r="G452" i="5"/>
  <c r="G501" i="5"/>
  <c r="G546" i="5"/>
  <c r="G639" i="5"/>
  <c r="G660" i="5"/>
  <c r="G684" i="5"/>
  <c r="G780" i="5"/>
  <c r="G873" i="5"/>
  <c r="G942" i="5"/>
  <c r="G1034" i="5"/>
  <c r="G1089" i="5"/>
  <c r="G1209" i="5"/>
  <c r="G1280" i="5"/>
  <c r="G1350" i="5"/>
  <c r="G1392" i="5"/>
  <c r="G1420" i="5"/>
  <c r="G1468" i="5"/>
  <c r="G1559" i="5"/>
  <c r="G1606" i="5"/>
  <c r="G1511" i="5"/>
  <c r="L58" i="16" s="1"/>
  <c r="G1602" i="5"/>
  <c r="H1602" i="5" s="1"/>
  <c r="G962" i="5"/>
  <c r="H962" i="5" s="1"/>
  <c r="O974" i="5" s="1"/>
  <c r="H974" i="5" s="1"/>
  <c r="H978" i="5" s="1"/>
  <c r="G1159" i="5"/>
  <c r="G966" i="5"/>
  <c r="G807" i="5"/>
  <c r="H1148" i="5"/>
  <c r="H816" i="5"/>
  <c r="G1254" i="5"/>
  <c r="E154" i="20" s="1"/>
  <c r="G1231" i="5"/>
  <c r="H1231" i="5" s="1"/>
  <c r="G1235" i="5"/>
  <c r="H1235" i="5" s="1"/>
  <c r="H863" i="5"/>
  <c r="G46" i="5"/>
  <c r="G91" i="5"/>
  <c r="G114" i="5"/>
  <c r="G137" i="5"/>
  <c r="G161" i="5"/>
  <c r="G223" i="5"/>
  <c r="G291" i="5"/>
  <c r="G382" i="5"/>
  <c r="G474" i="5"/>
  <c r="G503" i="5"/>
  <c r="G548" i="5"/>
  <c r="G642" i="5"/>
  <c r="G663" i="5"/>
  <c r="G686" i="5"/>
  <c r="G803" i="5"/>
  <c r="G875" i="5"/>
  <c r="G1011" i="5"/>
  <c r="G1059" i="5"/>
  <c r="G1184" i="5"/>
  <c r="G98" i="20" s="1"/>
  <c r="G1256" i="5"/>
  <c r="G1324" i="5"/>
  <c r="E11" i="19" s="1"/>
  <c r="G1352" i="5"/>
  <c r="G1397" i="5"/>
  <c r="G1445" i="5"/>
  <c r="G1515" i="5"/>
  <c r="G1561" i="5"/>
  <c r="G1512" i="5"/>
  <c r="H1512" i="5" s="1"/>
  <c r="G1533" i="5"/>
  <c r="L72" i="16" s="1"/>
  <c r="G1534" i="5"/>
  <c r="L86" i="16" s="1"/>
  <c r="G1603" i="5"/>
  <c r="H1603" i="5" s="1"/>
  <c r="G987" i="5"/>
  <c r="G809" i="5"/>
  <c r="H327" i="5"/>
  <c r="H1478" i="5"/>
  <c r="H537" i="5"/>
  <c r="G646" i="5"/>
  <c r="H1023" i="5"/>
  <c r="G1228" i="5"/>
  <c r="H1228" i="5" s="1"/>
  <c r="G1232" i="5"/>
  <c r="H1232" i="5" s="1"/>
  <c r="H34" i="40" l="1"/>
  <c r="H38" i="3"/>
  <c r="H35" i="40"/>
  <c r="H36" i="40" s="1"/>
  <c r="D72" i="40"/>
  <c r="G48" i="3"/>
  <c r="E78" i="3"/>
  <c r="G67" i="3"/>
  <c r="F30" i="39"/>
  <c r="N30" i="39"/>
  <c r="K31" i="39"/>
  <c r="H32" i="39"/>
  <c r="E33" i="39"/>
  <c r="M33" i="39"/>
  <c r="K29" i="39"/>
  <c r="F21" i="39"/>
  <c r="N21" i="39"/>
  <c r="L22" i="39"/>
  <c r="J23" i="39"/>
  <c r="H24" i="39"/>
  <c r="F25" i="39"/>
  <c r="N25" i="39"/>
  <c r="E31" i="39"/>
  <c r="M31" i="39"/>
  <c r="J32" i="39"/>
  <c r="G33" i="39"/>
  <c r="E29" i="39"/>
  <c r="H21" i="39"/>
  <c r="F22" i="39"/>
  <c r="L23" i="39"/>
  <c r="H25" i="39"/>
  <c r="I30" i="39"/>
  <c r="N31" i="39"/>
  <c r="K32" i="39"/>
  <c r="F29" i="39"/>
  <c r="N29" i="39"/>
  <c r="G22" i="39"/>
  <c r="M23" i="39"/>
  <c r="I25" i="39"/>
  <c r="E30" i="39"/>
  <c r="J31" i="39"/>
  <c r="D33" i="39"/>
  <c r="E21" i="39"/>
  <c r="K22" i="39"/>
  <c r="E25" i="39"/>
  <c r="G30" i="39"/>
  <c r="D31" i="39"/>
  <c r="L31" i="39"/>
  <c r="I32" i="39"/>
  <c r="F33" i="39"/>
  <c r="N33" i="39"/>
  <c r="L29" i="39"/>
  <c r="G21" i="39"/>
  <c r="E22" i="39"/>
  <c r="M22" i="39"/>
  <c r="K23" i="39"/>
  <c r="I24" i="39"/>
  <c r="G25" i="39"/>
  <c r="D22" i="39"/>
  <c r="H30" i="39"/>
  <c r="M29" i="39"/>
  <c r="N22" i="39"/>
  <c r="J24" i="39"/>
  <c r="D23" i="39"/>
  <c r="F31" i="39"/>
  <c r="H33" i="39"/>
  <c r="I21" i="39"/>
  <c r="E23" i="39"/>
  <c r="K24" i="39"/>
  <c r="D24" i="39"/>
  <c r="M30" i="39"/>
  <c r="G32" i="39"/>
  <c r="J29" i="39"/>
  <c r="M21" i="39"/>
  <c r="G24" i="39"/>
  <c r="J30" i="39"/>
  <c r="G31" i="39"/>
  <c r="D32" i="39"/>
  <c r="L32" i="39"/>
  <c r="I33" i="39"/>
  <c r="G29" i="39"/>
  <c r="D29" i="39"/>
  <c r="J21" i="39"/>
  <c r="H22" i="39"/>
  <c r="F23" i="39"/>
  <c r="N23" i="39"/>
  <c r="L24" i="39"/>
  <c r="J25" i="39"/>
  <c r="D25" i="39"/>
  <c r="K30" i="39"/>
  <c r="H31" i="39"/>
  <c r="E32" i="39"/>
  <c r="M32" i="39"/>
  <c r="J33" i="39"/>
  <c r="H29" i="39"/>
  <c r="O32" i="39"/>
  <c r="K21" i="39"/>
  <c r="I22" i="39"/>
  <c r="G23" i="39"/>
  <c r="E24" i="39"/>
  <c r="M24" i="39"/>
  <c r="K25" i="39"/>
  <c r="D21" i="39"/>
  <c r="D30" i="39"/>
  <c r="L30" i="39"/>
  <c r="I31" i="39"/>
  <c r="F32" i="39"/>
  <c r="N32" i="39"/>
  <c r="K33" i="39"/>
  <c r="I29" i="39"/>
  <c r="O24" i="39"/>
  <c r="L21" i="39"/>
  <c r="J22" i="39"/>
  <c r="H23" i="39"/>
  <c r="F24" i="39"/>
  <c r="N24" i="39"/>
  <c r="L25" i="39"/>
  <c r="L33" i="39"/>
  <c r="I23" i="39"/>
  <c r="M25" i="39"/>
  <c r="D70" i="33"/>
  <c r="D69" i="33"/>
  <c r="D71" i="33" s="1"/>
  <c r="J129" i="33"/>
  <c r="F66" i="3"/>
  <c r="F78" i="3"/>
  <c r="G80" i="3"/>
  <c r="F46" i="3"/>
  <c r="D126" i="3"/>
  <c r="D117" i="3" s="1"/>
  <c r="D36" i="3" s="1"/>
  <c r="N1606" i="5"/>
  <c r="N1607" i="5"/>
  <c r="N1608" i="5" s="1"/>
  <c r="N1609" i="5" s="1"/>
  <c r="N1610" i="5" s="1"/>
  <c r="N1611" i="5" s="1"/>
  <c r="N1612" i="5" s="1"/>
  <c r="N1613" i="5" s="1"/>
  <c r="N1614" i="5" s="1"/>
  <c r="N1615" i="5" s="1"/>
  <c r="N1616" i="5" s="1"/>
  <c r="N1617" i="5" s="1"/>
  <c r="N1618" i="5" s="1"/>
  <c r="N1619" i="5" s="1"/>
  <c r="K595" i="5"/>
  <c r="L1080" i="5"/>
  <c r="M1606" i="5"/>
  <c r="M1607" i="5"/>
  <c r="M1608" i="5" s="1"/>
  <c r="M1609" i="5" s="1"/>
  <c r="M1610" i="5" s="1"/>
  <c r="M1611" i="5" s="1"/>
  <c r="M1612" i="5" s="1"/>
  <c r="M1613" i="5" s="1"/>
  <c r="M1614" i="5" s="1"/>
  <c r="M1615" i="5" s="1"/>
  <c r="M1616" i="5" s="1"/>
  <c r="M1617" i="5" s="1"/>
  <c r="M1618" i="5" s="1"/>
  <c r="M1619" i="5" s="1"/>
  <c r="H17" i="16"/>
  <c r="C131" i="33"/>
  <c r="C133" i="33"/>
  <c r="C132" i="33"/>
  <c r="I129" i="33"/>
  <c r="D115" i="3"/>
  <c r="E115" i="3" s="1"/>
  <c r="F100" i="3"/>
  <c r="G100" i="3" s="1"/>
  <c r="D95" i="3"/>
  <c r="E95" i="3" s="1"/>
  <c r="H14" i="16"/>
  <c r="C117" i="3"/>
  <c r="C36" i="3" s="1"/>
  <c r="E44" i="3"/>
  <c r="G49" i="3"/>
  <c r="E139" i="3"/>
  <c r="C134" i="3"/>
  <c r="C37" i="3" s="1"/>
  <c r="E109" i="3"/>
  <c r="G109" i="3" s="1"/>
  <c r="E66" i="3"/>
  <c r="G66" i="3" s="1"/>
  <c r="G45" i="3"/>
  <c r="E126" i="3"/>
  <c r="C71" i="3"/>
  <c r="C33" i="3" s="1"/>
  <c r="E118" i="3"/>
  <c r="G68" i="3"/>
  <c r="E122" i="3"/>
  <c r="C85" i="3"/>
  <c r="C34" i="3" s="1"/>
  <c r="G78" i="3"/>
  <c r="C43" i="3"/>
  <c r="C32" i="3" s="1"/>
  <c r="H735" i="5"/>
  <c r="O745" i="5" s="1"/>
  <c r="H745" i="5" s="1"/>
  <c r="H749" i="5" s="1"/>
  <c r="F1561" i="5"/>
  <c r="O1561" i="5" s="1"/>
  <c r="H8" i="16"/>
  <c r="H6" i="16"/>
  <c r="H23" i="16"/>
  <c r="H15" i="16"/>
  <c r="H12" i="16"/>
  <c r="H22" i="16"/>
  <c r="H9" i="16"/>
  <c r="H11" i="16"/>
  <c r="H10" i="16"/>
  <c r="H21" i="16"/>
  <c r="H16" i="16"/>
  <c r="H7" i="16"/>
  <c r="I7" i="16" s="1"/>
  <c r="J7" i="16" s="1"/>
  <c r="J25" i="16" s="1"/>
  <c r="H24" i="16"/>
  <c r="H18" i="16"/>
  <c r="H13" i="16"/>
  <c r="H20" i="16"/>
  <c r="F15" i="39"/>
  <c r="N26" i="25"/>
  <c r="J20" i="15"/>
  <c r="C37" i="22" s="1"/>
  <c r="E36" i="35"/>
  <c r="E37" i="35" s="1"/>
  <c r="F36" i="35"/>
  <c r="D34" i="35"/>
  <c r="F33" i="35"/>
  <c r="E33" i="35"/>
  <c r="E34" i="35" s="1"/>
  <c r="D37" i="35"/>
  <c r="D89" i="33"/>
  <c r="D82" i="33"/>
  <c r="D75" i="33" s="1"/>
  <c r="D80" i="33"/>
  <c r="D74" i="33" s="1"/>
  <c r="D85" i="33"/>
  <c r="D87" i="33" s="1"/>
  <c r="D72" i="33"/>
  <c r="D91" i="33"/>
  <c r="D98" i="33"/>
  <c r="D97" i="33"/>
  <c r="D96" i="33"/>
  <c r="D99" i="33"/>
  <c r="D100" i="33"/>
  <c r="D92" i="33"/>
  <c r="D90" i="33"/>
  <c r="D93" i="33"/>
  <c r="H1056" i="5"/>
  <c r="O1068" i="5" s="1"/>
  <c r="H1068" i="5" s="1"/>
  <c r="H1072" i="5" s="1"/>
  <c r="H1009" i="5"/>
  <c r="O1021" i="5" s="1"/>
  <c r="H1021" i="5" s="1"/>
  <c r="H1025" i="5" s="1"/>
  <c r="C62" i="19"/>
  <c r="H1346" i="5" s="1"/>
  <c r="E77" i="20"/>
  <c r="E78" i="20" s="1"/>
  <c r="AE20" i="15"/>
  <c r="H984" i="5" s="1"/>
  <c r="O996" i="5" s="1"/>
  <c r="H996" i="5" s="1"/>
  <c r="H1000" i="5" s="1"/>
  <c r="F140" i="5"/>
  <c r="O140" i="5" s="1"/>
  <c r="F664" i="5"/>
  <c r="O664" i="5" s="1"/>
  <c r="F249" i="5"/>
  <c r="O249" i="5" s="1"/>
  <c r="F95" i="5"/>
  <c r="O95" i="5" s="1"/>
  <c r="F854" i="5"/>
  <c r="O854" i="5" s="1"/>
  <c r="F663" i="5"/>
  <c r="O663" i="5" s="1"/>
  <c r="F162" i="5"/>
  <c r="O162" i="5" s="1"/>
  <c r="F1256" i="5"/>
  <c r="O1256" i="5" s="1"/>
  <c r="F1187" i="5"/>
  <c r="O1187" i="5" s="1"/>
  <c r="F965" i="5"/>
  <c r="F642" i="5"/>
  <c r="O642" i="5" s="1"/>
  <c r="C155" i="3"/>
  <c r="F1538" i="5"/>
  <c r="O1538" i="5" s="1"/>
  <c r="F1467" i="5"/>
  <c r="O1467" i="5" s="1"/>
  <c r="F667" i="5"/>
  <c r="O667" i="5" s="1"/>
  <c r="F1420" i="5"/>
  <c r="O1420" i="5" s="1"/>
  <c r="F1208" i="5"/>
  <c r="O1208" i="5" s="1"/>
  <c r="F1239" i="5"/>
  <c r="O1239" i="5" s="1"/>
  <c r="F1304" i="5"/>
  <c r="O1304" i="5" s="1"/>
  <c r="F65" i="15"/>
  <c r="F66" i="15"/>
  <c r="F64" i="15"/>
  <c r="F643" i="5"/>
  <c r="O643" i="5" s="1"/>
  <c r="F1446" i="5"/>
  <c r="O1446" i="5" s="1"/>
  <c r="F1421" i="5"/>
  <c r="O1421" i="5" s="1"/>
  <c r="H1156" i="5"/>
  <c r="O1168" i="5" s="1"/>
  <c r="H1168" i="5" s="1"/>
  <c r="H1172" i="5" s="1"/>
  <c r="D22" i="20"/>
  <c r="E130" i="20"/>
  <c r="E131" i="20" s="1"/>
  <c r="F668" i="5"/>
  <c r="O668" i="5" s="1"/>
  <c r="F1280" i="5"/>
  <c r="O1280" i="5" s="1"/>
  <c r="F855" i="5"/>
  <c r="O855" i="5" s="1"/>
  <c r="F161" i="5"/>
  <c r="O161" i="5" s="1"/>
  <c r="C92" i="19"/>
  <c r="E5" i="23"/>
  <c r="F874" i="5"/>
  <c r="O874" i="5" s="1"/>
  <c r="F1330" i="5"/>
  <c r="O1330" i="5" s="1"/>
  <c r="E39" i="23"/>
  <c r="H1370" i="5"/>
  <c r="O1379" i="5" s="1"/>
  <c r="H1379" i="5" s="1"/>
  <c r="H1383" i="5" s="1"/>
  <c r="E67" i="19"/>
  <c r="E5" i="19"/>
  <c r="E36" i="19"/>
  <c r="E18" i="19"/>
  <c r="F96" i="5"/>
  <c r="O96" i="5" s="1"/>
  <c r="F853" i="5"/>
  <c r="O853" i="5" s="1"/>
  <c r="C22" i="20"/>
  <c r="D39" i="20"/>
  <c r="D88" i="20"/>
  <c r="D87" i="20"/>
  <c r="D92" i="20" s="1"/>
  <c r="D43" i="20"/>
  <c r="D38" i="20"/>
  <c r="D51" i="20" s="1"/>
  <c r="D91" i="20"/>
  <c r="D90" i="20"/>
  <c r="E22" i="20"/>
  <c r="E26" i="20"/>
  <c r="E25" i="20"/>
  <c r="C97" i="20"/>
  <c r="E97" i="20" s="1"/>
  <c r="C151" i="20"/>
  <c r="C153" i="20" s="1"/>
  <c r="E124" i="20"/>
  <c r="D124" i="20"/>
  <c r="C124" i="20"/>
  <c r="O1288" i="5"/>
  <c r="H1288" i="5" s="1"/>
  <c r="H1292" i="5" s="1"/>
  <c r="D141" i="20"/>
  <c r="D139" i="20"/>
  <c r="D146" i="20" s="1"/>
  <c r="D145" i="20"/>
  <c r="D144" i="20"/>
  <c r="D142" i="20"/>
  <c r="E157" i="3"/>
  <c r="O1266" i="5"/>
  <c r="H1266" i="5" s="1"/>
  <c r="H1270" i="5" s="1"/>
  <c r="C40" i="22"/>
  <c r="D40" i="20"/>
  <c r="D46" i="20"/>
  <c r="D50" i="20"/>
  <c r="D48" i="20"/>
  <c r="D47" i="20"/>
  <c r="D42" i="20"/>
  <c r="D49" i="20"/>
  <c r="D44" i="20"/>
  <c r="D45" i="20"/>
  <c r="D143" i="20"/>
  <c r="H1348" i="5"/>
  <c r="O1357" i="5" s="1"/>
  <c r="H1357" i="5" s="1"/>
  <c r="H1361" i="5" s="1"/>
  <c r="G35" i="19"/>
  <c r="C37" i="19" s="1"/>
  <c r="J72" i="16"/>
  <c r="J73" i="16" s="1"/>
  <c r="H1533" i="5" s="1"/>
  <c r="F1159" i="5"/>
  <c r="O1159" i="5" s="1"/>
  <c r="O1476" i="5"/>
  <c r="H1476" i="5" s="1"/>
  <c r="H1480" i="5" s="1"/>
  <c r="J26" i="16"/>
  <c r="H1442" i="5" s="1"/>
  <c r="O1454" i="5" s="1"/>
  <c r="H1454" i="5" s="1"/>
  <c r="H1458" i="5" s="1"/>
  <c r="J87" i="16"/>
  <c r="H1534" i="5" s="1"/>
  <c r="J59" i="16"/>
  <c r="E98" i="20"/>
  <c r="D99" i="20"/>
  <c r="F1088" i="5"/>
  <c r="O1088" i="5" s="1"/>
  <c r="F1515" i="5"/>
  <c r="O1515" i="5" s="1"/>
  <c r="F1328" i="5"/>
  <c r="O1328" i="5" s="1"/>
  <c r="F873" i="5"/>
  <c r="O873" i="5" s="1"/>
  <c r="F1419" i="5"/>
  <c r="O1419" i="5" s="1"/>
  <c r="F502" i="5"/>
  <c r="O502" i="5" s="1"/>
  <c r="F1258" i="5"/>
  <c r="O1258" i="5" s="1"/>
  <c r="F1516" i="5"/>
  <c r="O1516" i="5" s="1"/>
  <c r="F1605" i="5"/>
  <c r="O1605" i="5" s="1"/>
  <c r="F1238" i="5"/>
  <c r="O1238" i="5" s="1"/>
  <c r="F1305" i="5"/>
  <c r="O1305" i="5" s="1"/>
  <c r="F1279" i="5"/>
  <c r="O1279" i="5" s="1"/>
  <c r="F1352" i="5"/>
  <c r="O1352" i="5" s="1"/>
  <c r="F808" i="5"/>
  <c r="O808" i="5" s="1"/>
  <c r="F1210" i="5"/>
  <c r="O1210" i="5" s="1"/>
  <c r="F989" i="5"/>
  <c r="F294" i="5"/>
  <c r="O294" i="5" s="1"/>
  <c r="F1089" i="5"/>
  <c r="O1089" i="5" s="1"/>
  <c r="F505" i="5"/>
  <c r="O505" i="5" s="1"/>
  <c r="F1584" i="5"/>
  <c r="O1584" i="5" s="1"/>
  <c r="F1090" i="5"/>
  <c r="O1090" i="5" s="1"/>
  <c r="R34" i="5"/>
  <c r="F1351" i="5"/>
  <c r="O1351" i="5" s="1"/>
  <c r="F1536" i="5"/>
  <c r="O1536" i="5" s="1"/>
  <c r="F645" i="5"/>
  <c r="O645" i="5" s="1"/>
  <c r="F1397" i="5"/>
  <c r="O1397" i="5" s="1"/>
  <c r="F1013" i="5"/>
  <c r="O1013" i="5" s="1"/>
  <c r="F1059" i="5"/>
  <c r="O1059" i="5" s="1"/>
  <c r="F1399" i="5"/>
  <c r="O1399" i="5" s="1"/>
  <c r="F1158" i="5"/>
  <c r="O1158" i="5" s="1"/>
  <c r="F1329" i="5"/>
  <c r="O1329" i="5" s="1"/>
  <c r="F646" i="5"/>
  <c r="O646" i="5" s="1"/>
  <c r="F1468" i="5"/>
  <c r="O1468" i="5" s="1"/>
  <c r="F1372" i="5"/>
  <c r="O1372" i="5" s="1"/>
  <c r="F1011" i="5"/>
  <c r="O1011" i="5" s="1"/>
  <c r="F809" i="5"/>
  <c r="O809" i="5" s="1"/>
  <c r="F1240" i="5"/>
  <c r="O1240" i="5" s="1"/>
  <c r="F987" i="5"/>
  <c r="F1445" i="5"/>
  <c r="O1445" i="5" s="1"/>
  <c r="F1278" i="5"/>
  <c r="O1278" i="5" s="1"/>
  <c r="F500" i="5"/>
  <c r="O500" i="5" s="1"/>
  <c r="F1537" i="5"/>
  <c r="O1537" i="5" s="1"/>
  <c r="F1447" i="5"/>
  <c r="O1447" i="5" s="1"/>
  <c r="F1257" i="5"/>
  <c r="O1257" i="5" s="1"/>
  <c r="F550" i="5"/>
  <c r="O550" i="5" s="1"/>
  <c r="F1188" i="5"/>
  <c r="O1188" i="5" s="1"/>
  <c r="F988" i="5"/>
  <c r="F503" i="5"/>
  <c r="O503" i="5" s="1"/>
  <c r="F1606" i="5"/>
  <c r="O1606" i="5" s="1"/>
  <c r="F1607" i="5"/>
  <c r="O1607" i="5" s="1"/>
  <c r="F117" i="5"/>
  <c r="O117" i="5" s="1"/>
  <c r="F1560" i="5"/>
  <c r="O1560" i="5" s="1"/>
  <c r="F807" i="5"/>
  <c r="O807" i="5" s="1"/>
  <c r="F644" i="5"/>
  <c r="O644" i="5" s="1"/>
  <c r="F964" i="5"/>
  <c r="F665" i="5"/>
  <c r="O665" i="5" s="1"/>
  <c r="F1306" i="5"/>
  <c r="O1306" i="5" s="1"/>
  <c r="F666" i="5"/>
  <c r="O666" i="5" s="1"/>
  <c r="F1559" i="5"/>
  <c r="O1559" i="5" s="1"/>
  <c r="H887" i="5"/>
  <c r="F1582" i="5"/>
  <c r="O1582" i="5" s="1"/>
  <c r="F1058" i="5"/>
  <c r="O1058" i="5" s="1"/>
  <c r="F1398" i="5"/>
  <c r="O1398" i="5" s="1"/>
  <c r="F1373" i="5"/>
  <c r="O1373" i="5" s="1"/>
  <c r="F875" i="5"/>
  <c r="O875" i="5" s="1"/>
  <c r="O623" i="5"/>
  <c r="H623" i="5" s="1"/>
  <c r="H627" i="5" s="1"/>
  <c r="F641" i="5"/>
  <c r="O641" i="5" s="1"/>
  <c r="F1160" i="5"/>
  <c r="O1160" i="5" s="1"/>
  <c r="F1374" i="5"/>
  <c r="O1374" i="5" s="1"/>
  <c r="F1060" i="5"/>
  <c r="O1060" i="5" s="1"/>
  <c r="F1012" i="5"/>
  <c r="O1012" i="5" s="1"/>
  <c r="F1186" i="5"/>
  <c r="O1186" i="5" s="1"/>
  <c r="F501" i="5"/>
  <c r="O501" i="5" s="1"/>
  <c r="F1583" i="5"/>
  <c r="O1583" i="5" s="1"/>
  <c r="F1514" i="5"/>
  <c r="O1514" i="5" s="1"/>
  <c r="F139" i="5"/>
  <c r="O139" i="5" s="1"/>
  <c r="F118" i="5"/>
  <c r="O118" i="5" s="1"/>
  <c r="F1466" i="5"/>
  <c r="O1466" i="5" s="1"/>
  <c r="F966" i="5"/>
  <c r="F1350" i="5"/>
  <c r="O1350" i="5" s="1"/>
  <c r="F551" i="5"/>
  <c r="O551" i="5" s="1"/>
  <c r="G31" i="23"/>
  <c r="C33" i="23" s="1"/>
  <c r="G99" i="23"/>
  <c r="K102" i="23" s="1"/>
  <c r="K105" i="23"/>
  <c r="H918" i="5"/>
  <c r="O930" i="5" s="1"/>
  <c r="H930" i="5" s="1"/>
  <c r="H934" i="5" s="1"/>
  <c r="O1146" i="5"/>
  <c r="H1146" i="5" s="1"/>
  <c r="H1150" i="5" s="1"/>
  <c r="O717" i="5"/>
  <c r="H717" i="5" s="1"/>
  <c r="H721" i="5" s="1"/>
  <c r="D64" i="3"/>
  <c r="E64" i="3" s="1"/>
  <c r="H420" i="5"/>
  <c r="D55" i="3"/>
  <c r="E55" i="3" s="1"/>
  <c r="H239" i="5"/>
  <c r="O579" i="5"/>
  <c r="H579" i="5" s="1"/>
  <c r="H583" i="5" s="1"/>
  <c r="D90" i="3"/>
  <c r="E90" i="3" s="1"/>
  <c r="H796" i="5"/>
  <c r="D61" i="3"/>
  <c r="E61" i="3" s="1"/>
  <c r="H354" i="5"/>
  <c r="D103" i="3"/>
  <c r="O1310" i="5"/>
  <c r="H1310" i="5" s="1"/>
  <c r="H1314" i="5" s="1"/>
  <c r="D114" i="3"/>
  <c r="D52" i="3"/>
  <c r="H192" i="5"/>
  <c r="O1567" i="5"/>
  <c r="H1567" i="5" s="1"/>
  <c r="H1571" i="5" s="1"/>
  <c r="D96" i="3"/>
  <c r="E96" i="3" s="1"/>
  <c r="H909" i="5"/>
  <c r="H285" i="5"/>
  <c r="D57" i="3"/>
  <c r="D104" i="3"/>
  <c r="E104" i="3" s="1"/>
  <c r="H1047" i="5"/>
  <c r="D99" i="3"/>
  <c r="E99" i="3" s="1"/>
  <c r="H956" i="5"/>
  <c r="O1241" i="5"/>
  <c r="H1241" i="5" s="1"/>
  <c r="H1245" i="5" s="1"/>
  <c r="D63" i="3"/>
  <c r="E63" i="3" s="1"/>
  <c r="H398" i="5"/>
  <c r="D87" i="3"/>
  <c r="D76" i="3"/>
  <c r="E76" i="3" s="1"/>
  <c r="H605" i="5"/>
  <c r="D75" i="3"/>
  <c r="E75" i="3" s="1"/>
  <c r="D98" i="3"/>
  <c r="D74" i="3"/>
  <c r="E74" i="3" s="1"/>
  <c r="H561" i="5"/>
  <c r="D94" i="3"/>
  <c r="E94" i="3" s="1"/>
  <c r="H865" i="5"/>
  <c r="D62" i="3"/>
  <c r="H376" i="5"/>
  <c r="D73" i="3"/>
  <c r="H539" i="5"/>
  <c r="D137" i="3"/>
  <c r="O1615" i="5"/>
  <c r="H1615" i="5" s="1"/>
  <c r="H1619" i="5" s="1"/>
  <c r="D83" i="3"/>
  <c r="E83" i="3" s="1"/>
  <c r="D82" i="3"/>
  <c r="H699" i="5"/>
  <c r="D65" i="3"/>
  <c r="E65" i="3" s="1"/>
  <c r="H442" i="5"/>
  <c r="D93" i="3"/>
  <c r="H843" i="5"/>
  <c r="D59" i="3"/>
  <c r="E59" i="3" s="1"/>
  <c r="H329" i="5"/>
  <c r="D77" i="3"/>
  <c r="E77" i="3" s="1"/>
  <c r="D54" i="3"/>
  <c r="H217" i="5"/>
  <c r="D91" i="3"/>
  <c r="E91" i="3" s="1"/>
  <c r="H818" i="5"/>
  <c r="D56" i="3"/>
  <c r="E56" i="3" s="1"/>
  <c r="H261" i="5"/>
  <c r="D138" i="3"/>
  <c r="E138" i="3" s="1"/>
  <c r="D89" i="3"/>
  <c r="H774" i="5"/>
  <c r="C158" i="3"/>
  <c r="O1592" i="5"/>
  <c r="H1592" i="5" s="1"/>
  <c r="H1596" i="5" s="1"/>
  <c r="D32" i="40" l="1"/>
  <c r="D46" i="40"/>
  <c r="D90" i="40"/>
  <c r="E46" i="40"/>
  <c r="E32" i="40" s="1"/>
  <c r="E72" i="40"/>
  <c r="E90" i="40"/>
  <c r="C82" i="6"/>
  <c r="G46" i="3"/>
  <c r="F44" i="3"/>
  <c r="G44" i="3" s="1"/>
  <c r="C74" i="6"/>
  <c r="C75" i="6"/>
  <c r="C73" i="6"/>
  <c r="C81" i="6"/>
  <c r="C90" i="6"/>
  <c r="C86" i="6"/>
  <c r="C71" i="6"/>
  <c r="C72" i="6"/>
  <c r="C49" i="6"/>
  <c r="C79" i="6"/>
  <c r="C76" i="6"/>
  <c r="C88" i="6"/>
  <c r="C80" i="6"/>
  <c r="C89" i="6"/>
  <c r="C65" i="6"/>
  <c r="C55" i="6"/>
  <c r="C54" i="6"/>
  <c r="C51" i="6"/>
  <c r="C60" i="6"/>
  <c r="C62" i="6"/>
  <c r="C68" i="6"/>
  <c r="C64" i="6"/>
  <c r="C58" i="6"/>
  <c r="C53" i="6"/>
  <c r="C63" i="6"/>
  <c r="C66" i="6"/>
  <c r="C67" i="6"/>
  <c r="C52" i="6"/>
  <c r="K596" i="5"/>
  <c r="C59" i="6"/>
  <c r="C56" i="6"/>
  <c r="C50" i="6"/>
  <c r="C57" i="6"/>
  <c r="L1081" i="5"/>
  <c r="C61" i="6"/>
  <c r="C87" i="6"/>
  <c r="C85" i="6"/>
  <c r="C83" i="6"/>
  <c r="C84" i="6"/>
  <c r="C77" i="6"/>
  <c r="C78" i="6"/>
  <c r="D133" i="33"/>
  <c r="D132" i="33"/>
  <c r="D131" i="33"/>
  <c r="F65" i="3"/>
  <c r="G65" i="3" s="1"/>
  <c r="F129" i="3"/>
  <c r="G129" i="3" s="1"/>
  <c r="F104" i="3"/>
  <c r="G104" i="3" s="1"/>
  <c r="F95" i="3"/>
  <c r="G95" i="3" s="1"/>
  <c r="F124" i="3"/>
  <c r="G124" i="3" s="1"/>
  <c r="F103" i="3"/>
  <c r="F54" i="3"/>
  <c r="F76" i="3"/>
  <c r="G76" i="3" s="1"/>
  <c r="F137" i="3"/>
  <c r="F123" i="3"/>
  <c r="F106" i="3"/>
  <c r="G106" i="3" s="1"/>
  <c r="F32" i="15" s="1"/>
  <c r="F52" i="3"/>
  <c r="F47" i="3" s="1"/>
  <c r="F75" i="3"/>
  <c r="G75" i="3" s="1"/>
  <c r="F77" i="3"/>
  <c r="G77" i="3" s="1"/>
  <c r="F98" i="3"/>
  <c r="F59" i="3"/>
  <c r="G59" i="3" s="1"/>
  <c r="F63" i="3"/>
  <c r="G63" i="3" s="1"/>
  <c r="F57" i="3"/>
  <c r="F64" i="3"/>
  <c r="G64" i="3" s="1"/>
  <c r="F115" i="3"/>
  <c r="G115" i="3" s="1"/>
  <c r="F87" i="3"/>
  <c r="F86" i="3" s="1"/>
  <c r="F94" i="3"/>
  <c r="G94" i="3" s="1"/>
  <c r="F125" i="3"/>
  <c r="G125" i="3" s="1"/>
  <c r="F56" i="3"/>
  <c r="G56" i="3" s="1"/>
  <c r="F145" i="3"/>
  <c r="G145" i="3" s="1"/>
  <c r="C34" i="27" s="1"/>
  <c r="E34" i="27" s="1"/>
  <c r="F74" i="3"/>
  <c r="G74" i="3" s="1"/>
  <c r="F96" i="3"/>
  <c r="G96" i="3" s="1"/>
  <c r="F93" i="3"/>
  <c r="F83" i="3"/>
  <c r="G83" i="3" s="1"/>
  <c r="F128" i="3"/>
  <c r="G128" i="3" s="1"/>
  <c r="F101" i="3"/>
  <c r="G101" i="3" s="1"/>
  <c r="D33" i="40"/>
  <c r="F144" i="3"/>
  <c r="G144" i="3" s="1"/>
  <c r="F62" i="3"/>
  <c r="F89" i="3"/>
  <c r="F82" i="3"/>
  <c r="F55" i="3"/>
  <c r="G55" i="3" s="1"/>
  <c r="F61" i="3"/>
  <c r="G61" i="3" s="1"/>
  <c r="F121" i="3"/>
  <c r="G121" i="3" s="1"/>
  <c r="F91" i="3"/>
  <c r="G91" i="3" s="1"/>
  <c r="F34" i="15" s="1"/>
  <c r="F73" i="3"/>
  <c r="F99" i="3"/>
  <c r="G99" i="3" s="1"/>
  <c r="F142" i="3"/>
  <c r="G142" i="3" s="1"/>
  <c r="C31" i="27" s="1"/>
  <c r="G31" i="27" s="1"/>
  <c r="H31" i="27" s="1"/>
  <c r="I31" i="27" s="1"/>
  <c r="F90" i="3"/>
  <c r="G90" i="3" s="1"/>
  <c r="F114" i="3"/>
  <c r="F136" i="3"/>
  <c r="G136" i="3" s="1"/>
  <c r="C25" i="27" s="1"/>
  <c r="E57" i="3"/>
  <c r="E117" i="3"/>
  <c r="E36" i="3" s="1"/>
  <c r="C38" i="3"/>
  <c r="H1109" i="5"/>
  <c r="O1121" i="5" s="1"/>
  <c r="H1121" i="5" s="1"/>
  <c r="D104" i="33"/>
  <c r="D79" i="33"/>
  <c r="D102" i="33"/>
  <c r="D101" i="33"/>
  <c r="D94" i="33"/>
  <c r="D73" i="33"/>
  <c r="D105" i="33" s="1"/>
  <c r="D106" i="33"/>
  <c r="D103" i="33"/>
  <c r="D107" i="33"/>
  <c r="C7" i="19"/>
  <c r="C81" i="23"/>
  <c r="H1414" i="5" s="1"/>
  <c r="H1417" i="5" s="1"/>
  <c r="O1426" i="5" s="1"/>
  <c r="H1426" i="5" s="1"/>
  <c r="H1430" i="5" s="1"/>
  <c r="C13" i="23"/>
  <c r="C38" i="19"/>
  <c r="H1324" i="5" s="1"/>
  <c r="C93" i="19"/>
  <c r="H1368" i="5" s="1"/>
  <c r="C34" i="23"/>
  <c r="H1393" i="5" s="1"/>
  <c r="K104" i="23"/>
  <c r="K101" i="23"/>
  <c r="C101" i="23" s="1"/>
  <c r="C106" i="23" s="1"/>
  <c r="E28" i="20"/>
  <c r="E29" i="20" s="1"/>
  <c r="E99" i="20"/>
  <c r="E100" i="20" s="1"/>
  <c r="E101" i="20"/>
  <c r="C99" i="20"/>
  <c r="C157" i="3"/>
  <c r="H1511" i="5"/>
  <c r="O1523" i="5" s="1"/>
  <c r="H1523" i="5" s="1"/>
  <c r="H1527" i="5" s="1"/>
  <c r="O1545" i="5"/>
  <c r="H1545" i="5" s="1"/>
  <c r="H1549" i="5" s="1"/>
  <c r="E32" i="16"/>
  <c r="E31" i="16"/>
  <c r="F31" i="16" s="1"/>
  <c r="F33" i="16" s="1"/>
  <c r="H1486" i="5" s="1"/>
  <c r="O1498" i="5" s="1"/>
  <c r="H1498" i="5" s="1"/>
  <c r="H1502" i="5" s="1"/>
  <c r="K103" i="23"/>
  <c r="D135" i="3"/>
  <c r="D134" i="3" s="1"/>
  <c r="D37" i="3" s="1"/>
  <c r="E137" i="3"/>
  <c r="D81" i="3"/>
  <c r="E82" i="3"/>
  <c r="D86" i="3"/>
  <c r="E87" i="3"/>
  <c r="D97" i="3"/>
  <c r="E98" i="3"/>
  <c r="E62" i="3"/>
  <c r="D60" i="3"/>
  <c r="D113" i="3"/>
  <c r="D108" i="3" s="1"/>
  <c r="D35" i="3" s="1"/>
  <c r="E114" i="3"/>
  <c r="D88" i="3"/>
  <c r="E89" i="3"/>
  <c r="D92" i="3"/>
  <c r="E93" i="3"/>
  <c r="E52" i="3"/>
  <c r="D47" i="3"/>
  <c r="D53" i="3"/>
  <c r="E54" i="3"/>
  <c r="D72" i="3"/>
  <c r="E73" i="3"/>
  <c r="D102" i="3"/>
  <c r="E103" i="3"/>
  <c r="F105" i="3" l="1"/>
  <c r="G105" i="3" s="1"/>
  <c r="D34" i="40"/>
  <c r="L1082" i="5"/>
  <c r="K597" i="5"/>
  <c r="G57" i="3"/>
  <c r="F53" i="3"/>
  <c r="F113" i="3"/>
  <c r="F88" i="3"/>
  <c r="F72" i="3"/>
  <c r="D31" i="27"/>
  <c r="E31" i="27"/>
  <c r="F143" i="3"/>
  <c r="G143" i="3" s="1"/>
  <c r="C32" i="27" s="1"/>
  <c r="F102" i="3"/>
  <c r="F60" i="3"/>
  <c r="F43" i="3" s="1"/>
  <c r="I32" i="3" s="1"/>
  <c r="F32" i="3" s="1"/>
  <c r="G34" i="27"/>
  <c r="H34" i="27" s="1"/>
  <c r="I34" i="27" s="1"/>
  <c r="J34" i="27"/>
  <c r="L34" i="27" s="1"/>
  <c r="F81" i="3"/>
  <c r="F122" i="3"/>
  <c r="G122" i="3" s="1"/>
  <c r="F37" i="15" s="1"/>
  <c r="D34" i="27"/>
  <c r="F97" i="3"/>
  <c r="F92" i="3"/>
  <c r="G123" i="3"/>
  <c r="J31" i="27"/>
  <c r="K31" i="27" s="1"/>
  <c r="F132" i="3"/>
  <c r="G132" i="3" s="1"/>
  <c r="F138" i="3"/>
  <c r="G138" i="3" s="1"/>
  <c r="C27" i="27" s="1"/>
  <c r="J27" i="27" s="1"/>
  <c r="F140" i="3"/>
  <c r="G140" i="3" s="1"/>
  <c r="C29" i="27" s="1"/>
  <c r="J29" i="27" s="1"/>
  <c r="F141" i="3"/>
  <c r="G141" i="3" s="1"/>
  <c r="C30" i="27" s="1"/>
  <c r="J30" i="27" s="1"/>
  <c r="H1125" i="5"/>
  <c r="E33" i="40"/>
  <c r="C33" i="27"/>
  <c r="J33" i="27" s="1"/>
  <c r="C156" i="3"/>
  <c r="D25" i="27"/>
  <c r="E25" i="27"/>
  <c r="J25" i="27"/>
  <c r="G25" i="27"/>
  <c r="E41" i="27"/>
  <c r="D41" i="27" s="1"/>
  <c r="D59" i="27" s="1"/>
  <c r="D60" i="27" s="1"/>
  <c r="D61" i="27" s="1"/>
  <c r="D111" i="33"/>
  <c r="E115" i="33" s="1"/>
  <c r="P13" i="36" s="1"/>
  <c r="F35" i="36" s="1"/>
  <c r="D109" i="33"/>
  <c r="D115" i="33" s="1"/>
  <c r="O13" i="36" s="1"/>
  <c r="E35" i="36" s="1"/>
  <c r="D110" i="33"/>
  <c r="E114" i="33" s="1"/>
  <c r="N13" i="36" s="1"/>
  <c r="F24" i="36" s="1"/>
  <c r="D108" i="33"/>
  <c r="D114" i="33" s="1"/>
  <c r="M13" i="36" s="1"/>
  <c r="E24" i="36" s="1"/>
  <c r="H1206" i="5"/>
  <c r="O1218" i="5" s="1"/>
  <c r="H1218" i="5" s="1"/>
  <c r="H1222" i="5" s="1"/>
  <c r="H1184" i="5"/>
  <c r="O1196" i="5" s="1"/>
  <c r="H1196" i="5" s="1"/>
  <c r="H1200" i="5" s="1"/>
  <c r="H1323" i="5"/>
  <c r="H1326" i="5" s="1"/>
  <c r="O1335" i="5" s="1"/>
  <c r="H1335" i="5" s="1"/>
  <c r="H1339" i="5" s="1"/>
  <c r="H1392" i="5"/>
  <c r="H1395" i="5" s="1"/>
  <c r="O1404" i="5" s="1"/>
  <c r="C107" i="23"/>
  <c r="H1415" i="5" s="1"/>
  <c r="K106" i="23"/>
  <c r="D71" i="3"/>
  <c r="D33" i="3" s="1"/>
  <c r="G93" i="3"/>
  <c r="E92" i="3"/>
  <c r="G137" i="3"/>
  <c r="C26" i="27" s="1"/>
  <c r="E135" i="3"/>
  <c r="E134" i="3" s="1"/>
  <c r="E37" i="3" s="1"/>
  <c r="E113" i="3"/>
  <c r="G114" i="3"/>
  <c r="E86" i="3"/>
  <c r="G87" i="3"/>
  <c r="D85" i="3"/>
  <c r="D34" i="3" s="1"/>
  <c r="D43" i="3"/>
  <c r="D32" i="3" s="1"/>
  <c r="G52" i="3"/>
  <c r="E47" i="3"/>
  <c r="E88" i="3"/>
  <c r="G89" i="3"/>
  <c r="G62" i="3"/>
  <c r="F39" i="15" s="1"/>
  <c r="E60" i="3"/>
  <c r="E53" i="3"/>
  <c r="G54" i="3"/>
  <c r="E102" i="3"/>
  <c r="G103" i="3"/>
  <c r="E97" i="3"/>
  <c r="G98" i="3"/>
  <c r="G82" i="3"/>
  <c r="E81" i="3"/>
  <c r="G73" i="3"/>
  <c r="E72" i="3"/>
  <c r="F71" i="3" l="1"/>
  <c r="I33" i="3" s="1"/>
  <c r="E34" i="40"/>
  <c r="K598" i="5"/>
  <c r="L1083" i="5"/>
  <c r="G53" i="3"/>
  <c r="G88" i="3"/>
  <c r="C34" i="22" s="1"/>
  <c r="G29" i="27"/>
  <c r="H29" i="27" s="1"/>
  <c r="I29" i="27" s="1"/>
  <c r="F85" i="3"/>
  <c r="I34" i="3" s="1"/>
  <c r="F34" i="3" s="1"/>
  <c r="G102" i="3"/>
  <c r="C35" i="22" s="1"/>
  <c r="G92" i="3"/>
  <c r="G97" i="3"/>
  <c r="G60" i="3"/>
  <c r="F139" i="3"/>
  <c r="G139" i="3" s="1"/>
  <c r="C28" i="27" s="1"/>
  <c r="F135" i="3"/>
  <c r="G81" i="3"/>
  <c r="D27" i="27"/>
  <c r="D30" i="27"/>
  <c r="E30" i="27"/>
  <c r="M31" i="27"/>
  <c r="L31" i="27"/>
  <c r="N31" i="27"/>
  <c r="D29" i="27"/>
  <c r="E29" i="27"/>
  <c r="M34" i="27"/>
  <c r="K34" i="27"/>
  <c r="G30" i="27"/>
  <c r="H30" i="27" s="1"/>
  <c r="I30" i="27" s="1"/>
  <c r="G27" i="27"/>
  <c r="H27" i="27" s="1"/>
  <c r="I27" i="27" s="1"/>
  <c r="N34" i="27"/>
  <c r="E27" i="27"/>
  <c r="E33" i="27"/>
  <c r="F112" i="3"/>
  <c r="F127" i="3"/>
  <c r="F126" i="3" s="1"/>
  <c r="G126" i="3" s="1"/>
  <c r="F119" i="3"/>
  <c r="F90" i="40"/>
  <c r="F120" i="3"/>
  <c r="F33" i="15"/>
  <c r="F54" i="15" s="1"/>
  <c r="D33" i="27"/>
  <c r="G33" i="27"/>
  <c r="H33" i="27" s="1"/>
  <c r="I33" i="27" s="1"/>
  <c r="R10" i="37"/>
  <c r="G24" i="36"/>
  <c r="F22" i="36"/>
  <c r="E22" i="36"/>
  <c r="E21" i="36" s="1"/>
  <c r="E33" i="36"/>
  <c r="E32" i="36" s="1"/>
  <c r="R19" i="37"/>
  <c r="F33" i="36"/>
  <c r="G35" i="36"/>
  <c r="L25" i="27"/>
  <c r="N25" i="27"/>
  <c r="K25" i="27"/>
  <c r="M25" i="27"/>
  <c r="H25" i="27"/>
  <c r="I25" i="27" s="1"/>
  <c r="J26" i="27"/>
  <c r="G26" i="27"/>
  <c r="H26" i="27" s="1"/>
  <c r="I26" i="27" s="1"/>
  <c r="E26" i="27"/>
  <c r="D26" i="27"/>
  <c r="K30" i="27"/>
  <c r="L30" i="27"/>
  <c r="M30" i="27"/>
  <c r="N30" i="27"/>
  <c r="M33" i="27"/>
  <c r="K33" i="27"/>
  <c r="L33" i="27"/>
  <c r="N33" i="27"/>
  <c r="L29" i="27"/>
  <c r="N29" i="27"/>
  <c r="K29" i="27"/>
  <c r="M29" i="27"/>
  <c r="N27" i="27"/>
  <c r="M27" i="27"/>
  <c r="L27" i="27"/>
  <c r="K27" i="27"/>
  <c r="H1404" i="5"/>
  <c r="H1408" i="5" s="1"/>
  <c r="O34" i="5"/>
  <c r="D38" i="3"/>
  <c r="E71" i="3"/>
  <c r="E33" i="3" s="1"/>
  <c r="E43" i="3"/>
  <c r="G47" i="3"/>
  <c r="E108" i="3"/>
  <c r="E35" i="3" s="1"/>
  <c r="G113" i="3"/>
  <c r="G72" i="3"/>
  <c r="E85" i="3"/>
  <c r="E34" i="3" s="1"/>
  <c r="G86" i="3"/>
  <c r="C27" i="22"/>
  <c r="F46" i="40" l="1"/>
  <c r="L1084" i="5"/>
  <c r="K599" i="5"/>
  <c r="C42" i="22"/>
  <c r="F134" i="3"/>
  <c r="I37" i="3" s="1"/>
  <c r="F37" i="3" s="1"/>
  <c r="G37" i="3" s="1"/>
  <c r="G135" i="3"/>
  <c r="C24" i="27" s="1"/>
  <c r="G119" i="3"/>
  <c r="F118" i="3"/>
  <c r="G118" i="3" s="1"/>
  <c r="F36" i="15" s="1"/>
  <c r="F55" i="15" s="1"/>
  <c r="F58" i="15" s="1"/>
  <c r="E35" i="27"/>
  <c r="D36" i="27"/>
  <c r="L45" i="27" s="1"/>
  <c r="M45" i="27" s="1"/>
  <c r="G127" i="3"/>
  <c r="F131" i="3"/>
  <c r="G131" i="3" s="1"/>
  <c r="F72" i="40"/>
  <c r="I34" i="40" s="1"/>
  <c r="G120" i="3"/>
  <c r="G112" i="3"/>
  <c r="F111" i="3"/>
  <c r="G22" i="36"/>
  <c r="F21" i="36"/>
  <c r="G21" i="36" s="1"/>
  <c r="D47" i="37"/>
  <c r="E47" i="37" s="1"/>
  <c r="F47" i="37" s="1"/>
  <c r="G47" i="37" s="1"/>
  <c r="H47" i="37" s="1"/>
  <c r="I47" i="37" s="1"/>
  <c r="J47" i="37" s="1"/>
  <c r="K47" i="37" s="1"/>
  <c r="L47" i="37" s="1"/>
  <c r="R15" i="37"/>
  <c r="R6" i="37"/>
  <c r="D39" i="37"/>
  <c r="E39" i="37" s="1"/>
  <c r="F39" i="37" s="1"/>
  <c r="G39" i="37" s="1"/>
  <c r="H39" i="37" s="1"/>
  <c r="I39" i="37" s="1"/>
  <c r="J39" i="37" s="1"/>
  <c r="K39" i="37" s="1"/>
  <c r="L39" i="37" s="1"/>
  <c r="F32" i="36"/>
  <c r="G32" i="36" s="1"/>
  <c r="G33" i="36"/>
  <c r="D35" i="27"/>
  <c r="E36" i="27"/>
  <c r="L46" i="27" s="1"/>
  <c r="M46" i="27" s="1"/>
  <c r="G36" i="27"/>
  <c r="N35" i="27"/>
  <c r="H36" i="27"/>
  <c r="L48" i="27" s="1"/>
  <c r="M48" i="27" s="1"/>
  <c r="H35" i="27"/>
  <c r="G35" i="27"/>
  <c r="N26" i="27"/>
  <c r="N36" i="27" s="1"/>
  <c r="L53" i="27" s="1"/>
  <c r="M53" i="27" s="1"/>
  <c r="L26" i="27"/>
  <c r="L36" i="27" s="1"/>
  <c r="L51" i="27" s="1"/>
  <c r="M26" i="27"/>
  <c r="M36" i="27" s="1"/>
  <c r="L52" i="27" s="1"/>
  <c r="M52" i="27" s="1"/>
  <c r="K26" i="27"/>
  <c r="K35" i="27" s="1"/>
  <c r="I36" i="27"/>
  <c r="L49" i="27" s="1"/>
  <c r="M49" i="27" s="1"/>
  <c r="I35" i="27"/>
  <c r="J35" i="27"/>
  <c r="J36" i="27"/>
  <c r="G85" i="3"/>
  <c r="G71" i="3"/>
  <c r="F33" i="3"/>
  <c r="G34" i="3"/>
  <c r="C33" i="22"/>
  <c r="E32" i="3"/>
  <c r="G43" i="3"/>
  <c r="I33" i="40" l="1"/>
  <c r="F33" i="40" s="1"/>
  <c r="G72" i="40"/>
  <c r="F34" i="40"/>
  <c r="G34" i="40" s="1"/>
  <c r="G46" i="40"/>
  <c r="K600" i="5"/>
  <c r="L1085" i="5"/>
  <c r="C41" i="22"/>
  <c r="G134" i="3"/>
  <c r="F130" i="3"/>
  <c r="F117" i="3" s="1"/>
  <c r="F108" i="3"/>
  <c r="G111" i="3"/>
  <c r="K36" i="27"/>
  <c r="L50" i="27" s="1"/>
  <c r="M50" i="27" s="1"/>
  <c r="M51" i="27"/>
  <c r="L35" i="27"/>
  <c r="M35" i="27"/>
  <c r="E38" i="3"/>
  <c r="G32" i="3"/>
  <c r="C30" i="22"/>
  <c r="G33" i="3"/>
  <c r="G33" i="40" l="1"/>
  <c r="G40" i="40"/>
  <c r="G32" i="40"/>
  <c r="L1086" i="5"/>
  <c r="K601" i="5"/>
  <c r="G130" i="3"/>
  <c r="I35" i="3"/>
  <c r="F35" i="3" s="1"/>
  <c r="G108" i="3"/>
  <c r="M54" i="27"/>
  <c r="N47" i="27" s="1"/>
  <c r="F84" i="27" s="1"/>
  <c r="L54" i="27"/>
  <c r="I36" i="3"/>
  <c r="G117" i="3"/>
  <c r="K602" i="5" l="1"/>
  <c r="L1087" i="5"/>
  <c r="G35" i="3"/>
  <c r="C36" i="22"/>
  <c r="G84" i="27"/>
  <c r="G103" i="27" s="1"/>
  <c r="N49" i="27"/>
  <c r="G58" i="27" s="1"/>
  <c r="H84" i="27"/>
  <c r="H103" i="27" s="1"/>
  <c r="E84" i="27"/>
  <c r="E103" i="27" s="1"/>
  <c r="N52" i="27"/>
  <c r="E92" i="27" s="1"/>
  <c r="N45" i="27"/>
  <c r="H82" i="27" s="1"/>
  <c r="N50" i="27"/>
  <c r="N51" i="27"/>
  <c r="N53" i="27"/>
  <c r="E93" i="27" s="1"/>
  <c r="N48" i="27"/>
  <c r="E57" i="27" s="1"/>
  <c r="N46" i="27"/>
  <c r="G83" i="27" s="1"/>
  <c r="F103" i="27"/>
  <c r="F36" i="3"/>
  <c r="I38" i="3"/>
  <c r="L1088" i="5" l="1"/>
  <c r="L1089" i="5" s="1"/>
  <c r="L1090" i="5" s="1"/>
  <c r="L1091" i="5" s="1"/>
  <c r="L1092" i="5" s="1"/>
  <c r="L1093" i="5" s="1"/>
  <c r="L1094" i="5" s="1"/>
  <c r="L1095" i="5" s="1"/>
  <c r="L1096" i="5" s="1"/>
  <c r="L1097" i="5" s="1"/>
  <c r="L1098" i="5" s="1"/>
  <c r="L1099" i="5" s="1"/>
  <c r="L1100" i="5" s="1"/>
  <c r="L1101" i="5" s="1"/>
  <c r="L1102" i="5" s="1"/>
  <c r="L1103" i="5" s="1"/>
  <c r="L1104" i="5" s="1"/>
  <c r="L1105" i="5" s="1"/>
  <c r="L1106" i="5" s="1"/>
  <c r="L1107" i="5" s="1"/>
  <c r="L1108" i="5" s="1"/>
  <c r="L1109" i="5" s="1"/>
  <c r="L1110" i="5" s="1"/>
  <c r="L1111" i="5" s="1"/>
  <c r="L1112" i="5" s="1"/>
  <c r="L1113" i="5" s="1"/>
  <c r="L1114" i="5" s="1"/>
  <c r="L1115" i="5" s="1"/>
  <c r="L1116" i="5" s="1"/>
  <c r="L1117" i="5" s="1"/>
  <c r="L1118" i="5" s="1"/>
  <c r="L1119" i="5" s="1"/>
  <c r="L1120" i="5" s="1"/>
  <c r="L1121" i="5" s="1"/>
  <c r="L1122" i="5" s="1"/>
  <c r="L1123" i="5" s="1"/>
  <c r="L1124" i="5" s="1"/>
  <c r="L1125" i="5" s="1"/>
  <c r="L1126" i="5" s="1"/>
  <c r="L1127" i="5" s="1"/>
  <c r="L1128" i="5" s="1"/>
  <c r="L1129" i="5" s="1"/>
  <c r="L1130" i="5" s="1"/>
  <c r="L1131" i="5" s="1"/>
  <c r="L1132" i="5" s="1"/>
  <c r="L1133" i="5" s="1"/>
  <c r="L1134" i="5" s="1"/>
  <c r="L1135" i="5" s="1"/>
  <c r="L1136" i="5" s="1"/>
  <c r="L1137" i="5" s="1"/>
  <c r="L1138" i="5" s="1"/>
  <c r="L1139" i="5" s="1"/>
  <c r="L1140" i="5" s="1"/>
  <c r="L1141" i="5" s="1"/>
  <c r="L1142" i="5" s="1"/>
  <c r="L1143" i="5" s="1"/>
  <c r="L1144" i="5" s="1"/>
  <c r="L1145" i="5" s="1"/>
  <c r="L1146" i="5" s="1"/>
  <c r="L1147" i="5" s="1"/>
  <c r="L1148" i="5" s="1"/>
  <c r="L1149" i="5" s="1"/>
  <c r="L1150" i="5" s="1"/>
  <c r="L1151" i="5" s="1"/>
  <c r="L1152" i="5" s="1"/>
  <c r="L1153" i="5" s="1"/>
  <c r="L1154" i="5" s="1"/>
  <c r="L1155" i="5" s="1"/>
  <c r="L1156" i="5" s="1"/>
  <c r="L1157" i="5" s="1"/>
  <c r="L1158" i="5" s="1"/>
  <c r="L1159" i="5" s="1"/>
  <c r="L1160" i="5" s="1"/>
  <c r="L1161" i="5" s="1"/>
  <c r="L1162" i="5" s="1"/>
  <c r="L1163" i="5" s="1"/>
  <c r="L1164" i="5" s="1"/>
  <c r="L1165" i="5" s="1"/>
  <c r="L1166" i="5" s="1"/>
  <c r="L1167" i="5" s="1"/>
  <c r="L1168" i="5" s="1"/>
  <c r="L1169" i="5" s="1"/>
  <c r="L1170" i="5" s="1"/>
  <c r="L1171" i="5" s="1"/>
  <c r="L1172" i="5" s="1"/>
  <c r="L1173" i="5" s="1"/>
  <c r="L1174" i="5" s="1"/>
  <c r="L1175" i="5" s="1"/>
  <c r="L1176" i="5" s="1"/>
  <c r="L1177" i="5" s="1"/>
  <c r="L1178" i="5" s="1"/>
  <c r="L1179" i="5" s="1"/>
  <c r="L1180" i="5" s="1"/>
  <c r="L1181" i="5" s="1"/>
  <c r="L1182" i="5" s="1"/>
  <c r="L1183" i="5" s="1"/>
  <c r="L1184" i="5" s="1"/>
  <c r="L1185" i="5" s="1"/>
  <c r="L1186" i="5" s="1"/>
  <c r="L1187" i="5" s="1"/>
  <c r="L1188" i="5" s="1"/>
  <c r="L1189" i="5" s="1"/>
  <c r="L1190" i="5" s="1"/>
  <c r="L1191" i="5" s="1"/>
  <c r="L1192" i="5" s="1"/>
  <c r="L1193" i="5" s="1"/>
  <c r="L1194" i="5" s="1"/>
  <c r="L1195" i="5" s="1"/>
  <c r="L1196" i="5" s="1"/>
  <c r="L1197" i="5" s="1"/>
  <c r="L1198" i="5" s="1"/>
  <c r="L1199" i="5" s="1"/>
  <c r="L1200" i="5" s="1"/>
  <c r="L1201" i="5" s="1"/>
  <c r="L1202" i="5" s="1"/>
  <c r="L1203" i="5" s="1"/>
  <c r="L1204" i="5" s="1"/>
  <c r="L1205" i="5" s="1"/>
  <c r="L1206" i="5" s="1"/>
  <c r="L1207" i="5" s="1"/>
  <c r="L1208" i="5" s="1"/>
  <c r="L1209" i="5" s="1"/>
  <c r="L1210" i="5" s="1"/>
  <c r="L1211" i="5" s="1"/>
  <c r="L1212" i="5" s="1"/>
  <c r="L1213" i="5" s="1"/>
  <c r="L1214" i="5" s="1"/>
  <c r="L1215" i="5" s="1"/>
  <c r="L1216" i="5" s="1"/>
  <c r="L1217" i="5" s="1"/>
  <c r="L1218" i="5" s="1"/>
  <c r="L1219" i="5" s="1"/>
  <c r="L1220" i="5" s="1"/>
  <c r="L1221" i="5" s="1"/>
  <c r="L1222" i="5" s="1"/>
  <c r="L1223" i="5" s="1"/>
  <c r="L1224" i="5" s="1"/>
  <c r="L1225" i="5" s="1"/>
  <c r="L1226" i="5" s="1"/>
  <c r="L1227" i="5" s="1"/>
  <c r="L1228" i="5" s="1"/>
  <c r="L1229" i="5" s="1"/>
  <c r="L1230" i="5" s="1"/>
  <c r="L1231" i="5" s="1"/>
  <c r="L1232" i="5" s="1"/>
  <c r="L1233" i="5" s="1"/>
  <c r="L1234" i="5" s="1"/>
  <c r="L1235" i="5" s="1"/>
  <c r="L1236" i="5" s="1"/>
  <c r="L1237" i="5" s="1"/>
  <c r="L1238" i="5" s="1"/>
  <c r="K603" i="5"/>
  <c r="K604" i="5" s="1"/>
  <c r="K605" i="5" s="1"/>
  <c r="K606" i="5" s="1"/>
  <c r="K607" i="5" s="1"/>
  <c r="K608" i="5" s="1"/>
  <c r="K609" i="5" s="1"/>
  <c r="K610" i="5" s="1"/>
  <c r="K611" i="5" s="1"/>
  <c r="K612" i="5" s="1"/>
  <c r="K613" i="5" s="1"/>
  <c r="K614" i="5" s="1"/>
  <c r="K615" i="5" s="1"/>
  <c r="K616" i="5" s="1"/>
  <c r="K617" i="5" s="1"/>
  <c r="K618" i="5" s="1"/>
  <c r="K619" i="5" s="1"/>
  <c r="K620" i="5" s="1"/>
  <c r="K621" i="5" s="1"/>
  <c r="K622" i="5" s="1"/>
  <c r="K623" i="5" s="1"/>
  <c r="K624" i="5" s="1"/>
  <c r="K625" i="5" s="1"/>
  <c r="K626" i="5" s="1"/>
  <c r="K627" i="5" s="1"/>
  <c r="K628" i="5" s="1"/>
  <c r="K629" i="5" s="1"/>
  <c r="K630" i="5" s="1"/>
  <c r="K631" i="5" s="1"/>
  <c r="K632" i="5" s="1"/>
  <c r="K633" i="5" s="1"/>
  <c r="K634" i="5" s="1"/>
  <c r="K635" i="5" s="1"/>
  <c r="K636" i="5" s="1"/>
  <c r="K637" i="5" s="1"/>
  <c r="K638" i="5" s="1"/>
  <c r="K639" i="5" s="1"/>
  <c r="K640" i="5" s="1"/>
  <c r="K641" i="5" s="1"/>
  <c r="K642" i="5" s="1"/>
  <c r="K643" i="5" s="1"/>
  <c r="K644" i="5" s="1"/>
  <c r="K645" i="5" s="1"/>
  <c r="K646" i="5" s="1"/>
  <c r="K647" i="5" s="1"/>
  <c r="K648" i="5" s="1"/>
  <c r="K649" i="5" s="1"/>
  <c r="K650" i="5" s="1"/>
  <c r="K651" i="5" s="1"/>
  <c r="K652" i="5" s="1"/>
  <c r="K653" i="5" s="1"/>
  <c r="K654" i="5" s="1"/>
  <c r="K655" i="5" s="1"/>
  <c r="K656" i="5" s="1"/>
  <c r="K657" i="5" s="1"/>
  <c r="K658" i="5" s="1"/>
  <c r="K659" i="5" s="1"/>
  <c r="K660" i="5" s="1"/>
  <c r="K661" i="5" s="1"/>
  <c r="K662" i="5" s="1"/>
  <c r="K663" i="5" s="1"/>
  <c r="K664" i="5" s="1"/>
  <c r="K665" i="5" s="1"/>
  <c r="K666" i="5" s="1"/>
  <c r="K667" i="5" s="1"/>
  <c r="K668" i="5" s="1"/>
  <c r="K669" i="5" s="1"/>
  <c r="K670" i="5" s="1"/>
  <c r="K671" i="5" s="1"/>
  <c r="K672" i="5" s="1"/>
  <c r="K673" i="5" s="1"/>
  <c r="K674" i="5" s="1"/>
  <c r="K675" i="5" s="1"/>
  <c r="K676" i="5" s="1"/>
  <c r="K677" i="5" s="1"/>
  <c r="K678" i="5" s="1"/>
  <c r="K679" i="5" s="1"/>
  <c r="K680" i="5" s="1"/>
  <c r="K681" i="5" s="1"/>
  <c r="K682" i="5" s="1"/>
  <c r="K683" i="5" s="1"/>
  <c r="K684" i="5" s="1"/>
  <c r="K685" i="5" s="1"/>
  <c r="K686" i="5" s="1"/>
  <c r="K687" i="5" s="1"/>
  <c r="K688" i="5" s="1"/>
  <c r="K689" i="5" s="1"/>
  <c r="K690" i="5" s="1"/>
  <c r="K691" i="5" s="1"/>
  <c r="K692" i="5" s="1"/>
  <c r="K693" i="5" s="1"/>
  <c r="K694" i="5" s="1"/>
  <c r="K695" i="5" s="1"/>
  <c r="K696" i="5" s="1"/>
  <c r="K697" i="5" s="1"/>
  <c r="K698" i="5" s="1"/>
  <c r="K699" i="5" s="1"/>
  <c r="K700" i="5" s="1"/>
  <c r="K701" i="5" s="1"/>
  <c r="K702" i="5" s="1"/>
  <c r="K703" i="5" s="1"/>
  <c r="K704" i="5" s="1"/>
  <c r="K705" i="5" s="1"/>
  <c r="K706" i="5" s="1"/>
  <c r="K707" i="5" s="1"/>
  <c r="K708" i="5" s="1"/>
  <c r="K709" i="5" s="1"/>
  <c r="K710" i="5" s="1"/>
  <c r="K711" i="5" s="1"/>
  <c r="K712" i="5" s="1"/>
  <c r="K713" i="5" s="1"/>
  <c r="K714" i="5" s="1"/>
  <c r="K715" i="5" s="1"/>
  <c r="K716" i="5" s="1"/>
  <c r="K717" i="5" s="1"/>
  <c r="K718" i="5" s="1"/>
  <c r="K719" i="5" s="1"/>
  <c r="K720" i="5" s="1"/>
  <c r="K721" i="5" s="1"/>
  <c r="K722" i="5" s="1"/>
  <c r="K723" i="5" s="1"/>
  <c r="K724" i="5" s="1"/>
  <c r="K725" i="5" s="1"/>
  <c r="K726" i="5" s="1"/>
  <c r="K727" i="5" s="1"/>
  <c r="K728" i="5" s="1"/>
  <c r="K729" i="5" s="1"/>
  <c r="K730" i="5" s="1"/>
  <c r="K731" i="5" s="1"/>
  <c r="K732" i="5" s="1"/>
  <c r="K733" i="5" s="1"/>
  <c r="K734" i="5" s="1"/>
  <c r="K735" i="5" s="1"/>
  <c r="K736" i="5" s="1"/>
  <c r="K737" i="5" s="1"/>
  <c r="K738" i="5" s="1"/>
  <c r="K739" i="5" s="1"/>
  <c r="K740" i="5" s="1"/>
  <c r="K741" i="5" s="1"/>
  <c r="K742" i="5" s="1"/>
  <c r="K743" i="5" s="1"/>
  <c r="K744" i="5" s="1"/>
  <c r="K745" i="5" s="1"/>
  <c r="K746" i="5" s="1"/>
  <c r="K747" i="5" s="1"/>
  <c r="K748" i="5" s="1"/>
  <c r="K749" i="5" s="1"/>
  <c r="K750" i="5" s="1"/>
  <c r="K751" i="5" s="1"/>
  <c r="K752" i="5" s="1"/>
  <c r="K753" i="5" s="1"/>
  <c r="K754" i="5" s="1"/>
  <c r="K755" i="5" s="1"/>
  <c r="K756" i="5" s="1"/>
  <c r="K757" i="5" s="1"/>
  <c r="K758" i="5" s="1"/>
  <c r="K759" i="5" s="1"/>
  <c r="K760" i="5" s="1"/>
  <c r="K761" i="5" s="1"/>
  <c r="K762" i="5" s="1"/>
  <c r="K763" i="5" s="1"/>
  <c r="K764" i="5" s="1"/>
  <c r="K765" i="5" s="1"/>
  <c r="K766" i="5" s="1"/>
  <c r="K767" i="5" s="1"/>
  <c r="K768" i="5" s="1"/>
  <c r="K769" i="5" s="1"/>
  <c r="K770" i="5" s="1"/>
  <c r="K771" i="5" s="1"/>
  <c r="K772" i="5" s="1"/>
  <c r="K773" i="5" s="1"/>
  <c r="K774" i="5" s="1"/>
  <c r="K775" i="5" s="1"/>
  <c r="K776" i="5" s="1"/>
  <c r="K777" i="5" s="1"/>
  <c r="K778" i="5" s="1"/>
  <c r="K779" i="5" s="1"/>
  <c r="K780" i="5" s="1"/>
  <c r="K781" i="5" s="1"/>
  <c r="K782" i="5" s="1"/>
  <c r="K783" i="5" s="1"/>
  <c r="K784" i="5" s="1"/>
  <c r="K785" i="5" s="1"/>
  <c r="K786" i="5" s="1"/>
  <c r="K787" i="5" s="1"/>
  <c r="K788" i="5" s="1"/>
  <c r="K789" i="5" s="1"/>
  <c r="K790" i="5" s="1"/>
  <c r="K791" i="5" s="1"/>
  <c r="K792" i="5" s="1"/>
  <c r="K793" i="5" s="1"/>
  <c r="K794" i="5" s="1"/>
  <c r="K795" i="5" s="1"/>
  <c r="K796" i="5" s="1"/>
  <c r="K797" i="5" s="1"/>
  <c r="K798" i="5" s="1"/>
  <c r="K799" i="5" s="1"/>
  <c r="K800" i="5" s="1"/>
  <c r="K801" i="5" s="1"/>
  <c r="K802" i="5" s="1"/>
  <c r="K803" i="5" s="1"/>
  <c r="K804" i="5" s="1"/>
  <c r="K805" i="5" s="1"/>
  <c r="K806" i="5" s="1"/>
  <c r="K807" i="5" s="1"/>
  <c r="K808" i="5" s="1"/>
  <c r="K809" i="5" s="1"/>
  <c r="K810" i="5" s="1"/>
  <c r="K811" i="5" s="1"/>
  <c r="K812" i="5" s="1"/>
  <c r="K813" i="5" s="1"/>
  <c r="K814" i="5" s="1"/>
  <c r="K815" i="5" s="1"/>
  <c r="K816" i="5" s="1"/>
  <c r="K817" i="5" s="1"/>
  <c r="K818" i="5" s="1"/>
  <c r="K819" i="5" s="1"/>
  <c r="K820" i="5" s="1"/>
  <c r="K821" i="5" s="1"/>
  <c r="K822" i="5" s="1"/>
  <c r="K823" i="5" s="1"/>
  <c r="K824" i="5" s="1"/>
  <c r="K825" i="5" s="1"/>
  <c r="K826" i="5" s="1"/>
  <c r="K827" i="5" s="1"/>
  <c r="K828" i="5" s="1"/>
  <c r="K829" i="5" s="1"/>
  <c r="K830" i="5" s="1"/>
  <c r="K831" i="5" s="1"/>
  <c r="K832" i="5" s="1"/>
  <c r="K833" i="5" s="1"/>
  <c r="K834" i="5" s="1"/>
  <c r="K835" i="5" s="1"/>
  <c r="K836" i="5" s="1"/>
  <c r="K837" i="5" s="1"/>
  <c r="K838" i="5" s="1"/>
  <c r="K839" i="5" s="1"/>
  <c r="K840" i="5" s="1"/>
  <c r="K841" i="5" s="1"/>
  <c r="K842" i="5" s="1"/>
  <c r="K843" i="5" s="1"/>
  <c r="K844" i="5" s="1"/>
  <c r="K845" i="5" s="1"/>
  <c r="K846" i="5" s="1"/>
  <c r="K847" i="5" s="1"/>
  <c r="K848" i="5" s="1"/>
  <c r="K849" i="5" s="1"/>
  <c r="K850" i="5" s="1"/>
  <c r="K851" i="5" s="1"/>
  <c r="K852" i="5" s="1"/>
  <c r="K853" i="5" s="1"/>
  <c r="K854" i="5" s="1"/>
  <c r="K855" i="5" s="1"/>
  <c r="K856" i="5" s="1"/>
  <c r="K857" i="5" s="1"/>
  <c r="K858" i="5" s="1"/>
  <c r="K859" i="5" s="1"/>
  <c r="K860" i="5" s="1"/>
  <c r="K861" i="5" s="1"/>
  <c r="K862" i="5" s="1"/>
  <c r="K863" i="5" s="1"/>
  <c r="K864" i="5" s="1"/>
  <c r="K865" i="5" s="1"/>
  <c r="K866" i="5" s="1"/>
  <c r="K867" i="5" s="1"/>
  <c r="K868" i="5" s="1"/>
  <c r="K869" i="5" s="1"/>
  <c r="K870" i="5" s="1"/>
  <c r="K871" i="5" s="1"/>
  <c r="K872" i="5" s="1"/>
  <c r="K873" i="5" s="1"/>
  <c r="K874" i="5" s="1"/>
  <c r="K875" i="5" s="1"/>
  <c r="K876" i="5" s="1"/>
  <c r="K877" i="5" s="1"/>
  <c r="K878" i="5" s="1"/>
  <c r="K879" i="5" s="1"/>
  <c r="K880" i="5" s="1"/>
  <c r="K881" i="5" s="1"/>
  <c r="K882" i="5" s="1"/>
  <c r="K883" i="5" s="1"/>
  <c r="K884" i="5" s="1"/>
  <c r="K885" i="5" s="1"/>
  <c r="K886" i="5" s="1"/>
  <c r="K887" i="5" s="1"/>
  <c r="K888" i="5" s="1"/>
  <c r="K889" i="5" s="1"/>
  <c r="K890" i="5" s="1"/>
  <c r="K891" i="5" s="1"/>
  <c r="K892" i="5" s="1"/>
  <c r="K893" i="5" s="1"/>
  <c r="K894" i="5" s="1"/>
  <c r="K895" i="5" s="1"/>
  <c r="K896" i="5" s="1"/>
  <c r="K897" i="5" s="1"/>
  <c r="K898" i="5" s="1"/>
  <c r="K899" i="5" s="1"/>
  <c r="K900" i="5" s="1"/>
  <c r="K901" i="5" s="1"/>
  <c r="K902" i="5" s="1"/>
  <c r="K903" i="5" s="1"/>
  <c r="K904" i="5" s="1"/>
  <c r="K905" i="5" s="1"/>
  <c r="K906" i="5" s="1"/>
  <c r="K907" i="5" s="1"/>
  <c r="K908" i="5" s="1"/>
  <c r="K909" i="5" s="1"/>
  <c r="K910" i="5" s="1"/>
  <c r="K911" i="5" s="1"/>
  <c r="K912" i="5" s="1"/>
  <c r="K913" i="5" s="1"/>
  <c r="K914" i="5" s="1"/>
  <c r="K915" i="5" s="1"/>
  <c r="K916" i="5" s="1"/>
  <c r="K917" i="5" s="1"/>
  <c r="K918" i="5" s="1"/>
  <c r="K919" i="5" s="1"/>
  <c r="K920" i="5" s="1"/>
  <c r="K921" i="5" s="1"/>
  <c r="K922" i="5" s="1"/>
  <c r="K923" i="5" s="1"/>
  <c r="K924" i="5" s="1"/>
  <c r="K925" i="5" s="1"/>
  <c r="K926" i="5" s="1"/>
  <c r="K927" i="5" s="1"/>
  <c r="K928" i="5" s="1"/>
  <c r="K929" i="5" s="1"/>
  <c r="K930" i="5" s="1"/>
  <c r="K931" i="5" s="1"/>
  <c r="K932" i="5" s="1"/>
  <c r="K933" i="5" s="1"/>
  <c r="K934" i="5" s="1"/>
  <c r="K935" i="5" s="1"/>
  <c r="K936" i="5" s="1"/>
  <c r="K937" i="5" s="1"/>
  <c r="K938" i="5" s="1"/>
  <c r="K939" i="5" s="1"/>
  <c r="K940" i="5" s="1"/>
  <c r="K941" i="5" s="1"/>
  <c r="K942" i="5" s="1"/>
  <c r="K943" i="5" s="1"/>
  <c r="K944" i="5" s="1"/>
  <c r="K945" i="5" s="1"/>
  <c r="K946" i="5" s="1"/>
  <c r="K947" i="5" s="1"/>
  <c r="K948" i="5" s="1"/>
  <c r="K949" i="5" s="1"/>
  <c r="K950" i="5" s="1"/>
  <c r="K951" i="5" s="1"/>
  <c r="K952" i="5" s="1"/>
  <c r="K953" i="5" s="1"/>
  <c r="K954" i="5" s="1"/>
  <c r="K955" i="5" s="1"/>
  <c r="K956" i="5" s="1"/>
  <c r="K957" i="5" s="1"/>
  <c r="K958" i="5" s="1"/>
  <c r="K959" i="5" s="1"/>
  <c r="K960" i="5" s="1"/>
  <c r="K961" i="5" s="1"/>
  <c r="K962" i="5" s="1"/>
  <c r="K963" i="5" s="1"/>
  <c r="K964" i="5" s="1"/>
  <c r="K965" i="5" s="1"/>
  <c r="K966" i="5" s="1"/>
  <c r="K967" i="5" s="1"/>
  <c r="K968" i="5" s="1"/>
  <c r="K969" i="5" s="1"/>
  <c r="K970" i="5" s="1"/>
  <c r="K971" i="5" s="1"/>
  <c r="K972" i="5" s="1"/>
  <c r="K973" i="5" s="1"/>
  <c r="K974" i="5" s="1"/>
  <c r="K975" i="5" s="1"/>
  <c r="K976" i="5" s="1"/>
  <c r="K977" i="5" s="1"/>
  <c r="K978" i="5" s="1"/>
  <c r="K979" i="5" s="1"/>
  <c r="K980" i="5" s="1"/>
  <c r="K981" i="5" s="1"/>
  <c r="K982" i="5" s="1"/>
  <c r="K983" i="5" s="1"/>
  <c r="K984" i="5" s="1"/>
  <c r="K985" i="5" s="1"/>
  <c r="K986" i="5" s="1"/>
  <c r="K987" i="5" s="1"/>
  <c r="K988" i="5" s="1"/>
  <c r="K989" i="5" s="1"/>
  <c r="K990" i="5" s="1"/>
  <c r="K991" i="5" s="1"/>
  <c r="K992" i="5" s="1"/>
  <c r="K993" i="5" s="1"/>
  <c r="K994" i="5" s="1"/>
  <c r="K995" i="5" s="1"/>
  <c r="K996" i="5" s="1"/>
  <c r="K997" i="5" s="1"/>
  <c r="K998" i="5" s="1"/>
  <c r="K999" i="5" s="1"/>
  <c r="K1000" i="5" s="1"/>
  <c r="K1001" i="5" s="1"/>
  <c r="K1002" i="5" s="1"/>
  <c r="K1003" i="5" s="1"/>
  <c r="K1004" i="5" s="1"/>
  <c r="K1005" i="5" s="1"/>
  <c r="K1006" i="5" s="1"/>
  <c r="K1007" i="5" s="1"/>
  <c r="K1008" i="5" s="1"/>
  <c r="K1009" i="5" s="1"/>
  <c r="K1010" i="5" s="1"/>
  <c r="K1011" i="5" s="1"/>
  <c r="K1012" i="5" s="1"/>
  <c r="K1013" i="5" s="1"/>
  <c r="K1014" i="5" s="1"/>
  <c r="K1015" i="5" s="1"/>
  <c r="K1016" i="5" s="1"/>
  <c r="K1017" i="5" s="1"/>
  <c r="K1018" i="5" s="1"/>
  <c r="K1019" i="5" s="1"/>
  <c r="K1020" i="5" s="1"/>
  <c r="K1021" i="5" s="1"/>
  <c r="K1022" i="5" s="1"/>
  <c r="K1023" i="5" s="1"/>
  <c r="K1024" i="5" s="1"/>
  <c r="K1025" i="5" s="1"/>
  <c r="K1026" i="5" s="1"/>
  <c r="K1027" i="5" s="1"/>
  <c r="K1028" i="5" s="1"/>
  <c r="K1029" i="5" s="1"/>
  <c r="K1030" i="5" s="1"/>
  <c r="K1031" i="5" s="1"/>
  <c r="K1032" i="5" s="1"/>
  <c r="K1033" i="5" s="1"/>
  <c r="K1034" i="5" s="1"/>
  <c r="K1035" i="5" s="1"/>
  <c r="K1036" i="5" s="1"/>
  <c r="K1037" i="5" s="1"/>
  <c r="K1038" i="5" s="1"/>
  <c r="K1039" i="5" s="1"/>
  <c r="K1040" i="5" s="1"/>
  <c r="K1041" i="5" s="1"/>
  <c r="K1042" i="5" s="1"/>
  <c r="K1043" i="5" s="1"/>
  <c r="K1044" i="5" s="1"/>
  <c r="K1045" i="5" s="1"/>
  <c r="K1046" i="5" s="1"/>
  <c r="K1047" i="5" s="1"/>
  <c r="K1048" i="5" s="1"/>
  <c r="K1049" i="5" s="1"/>
  <c r="K1050" i="5" s="1"/>
  <c r="K1051" i="5" s="1"/>
  <c r="K1052" i="5" s="1"/>
  <c r="K1053" i="5" s="1"/>
  <c r="K1054" i="5" s="1"/>
  <c r="K1055" i="5" s="1"/>
  <c r="K1056" i="5" s="1"/>
  <c r="K1057" i="5" s="1"/>
  <c r="K1058" i="5" s="1"/>
  <c r="K1059" i="5" s="1"/>
  <c r="K1060" i="5" s="1"/>
  <c r="K1061" i="5" s="1"/>
  <c r="K1062" i="5" s="1"/>
  <c r="K1063" i="5" s="1"/>
  <c r="K1064" i="5" s="1"/>
  <c r="K1065" i="5" s="1"/>
  <c r="K1066" i="5" s="1"/>
  <c r="K1067" i="5" s="1"/>
  <c r="K1068" i="5" s="1"/>
  <c r="K1069" i="5" s="1"/>
  <c r="K1070" i="5" s="1"/>
  <c r="K1071" i="5" s="1"/>
  <c r="K1072" i="5" s="1"/>
  <c r="K1073" i="5" s="1"/>
  <c r="K1074" i="5" s="1"/>
  <c r="K1075" i="5" s="1"/>
  <c r="K1076" i="5" s="1"/>
  <c r="K1077" i="5" s="1"/>
  <c r="K1078" i="5" s="1"/>
  <c r="K1079" i="5" s="1"/>
  <c r="K1080" i="5" s="1"/>
  <c r="K1081" i="5" s="1"/>
  <c r="K1082" i="5" s="1"/>
  <c r="K1083" i="5" s="1"/>
  <c r="K1084" i="5" s="1"/>
  <c r="K1085" i="5" s="1"/>
  <c r="K1086" i="5" s="1"/>
  <c r="K1087" i="5" s="1"/>
  <c r="K1088" i="5" s="1"/>
  <c r="K1089" i="5" s="1"/>
  <c r="K1090" i="5" s="1"/>
  <c r="K1091" i="5" s="1"/>
  <c r="K1092" i="5" s="1"/>
  <c r="K1093" i="5" s="1"/>
  <c r="K1094" i="5" s="1"/>
  <c r="K1095" i="5" s="1"/>
  <c r="K1096" i="5" s="1"/>
  <c r="K1097" i="5" s="1"/>
  <c r="K1098" i="5" s="1"/>
  <c r="K1099" i="5" s="1"/>
  <c r="K1100" i="5" s="1"/>
  <c r="K1101" i="5" s="1"/>
  <c r="K1102" i="5" s="1"/>
  <c r="K1103" i="5" s="1"/>
  <c r="K1104" i="5" s="1"/>
  <c r="K1105" i="5" s="1"/>
  <c r="K1106" i="5" s="1"/>
  <c r="K1107" i="5" s="1"/>
  <c r="K1108" i="5" s="1"/>
  <c r="K1109" i="5" s="1"/>
  <c r="K1110" i="5" s="1"/>
  <c r="K1111" i="5" s="1"/>
  <c r="K1112" i="5" s="1"/>
  <c r="K1113" i="5" s="1"/>
  <c r="K1114" i="5" s="1"/>
  <c r="K1115" i="5" s="1"/>
  <c r="K1116" i="5" s="1"/>
  <c r="K1117" i="5" s="1"/>
  <c r="K1118" i="5" s="1"/>
  <c r="K1119" i="5" s="1"/>
  <c r="K1120" i="5" s="1"/>
  <c r="K1121" i="5" s="1"/>
  <c r="K1122" i="5" s="1"/>
  <c r="K1123" i="5" s="1"/>
  <c r="K1124" i="5" s="1"/>
  <c r="K1125" i="5" s="1"/>
  <c r="K1126" i="5" s="1"/>
  <c r="K1127" i="5" s="1"/>
  <c r="K1128" i="5" s="1"/>
  <c r="K1129" i="5" s="1"/>
  <c r="K1130" i="5" s="1"/>
  <c r="K1131" i="5" s="1"/>
  <c r="K1132" i="5" s="1"/>
  <c r="K1133" i="5" s="1"/>
  <c r="K1134" i="5" s="1"/>
  <c r="K1135" i="5" s="1"/>
  <c r="K1136" i="5" s="1"/>
  <c r="K1137" i="5" s="1"/>
  <c r="K1138" i="5" s="1"/>
  <c r="K1139" i="5" s="1"/>
  <c r="K1140" i="5" s="1"/>
  <c r="K1141" i="5" s="1"/>
  <c r="K1142" i="5" s="1"/>
  <c r="K1143" i="5" s="1"/>
  <c r="K1144" i="5" s="1"/>
  <c r="K1145" i="5" s="1"/>
  <c r="K1146" i="5" s="1"/>
  <c r="K1147" i="5" s="1"/>
  <c r="K1148" i="5" s="1"/>
  <c r="K1149" i="5" s="1"/>
  <c r="K1150" i="5" s="1"/>
  <c r="K1151" i="5" s="1"/>
  <c r="K1152" i="5" s="1"/>
  <c r="K1153" i="5" s="1"/>
  <c r="K1154" i="5" s="1"/>
  <c r="K1155" i="5" s="1"/>
  <c r="K1156" i="5" s="1"/>
  <c r="K1157" i="5" s="1"/>
  <c r="K1158" i="5" s="1"/>
  <c r="K1159" i="5" s="1"/>
  <c r="K1160" i="5" s="1"/>
  <c r="K1161" i="5" s="1"/>
  <c r="K1162" i="5" s="1"/>
  <c r="K1163" i="5" s="1"/>
  <c r="K1164" i="5" s="1"/>
  <c r="K1165" i="5" s="1"/>
  <c r="K1166" i="5" s="1"/>
  <c r="K1167" i="5" s="1"/>
  <c r="K1168" i="5" s="1"/>
  <c r="K1169" i="5" s="1"/>
  <c r="K1170" i="5" s="1"/>
  <c r="K1171" i="5" s="1"/>
  <c r="K1172" i="5" s="1"/>
  <c r="K1173" i="5" s="1"/>
  <c r="K1174" i="5" s="1"/>
  <c r="K1175" i="5" s="1"/>
  <c r="K1176" i="5" s="1"/>
  <c r="K1177" i="5" s="1"/>
  <c r="K1178" i="5" s="1"/>
  <c r="K1179" i="5" s="1"/>
  <c r="K1180" i="5" s="1"/>
  <c r="K1181" i="5" s="1"/>
  <c r="K1182" i="5" s="1"/>
  <c r="K1183" i="5" s="1"/>
  <c r="K1184" i="5" s="1"/>
  <c r="K1185" i="5" s="1"/>
  <c r="K1186" i="5" s="1"/>
  <c r="K1187" i="5" s="1"/>
  <c r="K1188" i="5" s="1"/>
  <c r="K1189" i="5" s="1"/>
  <c r="K1190" i="5" s="1"/>
  <c r="K1191" i="5" s="1"/>
  <c r="K1192" i="5" s="1"/>
  <c r="K1193" i="5" s="1"/>
  <c r="K1194" i="5" s="1"/>
  <c r="K1195" i="5" s="1"/>
  <c r="K1196" i="5" s="1"/>
  <c r="K1197" i="5" s="1"/>
  <c r="K1198" i="5" s="1"/>
  <c r="K1199" i="5" s="1"/>
  <c r="K1200" i="5" s="1"/>
  <c r="K1201" i="5" s="1"/>
  <c r="K1202" i="5" s="1"/>
  <c r="K1203" i="5" s="1"/>
  <c r="K1204" i="5" s="1"/>
  <c r="K1205" i="5" s="1"/>
  <c r="K1206" i="5" s="1"/>
  <c r="K1207" i="5" s="1"/>
  <c r="K1208" i="5" s="1"/>
  <c r="K1209" i="5" s="1"/>
  <c r="K1210" i="5" s="1"/>
  <c r="K1211" i="5" s="1"/>
  <c r="K1212" i="5" s="1"/>
  <c r="K1213" i="5" s="1"/>
  <c r="K1214" i="5" s="1"/>
  <c r="K1215" i="5" s="1"/>
  <c r="K1216" i="5" s="1"/>
  <c r="K1217" i="5" s="1"/>
  <c r="K1218" i="5" s="1"/>
  <c r="K1219" i="5" s="1"/>
  <c r="K1220" i="5" s="1"/>
  <c r="K1221" i="5" s="1"/>
  <c r="K1222" i="5" s="1"/>
  <c r="K1223" i="5" s="1"/>
  <c r="K1224" i="5" s="1"/>
  <c r="K1225" i="5" s="1"/>
  <c r="K1226" i="5" s="1"/>
  <c r="K1227" i="5" s="1"/>
  <c r="K1228" i="5" s="1"/>
  <c r="K1229" i="5" s="1"/>
  <c r="K1230" i="5" s="1"/>
  <c r="K1231" i="5" s="1"/>
  <c r="K1232" i="5" s="1"/>
  <c r="K1233" i="5" s="1"/>
  <c r="K1234" i="5" s="1"/>
  <c r="K1235" i="5" s="1"/>
  <c r="K1236" i="5" s="1"/>
  <c r="K1237" i="5" s="1"/>
  <c r="K1238" i="5" s="1"/>
  <c r="E90" i="27"/>
  <c r="E109" i="27" s="1"/>
  <c r="F58" i="27"/>
  <c r="F105" i="27" s="1"/>
  <c r="G57" i="27"/>
  <c r="G59" i="27" s="1"/>
  <c r="H58" i="27"/>
  <c r="H86" i="27" s="1"/>
  <c r="E58" i="27"/>
  <c r="E59" i="27" s="1"/>
  <c r="F83" i="27"/>
  <c r="F102" i="27" s="1"/>
  <c r="F57" i="27"/>
  <c r="F104" i="27" s="1"/>
  <c r="H83" i="27"/>
  <c r="H102" i="27" s="1"/>
  <c r="E83" i="27"/>
  <c r="H57" i="27"/>
  <c r="H85" i="27" s="1"/>
  <c r="F90" i="27"/>
  <c r="F109" i="27" s="1"/>
  <c r="N54" i="27"/>
  <c r="G82" i="27"/>
  <c r="G101" i="27" s="1"/>
  <c r="F82" i="27"/>
  <c r="F101" i="27" s="1"/>
  <c r="E82" i="27"/>
  <c r="G92" i="27"/>
  <c r="G111" i="27" s="1"/>
  <c r="J84" i="27"/>
  <c r="I84" i="27"/>
  <c r="G90" i="27"/>
  <c r="G109" i="27" s="1"/>
  <c r="F92" i="27"/>
  <c r="F111" i="27" s="1"/>
  <c r="F93" i="27"/>
  <c r="G93" i="27"/>
  <c r="G112" i="27" s="1"/>
  <c r="H90" i="27"/>
  <c r="H109" i="27" s="1"/>
  <c r="H92" i="27"/>
  <c r="H93" i="27"/>
  <c r="H112" i="27" s="1"/>
  <c r="G102" i="27"/>
  <c r="E112" i="27"/>
  <c r="E111" i="27"/>
  <c r="H101" i="27"/>
  <c r="G105" i="27"/>
  <c r="G86" i="27"/>
  <c r="E104" i="27"/>
  <c r="E85" i="27"/>
  <c r="J103" i="27"/>
  <c r="I103" i="27"/>
  <c r="G36" i="3"/>
  <c r="C38" i="22"/>
  <c r="F38" i="3"/>
  <c r="K1239" i="5" l="1"/>
  <c r="K1240" i="5"/>
  <c r="K1241" i="5" s="1"/>
  <c r="K1242" i="5" s="1"/>
  <c r="K1243" i="5" s="1"/>
  <c r="K1244" i="5" s="1"/>
  <c r="K1245" i="5" s="1"/>
  <c r="K1246" i="5" s="1"/>
  <c r="K1247" i="5" s="1"/>
  <c r="K1248" i="5" s="1"/>
  <c r="K1249" i="5" s="1"/>
  <c r="K1250" i="5" s="1"/>
  <c r="K1251" i="5" s="1"/>
  <c r="K1252" i="5" s="1"/>
  <c r="K1253" i="5" s="1"/>
  <c r="K1254" i="5" s="1"/>
  <c r="K1255" i="5" s="1"/>
  <c r="K1256" i="5" s="1"/>
  <c r="K1257" i="5" s="1"/>
  <c r="K1258" i="5" s="1"/>
  <c r="K1259" i="5" s="1"/>
  <c r="K1260" i="5" s="1"/>
  <c r="K1261" i="5" s="1"/>
  <c r="K1262" i="5" s="1"/>
  <c r="K1263" i="5" s="1"/>
  <c r="K1264" i="5" s="1"/>
  <c r="K1265" i="5" s="1"/>
  <c r="K1266" i="5" s="1"/>
  <c r="K1267" i="5" s="1"/>
  <c r="K1268" i="5" s="1"/>
  <c r="K1269" i="5" s="1"/>
  <c r="K1270" i="5" s="1"/>
  <c r="K1271" i="5" s="1"/>
  <c r="K1272" i="5" s="1"/>
  <c r="K1273" i="5" s="1"/>
  <c r="K1274" i="5" s="1"/>
  <c r="K1275" i="5" s="1"/>
  <c r="K1276" i="5" s="1"/>
  <c r="K1277" i="5" s="1"/>
  <c r="K1278" i="5" s="1"/>
  <c r="K1279" i="5" s="1"/>
  <c r="K1280" i="5" s="1"/>
  <c r="K1281" i="5" s="1"/>
  <c r="K1282" i="5" s="1"/>
  <c r="K1283" i="5" s="1"/>
  <c r="K1284" i="5" s="1"/>
  <c r="K1285" i="5" s="1"/>
  <c r="K1286" i="5" s="1"/>
  <c r="K1287" i="5" s="1"/>
  <c r="K1288" i="5" s="1"/>
  <c r="K1289" i="5" s="1"/>
  <c r="K1290" i="5" s="1"/>
  <c r="K1291" i="5" s="1"/>
  <c r="K1292" i="5" s="1"/>
  <c r="K1293" i="5" s="1"/>
  <c r="K1294" i="5" s="1"/>
  <c r="K1295" i="5" s="1"/>
  <c r="K1296" i="5" s="1"/>
  <c r="K1297" i="5" s="1"/>
  <c r="K1298" i="5" s="1"/>
  <c r="K1299" i="5" s="1"/>
  <c r="K1300" i="5" s="1"/>
  <c r="K1301" i="5" s="1"/>
  <c r="K1302" i="5" s="1"/>
  <c r="K1303" i="5" s="1"/>
  <c r="K1304" i="5" s="1"/>
  <c r="K1305" i="5" s="1"/>
  <c r="K1306" i="5" s="1"/>
  <c r="K1307" i="5" s="1"/>
  <c r="K1308" i="5" s="1"/>
  <c r="K1309" i="5" s="1"/>
  <c r="K1310" i="5" s="1"/>
  <c r="K1311" i="5" s="1"/>
  <c r="K1312" i="5" s="1"/>
  <c r="K1313" i="5" s="1"/>
  <c r="K1314" i="5" s="1"/>
  <c r="K1315" i="5" s="1"/>
  <c r="K1316" i="5" s="1"/>
  <c r="K1317" i="5" s="1"/>
  <c r="K1318" i="5" s="1"/>
  <c r="K1319" i="5" s="1"/>
  <c r="K1320" i="5" s="1"/>
  <c r="K1321" i="5" s="1"/>
  <c r="K1322" i="5" s="1"/>
  <c r="K1323" i="5" s="1"/>
  <c r="K1324" i="5" s="1"/>
  <c r="K1325" i="5" s="1"/>
  <c r="K1326" i="5" s="1"/>
  <c r="K1327" i="5" s="1"/>
  <c r="K1328" i="5" s="1"/>
  <c r="K1329" i="5" s="1"/>
  <c r="K1330" i="5" s="1"/>
  <c r="K1331" i="5" s="1"/>
  <c r="K1332" i="5" s="1"/>
  <c r="K1333" i="5" s="1"/>
  <c r="K1334" i="5" s="1"/>
  <c r="K1335" i="5" s="1"/>
  <c r="K1336" i="5" s="1"/>
  <c r="K1337" i="5" s="1"/>
  <c r="K1338" i="5" s="1"/>
  <c r="K1339" i="5" s="1"/>
  <c r="K1340" i="5" s="1"/>
  <c r="K1341" i="5" s="1"/>
  <c r="K1342" i="5" s="1"/>
  <c r="K1343" i="5" s="1"/>
  <c r="K1344" i="5" s="1"/>
  <c r="K1345" i="5" s="1"/>
  <c r="K1346" i="5" s="1"/>
  <c r="K1347" i="5" s="1"/>
  <c r="K1348" i="5" s="1"/>
  <c r="K1349" i="5" s="1"/>
  <c r="K1350" i="5" s="1"/>
  <c r="K1351" i="5" s="1"/>
  <c r="K1352" i="5" s="1"/>
  <c r="K1353" i="5" s="1"/>
  <c r="K1354" i="5" s="1"/>
  <c r="K1355" i="5" s="1"/>
  <c r="K1356" i="5" s="1"/>
  <c r="K1357" i="5" s="1"/>
  <c r="K1358" i="5" s="1"/>
  <c r="K1359" i="5" s="1"/>
  <c r="K1360" i="5" s="1"/>
  <c r="K1361" i="5" s="1"/>
  <c r="K1362" i="5" s="1"/>
  <c r="K1363" i="5" s="1"/>
  <c r="K1364" i="5" s="1"/>
  <c r="K1365" i="5" s="1"/>
  <c r="K1366" i="5" s="1"/>
  <c r="K1367" i="5" s="1"/>
  <c r="K1368" i="5" s="1"/>
  <c r="K1369" i="5" s="1"/>
  <c r="K1370" i="5" s="1"/>
  <c r="K1371" i="5" s="1"/>
  <c r="K1372" i="5" s="1"/>
  <c r="K1373" i="5" s="1"/>
  <c r="K1374" i="5" s="1"/>
  <c r="K1375" i="5" s="1"/>
  <c r="K1376" i="5" s="1"/>
  <c r="K1377" i="5" s="1"/>
  <c r="K1378" i="5" s="1"/>
  <c r="K1379" i="5" s="1"/>
  <c r="K1380" i="5" s="1"/>
  <c r="K1381" i="5" s="1"/>
  <c r="K1382" i="5" s="1"/>
  <c r="K1383" i="5" s="1"/>
  <c r="K1384" i="5" s="1"/>
  <c r="K1385" i="5" s="1"/>
  <c r="K1386" i="5" s="1"/>
  <c r="K1387" i="5" s="1"/>
  <c r="K1388" i="5" s="1"/>
  <c r="K1389" i="5" s="1"/>
  <c r="K1390" i="5" s="1"/>
  <c r="K1391" i="5" s="1"/>
  <c r="K1392" i="5" s="1"/>
  <c r="K1393" i="5" s="1"/>
  <c r="K1394" i="5" s="1"/>
  <c r="K1395" i="5" s="1"/>
  <c r="K1396" i="5" s="1"/>
  <c r="K1397" i="5" s="1"/>
  <c r="K1398" i="5" s="1"/>
  <c r="K1399" i="5" s="1"/>
  <c r="K1400" i="5" s="1"/>
  <c r="K1401" i="5" s="1"/>
  <c r="K1402" i="5" s="1"/>
  <c r="K1403" i="5" s="1"/>
  <c r="K1404" i="5" s="1"/>
  <c r="K1405" i="5" s="1"/>
  <c r="K1406" i="5" s="1"/>
  <c r="K1407" i="5" s="1"/>
  <c r="K1408" i="5" s="1"/>
  <c r="K1409" i="5" s="1"/>
  <c r="K1410" i="5" s="1"/>
  <c r="K1411" i="5" s="1"/>
  <c r="K1412" i="5" s="1"/>
  <c r="K1413" i="5" s="1"/>
  <c r="K1414" i="5" s="1"/>
  <c r="K1415" i="5" s="1"/>
  <c r="K1416" i="5" s="1"/>
  <c r="K1417" i="5" s="1"/>
  <c r="K1418" i="5" s="1"/>
  <c r="K1419" i="5" s="1"/>
  <c r="K1420" i="5" s="1"/>
  <c r="K1421" i="5" s="1"/>
  <c r="K1422" i="5" s="1"/>
  <c r="K1423" i="5" s="1"/>
  <c r="K1424" i="5" s="1"/>
  <c r="K1425" i="5" s="1"/>
  <c r="K1426" i="5" s="1"/>
  <c r="K1427" i="5" s="1"/>
  <c r="K1428" i="5" s="1"/>
  <c r="K1429" i="5" s="1"/>
  <c r="K1430" i="5" s="1"/>
  <c r="K1431" i="5" s="1"/>
  <c r="K1432" i="5" s="1"/>
  <c r="K1433" i="5" s="1"/>
  <c r="K1434" i="5" s="1"/>
  <c r="K1435" i="5" s="1"/>
  <c r="K1436" i="5" s="1"/>
  <c r="K1437" i="5" s="1"/>
  <c r="K1438" i="5" s="1"/>
  <c r="K1439" i="5" s="1"/>
  <c r="K1440" i="5" s="1"/>
  <c r="K1441" i="5" s="1"/>
  <c r="K1442" i="5" s="1"/>
  <c r="K1443" i="5" s="1"/>
  <c r="K1444" i="5" s="1"/>
  <c r="K1445" i="5" s="1"/>
  <c r="K1446" i="5" s="1"/>
  <c r="K1447" i="5" s="1"/>
  <c r="K1448" i="5" s="1"/>
  <c r="K1449" i="5" s="1"/>
  <c r="K1450" i="5" s="1"/>
  <c r="K1451" i="5" s="1"/>
  <c r="K1452" i="5" s="1"/>
  <c r="K1453" i="5" s="1"/>
  <c r="K1454" i="5" s="1"/>
  <c r="K1455" i="5" s="1"/>
  <c r="K1456" i="5" s="1"/>
  <c r="K1457" i="5" s="1"/>
  <c r="K1458" i="5" s="1"/>
  <c r="K1459" i="5" s="1"/>
  <c r="K1460" i="5" s="1"/>
  <c r="K1461" i="5" s="1"/>
  <c r="K1462" i="5" s="1"/>
  <c r="K1463" i="5" s="1"/>
  <c r="K1464" i="5" s="1"/>
  <c r="K1465" i="5" s="1"/>
  <c r="K1466" i="5" s="1"/>
  <c r="K1467" i="5" s="1"/>
  <c r="K1468" i="5" s="1"/>
  <c r="K1469" i="5" s="1"/>
  <c r="K1470" i="5" s="1"/>
  <c r="K1471" i="5" s="1"/>
  <c r="K1472" i="5" s="1"/>
  <c r="K1473" i="5" s="1"/>
  <c r="K1474" i="5" s="1"/>
  <c r="K1475" i="5" s="1"/>
  <c r="K1476" i="5" s="1"/>
  <c r="K1477" i="5" s="1"/>
  <c r="K1478" i="5" s="1"/>
  <c r="K1479" i="5" s="1"/>
  <c r="K1480" i="5" s="1"/>
  <c r="K1481" i="5" s="1"/>
  <c r="K1482" i="5" s="1"/>
  <c r="K1483" i="5" s="1"/>
  <c r="K1484" i="5" s="1"/>
  <c r="K1485" i="5" s="1"/>
  <c r="K1486" i="5" s="1"/>
  <c r="K1487" i="5" s="1"/>
  <c r="K1488" i="5" s="1"/>
  <c r="K1489" i="5" s="1"/>
  <c r="K1490" i="5" s="1"/>
  <c r="K1491" i="5" s="1"/>
  <c r="K1492" i="5" s="1"/>
  <c r="K1493" i="5" s="1"/>
  <c r="K1494" i="5" s="1"/>
  <c r="K1495" i="5" s="1"/>
  <c r="K1496" i="5" s="1"/>
  <c r="K1497" i="5" s="1"/>
  <c r="K1498" i="5" s="1"/>
  <c r="K1499" i="5" s="1"/>
  <c r="K1500" i="5" s="1"/>
  <c r="K1501" i="5" s="1"/>
  <c r="K1502" i="5" s="1"/>
  <c r="K1503" i="5" s="1"/>
  <c r="K1504" i="5" s="1"/>
  <c r="K1505" i="5" s="1"/>
  <c r="K1506" i="5" s="1"/>
  <c r="K1507" i="5" s="1"/>
  <c r="K1508" i="5" s="1"/>
  <c r="K1509" i="5" s="1"/>
  <c r="K1510" i="5" s="1"/>
  <c r="K1511" i="5" s="1"/>
  <c r="K1512" i="5" s="1"/>
  <c r="K1513" i="5" s="1"/>
  <c r="K1514" i="5" s="1"/>
  <c r="K1515" i="5" s="1"/>
  <c r="K1516" i="5" s="1"/>
  <c r="K1517" i="5" s="1"/>
  <c r="K1518" i="5" s="1"/>
  <c r="K1519" i="5" s="1"/>
  <c r="K1520" i="5" s="1"/>
  <c r="K1521" i="5" s="1"/>
  <c r="K1522" i="5" s="1"/>
  <c r="K1523" i="5" s="1"/>
  <c r="K1524" i="5" s="1"/>
  <c r="K1525" i="5" s="1"/>
  <c r="K1526" i="5" s="1"/>
  <c r="K1527" i="5" s="1"/>
  <c r="K1528" i="5" s="1"/>
  <c r="K1529" i="5" s="1"/>
  <c r="K1530" i="5" s="1"/>
  <c r="K1531" i="5" s="1"/>
  <c r="K1532" i="5" s="1"/>
  <c r="K1533" i="5" s="1"/>
  <c r="K1534" i="5" s="1"/>
  <c r="K1535" i="5" s="1"/>
  <c r="K1536" i="5" s="1"/>
  <c r="K1537" i="5" s="1"/>
  <c r="K1538" i="5" s="1"/>
  <c r="K1539" i="5" s="1"/>
  <c r="K1540" i="5" s="1"/>
  <c r="K1541" i="5" s="1"/>
  <c r="K1542" i="5" s="1"/>
  <c r="K1543" i="5" s="1"/>
  <c r="K1544" i="5" s="1"/>
  <c r="K1545" i="5" s="1"/>
  <c r="K1546" i="5" s="1"/>
  <c r="K1547" i="5" s="1"/>
  <c r="K1548" i="5" s="1"/>
  <c r="K1549" i="5" s="1"/>
  <c r="K1550" i="5" s="1"/>
  <c r="K1551" i="5" s="1"/>
  <c r="K1552" i="5" s="1"/>
  <c r="K1553" i="5" s="1"/>
  <c r="K1554" i="5" s="1"/>
  <c r="K1555" i="5" s="1"/>
  <c r="K1556" i="5" s="1"/>
  <c r="K1557" i="5" s="1"/>
  <c r="K1558" i="5" s="1"/>
  <c r="K1559" i="5" s="1"/>
  <c r="K1560" i="5" s="1"/>
  <c r="K1561" i="5" s="1"/>
  <c r="K1562" i="5" s="1"/>
  <c r="K1563" i="5" s="1"/>
  <c r="K1564" i="5" s="1"/>
  <c r="K1565" i="5" s="1"/>
  <c r="K1566" i="5" s="1"/>
  <c r="K1567" i="5" s="1"/>
  <c r="K1568" i="5" s="1"/>
  <c r="K1569" i="5" s="1"/>
  <c r="K1570" i="5" s="1"/>
  <c r="K1571" i="5" s="1"/>
  <c r="K1572" i="5" s="1"/>
  <c r="K1573" i="5" s="1"/>
  <c r="K1574" i="5" s="1"/>
  <c r="K1575" i="5" s="1"/>
  <c r="K1576" i="5" s="1"/>
  <c r="K1577" i="5" s="1"/>
  <c r="K1578" i="5" s="1"/>
  <c r="K1579" i="5" s="1"/>
  <c r="K1580" i="5" s="1"/>
  <c r="K1581" i="5" s="1"/>
  <c r="K1582" i="5" s="1"/>
  <c r="K1583" i="5" s="1"/>
  <c r="K1584" i="5" s="1"/>
  <c r="K1585" i="5" s="1"/>
  <c r="K1586" i="5" s="1"/>
  <c r="K1587" i="5" s="1"/>
  <c r="K1588" i="5" s="1"/>
  <c r="K1589" i="5" s="1"/>
  <c r="K1590" i="5" s="1"/>
  <c r="K1591" i="5" s="1"/>
  <c r="K1592" i="5" s="1"/>
  <c r="K1593" i="5" s="1"/>
  <c r="K1594" i="5" s="1"/>
  <c r="K1595" i="5" s="1"/>
  <c r="K1596" i="5" s="1"/>
  <c r="K1597" i="5" s="1"/>
  <c r="K1598" i="5" s="1"/>
  <c r="K1599" i="5" s="1"/>
  <c r="K1600" i="5" s="1"/>
  <c r="K1601" i="5" s="1"/>
  <c r="K1602" i="5" s="1"/>
  <c r="K1603" i="5" s="1"/>
  <c r="K1604" i="5" s="1"/>
  <c r="K1605" i="5" s="1"/>
  <c r="L1240" i="5"/>
  <c r="L1241" i="5" s="1"/>
  <c r="L1242" i="5" s="1"/>
  <c r="L1243" i="5" s="1"/>
  <c r="L1244" i="5" s="1"/>
  <c r="L1245" i="5" s="1"/>
  <c r="L1246" i="5" s="1"/>
  <c r="L1247" i="5" s="1"/>
  <c r="L1248" i="5" s="1"/>
  <c r="L1249" i="5" s="1"/>
  <c r="L1250" i="5" s="1"/>
  <c r="L1251" i="5" s="1"/>
  <c r="L1252" i="5" s="1"/>
  <c r="L1253" i="5" s="1"/>
  <c r="L1254" i="5" s="1"/>
  <c r="L1255" i="5" s="1"/>
  <c r="L1256" i="5" s="1"/>
  <c r="L1257" i="5" s="1"/>
  <c r="L1258" i="5" s="1"/>
  <c r="L1259" i="5" s="1"/>
  <c r="L1260" i="5" s="1"/>
  <c r="L1261" i="5" s="1"/>
  <c r="L1262" i="5" s="1"/>
  <c r="L1263" i="5" s="1"/>
  <c r="L1264" i="5" s="1"/>
  <c r="L1265" i="5" s="1"/>
  <c r="L1266" i="5" s="1"/>
  <c r="L1267" i="5" s="1"/>
  <c r="L1268" i="5" s="1"/>
  <c r="L1269" i="5" s="1"/>
  <c r="L1270" i="5" s="1"/>
  <c r="L1271" i="5" s="1"/>
  <c r="L1272" i="5" s="1"/>
  <c r="L1273" i="5" s="1"/>
  <c r="L1274" i="5" s="1"/>
  <c r="L1275" i="5" s="1"/>
  <c r="L1276" i="5" s="1"/>
  <c r="L1277" i="5" s="1"/>
  <c r="L1278" i="5" s="1"/>
  <c r="L1279" i="5" s="1"/>
  <c r="L1280" i="5" s="1"/>
  <c r="L1281" i="5" s="1"/>
  <c r="L1282" i="5" s="1"/>
  <c r="L1283" i="5" s="1"/>
  <c r="L1284" i="5" s="1"/>
  <c r="L1285" i="5" s="1"/>
  <c r="L1286" i="5" s="1"/>
  <c r="L1287" i="5" s="1"/>
  <c r="L1288" i="5" s="1"/>
  <c r="L1289" i="5" s="1"/>
  <c r="L1290" i="5" s="1"/>
  <c r="L1291" i="5" s="1"/>
  <c r="L1292" i="5" s="1"/>
  <c r="L1293" i="5" s="1"/>
  <c r="L1294" i="5" s="1"/>
  <c r="L1295" i="5" s="1"/>
  <c r="L1296" i="5" s="1"/>
  <c r="L1297" i="5" s="1"/>
  <c r="L1298" i="5" s="1"/>
  <c r="L1299" i="5" s="1"/>
  <c r="L1300" i="5" s="1"/>
  <c r="L1301" i="5" s="1"/>
  <c r="L1302" i="5" s="1"/>
  <c r="L1303" i="5" s="1"/>
  <c r="L1304" i="5" s="1"/>
  <c r="L1305" i="5" s="1"/>
  <c r="L1306" i="5" s="1"/>
  <c r="L1307" i="5" s="1"/>
  <c r="L1308" i="5" s="1"/>
  <c r="L1309" i="5" s="1"/>
  <c r="L1310" i="5" s="1"/>
  <c r="L1311" i="5" s="1"/>
  <c r="L1312" i="5" s="1"/>
  <c r="L1313" i="5" s="1"/>
  <c r="L1314" i="5" s="1"/>
  <c r="L1315" i="5" s="1"/>
  <c r="L1316" i="5" s="1"/>
  <c r="L1317" i="5" s="1"/>
  <c r="L1318" i="5" s="1"/>
  <c r="L1319" i="5" s="1"/>
  <c r="L1320" i="5" s="1"/>
  <c r="L1321" i="5" s="1"/>
  <c r="L1322" i="5" s="1"/>
  <c r="L1323" i="5" s="1"/>
  <c r="L1324" i="5" s="1"/>
  <c r="L1325" i="5" s="1"/>
  <c r="L1326" i="5" s="1"/>
  <c r="L1327" i="5" s="1"/>
  <c r="L1328" i="5" s="1"/>
  <c r="L1329" i="5" s="1"/>
  <c r="L1330" i="5" s="1"/>
  <c r="L1331" i="5" s="1"/>
  <c r="L1332" i="5" s="1"/>
  <c r="L1333" i="5" s="1"/>
  <c r="L1334" i="5" s="1"/>
  <c r="L1335" i="5" s="1"/>
  <c r="L1336" i="5" s="1"/>
  <c r="L1337" i="5" s="1"/>
  <c r="L1338" i="5" s="1"/>
  <c r="L1339" i="5" s="1"/>
  <c r="L1340" i="5" s="1"/>
  <c r="L1341" i="5" s="1"/>
  <c r="L1342" i="5" s="1"/>
  <c r="L1343" i="5" s="1"/>
  <c r="L1344" i="5" s="1"/>
  <c r="L1345" i="5" s="1"/>
  <c r="L1346" i="5" s="1"/>
  <c r="L1347" i="5" s="1"/>
  <c r="L1348" i="5" s="1"/>
  <c r="L1349" i="5" s="1"/>
  <c r="L1350" i="5" s="1"/>
  <c r="L1351" i="5" s="1"/>
  <c r="L1352" i="5" s="1"/>
  <c r="L1353" i="5" s="1"/>
  <c r="L1354" i="5" s="1"/>
  <c r="L1355" i="5" s="1"/>
  <c r="L1356" i="5" s="1"/>
  <c r="L1357" i="5" s="1"/>
  <c r="L1358" i="5" s="1"/>
  <c r="L1359" i="5" s="1"/>
  <c r="L1360" i="5" s="1"/>
  <c r="L1361" i="5" s="1"/>
  <c r="L1362" i="5" s="1"/>
  <c r="L1363" i="5" s="1"/>
  <c r="L1364" i="5" s="1"/>
  <c r="L1365" i="5" s="1"/>
  <c r="L1366" i="5" s="1"/>
  <c r="L1367" i="5" s="1"/>
  <c r="L1368" i="5" s="1"/>
  <c r="L1369" i="5" s="1"/>
  <c r="L1370" i="5" s="1"/>
  <c r="L1371" i="5" s="1"/>
  <c r="L1372" i="5" s="1"/>
  <c r="L1373" i="5" s="1"/>
  <c r="L1374" i="5" s="1"/>
  <c r="L1375" i="5" s="1"/>
  <c r="L1376" i="5" s="1"/>
  <c r="L1377" i="5" s="1"/>
  <c r="L1378" i="5" s="1"/>
  <c r="L1379" i="5" s="1"/>
  <c r="L1380" i="5" s="1"/>
  <c r="L1381" i="5" s="1"/>
  <c r="L1382" i="5" s="1"/>
  <c r="L1383" i="5" s="1"/>
  <c r="L1384" i="5" s="1"/>
  <c r="L1385" i="5" s="1"/>
  <c r="L1386" i="5" s="1"/>
  <c r="L1387" i="5" s="1"/>
  <c r="L1388" i="5" s="1"/>
  <c r="L1389" i="5" s="1"/>
  <c r="L1390" i="5" s="1"/>
  <c r="L1391" i="5" s="1"/>
  <c r="L1392" i="5" s="1"/>
  <c r="L1393" i="5" s="1"/>
  <c r="L1394" i="5" s="1"/>
  <c r="L1395" i="5" s="1"/>
  <c r="L1396" i="5" s="1"/>
  <c r="L1397" i="5" s="1"/>
  <c r="L1398" i="5" s="1"/>
  <c r="L1399" i="5" s="1"/>
  <c r="L1400" i="5" s="1"/>
  <c r="L1401" i="5" s="1"/>
  <c r="L1402" i="5" s="1"/>
  <c r="L1403" i="5" s="1"/>
  <c r="L1404" i="5" s="1"/>
  <c r="L1405" i="5" s="1"/>
  <c r="L1406" i="5" s="1"/>
  <c r="L1407" i="5" s="1"/>
  <c r="L1408" i="5" s="1"/>
  <c r="L1409" i="5" s="1"/>
  <c r="L1410" i="5" s="1"/>
  <c r="L1411" i="5" s="1"/>
  <c r="L1412" i="5" s="1"/>
  <c r="L1413" i="5" s="1"/>
  <c r="L1414" i="5" s="1"/>
  <c r="L1415" i="5" s="1"/>
  <c r="L1416" i="5" s="1"/>
  <c r="L1417" i="5" s="1"/>
  <c r="L1418" i="5" s="1"/>
  <c r="L1419" i="5" s="1"/>
  <c r="L1420" i="5" s="1"/>
  <c r="L1421" i="5" s="1"/>
  <c r="L1422" i="5" s="1"/>
  <c r="L1423" i="5" s="1"/>
  <c r="L1424" i="5" s="1"/>
  <c r="L1425" i="5" s="1"/>
  <c r="L1426" i="5" s="1"/>
  <c r="L1427" i="5" s="1"/>
  <c r="L1428" i="5" s="1"/>
  <c r="L1429" i="5" s="1"/>
  <c r="L1430" i="5" s="1"/>
  <c r="L1431" i="5" s="1"/>
  <c r="L1432" i="5" s="1"/>
  <c r="L1433" i="5" s="1"/>
  <c r="L1434" i="5" s="1"/>
  <c r="L1435" i="5" s="1"/>
  <c r="L1436" i="5" s="1"/>
  <c r="L1437" i="5" s="1"/>
  <c r="L1438" i="5" s="1"/>
  <c r="L1439" i="5" s="1"/>
  <c r="L1440" i="5" s="1"/>
  <c r="L1441" i="5" s="1"/>
  <c r="L1442" i="5" s="1"/>
  <c r="L1443" i="5" s="1"/>
  <c r="L1444" i="5" s="1"/>
  <c r="L1445" i="5" s="1"/>
  <c r="L1446" i="5" s="1"/>
  <c r="L1447" i="5" s="1"/>
  <c r="L1448" i="5" s="1"/>
  <c r="L1449" i="5" s="1"/>
  <c r="L1450" i="5" s="1"/>
  <c r="L1451" i="5" s="1"/>
  <c r="L1452" i="5" s="1"/>
  <c r="L1453" i="5" s="1"/>
  <c r="L1454" i="5" s="1"/>
  <c r="L1455" i="5" s="1"/>
  <c r="L1456" i="5" s="1"/>
  <c r="L1457" i="5" s="1"/>
  <c r="L1458" i="5" s="1"/>
  <c r="L1459" i="5" s="1"/>
  <c r="L1460" i="5" s="1"/>
  <c r="L1461" i="5" s="1"/>
  <c r="L1462" i="5" s="1"/>
  <c r="L1463" i="5" s="1"/>
  <c r="L1464" i="5" s="1"/>
  <c r="L1465" i="5" s="1"/>
  <c r="L1466" i="5" s="1"/>
  <c r="L1467" i="5" s="1"/>
  <c r="L1468" i="5" s="1"/>
  <c r="L1469" i="5" s="1"/>
  <c r="L1470" i="5" s="1"/>
  <c r="L1471" i="5" s="1"/>
  <c r="L1472" i="5" s="1"/>
  <c r="L1473" i="5" s="1"/>
  <c r="L1474" i="5" s="1"/>
  <c r="L1475" i="5" s="1"/>
  <c r="L1476" i="5" s="1"/>
  <c r="L1477" i="5" s="1"/>
  <c r="L1478" i="5" s="1"/>
  <c r="L1479" i="5" s="1"/>
  <c r="L1480" i="5" s="1"/>
  <c r="L1481" i="5" s="1"/>
  <c r="L1482" i="5" s="1"/>
  <c r="L1483" i="5" s="1"/>
  <c r="L1484" i="5" s="1"/>
  <c r="L1485" i="5" s="1"/>
  <c r="L1486" i="5" s="1"/>
  <c r="L1487" i="5" s="1"/>
  <c r="L1488" i="5" s="1"/>
  <c r="L1489" i="5" s="1"/>
  <c r="L1490" i="5" s="1"/>
  <c r="L1491" i="5" s="1"/>
  <c r="L1492" i="5" s="1"/>
  <c r="L1493" i="5" s="1"/>
  <c r="L1494" i="5" s="1"/>
  <c r="L1495" i="5" s="1"/>
  <c r="L1496" i="5" s="1"/>
  <c r="L1497" i="5" s="1"/>
  <c r="L1498" i="5" s="1"/>
  <c r="L1499" i="5" s="1"/>
  <c r="L1500" i="5" s="1"/>
  <c r="L1501" i="5" s="1"/>
  <c r="L1502" i="5" s="1"/>
  <c r="L1503" i="5" s="1"/>
  <c r="L1504" i="5" s="1"/>
  <c r="L1505" i="5" s="1"/>
  <c r="L1506" i="5" s="1"/>
  <c r="L1507" i="5" s="1"/>
  <c r="L1508" i="5" s="1"/>
  <c r="L1509" i="5" s="1"/>
  <c r="L1510" i="5" s="1"/>
  <c r="L1511" i="5" s="1"/>
  <c r="L1512" i="5" s="1"/>
  <c r="L1513" i="5" s="1"/>
  <c r="L1514" i="5" s="1"/>
  <c r="L1515" i="5" s="1"/>
  <c r="L1516" i="5" s="1"/>
  <c r="L1517" i="5" s="1"/>
  <c r="L1518" i="5" s="1"/>
  <c r="L1519" i="5" s="1"/>
  <c r="L1520" i="5" s="1"/>
  <c r="L1521" i="5" s="1"/>
  <c r="L1522" i="5" s="1"/>
  <c r="L1523" i="5" s="1"/>
  <c r="L1524" i="5" s="1"/>
  <c r="L1525" i="5" s="1"/>
  <c r="L1526" i="5" s="1"/>
  <c r="L1527" i="5" s="1"/>
  <c r="L1528" i="5" s="1"/>
  <c r="L1529" i="5" s="1"/>
  <c r="L1530" i="5" s="1"/>
  <c r="L1531" i="5" s="1"/>
  <c r="L1532" i="5" s="1"/>
  <c r="L1533" i="5" s="1"/>
  <c r="L1534" i="5" s="1"/>
  <c r="L1535" i="5" s="1"/>
  <c r="L1536" i="5" s="1"/>
  <c r="L1537" i="5" s="1"/>
  <c r="L1538" i="5" s="1"/>
  <c r="L1539" i="5" s="1"/>
  <c r="L1540" i="5" s="1"/>
  <c r="L1541" i="5" s="1"/>
  <c r="L1542" i="5" s="1"/>
  <c r="L1543" i="5" s="1"/>
  <c r="L1544" i="5" s="1"/>
  <c r="L1545" i="5" s="1"/>
  <c r="L1546" i="5" s="1"/>
  <c r="L1547" i="5" s="1"/>
  <c r="L1548" i="5" s="1"/>
  <c r="L1549" i="5" s="1"/>
  <c r="L1550" i="5" s="1"/>
  <c r="L1551" i="5" s="1"/>
  <c r="L1552" i="5" s="1"/>
  <c r="L1553" i="5" s="1"/>
  <c r="L1554" i="5" s="1"/>
  <c r="L1555" i="5" s="1"/>
  <c r="L1556" i="5" s="1"/>
  <c r="L1557" i="5" s="1"/>
  <c r="L1558" i="5" s="1"/>
  <c r="L1559" i="5" s="1"/>
  <c r="L1560" i="5" s="1"/>
  <c r="L1561" i="5" s="1"/>
  <c r="L1562" i="5" s="1"/>
  <c r="L1563" i="5" s="1"/>
  <c r="L1564" i="5" s="1"/>
  <c r="L1565" i="5" s="1"/>
  <c r="L1566" i="5" s="1"/>
  <c r="L1567" i="5" s="1"/>
  <c r="L1568" i="5" s="1"/>
  <c r="L1569" i="5" s="1"/>
  <c r="L1570" i="5" s="1"/>
  <c r="L1571" i="5" s="1"/>
  <c r="L1572" i="5" s="1"/>
  <c r="L1573" i="5" s="1"/>
  <c r="L1574" i="5" s="1"/>
  <c r="L1575" i="5" s="1"/>
  <c r="L1576" i="5" s="1"/>
  <c r="L1577" i="5" s="1"/>
  <c r="L1578" i="5" s="1"/>
  <c r="L1579" i="5" s="1"/>
  <c r="L1580" i="5" s="1"/>
  <c r="L1581" i="5" s="1"/>
  <c r="L1582" i="5" s="1"/>
  <c r="L1583" i="5" s="1"/>
  <c r="L1584" i="5" s="1"/>
  <c r="L1585" i="5" s="1"/>
  <c r="L1586" i="5" s="1"/>
  <c r="L1587" i="5" s="1"/>
  <c r="L1588" i="5" s="1"/>
  <c r="L1589" i="5" s="1"/>
  <c r="L1590" i="5" s="1"/>
  <c r="L1591" i="5" s="1"/>
  <c r="L1592" i="5" s="1"/>
  <c r="L1593" i="5" s="1"/>
  <c r="L1594" i="5" s="1"/>
  <c r="L1595" i="5" s="1"/>
  <c r="L1596" i="5" s="1"/>
  <c r="L1597" i="5" s="1"/>
  <c r="L1598" i="5" s="1"/>
  <c r="L1599" i="5" s="1"/>
  <c r="L1600" i="5" s="1"/>
  <c r="L1601" i="5" s="1"/>
  <c r="L1602" i="5" s="1"/>
  <c r="L1603" i="5" s="1"/>
  <c r="L1604" i="5" s="1"/>
  <c r="L1605" i="5" s="1"/>
  <c r="L1239" i="5"/>
  <c r="F86" i="27"/>
  <c r="E105" i="27"/>
  <c r="E86" i="27"/>
  <c r="G85" i="27"/>
  <c r="H105" i="27"/>
  <c r="D127" i="27"/>
  <c r="E102" i="27"/>
  <c r="J102" i="27" s="1"/>
  <c r="I83" i="27"/>
  <c r="G104" i="27"/>
  <c r="F59" i="27"/>
  <c r="F89" i="27" s="1"/>
  <c r="F85" i="27"/>
  <c r="H104" i="27"/>
  <c r="D126" i="27"/>
  <c r="J83" i="27"/>
  <c r="H59" i="27"/>
  <c r="H88" i="27" s="1"/>
  <c r="J82" i="27"/>
  <c r="I93" i="27"/>
  <c r="E101" i="27"/>
  <c r="J101" i="27" s="1"/>
  <c r="I82" i="27"/>
  <c r="J92" i="27"/>
  <c r="J93" i="27"/>
  <c r="D128" i="27"/>
  <c r="I90" i="27"/>
  <c r="F112" i="27"/>
  <c r="I112" i="27" s="1"/>
  <c r="H111" i="27"/>
  <c r="J111" i="27" s="1"/>
  <c r="I92" i="27"/>
  <c r="J90" i="27"/>
  <c r="G108" i="27"/>
  <c r="G89" i="27"/>
  <c r="G107" i="27"/>
  <c r="G88" i="27"/>
  <c r="G106" i="27"/>
  <c r="G87" i="27"/>
  <c r="E108" i="27"/>
  <c r="E89" i="27"/>
  <c r="E106" i="27"/>
  <c r="E107" i="27"/>
  <c r="E88" i="27"/>
  <c r="E87" i="27"/>
  <c r="I109" i="27"/>
  <c r="J109" i="27"/>
  <c r="E128" i="27"/>
  <c r="G38" i="3"/>
  <c r="I30" i="3" s="1"/>
  <c r="C8" i="22"/>
  <c r="L1606" i="5" l="1"/>
  <c r="L1607" i="5"/>
  <c r="L1608" i="5" s="1"/>
  <c r="L1609" i="5" s="1"/>
  <c r="L1610" i="5" s="1"/>
  <c r="L1611" i="5" s="1"/>
  <c r="L1612" i="5" s="1"/>
  <c r="L1613" i="5" s="1"/>
  <c r="L1614" i="5" s="1"/>
  <c r="L1615" i="5" s="1"/>
  <c r="L1616" i="5" s="1"/>
  <c r="L1617" i="5" s="1"/>
  <c r="L1618" i="5" s="1"/>
  <c r="L1619" i="5" s="1"/>
  <c r="K1606" i="5"/>
  <c r="K1607" i="5"/>
  <c r="K1608" i="5" s="1"/>
  <c r="K1609" i="5" s="1"/>
  <c r="K1610" i="5" s="1"/>
  <c r="K1611" i="5" s="1"/>
  <c r="K1612" i="5" s="1"/>
  <c r="K1613" i="5" s="1"/>
  <c r="K1614" i="5" s="1"/>
  <c r="K1615" i="5" s="1"/>
  <c r="K1616" i="5" s="1"/>
  <c r="K1617" i="5" s="1"/>
  <c r="K1618" i="5" s="1"/>
  <c r="K1619" i="5" s="1"/>
  <c r="I105" i="27"/>
  <c r="I86" i="27"/>
  <c r="J86" i="27"/>
  <c r="J105" i="27"/>
  <c r="I85" i="27"/>
  <c r="E127" i="27"/>
  <c r="J104" i="27"/>
  <c r="I102" i="27"/>
  <c r="F87" i="27"/>
  <c r="F88" i="27"/>
  <c r="D129" i="27" s="1"/>
  <c r="F106" i="27"/>
  <c r="J85" i="27"/>
  <c r="F108" i="27"/>
  <c r="I104" i="27"/>
  <c r="F107" i="27"/>
  <c r="I101" i="27"/>
  <c r="H107" i="27"/>
  <c r="E126" i="27"/>
  <c r="H89" i="27"/>
  <c r="J89" i="27" s="1"/>
  <c r="H108" i="27"/>
  <c r="H106" i="27"/>
  <c r="H87" i="27"/>
  <c r="H94" i="27"/>
  <c r="S85" i="27" s="1"/>
  <c r="I111" i="27"/>
  <c r="J112" i="27"/>
  <c r="D130" i="27"/>
  <c r="E94" i="27"/>
  <c r="P88" i="27" s="1"/>
  <c r="F94" i="27"/>
  <c r="E130" i="27"/>
  <c r="G94" i="27"/>
  <c r="C31" i="6" l="1"/>
  <c r="C21" i="6"/>
  <c r="C38" i="6"/>
  <c r="C30" i="6"/>
  <c r="C41" i="6"/>
  <c r="C23" i="6"/>
  <c r="C7" i="6"/>
  <c r="C15" i="6"/>
  <c r="C9" i="6"/>
  <c r="C37" i="6"/>
  <c r="C18" i="6"/>
  <c r="C46" i="6"/>
  <c r="C22" i="6"/>
  <c r="C40" i="6"/>
  <c r="C24" i="6"/>
  <c r="C45" i="6"/>
  <c r="C6" i="6"/>
  <c r="C35" i="6"/>
  <c r="C16" i="6"/>
  <c r="C34" i="6"/>
  <c r="C17" i="6"/>
  <c r="C43" i="6"/>
  <c r="C32" i="6"/>
  <c r="C20" i="6"/>
  <c r="C29" i="6"/>
  <c r="C27" i="6"/>
  <c r="C5" i="6"/>
  <c r="C36" i="6"/>
  <c r="C44" i="6"/>
  <c r="C13" i="6"/>
  <c r="C12" i="6"/>
  <c r="C42" i="6"/>
  <c r="C39" i="6"/>
  <c r="C14" i="6"/>
  <c r="C11" i="6"/>
  <c r="C8" i="6"/>
  <c r="C33" i="6"/>
  <c r="C19" i="6"/>
  <c r="C10" i="6"/>
  <c r="C28" i="6"/>
  <c r="J88" i="27"/>
  <c r="I88" i="27"/>
  <c r="J106" i="27"/>
  <c r="Q87" i="27"/>
  <c r="J107" i="27"/>
  <c r="E129" i="27"/>
  <c r="J108" i="27"/>
  <c r="I107" i="27"/>
  <c r="S87" i="27"/>
  <c r="I87" i="27"/>
  <c r="S93" i="27"/>
  <c r="S83" i="27"/>
  <c r="H113" i="27"/>
  <c r="S107" i="27" s="1"/>
  <c r="J87" i="27"/>
  <c r="S84" i="27"/>
  <c r="I106" i="27"/>
  <c r="S90" i="27"/>
  <c r="I89" i="27"/>
  <c r="S91" i="27"/>
  <c r="S89" i="27"/>
  <c r="I108" i="27"/>
  <c r="S82" i="27"/>
  <c r="S94" i="27" s="1"/>
  <c r="S92" i="27"/>
  <c r="S86" i="27"/>
  <c r="S88" i="27"/>
  <c r="I113" i="27"/>
  <c r="I114" i="27" s="1"/>
  <c r="I115" i="27" s="1"/>
  <c r="E122" i="27" s="1"/>
  <c r="Q88" i="27"/>
  <c r="Q89" i="27"/>
  <c r="J94" i="27"/>
  <c r="J95" i="27" s="1"/>
  <c r="D121" i="27" s="1"/>
  <c r="O15" i="36" s="1"/>
  <c r="E36" i="36" s="1"/>
  <c r="C48" i="37" s="1"/>
  <c r="J113" i="27"/>
  <c r="J114" i="27" s="1"/>
  <c r="E121" i="27" s="1"/>
  <c r="P15" i="36" s="1"/>
  <c r="F36" i="36" s="1"/>
  <c r="M48" i="37" s="1"/>
  <c r="I94" i="27"/>
  <c r="I95" i="27" s="1"/>
  <c r="I96" i="27" s="1"/>
  <c r="D122" i="27" s="1"/>
  <c r="P87" i="27"/>
  <c r="R93" i="27"/>
  <c r="G113" i="27"/>
  <c r="R91" i="27"/>
  <c r="R84" i="27"/>
  <c r="R82" i="27"/>
  <c r="R83" i="27"/>
  <c r="R92" i="27"/>
  <c r="R90" i="27"/>
  <c r="R85" i="27"/>
  <c r="R86" i="27"/>
  <c r="R88" i="27"/>
  <c r="R87" i="27"/>
  <c r="D131" i="27"/>
  <c r="D153" i="27" s="1"/>
  <c r="P92" i="27"/>
  <c r="E113" i="27"/>
  <c r="P91" i="27"/>
  <c r="P84" i="27"/>
  <c r="P90" i="27"/>
  <c r="P93" i="27"/>
  <c r="P82" i="27"/>
  <c r="P83" i="27"/>
  <c r="P85" i="27"/>
  <c r="P86" i="27"/>
  <c r="P89" i="27"/>
  <c r="E131" i="27"/>
  <c r="R89" i="27"/>
  <c r="F113" i="27"/>
  <c r="Q91" i="27"/>
  <c r="Q84" i="27"/>
  <c r="Q82" i="27"/>
  <c r="Q93" i="27"/>
  <c r="Q83" i="27"/>
  <c r="Q92" i="27"/>
  <c r="Q90" i="27"/>
  <c r="Q85" i="27"/>
  <c r="Q86" i="27"/>
  <c r="R20" i="37" l="1"/>
  <c r="G36" i="36"/>
  <c r="R16" i="37"/>
  <c r="S108" i="27"/>
  <c r="E153" i="27"/>
  <c r="S101" i="27"/>
  <c r="S113" i="27" s="1"/>
  <c r="S105" i="27"/>
  <c r="S112" i="27"/>
  <c r="S109" i="27"/>
  <c r="S103" i="27"/>
  <c r="S110" i="27"/>
  <c r="S104" i="27"/>
  <c r="S111" i="27"/>
  <c r="S106" i="27"/>
  <c r="S102" i="27"/>
  <c r="D120" i="27"/>
  <c r="M15" i="36" s="1"/>
  <c r="E25" i="36" s="1"/>
  <c r="C40" i="37" s="1"/>
  <c r="E120" i="27"/>
  <c r="N15" i="36" s="1"/>
  <c r="F25" i="36" s="1"/>
  <c r="M40" i="37" s="1"/>
  <c r="J115" i="27"/>
  <c r="E123" i="27" s="1"/>
  <c r="J96" i="27"/>
  <c r="D123" i="27" s="1"/>
  <c r="P94" i="27"/>
  <c r="R109" i="27"/>
  <c r="R110" i="27"/>
  <c r="R103" i="27"/>
  <c r="R112" i="27"/>
  <c r="R111" i="27"/>
  <c r="R101" i="27"/>
  <c r="R104" i="27"/>
  <c r="R102" i="27"/>
  <c r="R105" i="27"/>
  <c r="R106" i="27"/>
  <c r="R107" i="27"/>
  <c r="R108" i="27"/>
  <c r="Q102" i="27"/>
  <c r="Q110" i="27"/>
  <c r="Q103" i="27"/>
  <c r="Q101" i="27"/>
  <c r="Q104" i="27"/>
  <c r="Q112" i="27"/>
  <c r="Q111" i="27"/>
  <c r="Q109" i="27"/>
  <c r="Q105" i="27"/>
  <c r="Q107" i="27"/>
  <c r="Q106" i="27"/>
  <c r="Q108" i="27"/>
  <c r="D154" i="27"/>
  <c r="D152" i="27"/>
  <c r="D151" i="27"/>
  <c r="D150" i="27"/>
  <c r="E154" i="27"/>
  <c r="E152" i="27"/>
  <c r="E151" i="27"/>
  <c r="E150" i="27"/>
  <c r="Q94" i="27"/>
  <c r="P112" i="27"/>
  <c r="P110" i="27"/>
  <c r="P103" i="27"/>
  <c r="P104" i="27"/>
  <c r="P105" i="27"/>
  <c r="P109" i="27"/>
  <c r="P101" i="27"/>
  <c r="P111" i="27"/>
  <c r="P102" i="27"/>
  <c r="P108" i="27"/>
  <c r="P106" i="27"/>
  <c r="P107" i="27"/>
  <c r="R94" i="27"/>
  <c r="D48" i="37" l="1"/>
  <c r="E48" i="37" s="1"/>
  <c r="F48" i="37" s="1"/>
  <c r="G48" i="37" s="1"/>
  <c r="H48" i="37" s="1"/>
  <c r="I48" i="37" s="1"/>
  <c r="J48" i="37" s="1"/>
  <c r="K48" i="37" s="1"/>
  <c r="L48" i="37" s="1"/>
  <c r="R11" i="37"/>
  <c r="G25" i="36"/>
  <c r="R7" i="37"/>
  <c r="D155" i="27"/>
  <c r="R113" i="27"/>
  <c r="P113" i="27"/>
  <c r="E155" i="27"/>
  <c r="Q113" i="27"/>
  <c r="D40" i="37" l="1"/>
  <c r="E40" i="37" s="1"/>
  <c r="F40" i="37" s="1"/>
  <c r="G40" i="37" s="1"/>
  <c r="H40" i="37" s="1"/>
  <c r="I40" i="37" s="1"/>
  <c r="J40" i="37" s="1"/>
  <c r="K40" i="37" s="1"/>
  <c r="L40" i="37" s="1"/>
  <c r="E35" i="40"/>
  <c r="E36" i="40" s="1"/>
  <c r="C35" i="40"/>
  <c r="C36" i="40" s="1"/>
  <c r="D35" i="40"/>
  <c r="D36" i="40" s="1"/>
  <c r="G90" i="40" l="1"/>
  <c r="I35" i="40"/>
  <c r="I36" i="40" l="1"/>
  <c r="F35" i="40"/>
  <c r="F36" i="40" s="1"/>
  <c r="G35" i="40" l="1"/>
  <c r="G36" i="40"/>
  <c r="I30" i="40" s="1"/>
</calcChain>
</file>

<file path=xl/comments1.xml><?xml version="1.0" encoding="utf-8"?>
<comments xmlns="http://schemas.openxmlformats.org/spreadsheetml/2006/main">
  <authors>
    <author>Oskar Mair am Tinkhof</author>
  </authors>
  <commentList>
    <comment ref="F4" authorId="0" shapeId="0">
      <text>
        <r>
          <rPr>
            <sz val="9"/>
            <color indexed="81"/>
            <rFont val="Segoe UI"/>
            <family val="2"/>
          </rPr>
          <t>Falls kein Wert verfügbar = BGF/1,25</t>
        </r>
      </text>
    </comment>
  </commentList>
</comments>
</file>

<file path=xl/comments2.xml><?xml version="1.0" encoding="utf-8"?>
<comments xmlns="http://schemas.openxmlformats.org/spreadsheetml/2006/main">
  <authors>
    <author>Oskar Mair am Tinkhof</author>
  </authors>
  <commentList>
    <comment ref="C23" authorId="0" shapeId="0">
      <text>
        <r>
          <rPr>
            <sz val="9"/>
            <color indexed="81"/>
            <rFont val="Segoe UI"/>
            <family val="2"/>
          </rPr>
          <t xml:space="preserve">Pflanzfläche am Boden in m² zzgl. 50 % der vorgesehenen Rank-/Bewuchsfläche in m² </t>
        </r>
      </text>
    </comment>
    <comment ref="C24" authorId="0" shapeId="0">
      <text>
        <r>
          <rPr>
            <sz val="9"/>
            <color indexed="81"/>
            <rFont val="Segoe UI"/>
            <family val="2"/>
          </rPr>
          <t xml:space="preserve">Pflanzfläche am Boden in m² zzgl. 50 % der vorgesehenen Rank-/Bewuchsfläche in m² </t>
        </r>
      </text>
    </comment>
    <comment ref="C25" authorId="0" shapeId="0">
      <text>
        <r>
          <rPr>
            <sz val="9"/>
            <color indexed="81"/>
            <rFont val="Segoe UI"/>
            <family val="2"/>
          </rPr>
          <t xml:space="preserve">100 % der vorgesehenen Rank-/Bewuchsfläche in m² </t>
        </r>
      </text>
    </comment>
  </commentList>
</comments>
</file>

<file path=xl/comments3.xml><?xml version="1.0" encoding="utf-8"?>
<comments xmlns="http://schemas.openxmlformats.org/spreadsheetml/2006/main">
  <authors>
    <author>Oskar Mair am Tinkhof</author>
  </authors>
  <commentList>
    <comment ref="B12" authorId="0" shapeId="0">
      <text>
        <r>
          <rPr>
            <sz val="9"/>
            <color indexed="81"/>
            <rFont val="Segoe UI"/>
            <family val="2"/>
          </rPr>
          <t>Vgl. UZ33</t>
        </r>
      </text>
    </comment>
    <comment ref="B13" authorId="0" shapeId="0">
      <text>
        <r>
          <rPr>
            <sz val="9"/>
            <color indexed="81"/>
            <rFont val="Segoe UI"/>
            <family val="2"/>
          </rPr>
          <t>Vgl. UZ33</t>
        </r>
      </text>
    </comment>
    <comment ref="B14" authorId="0" shapeId="0">
      <text>
        <r>
          <rPr>
            <sz val="9"/>
            <color indexed="81"/>
            <rFont val="Segoe UI"/>
            <family val="2"/>
          </rPr>
          <t>Vgl. UZ71</t>
        </r>
      </text>
    </comment>
  </commentList>
</comments>
</file>

<file path=xl/comments4.xml><?xml version="1.0" encoding="utf-8"?>
<comments xmlns="http://schemas.openxmlformats.org/spreadsheetml/2006/main">
  <authors>
    <author>Oskar Mair am Tinkhof</author>
  </authors>
  <commentList>
    <comment ref="C46" authorId="0" shapeId="0">
      <text>
        <r>
          <rPr>
            <sz val="9"/>
            <color indexed="81"/>
            <rFont val="Segoe UI"/>
            <family val="2"/>
          </rPr>
          <t>30 % der Stellplätze sind auch für Scooter zulässig</t>
        </r>
      </text>
    </comment>
    <comment ref="C48" authorId="0" shapeId="0">
      <text>
        <r>
          <rPr>
            <sz val="9"/>
            <color indexed="81"/>
            <rFont val="Segoe UI"/>
            <family val="2"/>
          </rPr>
          <t>30 % der Stellplätze sind auch für Scooter zulässig</t>
        </r>
      </text>
    </comment>
  </commentList>
</comments>
</file>

<file path=xl/comments5.xml><?xml version="1.0" encoding="utf-8"?>
<comments xmlns="http://schemas.openxmlformats.org/spreadsheetml/2006/main">
  <authors>
    <author>Oskar Mair am Tinkhof</author>
  </authors>
  <commentList>
    <comment ref="C18" authorId="0" shapeId="0">
      <text>
        <r>
          <rPr>
            <b/>
            <sz val="9"/>
            <color indexed="81"/>
            <rFont val="Segoe UI"/>
            <family val="2"/>
          </rPr>
          <t>GWP fossil + GWP biogen</t>
        </r>
        <r>
          <rPr>
            <sz val="9"/>
            <color indexed="81"/>
            <rFont val="Segoe UI"/>
            <family val="2"/>
          </rPr>
          <t xml:space="preserve">
</t>
        </r>
      </text>
    </comment>
    <comment ref="D18" authorId="0" shapeId="0">
      <text>
        <r>
          <rPr>
            <b/>
            <sz val="9"/>
            <color indexed="81"/>
            <rFont val="Segoe UI"/>
            <family val="2"/>
          </rPr>
          <t>PENRE + PERE</t>
        </r>
      </text>
    </comment>
  </commentList>
</comments>
</file>

<file path=xl/comments6.xml><?xml version="1.0" encoding="utf-8"?>
<comments xmlns="http://schemas.openxmlformats.org/spreadsheetml/2006/main">
  <authors>
    <author>Oskar Mair am Tinkhof</author>
  </authors>
  <commentList>
    <comment ref="D77" authorId="0" shapeId="0">
      <text>
        <r>
          <rPr>
            <sz val="9"/>
            <color indexed="81"/>
            <rFont val="Segoe UI"/>
            <family val="2"/>
          </rPr>
          <t>Werte zwischen 0,3 und 0,7 möglich</t>
        </r>
      </text>
    </comment>
    <comment ref="G79" authorId="0" shapeId="0">
      <text>
        <r>
          <rPr>
            <b/>
            <sz val="9"/>
            <color indexed="81"/>
            <rFont val="Segoe UI"/>
            <family val="2"/>
          </rPr>
          <t>Gilt für kontrollierte Be- und Entlüftungsanlage. Abluftanlage = 1,5</t>
        </r>
      </text>
    </comment>
  </commentList>
</comments>
</file>

<file path=xl/comments7.xml><?xml version="1.0" encoding="utf-8"?>
<comments xmlns="http://schemas.openxmlformats.org/spreadsheetml/2006/main">
  <authors>
    <author>Oskar Mair am Tinkhof</author>
  </authors>
  <commentList>
    <comment ref="V26" authorId="0" shapeId="0">
      <text>
        <r>
          <rPr>
            <b/>
            <sz val="9"/>
            <color indexed="81"/>
            <rFont val="Segoe UI"/>
            <family val="2"/>
          </rPr>
          <t>Gilt für kontrollierte Be- und Entlüftungsanlage. Abluftanlage = 1,5</t>
        </r>
      </text>
    </comment>
  </commentList>
</comments>
</file>

<file path=xl/comments8.xml><?xml version="1.0" encoding="utf-8"?>
<comments xmlns="http://schemas.openxmlformats.org/spreadsheetml/2006/main">
  <authors>
    <author>Oskar Mair am Tinkhof</author>
  </authors>
  <commentList>
    <comment ref="D6" authorId="0" shapeId="0">
      <text>
        <r>
          <rPr>
            <sz val="9"/>
            <color indexed="81"/>
            <rFont val="Segoe UI"/>
            <family val="2"/>
          </rPr>
          <t>- Personen ab 6 Jahren.</t>
        </r>
      </text>
    </comment>
  </commentList>
</comments>
</file>

<file path=xl/sharedStrings.xml><?xml version="1.0" encoding="utf-8"?>
<sst xmlns="http://schemas.openxmlformats.org/spreadsheetml/2006/main" count="10598" uniqueCount="6131">
  <si>
    <t>Bemessung</t>
  </si>
  <si>
    <t>Begründung/Nachweis</t>
  </si>
  <si>
    <t>Erreichter Prozentsatz</t>
  </si>
  <si>
    <t>Maximal mögliche Punktezahl</t>
  </si>
  <si>
    <t>Erreichbare Punktezahl nach Reduktion</t>
  </si>
  <si>
    <t>Erreichte Punkteanzahl</t>
  </si>
  <si>
    <t>Handlungsfeld</t>
  </si>
  <si>
    <t>Maximale Punkte</t>
  </si>
  <si>
    <t>Mögliche Punkte</t>
  </si>
  <si>
    <t>Erreichte Punkte</t>
  </si>
  <si>
    <t>Prozentsatz</t>
  </si>
  <si>
    <t>SUMME</t>
  </si>
  <si>
    <t>Bis wann</t>
  </si>
  <si>
    <t>Zuständigkeit</t>
  </si>
  <si>
    <t>Maßnahme</t>
  </si>
  <si>
    <t>Beschreibung im Detail</t>
  </si>
  <si>
    <t>Detailergebnis / Verbesserungspotentiale</t>
  </si>
  <si>
    <t>Ausgewählt</t>
  </si>
  <si>
    <t>Beschreibung der Einzelmaßnahmen</t>
  </si>
  <si>
    <t>Maßnahmenbewertung</t>
  </si>
  <si>
    <t>Erreichungsgrad</t>
  </si>
  <si>
    <t>Kommunikations- und Kooperationskonzept</t>
  </si>
  <si>
    <t>Vorbildwirkung</t>
  </si>
  <si>
    <t>é</t>
  </si>
  <si>
    <t>Konzept von Steuerungsgruppe beschlossen</t>
  </si>
  <si>
    <t>Ziele setzen</t>
  </si>
  <si>
    <t>Zell am See</t>
  </si>
  <si>
    <t>Telefon</t>
  </si>
  <si>
    <t>Mail</t>
  </si>
  <si>
    <t>Bundesland</t>
  </si>
  <si>
    <t>Energiekonzept</t>
  </si>
  <si>
    <t>Mobilitätskonzept</t>
  </si>
  <si>
    <t>Gemeinde</t>
  </si>
  <si>
    <t>Vorhanden</t>
  </si>
  <si>
    <t>Tlw. vorhanden</t>
  </si>
  <si>
    <t>Nicht vorhanden</t>
  </si>
  <si>
    <t>Zielsetzung und Hilfestellung</t>
  </si>
  <si>
    <t>Handhabung des Excel-Tools</t>
  </si>
  <si>
    <t>Farbcodes</t>
  </si>
  <si>
    <t>Ergebnis</t>
  </si>
  <si>
    <t>Burgenland</t>
  </si>
  <si>
    <t>Eisenstadt</t>
  </si>
  <si>
    <t>Rust</t>
  </si>
  <si>
    <t>Breitenbrunn am Neusiedler See</t>
  </si>
  <si>
    <t>Donnerskirchen</t>
  </si>
  <si>
    <t>Großhöflein</t>
  </si>
  <si>
    <t>Hornstein</t>
  </si>
  <si>
    <t>Klingenbach</t>
  </si>
  <si>
    <t>Leithaprodersdorf</t>
  </si>
  <si>
    <t>Mörbisch am See</t>
  </si>
  <si>
    <t>Müllendorf</t>
  </si>
  <si>
    <t>Neufeld an der Leitha</t>
  </si>
  <si>
    <t>Oggau am Neusiedler See</t>
  </si>
  <si>
    <t>Oslip</t>
  </si>
  <si>
    <t>Purbach am Neusiedler See</t>
  </si>
  <si>
    <t>Sankt Margarethen im Burgenland</t>
  </si>
  <si>
    <t>Schützen am Gebirge</t>
  </si>
  <si>
    <t>Siegendorf</t>
  </si>
  <si>
    <t>Steinbrunn</t>
  </si>
  <si>
    <t>Trausdorf an der Wulka</t>
  </si>
  <si>
    <t>Wimpassing an der Leitha</t>
  </si>
  <si>
    <t>Wulkaprodersdorf</t>
  </si>
  <si>
    <t>Loretto</t>
  </si>
  <si>
    <t>Stotzing</t>
  </si>
  <si>
    <t>Zillingtal</t>
  </si>
  <si>
    <t>Zagersdorf</t>
  </si>
  <si>
    <t>Bocksdorf</t>
  </si>
  <si>
    <t>Burgauberg-Neudauberg</t>
  </si>
  <si>
    <t>Eberau</t>
  </si>
  <si>
    <t>Gerersdorf-Sulz</t>
  </si>
  <si>
    <t>Güssing</t>
  </si>
  <si>
    <t>Güttenbach</t>
  </si>
  <si>
    <t>Heiligenbrunn</t>
  </si>
  <si>
    <t>Kukmirn</t>
  </si>
  <si>
    <t>Neuberg im Burgenland</t>
  </si>
  <si>
    <t>Neustift bei Güssing</t>
  </si>
  <si>
    <t>Olbendorf</t>
  </si>
  <si>
    <t>Ollersdorf im Burgenland</t>
  </si>
  <si>
    <t>Sankt Michael im Burgenland</t>
  </si>
  <si>
    <t>Stegersbach</t>
  </si>
  <si>
    <t>Stinatz</t>
  </si>
  <si>
    <t>Strem</t>
  </si>
  <si>
    <t>Tobaj</t>
  </si>
  <si>
    <t>Hackerberg</t>
  </si>
  <si>
    <t>Wörterberg</t>
  </si>
  <si>
    <t>Großmürbisch</t>
  </si>
  <si>
    <t>Inzenhof</t>
  </si>
  <si>
    <t>Kleinmürbisch</t>
  </si>
  <si>
    <t>Tschanigraben</t>
  </si>
  <si>
    <t>Heugraben</t>
  </si>
  <si>
    <t>Rohr im Burgenland</t>
  </si>
  <si>
    <t>Bildein</t>
  </si>
  <si>
    <t>Rauchwart</t>
  </si>
  <si>
    <t>Moschendorf</t>
  </si>
  <si>
    <t>Deutsch Kaltenbrunn</t>
  </si>
  <si>
    <t>Eltendorf</t>
  </si>
  <si>
    <t>Heiligenkreuz im Lafnitztal</t>
  </si>
  <si>
    <t>Jennersdorf</t>
  </si>
  <si>
    <t>Minihof-Liebau</t>
  </si>
  <si>
    <t>Mogersdorf</t>
  </si>
  <si>
    <t>Neuhaus am Klausenbach</t>
  </si>
  <si>
    <t>Rudersdorf</t>
  </si>
  <si>
    <t>Sankt Martin an der Raab</t>
  </si>
  <si>
    <t>Weichselbaum</t>
  </si>
  <si>
    <t>Königsdorf</t>
  </si>
  <si>
    <t>Mühlgraben</t>
  </si>
  <si>
    <t>Draßburg</t>
  </si>
  <si>
    <t>Forchtenstein</t>
  </si>
  <si>
    <t>Hirm</t>
  </si>
  <si>
    <t>Loipersbach im Burgenland</t>
  </si>
  <si>
    <t>Marz</t>
  </si>
  <si>
    <t>Mattersburg</t>
  </si>
  <si>
    <t>Neudörfl</t>
  </si>
  <si>
    <t>Pöttelsdorf</t>
  </si>
  <si>
    <t>Pöttsching</t>
  </si>
  <si>
    <t>Rohrbach bei Mattersburg</t>
  </si>
  <si>
    <t>Bad Sauerbrunn</t>
  </si>
  <si>
    <t>Schattendorf</t>
  </si>
  <si>
    <t>Sieggraben</t>
  </si>
  <si>
    <t>Sigleß</t>
  </si>
  <si>
    <t>Wiesen</t>
  </si>
  <si>
    <t>Antau</t>
  </si>
  <si>
    <t>Baumgarten</t>
  </si>
  <si>
    <t>Zemendorf-Stöttera</t>
  </si>
  <si>
    <t>Krensdorf</t>
  </si>
  <si>
    <t>Andau</t>
  </si>
  <si>
    <t>Apetlon</t>
  </si>
  <si>
    <t>Bruckneudorf</t>
  </si>
  <si>
    <t>Deutsch Jahrndorf</t>
  </si>
  <si>
    <t>Frauenkirchen</t>
  </si>
  <si>
    <t>Gattendorf</t>
  </si>
  <si>
    <t>Gols</t>
  </si>
  <si>
    <t>Halbturn</t>
  </si>
  <si>
    <t>Illmitz</t>
  </si>
  <si>
    <t>Jois</t>
  </si>
  <si>
    <t>Kittsee</t>
  </si>
  <si>
    <t>Mönchhof</t>
  </si>
  <si>
    <t>Neusiedl am See</t>
  </si>
  <si>
    <t>Nickelsdorf</t>
  </si>
  <si>
    <t>Pama</t>
  </si>
  <si>
    <t>Pamhagen</t>
  </si>
  <si>
    <t>Parndorf</t>
  </si>
  <si>
    <t>Podersdorf am See</t>
  </si>
  <si>
    <t>Sankt Andrä am Zicksee</t>
  </si>
  <si>
    <t>Tadten</t>
  </si>
  <si>
    <t>Wallern im Burgenland</t>
  </si>
  <si>
    <t>Weiden am See</t>
  </si>
  <si>
    <t>Winden am See</t>
  </si>
  <si>
    <t>Zurndorf</t>
  </si>
  <si>
    <t>Neudorf</t>
  </si>
  <si>
    <t>Potzneusiedl</t>
  </si>
  <si>
    <t>Edelstal</t>
  </si>
  <si>
    <t>Deutschkreutz</t>
  </si>
  <si>
    <t>Draßmarkt</t>
  </si>
  <si>
    <t>Frankenau-Unterpullendorf</t>
  </si>
  <si>
    <t>Großwarasdorf</t>
  </si>
  <si>
    <t>Horitschon</t>
  </si>
  <si>
    <t>Kaisersdorf</t>
  </si>
  <si>
    <t>Kobersdorf</t>
  </si>
  <si>
    <t>Lackenbach</t>
  </si>
  <si>
    <t>Lockenhaus</t>
  </si>
  <si>
    <t>Lutzmannsburg</t>
  </si>
  <si>
    <t>Mannersdorf an der Rabnitz</t>
  </si>
  <si>
    <t>Markt Sankt Martin</t>
  </si>
  <si>
    <t>Neckenmarkt</t>
  </si>
  <si>
    <t>Neutal</t>
  </si>
  <si>
    <t>Nikitsch</t>
  </si>
  <si>
    <t>Oberpullendorf</t>
  </si>
  <si>
    <t>Pilgersdorf</t>
  </si>
  <si>
    <t>Piringsdorf</t>
  </si>
  <si>
    <t>Raiding</t>
  </si>
  <si>
    <t>Ritzing</t>
  </si>
  <si>
    <t>Steinberg-Dörfl</t>
  </si>
  <si>
    <t>Stoob</t>
  </si>
  <si>
    <t>Weppersdorf</t>
  </si>
  <si>
    <t>Lackendorf</t>
  </si>
  <si>
    <t>Unterfrauenhaid</t>
  </si>
  <si>
    <t>Unterrabnitz-Schwendgraben</t>
  </si>
  <si>
    <t>Weingraben</t>
  </si>
  <si>
    <t>Oberloisdorf</t>
  </si>
  <si>
    <t>Bad Tatzmannsdorf</t>
  </si>
  <si>
    <t>Bernstein</t>
  </si>
  <si>
    <t>Deutsch Schützen-Eisenberg</t>
  </si>
  <si>
    <t>Grafenschachen</t>
  </si>
  <si>
    <t>Großpetersdorf</t>
  </si>
  <si>
    <t>Hannersdorf</t>
  </si>
  <si>
    <t>Kemeten</t>
  </si>
  <si>
    <t>Kohfidisch</t>
  </si>
  <si>
    <t>Litzelsdorf</t>
  </si>
  <si>
    <t>Loipersdorf-Kitzladen</t>
  </si>
  <si>
    <t>Mariasdorf</t>
  </si>
  <si>
    <t>Markt Allhau</t>
  </si>
  <si>
    <t>Markt Neuhodis</t>
  </si>
  <si>
    <t>Mischendorf</t>
  </si>
  <si>
    <t>Oberdorf im Burgenland</t>
  </si>
  <si>
    <t>Oberschützen</t>
  </si>
  <si>
    <t>Oberwart</t>
  </si>
  <si>
    <t>Pinkafeld</t>
  </si>
  <si>
    <t>Rechnitz</t>
  </si>
  <si>
    <t>Riedlingsdorf</t>
  </si>
  <si>
    <t>Rotenturm an der Pinka</t>
  </si>
  <si>
    <t>Schachendorf</t>
  </si>
  <si>
    <t>Stadtschlaining</t>
  </si>
  <si>
    <t>Unterkohlstätten</t>
  </si>
  <si>
    <t>Unterwart</t>
  </si>
  <si>
    <t>Weiden bei Rechnitz</t>
  </si>
  <si>
    <t>Wiesfleck</t>
  </si>
  <si>
    <t>Wolfau</t>
  </si>
  <si>
    <t>Neustift an der Lafnitz</t>
  </si>
  <si>
    <t>Jabing</t>
  </si>
  <si>
    <t>Badersdorf</t>
  </si>
  <si>
    <t>Schandorf</t>
  </si>
  <si>
    <t>Kärnten</t>
  </si>
  <si>
    <t>Klagenfurt am Wörthersee</t>
  </si>
  <si>
    <t>Villach</t>
  </si>
  <si>
    <t>Dellach</t>
  </si>
  <si>
    <t>Hermagor-Pressegger See</t>
  </si>
  <si>
    <t>Kirchbach</t>
  </si>
  <si>
    <t>Kötschach-Mauthen</t>
  </si>
  <si>
    <t>Gitschtal</t>
  </si>
  <si>
    <t>Lesachtal</t>
  </si>
  <si>
    <t>Ebenthal in Kärnten</t>
  </si>
  <si>
    <t>Feistritz im Rosental</t>
  </si>
  <si>
    <t>Ferlach</t>
  </si>
  <si>
    <t>Grafenstein</t>
  </si>
  <si>
    <t>Keutschach am See</t>
  </si>
  <si>
    <t>Köttmannsdorf</t>
  </si>
  <si>
    <t>Krumpendorf am Wörthersee</t>
  </si>
  <si>
    <t>Ludmannsdorf</t>
  </si>
  <si>
    <t>Maria Rain</t>
  </si>
  <si>
    <t>Maria Saal</t>
  </si>
  <si>
    <t>Maria Wörth</t>
  </si>
  <si>
    <t>Moosburg</t>
  </si>
  <si>
    <t>Pörtschach am Wörther See</t>
  </si>
  <si>
    <t>Poggersdorf</t>
  </si>
  <si>
    <t>Schiefling am Wörthersee</t>
  </si>
  <si>
    <t>Techelsberg am Wörther See</t>
  </si>
  <si>
    <t>Zell</t>
  </si>
  <si>
    <t>Magdalensberg</t>
  </si>
  <si>
    <t>Althofen</t>
  </si>
  <si>
    <t>Brückl</t>
  </si>
  <si>
    <t>Deutsch-Griffen</t>
  </si>
  <si>
    <t>Eberstein</t>
  </si>
  <si>
    <t>Friesach</t>
  </si>
  <si>
    <t>Glödnitz</t>
  </si>
  <si>
    <t>Gurk</t>
  </si>
  <si>
    <t>Guttaring</t>
  </si>
  <si>
    <t>Hüttenberg</t>
  </si>
  <si>
    <t>Kappel am Krappfeld</t>
  </si>
  <si>
    <t>Liebenfels</t>
  </si>
  <si>
    <t>Metnitz</t>
  </si>
  <si>
    <t>Micheldorf</t>
  </si>
  <si>
    <t>Mölbling</t>
  </si>
  <si>
    <t>Straßburg</t>
  </si>
  <si>
    <t>Weitensfeld im Gurktal</t>
  </si>
  <si>
    <t>Frauenstein</t>
  </si>
  <si>
    <t>Bad Kleinkirchheim</t>
  </si>
  <si>
    <t>Baldramsdorf</t>
  </si>
  <si>
    <t>Berg im Drautal</t>
  </si>
  <si>
    <t>Dellach im Drautal</t>
  </si>
  <si>
    <t>Großkirchheim</t>
  </si>
  <si>
    <t>Flattach</t>
  </si>
  <si>
    <t>Gmünd in Kärnten</t>
  </si>
  <si>
    <t>Greifenburg</t>
  </si>
  <si>
    <t>Heiligenblut am Großglockner</t>
  </si>
  <si>
    <t>Irschen</t>
  </si>
  <si>
    <t>Kleblach-Lind</t>
  </si>
  <si>
    <t>Lendorf</t>
  </si>
  <si>
    <t>Mallnitz</t>
  </si>
  <si>
    <t>Malta</t>
  </si>
  <si>
    <t>Millstatt am See</t>
  </si>
  <si>
    <t>Mörtschach</t>
  </si>
  <si>
    <t>Mühldorf</t>
  </si>
  <si>
    <t>Oberdrauburg</t>
  </si>
  <si>
    <t>Obervellach</t>
  </si>
  <si>
    <t>Radenthein</t>
  </si>
  <si>
    <t>Rangersdorf</t>
  </si>
  <si>
    <t>Rennweg am Katschberg</t>
  </si>
  <si>
    <t>Sachsenburg</t>
  </si>
  <si>
    <t>Seeboden am Millstätter See</t>
  </si>
  <si>
    <t>Spittal an der Drau</t>
  </si>
  <si>
    <t>Stall</t>
  </si>
  <si>
    <t>Steinfeld</t>
  </si>
  <si>
    <t>Trebesing</t>
  </si>
  <si>
    <t>Weißensee</t>
  </si>
  <si>
    <t>Winklern</t>
  </si>
  <si>
    <t>Krems in Kärnten</t>
  </si>
  <si>
    <t>Lurnfeld</t>
  </si>
  <si>
    <t>Reißeck</t>
  </si>
  <si>
    <t>Afritz am See</t>
  </si>
  <si>
    <t>Arnoldstein</t>
  </si>
  <si>
    <t>Arriach</t>
  </si>
  <si>
    <t>Bad Bleiberg</t>
  </si>
  <si>
    <t>Feistritz an der Gail</t>
  </si>
  <si>
    <t>Feld am See</t>
  </si>
  <si>
    <t>Ferndorf</t>
  </si>
  <si>
    <t>Finkenstein am Faaker See</t>
  </si>
  <si>
    <t>Fresach</t>
  </si>
  <si>
    <t>Hohenthurn</t>
  </si>
  <si>
    <t>Nötsch im Gailtal</t>
  </si>
  <si>
    <t>Paternion</t>
  </si>
  <si>
    <t>Rosegg</t>
  </si>
  <si>
    <t>Stockenboi</t>
  </si>
  <si>
    <t>Treffen am Ossiacher See</t>
  </si>
  <si>
    <t>Velden am Wörther See</t>
  </si>
  <si>
    <t>Weißenstein</t>
  </si>
  <si>
    <t>Wernberg</t>
  </si>
  <si>
    <t>Bleiburg</t>
  </si>
  <si>
    <t>Diex</t>
  </si>
  <si>
    <t>Eberndorf</t>
  </si>
  <si>
    <t>Eisenkappel-Vellach</t>
  </si>
  <si>
    <t>Feistritz ob Bleiburg</t>
  </si>
  <si>
    <t>Gallizien</t>
  </si>
  <si>
    <t>Globasnitz</t>
  </si>
  <si>
    <t>Griffen</t>
  </si>
  <si>
    <t>Neuhaus</t>
  </si>
  <si>
    <t>Ruden</t>
  </si>
  <si>
    <t>Sittersdorf</t>
  </si>
  <si>
    <t>Völkermarkt</t>
  </si>
  <si>
    <t>Lavamünd</t>
  </si>
  <si>
    <t>Preitenegg</t>
  </si>
  <si>
    <t>Reichenfels</t>
  </si>
  <si>
    <t>Wolfsberg</t>
  </si>
  <si>
    <t>Albeck</t>
  </si>
  <si>
    <t>Feldkirchen in Kärnten</t>
  </si>
  <si>
    <t>Glanegg</t>
  </si>
  <si>
    <t>Gnesau</t>
  </si>
  <si>
    <t>Himmelberg</t>
  </si>
  <si>
    <t>Ossiach</t>
  </si>
  <si>
    <t>Reichenau</t>
  </si>
  <si>
    <t>Steindorf am Ossiacher See</t>
  </si>
  <si>
    <t>Steuerberg</t>
  </si>
  <si>
    <t>Niederösterreich</t>
  </si>
  <si>
    <t>Krems an der Donau</t>
  </si>
  <si>
    <t>Waidhofen an der Ybbs</t>
  </si>
  <si>
    <t>Wiener Neustadt</t>
  </si>
  <si>
    <t>Allhartsberg</t>
  </si>
  <si>
    <t>Amstetten</t>
  </si>
  <si>
    <t>Ardagger</t>
  </si>
  <si>
    <t>Aschbach-Markt</t>
  </si>
  <si>
    <t>Behamberg</t>
  </si>
  <si>
    <t>Biberbach</t>
  </si>
  <si>
    <t>Ennsdorf</t>
  </si>
  <si>
    <t>Ernsthofen</t>
  </si>
  <si>
    <t>Ertl</t>
  </si>
  <si>
    <t>Euratsfeld</t>
  </si>
  <si>
    <t>Ferschnitz</t>
  </si>
  <si>
    <t>Haag</t>
  </si>
  <si>
    <t>Haidershofen</t>
  </si>
  <si>
    <t>Hollenstein an der Ybbs</t>
  </si>
  <si>
    <t>Kematen an der Ybbs</t>
  </si>
  <si>
    <t>Neuhofen an der Ybbs</t>
  </si>
  <si>
    <t>Neustadtl an der Donau</t>
  </si>
  <si>
    <t>Oed-Oehling</t>
  </si>
  <si>
    <t>Opponitz</t>
  </si>
  <si>
    <t>Seitenstetten</t>
  </si>
  <si>
    <t>Sonntagberg</t>
  </si>
  <si>
    <t>Strengberg</t>
  </si>
  <si>
    <t>Viehdorf</t>
  </si>
  <si>
    <t>Wallsee-Sindelburg</t>
  </si>
  <si>
    <t>Weistrach</t>
  </si>
  <si>
    <t>Winklarn</t>
  </si>
  <si>
    <t>Wolfsbach</t>
  </si>
  <si>
    <t>Ybbsitz</t>
  </si>
  <si>
    <t>Zeillern</t>
  </si>
  <si>
    <t>Alland</t>
  </si>
  <si>
    <t>Altenmarkt an der Triesting</t>
  </si>
  <si>
    <t>Bad Vöslau</t>
  </si>
  <si>
    <t>Baden</t>
  </si>
  <si>
    <t>Berndorf</t>
  </si>
  <si>
    <t>Ebreichsdorf</t>
  </si>
  <si>
    <t>Enzesfeld-Lindabrunn</t>
  </si>
  <si>
    <t>Furth an der Triesting</t>
  </si>
  <si>
    <t>Günselsdorf</t>
  </si>
  <si>
    <t>Heiligenkreuz</t>
  </si>
  <si>
    <t>Hernstein</t>
  </si>
  <si>
    <t>Hirtenberg</t>
  </si>
  <si>
    <t>Klausen-Leopoldsdorf</t>
  </si>
  <si>
    <t>Kottingbrunn</t>
  </si>
  <si>
    <t>Leobersdorf</t>
  </si>
  <si>
    <t>Mitterndorf an der Fischa</t>
  </si>
  <si>
    <t>Oberwaltersdorf</t>
  </si>
  <si>
    <t>Pfaffstätten</t>
  </si>
  <si>
    <t>Pottendorf</t>
  </si>
  <si>
    <t>Pottenstein</t>
  </si>
  <si>
    <t>Reisenberg</t>
  </si>
  <si>
    <t>Schönau an der Triesting</t>
  </si>
  <si>
    <t>Seibersdorf</t>
  </si>
  <si>
    <t>Sooß</t>
  </si>
  <si>
    <t>Tattendorf</t>
  </si>
  <si>
    <t>Teesdorf</t>
  </si>
  <si>
    <t>Traiskirchen</t>
  </si>
  <si>
    <t>Trumau</t>
  </si>
  <si>
    <t>Weissenbach an der Triesting</t>
  </si>
  <si>
    <t>Blumau-Neurißhof</t>
  </si>
  <si>
    <t>Au am Leithaberge</t>
  </si>
  <si>
    <t>Bad Deutsch-Altenburg</t>
  </si>
  <si>
    <t>Berg</t>
  </si>
  <si>
    <t>Bruck an der Leitha</t>
  </si>
  <si>
    <t>Enzersdorf an der Fischa</t>
  </si>
  <si>
    <t>Göttlesbrunn-Arbesthal</t>
  </si>
  <si>
    <t>Götzendorf an der Leitha</t>
  </si>
  <si>
    <t>Haslau-Maria Ellend</t>
  </si>
  <si>
    <t>Höflein</t>
  </si>
  <si>
    <t>Hof am Leithaberge</t>
  </si>
  <si>
    <t>Hundsheim</t>
  </si>
  <si>
    <t>Mannersdorf am Leithagebirge</t>
  </si>
  <si>
    <t>Petronell-Carnuntum</t>
  </si>
  <si>
    <t>Prellenkirchen</t>
  </si>
  <si>
    <t>Rohrau</t>
  </si>
  <si>
    <t>Scharndorf</t>
  </si>
  <si>
    <t>Sommerein</t>
  </si>
  <si>
    <t>Trautmannsdorf an der Leitha</t>
  </si>
  <si>
    <t>Wolfsthal</t>
  </si>
  <si>
    <t>Ebergassing</t>
  </si>
  <si>
    <t>Fischamend</t>
  </si>
  <si>
    <t>Gramatneusiedl</t>
  </si>
  <si>
    <t>Himberg</t>
  </si>
  <si>
    <t>Klein-Neusiedl</t>
  </si>
  <si>
    <t>Lanzendorf</t>
  </si>
  <si>
    <t>Leopoldsdorf</t>
  </si>
  <si>
    <t>Maria-Lanzendorf</t>
  </si>
  <si>
    <t>Moosbrunn</t>
  </si>
  <si>
    <t>Rauchenwarth</t>
  </si>
  <si>
    <t>Schwadorf</t>
  </si>
  <si>
    <t>Schwechat</t>
  </si>
  <si>
    <t>Zwölfaxing</t>
  </si>
  <si>
    <t>Aderklaa</t>
  </si>
  <si>
    <t>Andlersdorf</t>
  </si>
  <si>
    <t>Angern an der March</t>
  </si>
  <si>
    <t>Auersthal</t>
  </si>
  <si>
    <t>Bad Pirawarth</t>
  </si>
  <si>
    <t>Deutsch-Wagram</t>
  </si>
  <si>
    <t>Drösing</t>
  </si>
  <si>
    <t>Dürnkrut</t>
  </si>
  <si>
    <t>Ebenthal</t>
  </si>
  <si>
    <t>Eckartsau</t>
  </si>
  <si>
    <t>Engelhartstetten</t>
  </si>
  <si>
    <t>Gänserndorf</t>
  </si>
  <si>
    <t>Glinzendorf</t>
  </si>
  <si>
    <t>Groß-Enzersdorf</t>
  </si>
  <si>
    <t>Großhofen</t>
  </si>
  <si>
    <t>Groß-Schweinbarth</t>
  </si>
  <si>
    <t>Haringsee</t>
  </si>
  <si>
    <t>Hauskirchen</t>
  </si>
  <si>
    <t>Hohenau an der March</t>
  </si>
  <si>
    <t>Hohenruppersdorf</t>
  </si>
  <si>
    <t>Jedenspeigen</t>
  </si>
  <si>
    <t>Lassee</t>
  </si>
  <si>
    <t>Leopoldsdorf im Marchfelde</t>
  </si>
  <si>
    <t>Mannsdorf an der Donau</t>
  </si>
  <si>
    <t>Marchegg</t>
  </si>
  <si>
    <t>Markgrafneusiedl</t>
  </si>
  <si>
    <t>Matzen-Raggendorf</t>
  </si>
  <si>
    <t>Neusiedl an der Zaya</t>
  </si>
  <si>
    <t>Obersiebenbrunn</t>
  </si>
  <si>
    <t>Orth an der Donau</t>
  </si>
  <si>
    <t>Palterndorf-Dobermannsdorf</t>
  </si>
  <si>
    <t>Parbasdorf</t>
  </si>
  <si>
    <t>Prottes</t>
  </si>
  <si>
    <t>Raasdorf</t>
  </si>
  <si>
    <t>Ringelsdorf-Niederabsdorf</t>
  </si>
  <si>
    <t>Schönkirchen-Reyersdorf</t>
  </si>
  <si>
    <t>Spannberg</t>
  </si>
  <si>
    <t>Strasshof an der Nordbahn</t>
  </si>
  <si>
    <t>Sulz im Weinviertel</t>
  </si>
  <si>
    <t>Untersiebenbrunn</t>
  </si>
  <si>
    <t>Velm-Götzendorf</t>
  </si>
  <si>
    <t>Weikendorf</t>
  </si>
  <si>
    <t>Zistersdorf</t>
  </si>
  <si>
    <t>Weiden an der March</t>
  </si>
  <si>
    <t>Amaliendorf-Aalfang</t>
  </si>
  <si>
    <t>Brand-Nagelberg</t>
  </si>
  <si>
    <t>Eggern</t>
  </si>
  <si>
    <t>Eisgarn</t>
  </si>
  <si>
    <t>Gmünd</t>
  </si>
  <si>
    <t>Großdietmanns</t>
  </si>
  <si>
    <t>Bad Großpertholz</t>
  </si>
  <si>
    <t>Großschönau</t>
  </si>
  <si>
    <t>Moorbad Harbach</t>
  </si>
  <si>
    <t>Haugschlag</t>
  </si>
  <si>
    <t>Heidenreichstein</t>
  </si>
  <si>
    <t>Hirschbach</t>
  </si>
  <si>
    <t>Hoheneich</t>
  </si>
  <si>
    <t>Kirchberg am Walde</t>
  </si>
  <si>
    <t>Litschau</t>
  </si>
  <si>
    <t>Reingers</t>
  </si>
  <si>
    <t>Schrems</t>
  </si>
  <si>
    <t>Unserfrau-Altweitra</t>
  </si>
  <si>
    <t>Waldenstein</t>
  </si>
  <si>
    <t>Weitra</t>
  </si>
  <si>
    <t>Alberndorf im Pulkautal</t>
  </si>
  <si>
    <t>Göllersdorf</t>
  </si>
  <si>
    <t>Grabern</t>
  </si>
  <si>
    <t>Guntersdorf</t>
  </si>
  <si>
    <t>Hadres</t>
  </si>
  <si>
    <t>Hardegg</t>
  </si>
  <si>
    <t>Haugsdorf</t>
  </si>
  <si>
    <t>Heldenberg</t>
  </si>
  <si>
    <t>Hollabrunn</t>
  </si>
  <si>
    <t>Mailberg</t>
  </si>
  <si>
    <t>Maissau</t>
  </si>
  <si>
    <t>Nappersdorf-Kammersdorf</t>
  </si>
  <si>
    <t>Pernersdorf</t>
  </si>
  <si>
    <t>Pulkau</t>
  </si>
  <si>
    <t>Ravelsbach</t>
  </si>
  <si>
    <t>Retz</t>
  </si>
  <si>
    <t>Retzbach</t>
  </si>
  <si>
    <t>Schrattenthal</t>
  </si>
  <si>
    <t>Seefeld-Kadolz</t>
  </si>
  <si>
    <t>Sitzendorf an der Schmida</t>
  </si>
  <si>
    <t>Wullersdorf</t>
  </si>
  <si>
    <t>Zellerndorf</t>
  </si>
  <si>
    <t>Ziersdorf</t>
  </si>
  <si>
    <t>Altenburg</t>
  </si>
  <si>
    <t>Brunn an der Wild</t>
  </si>
  <si>
    <t>Burgschleinitz-Kühnring</t>
  </si>
  <si>
    <t>Drosendorf-Zissersdorf</t>
  </si>
  <si>
    <t>Eggenburg</t>
  </si>
  <si>
    <t>Gars am Kamp</t>
  </si>
  <si>
    <t>Geras</t>
  </si>
  <si>
    <t>Horn</t>
  </si>
  <si>
    <t>Irnfritz-Messern</t>
  </si>
  <si>
    <t>Japons</t>
  </si>
  <si>
    <t>Langau</t>
  </si>
  <si>
    <t>Meiseldorf</t>
  </si>
  <si>
    <t>Pernegg</t>
  </si>
  <si>
    <t>Röhrenbach</t>
  </si>
  <si>
    <t>Röschitz</t>
  </si>
  <si>
    <t>Rosenburg-Mold</t>
  </si>
  <si>
    <t>Sigmundsherberg</t>
  </si>
  <si>
    <t>Weitersfeld</t>
  </si>
  <si>
    <t>Straning-Grafenberg</t>
  </si>
  <si>
    <t>Bisamberg</t>
  </si>
  <si>
    <t>Enzersfeld im Weinviertel</t>
  </si>
  <si>
    <t>Ernstbrunn</t>
  </si>
  <si>
    <t>Großmugl</t>
  </si>
  <si>
    <t>Großrußbach</t>
  </si>
  <si>
    <t>Hagenbrunn</t>
  </si>
  <si>
    <t>Harmannsdorf</t>
  </si>
  <si>
    <t>Hausleiten</t>
  </si>
  <si>
    <t>Korneuburg</t>
  </si>
  <si>
    <t>Langenzersdorf</t>
  </si>
  <si>
    <t>Leitzersdorf</t>
  </si>
  <si>
    <t>Leobendorf</t>
  </si>
  <si>
    <t>Rußbach</t>
  </si>
  <si>
    <t>Sierndorf</t>
  </si>
  <si>
    <t>Spillern</t>
  </si>
  <si>
    <t>Stetteldorf am Wagram</t>
  </si>
  <si>
    <t>Stetten</t>
  </si>
  <si>
    <t>Stockerau</t>
  </si>
  <si>
    <t>Niederhollabrunn</t>
  </si>
  <si>
    <t>Gerasdorf bei Wien</t>
  </si>
  <si>
    <t>Aggsbach</t>
  </si>
  <si>
    <t>Albrechtsberg an der Großen Krems</t>
  </si>
  <si>
    <t>Bergern im Dunkelsteinerwald</t>
  </si>
  <si>
    <t>Dürnstein</t>
  </si>
  <si>
    <t>Grafenegg</t>
  </si>
  <si>
    <t>Furth bei Göttweig</t>
  </si>
  <si>
    <t>Gedersdorf</t>
  </si>
  <si>
    <t>Gföhl</t>
  </si>
  <si>
    <t>Hadersdorf-Kammern</t>
  </si>
  <si>
    <t>Jaidhof</t>
  </si>
  <si>
    <t>Krumau am Kamp</t>
  </si>
  <si>
    <t>Langenlois</t>
  </si>
  <si>
    <t>Lengenfeld</t>
  </si>
  <si>
    <t>Lichtenau im Waldviertel</t>
  </si>
  <si>
    <t>Maria Laach am Jauerling</t>
  </si>
  <si>
    <t>Mautern an der Donau</t>
  </si>
  <si>
    <t>Paudorf</t>
  </si>
  <si>
    <t>Rastenfeld</t>
  </si>
  <si>
    <t>Rohrendorf bei Krems</t>
  </si>
  <si>
    <t>Rossatz-Arnsdorf</t>
  </si>
  <si>
    <t>Senftenberg</t>
  </si>
  <si>
    <t>Spitz</t>
  </si>
  <si>
    <t>Straß im Straßertale</t>
  </si>
  <si>
    <t>Stratzing</t>
  </si>
  <si>
    <t>Weinzierl am Walde</t>
  </si>
  <si>
    <t>Weißenkirchen in der Wachau</t>
  </si>
  <si>
    <t>Schönberg am Kamp</t>
  </si>
  <si>
    <t>Droß</t>
  </si>
  <si>
    <t>Annaberg</t>
  </si>
  <si>
    <t>Eschenau</t>
  </si>
  <si>
    <t>Hainfeld</t>
  </si>
  <si>
    <t>Hohenberg</t>
  </si>
  <si>
    <t>Kaumberg</t>
  </si>
  <si>
    <t>Kleinzell</t>
  </si>
  <si>
    <t>Lilienfeld</t>
  </si>
  <si>
    <t>Mitterbach am Erlaufsee</t>
  </si>
  <si>
    <t>Ramsau</t>
  </si>
  <si>
    <t>Rohrbach an der Gölsen</t>
  </si>
  <si>
    <t>Traisen</t>
  </si>
  <si>
    <t>Türnitz</t>
  </si>
  <si>
    <t>Artstetten-Pöbring</t>
  </si>
  <si>
    <t>Bergland</t>
  </si>
  <si>
    <t>Bischofstetten</t>
  </si>
  <si>
    <t>Blindenmarkt</t>
  </si>
  <si>
    <t>Dorfstetten</t>
  </si>
  <si>
    <t>Dunkelsteinerwald</t>
  </si>
  <si>
    <t>Erlauf</t>
  </si>
  <si>
    <t>Golling an der Erlauf</t>
  </si>
  <si>
    <t>Hofamt Priel</t>
  </si>
  <si>
    <t>Hürm</t>
  </si>
  <si>
    <t>Kilb</t>
  </si>
  <si>
    <t>Kirnberg an der Mank</t>
  </si>
  <si>
    <t>Klein-Pöchlarn</t>
  </si>
  <si>
    <t>Krummnußbaum</t>
  </si>
  <si>
    <t>Leiben</t>
  </si>
  <si>
    <t>Loosdorf</t>
  </si>
  <si>
    <t>Mank</t>
  </si>
  <si>
    <t>Marbach an der Donau</t>
  </si>
  <si>
    <t>Maria Taferl</t>
  </si>
  <si>
    <t>Melk</t>
  </si>
  <si>
    <t>Münichreith-Laimbach</t>
  </si>
  <si>
    <t>Neumarkt an der Ybbs</t>
  </si>
  <si>
    <t>Nöchling</t>
  </si>
  <si>
    <t>Persenbeug-Gottsdorf</t>
  </si>
  <si>
    <t>Petzenkirchen</t>
  </si>
  <si>
    <t>Pöchlarn</t>
  </si>
  <si>
    <t>Pöggstall</t>
  </si>
  <si>
    <t>Raxendorf</t>
  </si>
  <si>
    <t>Ruprechtshofen</t>
  </si>
  <si>
    <t>Schönbühel-Aggsbach</t>
  </si>
  <si>
    <t>Schollach</t>
  </si>
  <si>
    <t>Weiten</t>
  </si>
  <si>
    <t>Ybbs an der Donau</t>
  </si>
  <si>
    <t>Zelking-Matzleinsdorf</t>
  </si>
  <si>
    <t>Texingtal</t>
  </si>
  <si>
    <t>Yspertal</t>
  </si>
  <si>
    <t>Emmersdorf an der Donau</t>
  </si>
  <si>
    <t>Altlichtenwarth</t>
  </si>
  <si>
    <t>Asparn an der Zaya</t>
  </si>
  <si>
    <t>Bernhardsthal</t>
  </si>
  <si>
    <t>Bockfließ</t>
  </si>
  <si>
    <t>Drasenhofen</t>
  </si>
  <si>
    <t>Rabensburg</t>
  </si>
  <si>
    <t>Schrattenberg</t>
  </si>
  <si>
    <t>Staatz</t>
  </si>
  <si>
    <t>Stronsdorf</t>
  </si>
  <si>
    <t>Ulrichskirchen-Schleinbach</t>
  </si>
  <si>
    <t>Unterstinkenbrunn</t>
  </si>
  <si>
    <t>Wildendürnbach</t>
  </si>
  <si>
    <t>Wilfersdorf</t>
  </si>
  <si>
    <t>Wolkersdorf im Weinviertel</t>
  </si>
  <si>
    <t>Ottenthal</t>
  </si>
  <si>
    <t>Falkenstein</t>
  </si>
  <si>
    <t>Fallbach</t>
  </si>
  <si>
    <t>Gaubitsch</t>
  </si>
  <si>
    <t>Gaweinstal</t>
  </si>
  <si>
    <t>Gnadendorf</t>
  </si>
  <si>
    <t>Großebersdorf</t>
  </si>
  <si>
    <t>Großengersdorf</t>
  </si>
  <si>
    <t>Großharras</t>
  </si>
  <si>
    <t>Großkrut</t>
  </si>
  <si>
    <t>Hausbrunn</t>
  </si>
  <si>
    <t>Herrnbaumgarten</t>
  </si>
  <si>
    <t>Hochleithen</t>
  </si>
  <si>
    <t>Kreuttal</t>
  </si>
  <si>
    <t>Kreuzstetten</t>
  </si>
  <si>
    <t>Laa an der Thaya</t>
  </si>
  <si>
    <t>Ladendorf</t>
  </si>
  <si>
    <t>Mistelbach</t>
  </si>
  <si>
    <t>Neudorf bei Staatz</t>
  </si>
  <si>
    <t>Niederleis</t>
  </si>
  <si>
    <t>Pillichsdorf</t>
  </si>
  <si>
    <t>Poysdorf</t>
  </si>
  <si>
    <t>Achau</t>
  </si>
  <si>
    <t>Biedermannsdorf</t>
  </si>
  <si>
    <t>Breitenfurt bei Wien</t>
  </si>
  <si>
    <t>Brunn am Gebirge</t>
  </si>
  <si>
    <t>Gaaden</t>
  </si>
  <si>
    <t>Gießhübl</t>
  </si>
  <si>
    <t>Gumpoldskirchen</t>
  </si>
  <si>
    <t>Guntramsdorf</t>
  </si>
  <si>
    <t>Hennersdorf</t>
  </si>
  <si>
    <t>Hinterbrühl</t>
  </si>
  <si>
    <t>Kaltenleutgeben</t>
  </si>
  <si>
    <t>Laab im Walde</t>
  </si>
  <si>
    <t>Laxenburg</t>
  </si>
  <si>
    <t>Maria Enzersdorf</t>
  </si>
  <si>
    <t>Mödling</t>
  </si>
  <si>
    <t>Münchendorf</t>
  </si>
  <si>
    <t>Perchtoldsdorf</t>
  </si>
  <si>
    <t>Vösendorf</t>
  </si>
  <si>
    <t>Wiener Neudorf</t>
  </si>
  <si>
    <t>Wienerwald</t>
  </si>
  <si>
    <t>Altendorf</t>
  </si>
  <si>
    <t>Aspang-Markt</t>
  </si>
  <si>
    <t>Breitenau</t>
  </si>
  <si>
    <t>Breitenstein</t>
  </si>
  <si>
    <t>Buchbach</t>
  </si>
  <si>
    <t>Edlitz</t>
  </si>
  <si>
    <t>Enzenreith</t>
  </si>
  <si>
    <t>Feistritz am Wechsel</t>
  </si>
  <si>
    <t>Gloggnitz</t>
  </si>
  <si>
    <t>Grimmenstein</t>
  </si>
  <si>
    <t>Grünbach am Schneeberg</t>
  </si>
  <si>
    <t>Kirchberg am Wechsel</t>
  </si>
  <si>
    <t>Mönichkirchen</t>
  </si>
  <si>
    <t>Natschbach-Loipersbach</t>
  </si>
  <si>
    <t>Neunkirchen</t>
  </si>
  <si>
    <t>Otterthal</t>
  </si>
  <si>
    <t>Payerbach</t>
  </si>
  <si>
    <t>Pitten</t>
  </si>
  <si>
    <t>Prigglitz</t>
  </si>
  <si>
    <t>Puchberg am Schneeberg</t>
  </si>
  <si>
    <t>Raach am Hochgebirge</t>
  </si>
  <si>
    <t>Reichenau an der Rax</t>
  </si>
  <si>
    <t>Scheiblingkirchen-Thernberg</t>
  </si>
  <si>
    <t>Schottwien</t>
  </si>
  <si>
    <t>Schrattenbach</t>
  </si>
  <si>
    <t>Schwarzau am Steinfeld</t>
  </si>
  <si>
    <t>Schwarzau im Gebirge</t>
  </si>
  <si>
    <t>Seebenstein</t>
  </si>
  <si>
    <t>Semmering</t>
  </si>
  <si>
    <t>Ternitz</t>
  </si>
  <si>
    <t>Thomasberg</t>
  </si>
  <si>
    <t>Trattenbach</t>
  </si>
  <si>
    <t>Bürg-Vöstenhof</t>
  </si>
  <si>
    <t>Warth</t>
  </si>
  <si>
    <t>Wartmannstetten</t>
  </si>
  <si>
    <t>Willendorf</t>
  </si>
  <si>
    <t>Wimpassing im Schwarzatale</t>
  </si>
  <si>
    <t>Würflach</t>
  </si>
  <si>
    <t>Zöbern</t>
  </si>
  <si>
    <t>Höflein an der Hohen Wand</t>
  </si>
  <si>
    <t>Altlengbach</t>
  </si>
  <si>
    <t>Asperhofen</t>
  </si>
  <si>
    <t>Böheimkirchen</t>
  </si>
  <si>
    <t>Brand-Laaben</t>
  </si>
  <si>
    <t>Eichgraben</t>
  </si>
  <si>
    <t>Frankenfels</t>
  </si>
  <si>
    <t>Gerersdorf</t>
  </si>
  <si>
    <t>Hofstetten-Grünau</t>
  </si>
  <si>
    <t>Hafnerbach</t>
  </si>
  <si>
    <t>Haunoldstein</t>
  </si>
  <si>
    <t>Herzogenburg</t>
  </si>
  <si>
    <t>Inzersdorf-Getzersdorf</t>
  </si>
  <si>
    <t>Kapelln</t>
  </si>
  <si>
    <t>Karlstetten</t>
  </si>
  <si>
    <t>Kasten bei Böheimkirchen</t>
  </si>
  <si>
    <t>Kirchberg an der Pielach</t>
  </si>
  <si>
    <t>Kirchstetten</t>
  </si>
  <si>
    <t>Loich</t>
  </si>
  <si>
    <t>Maria-Anzbach</t>
  </si>
  <si>
    <t>Markersdorf-Haindorf</t>
  </si>
  <si>
    <t>Michelbach</t>
  </si>
  <si>
    <t>Neidling</t>
  </si>
  <si>
    <t>Neulengbach</t>
  </si>
  <si>
    <t>Neustift-Innermanzing</t>
  </si>
  <si>
    <t>Nußdorf ob der Traisen</t>
  </si>
  <si>
    <t>Ober-Grafendorf</t>
  </si>
  <si>
    <t>Obritzberg-Rust</t>
  </si>
  <si>
    <t>Prinzersdorf</t>
  </si>
  <si>
    <t>Pyhra</t>
  </si>
  <si>
    <t>Rabenstein an der Pielach</t>
  </si>
  <si>
    <t>Schwarzenbach an der Pielach</t>
  </si>
  <si>
    <t>Statzendorf</t>
  </si>
  <si>
    <t>Stössing</t>
  </si>
  <si>
    <t>Traismauer</t>
  </si>
  <si>
    <t>Weinburg</t>
  </si>
  <si>
    <t>Wilhelmsburg</t>
  </si>
  <si>
    <t>Wölbling</t>
  </si>
  <si>
    <t>Gablitz</t>
  </si>
  <si>
    <t>Mauerbach</t>
  </si>
  <si>
    <t>Pressbaum</t>
  </si>
  <si>
    <t>Purkersdorf</t>
  </si>
  <si>
    <t>Tullnerbach</t>
  </si>
  <si>
    <t>Wolfsgraben</t>
  </si>
  <si>
    <t>Gaming</t>
  </si>
  <si>
    <t>Göstling an der Ybbs</t>
  </si>
  <si>
    <t>Gresten</t>
  </si>
  <si>
    <t>Gresten-Land</t>
  </si>
  <si>
    <t>Lunz am See</t>
  </si>
  <si>
    <t>Oberndorf an der Melk</t>
  </si>
  <si>
    <t>Puchenstuben</t>
  </si>
  <si>
    <t>Purgstall an der Erlauf</t>
  </si>
  <si>
    <t>Randegg</t>
  </si>
  <si>
    <t>Reinsberg</t>
  </si>
  <si>
    <t>Scheibbs</t>
  </si>
  <si>
    <t>Steinakirchen am Forst</t>
  </si>
  <si>
    <t>Wang</t>
  </si>
  <si>
    <t>Wieselburg</t>
  </si>
  <si>
    <t>Wieselburg-Land</t>
  </si>
  <si>
    <t>Wolfpassing</t>
  </si>
  <si>
    <t>Absdorf</t>
  </si>
  <si>
    <t>Atzenbrugg</t>
  </si>
  <si>
    <t>Fels am Wagram</t>
  </si>
  <si>
    <t>Grafenwörth</t>
  </si>
  <si>
    <t>Großriedenthal</t>
  </si>
  <si>
    <t>Großweikersdorf</t>
  </si>
  <si>
    <t>Judenau-Baumgarten</t>
  </si>
  <si>
    <t>Kirchberg am Wagram</t>
  </si>
  <si>
    <t>Königsbrunn am Wagram</t>
  </si>
  <si>
    <t>Königstetten</t>
  </si>
  <si>
    <t>Langenrohr</t>
  </si>
  <si>
    <t>Michelhausen</t>
  </si>
  <si>
    <t>Sieghartskirchen</t>
  </si>
  <si>
    <t>Sitzenberg-Reidling</t>
  </si>
  <si>
    <t>Tulbing</t>
  </si>
  <si>
    <t>Tulln an der Donau</t>
  </si>
  <si>
    <t>Würmla</t>
  </si>
  <si>
    <t>Zeiselmauer-Wolfpassing</t>
  </si>
  <si>
    <t>Zwentendorf an der Donau</t>
  </si>
  <si>
    <t>Muckendorf-Wipfing</t>
  </si>
  <si>
    <t>Klosterneuburg</t>
  </si>
  <si>
    <t>Dietmanns</t>
  </si>
  <si>
    <t>Dobersberg</t>
  </si>
  <si>
    <t>Gastern</t>
  </si>
  <si>
    <t>Groß-Siegharts</t>
  </si>
  <si>
    <t>Karlstein an der Thaya</t>
  </si>
  <si>
    <t>Kautzen</t>
  </si>
  <si>
    <t>Ludweis-Aigen</t>
  </si>
  <si>
    <t>Raabs an der Thaya</t>
  </si>
  <si>
    <t>Thaya</t>
  </si>
  <si>
    <t>Vitis</t>
  </si>
  <si>
    <t>Waidhofen an der Thaya</t>
  </si>
  <si>
    <t>Waidhofen an der Thaya-Land</t>
  </si>
  <si>
    <t>Waldkirchen an der Thaya</t>
  </si>
  <si>
    <t>Windigsteig</t>
  </si>
  <si>
    <t>Bad Fischau-Brunn</t>
  </si>
  <si>
    <t>Bad Schönau</t>
  </si>
  <si>
    <t>Ebenfurth</t>
  </si>
  <si>
    <t>Eggendorf</t>
  </si>
  <si>
    <t>Bad Erlach</t>
  </si>
  <si>
    <t>Felixdorf</t>
  </si>
  <si>
    <t>Gutenstein</t>
  </si>
  <si>
    <t>Hochneukirchen-Gschaidt</t>
  </si>
  <si>
    <t>Hochwolkersdorf</t>
  </si>
  <si>
    <t>Hohe Wand</t>
  </si>
  <si>
    <t>Hollenthon</t>
  </si>
  <si>
    <t>Katzelsdorf</t>
  </si>
  <si>
    <t>Kirchschlag in der Buckligen Welt</t>
  </si>
  <si>
    <t>Krumbach</t>
  </si>
  <si>
    <t>Lanzenkirchen</t>
  </si>
  <si>
    <t>Lichtenegg</t>
  </si>
  <si>
    <t>Lichtenwörth</t>
  </si>
  <si>
    <t>Markt Piesting</t>
  </si>
  <si>
    <t>Matzendorf-Hölles</t>
  </si>
  <si>
    <t>Miesenbach</t>
  </si>
  <si>
    <t>Muggendorf</t>
  </si>
  <si>
    <t>Pernitz</t>
  </si>
  <si>
    <t>Rohr im Gebirge</t>
  </si>
  <si>
    <t>Bromberg</t>
  </si>
  <si>
    <t>Schwarzenbach</t>
  </si>
  <si>
    <t>Sollenau</t>
  </si>
  <si>
    <t>Theresienfeld</t>
  </si>
  <si>
    <t>Waidmannsfeld</t>
  </si>
  <si>
    <t>Waldegg</t>
  </si>
  <si>
    <t>Walpersbach</t>
  </si>
  <si>
    <t>Weikersdorf am Steinfelde</t>
  </si>
  <si>
    <t>Wiesmath</t>
  </si>
  <si>
    <t>Winzendorf-Muthmannsdorf</t>
  </si>
  <si>
    <t>Wöllersdorf-Steinabrückl</t>
  </si>
  <si>
    <t>Zillingdorf</t>
  </si>
  <si>
    <t>Allentsteig</t>
  </si>
  <si>
    <t>Arbesbach</t>
  </si>
  <si>
    <t>Bärnkopf</t>
  </si>
  <si>
    <t>Echsenbach</t>
  </si>
  <si>
    <t>Göpfritz an der Wild</t>
  </si>
  <si>
    <t>Grafenschlag</t>
  </si>
  <si>
    <t>Groß Gerungs</t>
  </si>
  <si>
    <t>Großgöttfritz</t>
  </si>
  <si>
    <t>Gutenbrunn</t>
  </si>
  <si>
    <t>Kirchschlag</t>
  </si>
  <si>
    <t>Kottes-Purk</t>
  </si>
  <si>
    <t>Langschlag</t>
  </si>
  <si>
    <t>Martinsberg</t>
  </si>
  <si>
    <t>Ottenschlag</t>
  </si>
  <si>
    <t>Altmelon</t>
  </si>
  <si>
    <t>Pölla</t>
  </si>
  <si>
    <t>Rappottenstein</t>
  </si>
  <si>
    <t>Sallingberg</t>
  </si>
  <si>
    <t>Schönbach</t>
  </si>
  <si>
    <t>Schwarzenau</t>
  </si>
  <si>
    <t>Schweiggers</t>
  </si>
  <si>
    <t>Bad Traunstein</t>
  </si>
  <si>
    <t>Waldhausen</t>
  </si>
  <si>
    <t>Zwettl-Niederösterreich</t>
  </si>
  <si>
    <t>Oberösterreich</t>
  </si>
  <si>
    <t>Linz</t>
  </si>
  <si>
    <t>Steyr</t>
  </si>
  <si>
    <t>Wels</t>
  </si>
  <si>
    <t>Altheim</t>
  </si>
  <si>
    <t>Aspach</t>
  </si>
  <si>
    <t>Auerbach</t>
  </si>
  <si>
    <t>Braunau am Inn</t>
  </si>
  <si>
    <t>Burgkirchen</t>
  </si>
  <si>
    <t>Eggelsberg</t>
  </si>
  <si>
    <t>Feldkirchen bei Mattighofen</t>
  </si>
  <si>
    <t>Franking</t>
  </si>
  <si>
    <t>Geretsberg</t>
  </si>
  <si>
    <t>Gilgenberg am Weilhart</t>
  </si>
  <si>
    <t>Haigermoos</t>
  </si>
  <si>
    <t>Handenberg</t>
  </si>
  <si>
    <t>Helpfau-Uttendorf</t>
  </si>
  <si>
    <t>Hochburg-Ach</t>
  </si>
  <si>
    <t>Höhnhart</t>
  </si>
  <si>
    <t>Jeging</t>
  </si>
  <si>
    <t>Kirchberg bei Mattighofen</t>
  </si>
  <si>
    <t>Lengau</t>
  </si>
  <si>
    <t>Lochen am See</t>
  </si>
  <si>
    <t>Maria Schmolln</t>
  </si>
  <si>
    <t>Mattighofen</t>
  </si>
  <si>
    <t>Mauerkirchen</t>
  </si>
  <si>
    <t>Mining</t>
  </si>
  <si>
    <t>Moosbach</t>
  </si>
  <si>
    <t>Moosdorf</t>
  </si>
  <si>
    <t>Munderfing</t>
  </si>
  <si>
    <t>Neukirchen an der Enknach</t>
  </si>
  <si>
    <t>Ostermiething</t>
  </si>
  <si>
    <t>Palting</t>
  </si>
  <si>
    <t>Perwang am Grabensee</t>
  </si>
  <si>
    <t>Pfaffstätt</t>
  </si>
  <si>
    <t>Pischelsdorf am Engelbach</t>
  </si>
  <si>
    <t>Polling im Innkreis</t>
  </si>
  <si>
    <t>Roßbach</t>
  </si>
  <si>
    <t>Schalchen</t>
  </si>
  <si>
    <t>Schwand im Innkreis</t>
  </si>
  <si>
    <t>Tarsdorf</t>
  </si>
  <si>
    <t>Treubach</t>
  </si>
  <si>
    <t>Überackern</t>
  </si>
  <si>
    <t>Weng im Innkreis</t>
  </si>
  <si>
    <t>Alkoven</t>
  </si>
  <si>
    <t>Aschach an der Donau</t>
  </si>
  <si>
    <t>Eferding</t>
  </si>
  <si>
    <t>Fraham</t>
  </si>
  <si>
    <t>Haibach ob der Donau</t>
  </si>
  <si>
    <t>Hartkirchen</t>
  </si>
  <si>
    <t>Hinzenbach</t>
  </si>
  <si>
    <t>Prambachkirchen</t>
  </si>
  <si>
    <t>Pupping</t>
  </si>
  <si>
    <t>Scharten</t>
  </si>
  <si>
    <t>Stroheim</t>
  </si>
  <si>
    <t>Freistadt</t>
  </si>
  <si>
    <t>Grünbach</t>
  </si>
  <si>
    <t>Gutau</t>
  </si>
  <si>
    <t>Hagenberg im Mühlkreis</t>
  </si>
  <si>
    <t>Hirschbach im Mühlkreis</t>
  </si>
  <si>
    <t>Kaltenberg</t>
  </si>
  <si>
    <t>Kefermarkt</t>
  </si>
  <si>
    <t>Königswiesen</t>
  </si>
  <si>
    <t>Lasberg</t>
  </si>
  <si>
    <t>Leopoldschlag</t>
  </si>
  <si>
    <t>Liebenau</t>
  </si>
  <si>
    <t>Neumarkt im Mühlkreis</t>
  </si>
  <si>
    <t>Pierbach</t>
  </si>
  <si>
    <t>Pregarten</t>
  </si>
  <si>
    <t>Rainbach im Mühlkreis</t>
  </si>
  <si>
    <t>Sandl</t>
  </si>
  <si>
    <t>Schönau im Mühlkreis</t>
  </si>
  <si>
    <t>Tragwein</t>
  </si>
  <si>
    <t>Unterweißenbach</t>
  </si>
  <si>
    <t>Unterweitersdorf</t>
  </si>
  <si>
    <t>Waldburg</t>
  </si>
  <si>
    <t>Wartberg ob der Aist</t>
  </si>
  <si>
    <t>Weitersfelden</t>
  </si>
  <si>
    <t>Windhaag bei Freistadt</t>
  </si>
  <si>
    <t>Bad Zell</t>
  </si>
  <si>
    <t>Altmünster</t>
  </si>
  <si>
    <t>Bad Goisern am Hallstättersee</t>
  </si>
  <si>
    <t>Bad Ischl</t>
  </si>
  <si>
    <t>Ebensee</t>
  </si>
  <si>
    <t>Gmunden</t>
  </si>
  <si>
    <t>Gosau</t>
  </si>
  <si>
    <t>Grünau im Almtal</t>
  </si>
  <si>
    <t>Gschwandt</t>
  </si>
  <si>
    <t>Hallstatt</t>
  </si>
  <si>
    <t>Kirchham</t>
  </si>
  <si>
    <t>Laakirchen</t>
  </si>
  <si>
    <t>Obertraun</t>
  </si>
  <si>
    <t>Ohlsdorf</t>
  </si>
  <si>
    <t>Pinsdorf</t>
  </si>
  <si>
    <t>Roitham</t>
  </si>
  <si>
    <t>Traunkirchen</t>
  </si>
  <si>
    <t>Scharnstein</t>
  </si>
  <si>
    <t>Vorchdorf</t>
  </si>
  <si>
    <t>Aistersheim</t>
  </si>
  <si>
    <t>Bad Schallerbach</t>
  </si>
  <si>
    <t>Bruck-Waasen</t>
  </si>
  <si>
    <t>Eschenau im Hausruckkreis</t>
  </si>
  <si>
    <t>Gallspach</t>
  </si>
  <si>
    <t>Gaspoltshofen</t>
  </si>
  <si>
    <t>Geboltskirchen</t>
  </si>
  <si>
    <t>Grieskirchen</t>
  </si>
  <si>
    <t>Haag am Hausruck</t>
  </si>
  <si>
    <t>Heiligenberg</t>
  </si>
  <si>
    <t>Hofkirchen an der Trattnach</t>
  </si>
  <si>
    <t>Kallham</t>
  </si>
  <si>
    <t>Kematen am Innbach</t>
  </si>
  <si>
    <t>Meggenhofen</t>
  </si>
  <si>
    <t>Michaelnbach</t>
  </si>
  <si>
    <t>Natternbach</t>
  </si>
  <si>
    <t>Neukirchen am Walde</t>
  </si>
  <si>
    <t>Neumarkt im Hausruckkreis</t>
  </si>
  <si>
    <t>Peuerbach</t>
  </si>
  <si>
    <t>Pötting</t>
  </si>
  <si>
    <t>Pollham</t>
  </si>
  <si>
    <t>Pram</t>
  </si>
  <si>
    <t>Rottenbach</t>
  </si>
  <si>
    <t>Schlüßlberg</t>
  </si>
  <si>
    <t>Steegen</t>
  </si>
  <si>
    <t>Taufkirchen an der Trattnach</t>
  </si>
  <si>
    <t>Tollet</t>
  </si>
  <si>
    <t>Waizenkirchen</t>
  </si>
  <si>
    <t>Wallern an der Trattnach</t>
  </si>
  <si>
    <t>Weibern</t>
  </si>
  <si>
    <t>Wendling</t>
  </si>
  <si>
    <t>Edlbach</t>
  </si>
  <si>
    <t>Grünburg</t>
  </si>
  <si>
    <t>Hinterstoder</t>
  </si>
  <si>
    <t>Inzersdorf im Kremstal</t>
  </si>
  <si>
    <t>Kirchdorf an der Krems</t>
  </si>
  <si>
    <t>Klaus an der Pyhrnbahn</t>
  </si>
  <si>
    <t>Kremsmünster</t>
  </si>
  <si>
    <t>Micheldorf in Oberösterreich</t>
  </si>
  <si>
    <t>Molln</t>
  </si>
  <si>
    <t>Nußbach</t>
  </si>
  <si>
    <t>Oberschlierbach</t>
  </si>
  <si>
    <t>Pettenbach</t>
  </si>
  <si>
    <t>Ried im Traunkreis</t>
  </si>
  <si>
    <t>Rosenau am Hengstpaß</t>
  </si>
  <si>
    <t>Roßleithen</t>
  </si>
  <si>
    <t>Schlierbach</t>
  </si>
  <si>
    <t>Spital am Pyhrn</t>
  </si>
  <si>
    <t>Steinbach am Ziehberg</t>
  </si>
  <si>
    <t>Steinbach an der Steyr</t>
  </si>
  <si>
    <t>Vorderstoder</t>
  </si>
  <si>
    <t>Wartberg an der Krems</t>
  </si>
  <si>
    <t>Windischgarsten</t>
  </si>
  <si>
    <t>Allhaming</t>
  </si>
  <si>
    <t>Ansfelden</t>
  </si>
  <si>
    <t>Asten</t>
  </si>
  <si>
    <t>Eggendorf im Traunkreis</t>
  </si>
  <si>
    <t>Enns</t>
  </si>
  <si>
    <t>Hargelsberg</t>
  </si>
  <si>
    <t>Hörsching</t>
  </si>
  <si>
    <t>Hofkirchen im Traunkreis</t>
  </si>
  <si>
    <t>Kematen an der Krems</t>
  </si>
  <si>
    <t>Kirchberg-Thening</t>
  </si>
  <si>
    <t>Kronstorf</t>
  </si>
  <si>
    <t>Leonding</t>
  </si>
  <si>
    <t>Neuhofen an der Krems</t>
  </si>
  <si>
    <t>Niederneukirchen</t>
  </si>
  <si>
    <t>Oftering</t>
  </si>
  <si>
    <t>Pasching</t>
  </si>
  <si>
    <t>Piberbach</t>
  </si>
  <si>
    <t>Pucking</t>
  </si>
  <si>
    <t>Traun</t>
  </si>
  <si>
    <t>Wilhering</t>
  </si>
  <si>
    <t>Allerheiligen im Mühlkreis</t>
  </si>
  <si>
    <t>Arbing</t>
  </si>
  <si>
    <t>Baumgartenberg</t>
  </si>
  <si>
    <t>Dimbach</t>
  </si>
  <si>
    <t>Grein</t>
  </si>
  <si>
    <t>Katsdorf</t>
  </si>
  <si>
    <t>Klam</t>
  </si>
  <si>
    <t>Bad Kreuzen</t>
  </si>
  <si>
    <t>Langenstein</t>
  </si>
  <si>
    <t>Luftenberg an der Donau</t>
  </si>
  <si>
    <t>Mauthausen</t>
  </si>
  <si>
    <t>Mitterkirchen im Machland</t>
  </si>
  <si>
    <t>Münzbach</t>
  </si>
  <si>
    <t>Naarn im Machlande</t>
  </si>
  <si>
    <t>Pabneukirchen</t>
  </si>
  <si>
    <t>Perg</t>
  </si>
  <si>
    <t>Rechberg</t>
  </si>
  <si>
    <t>Ried in der Riedmark</t>
  </si>
  <si>
    <t>Saxen</t>
  </si>
  <si>
    <t>Schwertberg</t>
  </si>
  <si>
    <t>Waldhausen im Strudengau</t>
  </si>
  <si>
    <t>Windhaag bei Perg</t>
  </si>
  <si>
    <t>Andrichsfurt</t>
  </si>
  <si>
    <t>Antiesenhofen</t>
  </si>
  <si>
    <t>Aurolzmünster</t>
  </si>
  <si>
    <t>Eberschwang</t>
  </si>
  <si>
    <t>Eitzing</t>
  </si>
  <si>
    <t>Geiersberg</t>
  </si>
  <si>
    <t>Geinberg</t>
  </si>
  <si>
    <t>Gurten</t>
  </si>
  <si>
    <t>Hohenzell</t>
  </si>
  <si>
    <t>Kirchdorf am Inn</t>
  </si>
  <si>
    <t>Kirchheim im Innkreis</t>
  </si>
  <si>
    <t>Lambrechten</t>
  </si>
  <si>
    <t>Lohnsburg am Kobernaußerwald</t>
  </si>
  <si>
    <t>Mehrnbach</t>
  </si>
  <si>
    <t>Mettmach</t>
  </si>
  <si>
    <t>Mörschwang</t>
  </si>
  <si>
    <t>Mühlheim am Inn</t>
  </si>
  <si>
    <t>Neuhofen im Innkreis</t>
  </si>
  <si>
    <t>Obernberg am Inn</t>
  </si>
  <si>
    <t>Ort im Innkreis</t>
  </si>
  <si>
    <t>Pattigham</t>
  </si>
  <si>
    <t>Peterskirchen</t>
  </si>
  <si>
    <t>Pramet</t>
  </si>
  <si>
    <t>Reichersberg</t>
  </si>
  <si>
    <t>Ried im Innkreis</t>
  </si>
  <si>
    <t>Schildorn</t>
  </si>
  <si>
    <t>Senftenbach</t>
  </si>
  <si>
    <t>Taiskirchen im Innkreis</t>
  </si>
  <si>
    <t>Tumeltsham</t>
  </si>
  <si>
    <t>Utzenaich</t>
  </si>
  <si>
    <t>Waldzell</t>
  </si>
  <si>
    <t>Weilbach</t>
  </si>
  <si>
    <t>Wippenham</t>
  </si>
  <si>
    <t>Afiesl</t>
  </si>
  <si>
    <t>Ahorn</t>
  </si>
  <si>
    <t>Altenfelden</t>
  </si>
  <si>
    <t>Arnreit</t>
  </si>
  <si>
    <t>Atzesberg</t>
  </si>
  <si>
    <t>Auberg</t>
  </si>
  <si>
    <t>Haslach an der Mühl</t>
  </si>
  <si>
    <t>Helfenberg</t>
  </si>
  <si>
    <t>Hörbich</t>
  </si>
  <si>
    <t>Hofkirchen im Mühlkreis</t>
  </si>
  <si>
    <t>Julbach</t>
  </si>
  <si>
    <t>Kirchberg ob der Donau</t>
  </si>
  <si>
    <t>Klaffer am Hochficht</t>
  </si>
  <si>
    <t>Kleinzell im Mühlkreis</t>
  </si>
  <si>
    <t>Kollerschlag</t>
  </si>
  <si>
    <t>Lembach im Mühlkreis</t>
  </si>
  <si>
    <t>Lichtenau im Mühlkreis</t>
  </si>
  <si>
    <t>Nebelberg</t>
  </si>
  <si>
    <t>Neufelden</t>
  </si>
  <si>
    <t>Niederkappel</t>
  </si>
  <si>
    <t>Niederwaldkirchen</t>
  </si>
  <si>
    <t>Oberkappel</t>
  </si>
  <si>
    <t>Oepping</t>
  </si>
  <si>
    <t>Peilstein im Mühlviertel</t>
  </si>
  <si>
    <t>Pfarrkirchen im Mühlkreis</t>
  </si>
  <si>
    <t>Putzleinsdorf</t>
  </si>
  <si>
    <t>Neustift im Mühlkreis</t>
  </si>
  <si>
    <t>Sarleinsbach</t>
  </si>
  <si>
    <t>Schönegg</t>
  </si>
  <si>
    <t>Schwarzenberg am Böhmerwald</t>
  </si>
  <si>
    <t>Ulrichsberg</t>
  </si>
  <si>
    <t>Aigen-Schlägl</t>
  </si>
  <si>
    <t>Rohrbach-Berg</t>
  </si>
  <si>
    <t>Altschwendt</t>
  </si>
  <si>
    <t>Andorf</t>
  </si>
  <si>
    <t>Brunnenthal</t>
  </si>
  <si>
    <t>Diersbach</t>
  </si>
  <si>
    <t>Dorf an der Pram</t>
  </si>
  <si>
    <t>Eggerding</t>
  </si>
  <si>
    <t>Engelhartszell</t>
  </si>
  <si>
    <t>Enzenkirchen</t>
  </si>
  <si>
    <t>Esternberg</t>
  </si>
  <si>
    <t>Freinberg</t>
  </si>
  <si>
    <t>Kopfing im Innkreis</t>
  </si>
  <si>
    <t>Mayrhof</t>
  </si>
  <si>
    <t>Münzkirchen</t>
  </si>
  <si>
    <t>Raab</t>
  </si>
  <si>
    <t>Rainbach im Innkreis</t>
  </si>
  <si>
    <t>Riedau</t>
  </si>
  <si>
    <t>Schärding</t>
  </si>
  <si>
    <t>Schardenberg</t>
  </si>
  <si>
    <t>Sigharting</t>
  </si>
  <si>
    <t>Suben</t>
  </si>
  <si>
    <t>Taufkirchen an der Pram</t>
  </si>
  <si>
    <t>Vichtenstein</t>
  </si>
  <si>
    <t>Waldkirchen am Wesen</t>
  </si>
  <si>
    <t>Wernstein am Inn</t>
  </si>
  <si>
    <t>Zell an der Pram</t>
  </si>
  <si>
    <t>Adlwang</t>
  </si>
  <si>
    <t>Aschach an der Steyr</t>
  </si>
  <si>
    <t>Bad Hall</t>
  </si>
  <si>
    <t>Dietach</t>
  </si>
  <si>
    <t>Gaflenz</t>
  </si>
  <si>
    <t>Garsten</t>
  </si>
  <si>
    <t>Großraming</t>
  </si>
  <si>
    <t>Laussa</t>
  </si>
  <si>
    <t>Losenstein</t>
  </si>
  <si>
    <t>Maria Neustift</t>
  </si>
  <si>
    <t>Pfarrkirchen bei Bad Hall</t>
  </si>
  <si>
    <t>Reichraming</t>
  </si>
  <si>
    <t>Rohr im Kremstal</t>
  </si>
  <si>
    <t>Schiedlberg</t>
  </si>
  <si>
    <t>Sierning</t>
  </si>
  <si>
    <t>Ternberg</t>
  </si>
  <si>
    <t>Waldneukirchen</t>
  </si>
  <si>
    <t>Wolfern</t>
  </si>
  <si>
    <t>Weyer</t>
  </si>
  <si>
    <t>Alberndorf in der Riedmark</t>
  </si>
  <si>
    <t>Altenberg bei Linz</t>
  </si>
  <si>
    <t>Bad Leonfelden</t>
  </si>
  <si>
    <t>Eidenberg</t>
  </si>
  <si>
    <t>Engerwitzdorf</t>
  </si>
  <si>
    <t>Feldkirchen an der Donau</t>
  </si>
  <si>
    <t>Gallneukirchen</t>
  </si>
  <si>
    <t>Goldwörth</t>
  </si>
  <si>
    <t>Gramastetten</t>
  </si>
  <si>
    <t>Haibach im Mühlkreis</t>
  </si>
  <si>
    <t>Hellmonsödt</t>
  </si>
  <si>
    <t>Herzogsdorf</t>
  </si>
  <si>
    <t>Kirchschlag bei Linz</t>
  </si>
  <si>
    <t>Lichtenberg</t>
  </si>
  <si>
    <t>Oberneukirchen</t>
  </si>
  <si>
    <t>Ottenschlag im Mühlkreis</t>
  </si>
  <si>
    <t>Ottensheim</t>
  </si>
  <si>
    <t>Puchenau</t>
  </si>
  <si>
    <t>Reichenau im Mühlkreis</t>
  </si>
  <si>
    <t>Reichenthal</t>
  </si>
  <si>
    <t>Schenkenfelden</t>
  </si>
  <si>
    <t>Sonnberg im Mühlkreis</t>
  </si>
  <si>
    <t>Steyregg</t>
  </si>
  <si>
    <t>Vorderweißenbach</t>
  </si>
  <si>
    <t>Walding</t>
  </si>
  <si>
    <t>Zwettl an der Rodl</t>
  </si>
  <si>
    <t>Ampflwang im Hausruckwald</t>
  </si>
  <si>
    <t>Attersee am Attersee</t>
  </si>
  <si>
    <t>Attnang-Puchheim</t>
  </si>
  <si>
    <t>Atzbach</t>
  </si>
  <si>
    <t>Aurach am Hongar</t>
  </si>
  <si>
    <t>Berg im Attergau</t>
  </si>
  <si>
    <t>Desselbrunn</t>
  </si>
  <si>
    <t>Fornach</t>
  </si>
  <si>
    <t>Frankenburg am Hausruck</t>
  </si>
  <si>
    <t>Frankenmarkt</t>
  </si>
  <si>
    <t>Gampern</t>
  </si>
  <si>
    <t>Innerschwand am Mondsee</t>
  </si>
  <si>
    <t>Lenzing</t>
  </si>
  <si>
    <t>Manning</t>
  </si>
  <si>
    <t>Mondsee</t>
  </si>
  <si>
    <t>Neukirchen an der Vöckla</t>
  </si>
  <si>
    <t>Niederthalheim</t>
  </si>
  <si>
    <t>Nußdorf am Attersee</t>
  </si>
  <si>
    <t>Oberhofen am Irrsee</t>
  </si>
  <si>
    <t>Oberndorf bei Schwanenstadt</t>
  </si>
  <si>
    <t>Oberwang</t>
  </si>
  <si>
    <t>Ottnang am Hausruck</t>
  </si>
  <si>
    <t>Pfaffing</t>
  </si>
  <si>
    <t>Pilsbach</t>
  </si>
  <si>
    <t>Pitzenberg</t>
  </si>
  <si>
    <t>Pöndorf</t>
  </si>
  <si>
    <t>Puchkirchen am Trattberg</t>
  </si>
  <si>
    <t>Pühret</t>
  </si>
  <si>
    <t>Redleiten</t>
  </si>
  <si>
    <t>Redlham</t>
  </si>
  <si>
    <t>Regau</t>
  </si>
  <si>
    <t>Rüstorf</t>
  </si>
  <si>
    <t>Rutzenham</t>
  </si>
  <si>
    <t>Schlatt</t>
  </si>
  <si>
    <t>Schörfling am Attersee</t>
  </si>
  <si>
    <t>Schwanenstadt</t>
  </si>
  <si>
    <t>Seewalchen am Attersee</t>
  </si>
  <si>
    <t>Steinbach am Attersee</t>
  </si>
  <si>
    <t>Straß im Attergau</t>
  </si>
  <si>
    <t>Tiefgraben</t>
  </si>
  <si>
    <t>Timelkam</t>
  </si>
  <si>
    <t>Ungenach</t>
  </si>
  <si>
    <t>Unterach am Attersee</t>
  </si>
  <si>
    <t>Vöcklabruck</t>
  </si>
  <si>
    <t>Vöcklamarkt</t>
  </si>
  <si>
    <t>Weißenkirchen im Attergau</t>
  </si>
  <si>
    <t>Weyregg am Attersee</t>
  </si>
  <si>
    <t>Wolfsegg am Hausruck</t>
  </si>
  <si>
    <t>Zell am Moos</t>
  </si>
  <si>
    <t>Zell am Pettenfirst</t>
  </si>
  <si>
    <t>Aichkirchen</t>
  </si>
  <si>
    <t>Bachmanning</t>
  </si>
  <si>
    <t>Bad Wimsbach-Neydharting</t>
  </si>
  <si>
    <t>Buchkirchen</t>
  </si>
  <si>
    <t>Eberstalzell</t>
  </si>
  <si>
    <t>Edt bei Lambach</t>
  </si>
  <si>
    <t>Fischlham</t>
  </si>
  <si>
    <t>Gunskirchen</t>
  </si>
  <si>
    <t>Holzhausen</t>
  </si>
  <si>
    <t>Krenglbach</t>
  </si>
  <si>
    <t>Lambach</t>
  </si>
  <si>
    <t>Marchtrenk</t>
  </si>
  <si>
    <t>Neukirchen bei Lambach</t>
  </si>
  <si>
    <t>Offenhausen</t>
  </si>
  <si>
    <t>Pennewang</t>
  </si>
  <si>
    <t>Pichl bei Wels</t>
  </si>
  <si>
    <t>Sattledt</t>
  </si>
  <si>
    <t>Schleißheim</t>
  </si>
  <si>
    <t>Sipbachzell</t>
  </si>
  <si>
    <t>Stadl-Paura</t>
  </si>
  <si>
    <t>Steinerkirchen an der Traun</t>
  </si>
  <si>
    <t>Steinhaus</t>
  </si>
  <si>
    <t>Thalheim bei Wels</t>
  </si>
  <si>
    <t>Weißkirchen an der Traun</t>
  </si>
  <si>
    <t>Salzburg</t>
  </si>
  <si>
    <t>Abtenau</t>
  </si>
  <si>
    <t>Adnet</t>
  </si>
  <si>
    <t>Annaberg-Lungötz</t>
  </si>
  <si>
    <t>Golling an der Salzach</t>
  </si>
  <si>
    <t>Hallein</t>
  </si>
  <si>
    <t>Krispl</t>
  </si>
  <si>
    <t>Kuchl</t>
  </si>
  <si>
    <t>Oberalm</t>
  </si>
  <si>
    <t>Puch bei Hallein</t>
  </si>
  <si>
    <t>Rußbach am Paß Gschütt</t>
  </si>
  <si>
    <t>Sankt Koloman</t>
  </si>
  <si>
    <t>Scheffau am Tennengebirge</t>
  </si>
  <si>
    <t>Bad Vigaun</t>
  </si>
  <si>
    <t>Anif</t>
  </si>
  <si>
    <t>Anthering</t>
  </si>
  <si>
    <t>Bergheim</t>
  </si>
  <si>
    <t>Berndorf bei Salzburg</t>
  </si>
  <si>
    <t>Bürmoos</t>
  </si>
  <si>
    <t>Dorfbeuern</t>
  </si>
  <si>
    <t>Ebenau</t>
  </si>
  <si>
    <t>Elixhausen</t>
  </si>
  <si>
    <t>Elsbethen</t>
  </si>
  <si>
    <t>Eugendorf</t>
  </si>
  <si>
    <t>Faistenau</t>
  </si>
  <si>
    <t>Fuschl am See</t>
  </si>
  <si>
    <t>Göming</t>
  </si>
  <si>
    <t>Grödig</t>
  </si>
  <si>
    <t>Großgmain</t>
  </si>
  <si>
    <t>Hallwang</t>
  </si>
  <si>
    <t>Henndorf am Wallersee</t>
  </si>
  <si>
    <t>Hintersee</t>
  </si>
  <si>
    <t>Hof bei Salzburg</t>
  </si>
  <si>
    <t>Köstendorf</t>
  </si>
  <si>
    <t>Koppl</t>
  </si>
  <si>
    <t>Lamprechtshausen</t>
  </si>
  <si>
    <t>Mattsee</t>
  </si>
  <si>
    <t>Neumarkt am Wallersee</t>
  </si>
  <si>
    <t>Nußdorf am Haunsberg</t>
  </si>
  <si>
    <t>Oberndorf bei Salzburg</t>
  </si>
  <si>
    <t>Obertrum am See</t>
  </si>
  <si>
    <t>Plainfeld</t>
  </si>
  <si>
    <t>Sankt Georgen bei Salzburg</t>
  </si>
  <si>
    <t>Sankt Gilgen</t>
  </si>
  <si>
    <t>Schleedorf</t>
  </si>
  <si>
    <t>Seeham</t>
  </si>
  <si>
    <t>Straßwalchen</t>
  </si>
  <si>
    <t>Strobl</t>
  </si>
  <si>
    <t>Thalgau</t>
  </si>
  <si>
    <t>Wals-Siezenheim</t>
  </si>
  <si>
    <t>Seekirchen am Wallersee</t>
  </si>
  <si>
    <t>Altenmarkt im Pongau</t>
  </si>
  <si>
    <t>Bad Hofgastein</t>
  </si>
  <si>
    <t>Bad Gastein</t>
  </si>
  <si>
    <t>Bischofshofen</t>
  </si>
  <si>
    <t>Dorfgastein</t>
  </si>
  <si>
    <t>Eben im Pongau</t>
  </si>
  <si>
    <t>Filzmoos</t>
  </si>
  <si>
    <t>Flachau</t>
  </si>
  <si>
    <t>Forstau</t>
  </si>
  <si>
    <t>Goldegg</t>
  </si>
  <si>
    <t>Großarl</t>
  </si>
  <si>
    <t>Hüttau</t>
  </si>
  <si>
    <t>Hüttschlag</t>
  </si>
  <si>
    <t>Kleinarl</t>
  </si>
  <si>
    <t>Mühlbach am Hochkönig</t>
  </si>
  <si>
    <t>Pfarrwerfen</t>
  </si>
  <si>
    <t>Radstadt</t>
  </si>
  <si>
    <t>Sankt Johann im Pongau</t>
  </si>
  <si>
    <t>Sankt Martin am Tennengebirge</t>
  </si>
  <si>
    <t>Sankt Veit im Pongau</t>
  </si>
  <si>
    <t>Schwarzach im Pongau</t>
  </si>
  <si>
    <t>Untertauern</t>
  </si>
  <si>
    <t>Wagrain</t>
  </si>
  <si>
    <t>Werfen</t>
  </si>
  <si>
    <t>Werfenweng</t>
  </si>
  <si>
    <t>Göriach</t>
  </si>
  <si>
    <t>Lessach</t>
  </si>
  <si>
    <t>Mariapfarr</t>
  </si>
  <si>
    <t>Mauterndorf</t>
  </si>
  <si>
    <t>Muhr</t>
  </si>
  <si>
    <t>Ramingstein</t>
  </si>
  <si>
    <t>Sankt Andrä im Lungau</t>
  </si>
  <si>
    <t>Sankt Margarethen im Lungau</t>
  </si>
  <si>
    <t>Sankt Michael im Lungau</t>
  </si>
  <si>
    <t>Tamsweg</t>
  </si>
  <si>
    <t>Thomatal</t>
  </si>
  <si>
    <t>Tweng</t>
  </si>
  <si>
    <t>Unternberg</t>
  </si>
  <si>
    <t>Weißpriach</t>
  </si>
  <si>
    <t>Zederhaus</t>
  </si>
  <si>
    <t>Bramberg am Wildkogel</t>
  </si>
  <si>
    <t>Bruck an der Großglocknerstraße</t>
  </si>
  <si>
    <t>Dienten am Hochkönig</t>
  </si>
  <si>
    <t>Fusch an der Großglocknerstraße</t>
  </si>
  <si>
    <t>Hollersbach im Pinzgau</t>
  </si>
  <si>
    <t>Kaprun</t>
  </si>
  <si>
    <t>Krimml</t>
  </si>
  <si>
    <t>Lend</t>
  </si>
  <si>
    <t>Leogang</t>
  </si>
  <si>
    <t>Lofer</t>
  </si>
  <si>
    <t>Maishofen</t>
  </si>
  <si>
    <t>Maria Alm am Steinernen Meer</t>
  </si>
  <si>
    <t>Mittersill</t>
  </si>
  <si>
    <t>Neukirchen am Großvenediger</t>
  </si>
  <si>
    <t>Niedernsill</t>
  </si>
  <si>
    <t>Piesendorf</t>
  </si>
  <si>
    <t>Rauris</t>
  </si>
  <si>
    <t>Saalbach-Hinterglemm</t>
  </si>
  <si>
    <t>Saalfelden am Steinernen Meer</t>
  </si>
  <si>
    <t>Sankt Martin bei Lofer</t>
  </si>
  <si>
    <t>Stuhlfelden</t>
  </si>
  <si>
    <t>Taxenbach</t>
  </si>
  <si>
    <t>Unken</t>
  </si>
  <si>
    <t>Uttendorf</t>
  </si>
  <si>
    <t>Viehhofen</t>
  </si>
  <si>
    <t>Wald im Pinzgau</t>
  </si>
  <si>
    <t>Weißbach bei Lofer</t>
  </si>
  <si>
    <t>Steiermark</t>
  </si>
  <si>
    <t>Graz</t>
  </si>
  <si>
    <t>Frauental an der Laßnitz</t>
  </si>
  <si>
    <t>Lannach</t>
  </si>
  <si>
    <t>Pölfing-Brunn</t>
  </si>
  <si>
    <t>Preding</t>
  </si>
  <si>
    <t>Sankt Josef (Weststeiermark)</t>
  </si>
  <si>
    <t>Sankt Peter im Sulmtal</t>
  </si>
  <si>
    <t>Wettmannstätten</t>
  </si>
  <si>
    <t>Deutschlandsberg</t>
  </si>
  <si>
    <t>Eibiswald</t>
  </si>
  <si>
    <t>Groß Sankt Florian</t>
  </si>
  <si>
    <t>Sankt Martin im Sulmtal</t>
  </si>
  <si>
    <t>Sankt Stefan ob Stainz</t>
  </si>
  <si>
    <t>Schwanberg</t>
  </si>
  <si>
    <t>Stainz</t>
  </si>
  <si>
    <t>Wies</t>
  </si>
  <si>
    <t>Feldkirchen bei Graz</t>
  </si>
  <si>
    <t>Gössendorf</t>
  </si>
  <si>
    <t>Gratkorn</t>
  </si>
  <si>
    <t>Hart bei Graz</t>
  </si>
  <si>
    <t>Haselsdorf-Tobelbad</t>
  </si>
  <si>
    <t>Hausmannstätten</t>
  </si>
  <si>
    <t>Kainbach bei Graz</t>
  </si>
  <si>
    <t>Kalsdorf bei Graz</t>
  </si>
  <si>
    <t>Kumberg</t>
  </si>
  <si>
    <t>Laßnitzhöhe</t>
  </si>
  <si>
    <t>Lieboch</t>
  </si>
  <si>
    <t>Peggau</t>
  </si>
  <si>
    <t>Sankt Bartholomä</t>
  </si>
  <si>
    <t>Sankt Oswald bei Plankenwarth</t>
  </si>
  <si>
    <t>Sankt Radegund bei Graz</t>
  </si>
  <si>
    <t>Semriach</t>
  </si>
  <si>
    <t>Stattegg</t>
  </si>
  <si>
    <t>Stiwoll</t>
  </si>
  <si>
    <t>Thal</t>
  </si>
  <si>
    <t>Übelbach</t>
  </si>
  <si>
    <t>Vasoldsberg</t>
  </si>
  <si>
    <t>Weinitzen</t>
  </si>
  <si>
    <t>Werndorf</t>
  </si>
  <si>
    <t>Wundschuh</t>
  </si>
  <si>
    <t>Deutschfeistritz</t>
  </si>
  <si>
    <t>Dobl-Zwaring</t>
  </si>
  <si>
    <t>Eggersdorf bei Graz</t>
  </si>
  <si>
    <t>Fernitz-Mellach</t>
  </si>
  <si>
    <t>Frohnleiten</t>
  </si>
  <si>
    <t>Gratwein-Straßengel</t>
  </si>
  <si>
    <t>Hitzendorf</t>
  </si>
  <si>
    <t>Nestelbach bei Graz</t>
  </si>
  <si>
    <t>Raaba-Grambach</t>
  </si>
  <si>
    <t>Sankt Marein bei Graz</t>
  </si>
  <si>
    <t>Seiersberg-Pirka</t>
  </si>
  <si>
    <t>Allerheiligen bei Wildon</t>
  </si>
  <si>
    <t>Arnfels</t>
  </si>
  <si>
    <t>Empersdorf</t>
  </si>
  <si>
    <t>Gabersdorf</t>
  </si>
  <si>
    <t>Gralla</t>
  </si>
  <si>
    <t>Großklein</t>
  </si>
  <si>
    <t>Heimschuh</t>
  </si>
  <si>
    <t>Hengsberg</t>
  </si>
  <si>
    <t>Kitzeck im Sausal</t>
  </si>
  <si>
    <t>Lang</t>
  </si>
  <si>
    <t>Lebring-Sankt Margarethen</t>
  </si>
  <si>
    <t>Oberhaag</t>
  </si>
  <si>
    <t>Ragnitz</t>
  </si>
  <si>
    <t>Sankt Andrä-Höch</t>
  </si>
  <si>
    <t>Sankt Johann im Saggautal</t>
  </si>
  <si>
    <t>Sankt Nikolai im Sausal</t>
  </si>
  <si>
    <t>Tillmitsch</t>
  </si>
  <si>
    <t>Wagna</t>
  </si>
  <si>
    <t>Ehrenhausen an der Weinstraße</t>
  </si>
  <si>
    <t>Gamlitz</t>
  </si>
  <si>
    <t>Gleinstätten</t>
  </si>
  <si>
    <t>Heiligenkreuz am Waasen</t>
  </si>
  <si>
    <t>Leibnitz</t>
  </si>
  <si>
    <t>Leutschach an der Weinstraße</t>
  </si>
  <si>
    <t>Sankt Georgen an der Stiefing</t>
  </si>
  <si>
    <t>Sankt Veit in der Südsteiermark</t>
  </si>
  <si>
    <t>Schwarzautal</t>
  </si>
  <si>
    <t>Wildon</t>
  </si>
  <si>
    <t>Eisenerz</t>
  </si>
  <si>
    <t>Kalwang</t>
  </si>
  <si>
    <t>Kammern im Liesingtal</t>
  </si>
  <si>
    <t>Kraubath an der Mur</t>
  </si>
  <si>
    <t>Leoben</t>
  </si>
  <si>
    <t>Mautern in Steiermark</t>
  </si>
  <si>
    <t>Niklasdorf</t>
  </si>
  <si>
    <t>Proleb</t>
  </si>
  <si>
    <t>Radmer</t>
  </si>
  <si>
    <t>Sankt Michael in Obersteiermark</t>
  </si>
  <si>
    <t>Sankt Peter-Freienstein</t>
  </si>
  <si>
    <t>Sankt Stefan ob Leoben</t>
  </si>
  <si>
    <t>Traboch</t>
  </si>
  <si>
    <t>Vordernberg</t>
  </si>
  <si>
    <t>Wald am Schoberpaß</t>
  </si>
  <si>
    <t>Trofaiach</t>
  </si>
  <si>
    <t>Aigen im Ennstal</t>
  </si>
  <si>
    <t>Altaussee</t>
  </si>
  <si>
    <t>Altenmarkt bei Sankt Gallen</t>
  </si>
  <si>
    <t>Ardning</t>
  </si>
  <si>
    <t>Bad Aussee</t>
  </si>
  <si>
    <t>Gröbming</t>
  </si>
  <si>
    <t>Grundlsee</t>
  </si>
  <si>
    <t>Haus</t>
  </si>
  <si>
    <t>Lassing</t>
  </si>
  <si>
    <t>Ramsau am Dachstein</t>
  </si>
  <si>
    <t>Selzthal</t>
  </si>
  <si>
    <t>Trieben</t>
  </si>
  <si>
    <t>Wildalpen</t>
  </si>
  <si>
    <t>Wörschach</t>
  </si>
  <si>
    <t>Admont</t>
  </si>
  <si>
    <t>Aich</t>
  </si>
  <si>
    <t>Bad Mitterndorf</t>
  </si>
  <si>
    <t>Gaishorn am See</t>
  </si>
  <si>
    <t>Irdning-Donnersbachtal</t>
  </si>
  <si>
    <t>Liezen</t>
  </si>
  <si>
    <t>Michaelerberg-Pruggern</t>
  </si>
  <si>
    <t>Mitterberg-Sankt Martin</t>
  </si>
  <si>
    <t>Öblarn</t>
  </si>
  <si>
    <t>Rottenmann</t>
  </si>
  <si>
    <t>Sankt Gallen</t>
  </si>
  <si>
    <t>Schladming</t>
  </si>
  <si>
    <t>Sölk</t>
  </si>
  <si>
    <t>Stainach-Pürgg</t>
  </si>
  <si>
    <t>Mühlen</t>
  </si>
  <si>
    <t>Niederwölz</t>
  </si>
  <si>
    <t>Schöder</t>
  </si>
  <si>
    <t>Krakau</t>
  </si>
  <si>
    <t>Murau</t>
  </si>
  <si>
    <t>Neumarkt in der Steiermark</t>
  </si>
  <si>
    <t>Oberwölz</t>
  </si>
  <si>
    <t>Ranten</t>
  </si>
  <si>
    <t>Sankt Georgen am Kreischberg</t>
  </si>
  <si>
    <t>Sankt Lambrecht</t>
  </si>
  <si>
    <t>Scheifling</t>
  </si>
  <si>
    <t>Stadl-Predlitz</t>
  </si>
  <si>
    <t>Teufenbach-Katsch</t>
  </si>
  <si>
    <t>Krottendorf-Gaisfeld</t>
  </si>
  <si>
    <t>Ligist</t>
  </si>
  <si>
    <t>Mooskirchen</t>
  </si>
  <si>
    <t>Rosental an der Kainach</t>
  </si>
  <si>
    <t>Sankt Martin am Wöllmißberg</t>
  </si>
  <si>
    <t>Stallhofen</t>
  </si>
  <si>
    <t>Voitsberg</t>
  </si>
  <si>
    <t>Bärnbach</t>
  </si>
  <si>
    <t>Edelschrott</t>
  </si>
  <si>
    <t>Geistthal-Södingberg</t>
  </si>
  <si>
    <t>Hirschegg-Pack</t>
  </si>
  <si>
    <t>Kainach bei Voitsberg</t>
  </si>
  <si>
    <t>Köflach</t>
  </si>
  <si>
    <t>Maria Lankowitz</t>
  </si>
  <si>
    <t>Söding-Sankt Johann</t>
  </si>
  <si>
    <t>Albersdorf-Prebuch</t>
  </si>
  <si>
    <t>Fischbach</t>
  </si>
  <si>
    <t>Floing</t>
  </si>
  <si>
    <t>Gasen</t>
  </si>
  <si>
    <t>Markt Hartmannsdorf</t>
  </si>
  <si>
    <t>Hofstätten an der Raab</t>
  </si>
  <si>
    <t>Ludersdorf-Wilfersdorf</t>
  </si>
  <si>
    <t>Miesenbach bei Birkfeld</t>
  </si>
  <si>
    <t>Mitterdorf an der Raab</t>
  </si>
  <si>
    <t>Mortantsch</t>
  </si>
  <si>
    <t>Naas</t>
  </si>
  <si>
    <t>Puch bei Weiz</t>
  </si>
  <si>
    <t>Ratten</t>
  </si>
  <si>
    <t>Rettenegg</t>
  </si>
  <si>
    <t>Sankt Kathrein am Offenegg</t>
  </si>
  <si>
    <t>Sinabelkirchen</t>
  </si>
  <si>
    <t>Strallegg</t>
  </si>
  <si>
    <t>Thannhausen</t>
  </si>
  <si>
    <t>Anger</t>
  </si>
  <si>
    <t>Birkfeld</t>
  </si>
  <si>
    <t>Fladnitz an der Teichalm</t>
  </si>
  <si>
    <t>Gersdorf an der Feistritz</t>
  </si>
  <si>
    <t>Gleisdorf</t>
  </si>
  <si>
    <t>Gutenberg-Stenzengreith</t>
  </si>
  <si>
    <t>Ilztal</t>
  </si>
  <si>
    <t>Passail</t>
  </si>
  <si>
    <t>Pischelsdorf am Kulm</t>
  </si>
  <si>
    <t>Sankt Ruprecht an der Raab</t>
  </si>
  <si>
    <t>Weiz</t>
  </si>
  <si>
    <t>Fohnsdorf</t>
  </si>
  <si>
    <t>Gaal</t>
  </si>
  <si>
    <t>Hohentauern</t>
  </si>
  <si>
    <t>Kobenz</t>
  </si>
  <si>
    <t>Pusterwald</t>
  </si>
  <si>
    <t>Sankt Georgen ob Judenburg</t>
  </si>
  <si>
    <t>Sankt Peter ob Judenburg</t>
  </si>
  <si>
    <t>Seckau</t>
  </si>
  <si>
    <t>Unzmarkt-Frauenburg</t>
  </si>
  <si>
    <t>Zeltweg</t>
  </si>
  <si>
    <t>Judenburg</t>
  </si>
  <si>
    <t>Knittelfeld</t>
  </si>
  <si>
    <t>Obdach</t>
  </si>
  <si>
    <t>Pöls-Oberkurzheim</t>
  </si>
  <si>
    <t>Pölstal</t>
  </si>
  <si>
    <t>Sankt Marein-Feistritz</t>
  </si>
  <si>
    <t>Sankt Margarethen bei Knittelfeld</t>
  </si>
  <si>
    <t>Spielberg</t>
  </si>
  <si>
    <t>Weißkirchen in Steiermark</t>
  </si>
  <si>
    <t>Breitenau am Hochlantsch</t>
  </si>
  <si>
    <t>Krieglach</t>
  </si>
  <si>
    <t>Langenwang</t>
  </si>
  <si>
    <t>Pernegg an der Mur</t>
  </si>
  <si>
    <t>Sankt Lorenzen im Mürztal</t>
  </si>
  <si>
    <t>Spital am Semmering</t>
  </si>
  <si>
    <t>Stanz im Mürztal</t>
  </si>
  <si>
    <t>Turnau</t>
  </si>
  <si>
    <t>Aflenz</t>
  </si>
  <si>
    <t>Bruck an der Mur</t>
  </si>
  <si>
    <t>Kapfenberg</t>
  </si>
  <si>
    <t>Kindberg</t>
  </si>
  <si>
    <t>Mariazell</t>
  </si>
  <si>
    <t>Mürzzuschlag</t>
  </si>
  <si>
    <t>Neuberg an der Mürz</t>
  </si>
  <si>
    <t>Sankt Barbara im Mürztal</t>
  </si>
  <si>
    <t>Sankt Marein im Mürztal</t>
  </si>
  <si>
    <t>Thörl</t>
  </si>
  <si>
    <t>Tragöß-Sankt Katharein</t>
  </si>
  <si>
    <t>Bad Blumau</t>
  </si>
  <si>
    <t>Burgau</t>
  </si>
  <si>
    <t>Ebersdorf</t>
  </si>
  <si>
    <t>Friedberg</t>
  </si>
  <si>
    <t>Greinbach</t>
  </si>
  <si>
    <t>Großsteinbach</t>
  </si>
  <si>
    <t>Hartberg</t>
  </si>
  <si>
    <t>Hartberg Umgebung</t>
  </si>
  <si>
    <t>Lafnitz</t>
  </si>
  <si>
    <t>Ottendorf an der Rittschein</t>
  </si>
  <si>
    <t>Pinggau</t>
  </si>
  <si>
    <t>Pöllauberg</t>
  </si>
  <si>
    <t>Sankt Jakob im Walde</t>
  </si>
  <si>
    <t>Sankt Johann in der Haide</t>
  </si>
  <si>
    <t>Sankt Lorenzen am Wechsel</t>
  </si>
  <si>
    <t>Schäffern</t>
  </si>
  <si>
    <t>Söchau</t>
  </si>
  <si>
    <t>Stubenberg</t>
  </si>
  <si>
    <t>Wenigzell</t>
  </si>
  <si>
    <t>Bad Waltersdorf</t>
  </si>
  <si>
    <t>Dechantskirchen</t>
  </si>
  <si>
    <t>Feistritztal</t>
  </si>
  <si>
    <t>Fürstenfeld</t>
  </si>
  <si>
    <t>Grafendorf bei Hartberg</t>
  </si>
  <si>
    <t>Großwilfersdorf</t>
  </si>
  <si>
    <t>Hartl</t>
  </si>
  <si>
    <t>Ilz</t>
  </si>
  <si>
    <t>Kaindorf</t>
  </si>
  <si>
    <t>Loipersdorf bei Fürstenfeld</t>
  </si>
  <si>
    <t>Neudau</t>
  </si>
  <si>
    <t>Pöllau</t>
  </si>
  <si>
    <t>Rohr bei Hartberg</t>
  </si>
  <si>
    <t>Rohrbach an der Lafnitz</t>
  </si>
  <si>
    <t>Vorau</t>
  </si>
  <si>
    <t>Waldbach-Mönichwald</t>
  </si>
  <si>
    <t>Edelsbach bei Feldbach</t>
  </si>
  <si>
    <t>Eichkögl</t>
  </si>
  <si>
    <t>Halbenrain</t>
  </si>
  <si>
    <t>Jagerberg</t>
  </si>
  <si>
    <t>Kapfenstein</t>
  </si>
  <si>
    <t>Klöch</t>
  </si>
  <si>
    <t>Mettersdorf am Saßbach</t>
  </si>
  <si>
    <t>Murfeld</t>
  </si>
  <si>
    <t>Tieschen</t>
  </si>
  <si>
    <t>Unterlamm</t>
  </si>
  <si>
    <t>Bad Gleichenberg</t>
  </si>
  <si>
    <t>Bad Radkersburg</t>
  </si>
  <si>
    <t>Deutsch Goritz</t>
  </si>
  <si>
    <t>Fehring</t>
  </si>
  <si>
    <t>Feldbach</t>
  </si>
  <si>
    <t>Gnas</t>
  </si>
  <si>
    <t>Kirchberg an der Raab</t>
  </si>
  <si>
    <t>Mureck</t>
  </si>
  <si>
    <t>Paldau</t>
  </si>
  <si>
    <t>Pirching am Traubenberg</t>
  </si>
  <si>
    <t>Riegersburg</t>
  </si>
  <si>
    <t>Sankt Anna am Aigen</t>
  </si>
  <si>
    <t>Sankt Peter am Ottersbach</t>
  </si>
  <si>
    <t>Sankt Stefan im Rosental</t>
  </si>
  <si>
    <t>Straden</t>
  </si>
  <si>
    <t>Tirol</t>
  </si>
  <si>
    <t>Innsbruck</t>
  </si>
  <si>
    <t>Arzl im Pitztal</t>
  </si>
  <si>
    <t>Haiming</t>
  </si>
  <si>
    <t>Imst</t>
  </si>
  <si>
    <t>Imsterberg</t>
  </si>
  <si>
    <t>Jerzens</t>
  </si>
  <si>
    <t>Karres</t>
  </si>
  <si>
    <t>Karrösten</t>
  </si>
  <si>
    <t>Längenfeld</t>
  </si>
  <si>
    <t>Mieming</t>
  </si>
  <si>
    <t>Mils bei Imst</t>
  </si>
  <si>
    <t>Mötz</t>
  </si>
  <si>
    <t>Nassereith</t>
  </si>
  <si>
    <t>Obsteig</t>
  </si>
  <si>
    <t>Oetz</t>
  </si>
  <si>
    <t>Rietz</t>
  </si>
  <si>
    <t>Roppen</t>
  </si>
  <si>
    <t>Sautens</t>
  </si>
  <si>
    <t>Silz</t>
  </si>
  <si>
    <t>Sölden</t>
  </si>
  <si>
    <t>Stams</t>
  </si>
  <si>
    <t>Tarrenz</t>
  </si>
  <si>
    <t>Umhausen</t>
  </si>
  <si>
    <t>Wenns</t>
  </si>
  <si>
    <t>Absam</t>
  </si>
  <si>
    <t>Aldrans</t>
  </si>
  <si>
    <t>Ampass</t>
  </si>
  <si>
    <t>Axams</t>
  </si>
  <si>
    <t>Baumkirchen</t>
  </si>
  <si>
    <t>Birgitz</t>
  </si>
  <si>
    <t>Ellbögen</t>
  </si>
  <si>
    <t>Flaurling</t>
  </si>
  <si>
    <t>Fritzens</t>
  </si>
  <si>
    <t>Fulpmes</t>
  </si>
  <si>
    <t>Gnadenwald</t>
  </si>
  <si>
    <t>Götzens</t>
  </si>
  <si>
    <t>Gries am Brenner</t>
  </si>
  <si>
    <t>Gries im Sellrain</t>
  </si>
  <si>
    <t>Grinzens</t>
  </si>
  <si>
    <t>Gschnitz</t>
  </si>
  <si>
    <t>Hatting</t>
  </si>
  <si>
    <t>Inzing</t>
  </si>
  <si>
    <t>Kematen in Tirol</t>
  </si>
  <si>
    <t>Kolsass</t>
  </si>
  <si>
    <t>Kolsassberg</t>
  </si>
  <si>
    <t>Lans</t>
  </si>
  <si>
    <t>Leutasch</t>
  </si>
  <si>
    <t>Matrei am Brenner</t>
  </si>
  <si>
    <t>Mieders</t>
  </si>
  <si>
    <t>Mils</t>
  </si>
  <si>
    <t>Mühlbachl</t>
  </si>
  <si>
    <t>Mutters</t>
  </si>
  <si>
    <t>Natters</t>
  </si>
  <si>
    <t>Navis</t>
  </si>
  <si>
    <t>Neustift im Stubaital</t>
  </si>
  <si>
    <t>Oberhofen im Inntal</t>
  </si>
  <si>
    <t>Obernberg am Brenner</t>
  </si>
  <si>
    <t>Oberperfuss</t>
  </si>
  <si>
    <t>Patsch</t>
  </si>
  <si>
    <t>Pettnau</t>
  </si>
  <si>
    <t>Pfaffenhofen</t>
  </si>
  <si>
    <t>Pfons</t>
  </si>
  <si>
    <t>Polling in Tirol</t>
  </si>
  <si>
    <t>Ranggen</t>
  </si>
  <si>
    <t>Reith bei Seefeld</t>
  </si>
  <si>
    <t>Rinn</t>
  </si>
  <si>
    <t>Rum</t>
  </si>
  <si>
    <t>Scharnitz</t>
  </si>
  <si>
    <t>Schmirn</t>
  </si>
  <si>
    <t>Schönberg im Stubaital</t>
  </si>
  <si>
    <t>Seefeld in Tirol</t>
  </si>
  <si>
    <t>Sellrain</t>
  </si>
  <si>
    <t>Sistrans</t>
  </si>
  <si>
    <t>Hall in Tirol</t>
  </si>
  <si>
    <t>Steinach am Brenner</t>
  </si>
  <si>
    <t>Telfes im Stubai</t>
  </si>
  <si>
    <t>Telfs</t>
  </si>
  <si>
    <t>Thaur</t>
  </si>
  <si>
    <t>Trins</t>
  </si>
  <si>
    <t>Tulfes</t>
  </si>
  <si>
    <t>Unterperfuss</t>
  </si>
  <si>
    <t>Vals</t>
  </si>
  <si>
    <t>Völs</t>
  </si>
  <si>
    <t>Volders</t>
  </si>
  <si>
    <t>Wattenberg</t>
  </si>
  <si>
    <t>Wattens</t>
  </si>
  <si>
    <t>Wildermieming</t>
  </si>
  <si>
    <t>Zirl</t>
  </si>
  <si>
    <t>Aurach bei Kitzbühel</t>
  </si>
  <si>
    <t>Brixen im Thale</t>
  </si>
  <si>
    <t>Fieberbrunn</t>
  </si>
  <si>
    <t>Going am Wilden Kaiser</t>
  </si>
  <si>
    <t>Hochfilzen</t>
  </si>
  <si>
    <t>Hopfgarten im Brixental</t>
  </si>
  <si>
    <t>Itter</t>
  </si>
  <si>
    <t>Jochberg</t>
  </si>
  <si>
    <t>Kirchberg in Tirol</t>
  </si>
  <si>
    <t>Kirchdorf in Tirol</t>
  </si>
  <si>
    <t>Kitzbühel</t>
  </si>
  <si>
    <t>Kössen</t>
  </si>
  <si>
    <t>Oberndorf in Tirol</t>
  </si>
  <si>
    <t>Reith bei Kitzbühel</t>
  </si>
  <si>
    <t>Schwendt</t>
  </si>
  <si>
    <t>Waidring</t>
  </si>
  <si>
    <t>Westendorf</t>
  </si>
  <si>
    <t>Alpbach</t>
  </si>
  <si>
    <t>Angath</t>
  </si>
  <si>
    <t>Bad Häring</t>
  </si>
  <si>
    <t>Brandenberg</t>
  </si>
  <si>
    <t>Breitenbach am Inn</t>
  </si>
  <si>
    <t>Brixlegg</t>
  </si>
  <si>
    <t>Ebbs</t>
  </si>
  <si>
    <t>Ellmau</t>
  </si>
  <si>
    <t>Erl</t>
  </si>
  <si>
    <t>Kirchbichl</t>
  </si>
  <si>
    <t>Kramsach</t>
  </si>
  <si>
    <t>Kufstein</t>
  </si>
  <si>
    <t>Kundl</t>
  </si>
  <si>
    <t>Langkampfen</t>
  </si>
  <si>
    <t>Mariastein</t>
  </si>
  <si>
    <t>Münster</t>
  </si>
  <si>
    <t>Niederndorf</t>
  </si>
  <si>
    <t>Niederndorferberg</t>
  </si>
  <si>
    <t>Radfeld</t>
  </si>
  <si>
    <t>Rattenberg</t>
  </si>
  <si>
    <t>Reith im Alpbachtal</t>
  </si>
  <si>
    <t>Rettenschöss</t>
  </si>
  <si>
    <t>Scheffau am Wilden Kaiser</t>
  </si>
  <si>
    <t>Schwoich</t>
  </si>
  <si>
    <t>Söll</t>
  </si>
  <si>
    <t>Thiersee</t>
  </si>
  <si>
    <t>Angerberg</t>
  </si>
  <si>
    <t>Walchsee</t>
  </si>
  <si>
    <t>Wildschönau</t>
  </si>
  <si>
    <t>Wörgl</t>
  </si>
  <si>
    <t>Faggen</t>
  </si>
  <si>
    <t>Fendels</t>
  </si>
  <si>
    <t>Fiss</t>
  </si>
  <si>
    <t>Fließ</t>
  </si>
  <si>
    <t>Flirsch</t>
  </si>
  <si>
    <t>Galtür</t>
  </si>
  <si>
    <t>Grins</t>
  </si>
  <si>
    <t>Ischgl</t>
  </si>
  <si>
    <t>Kappl</t>
  </si>
  <si>
    <t>Kaunerberg</t>
  </si>
  <si>
    <t>Kaunertal</t>
  </si>
  <si>
    <t>Kauns</t>
  </si>
  <si>
    <t>Ladis</t>
  </si>
  <si>
    <t>Landeck</t>
  </si>
  <si>
    <t>Nauders</t>
  </si>
  <si>
    <t>Pettneu am Arlberg</t>
  </si>
  <si>
    <t>Pfunds</t>
  </si>
  <si>
    <t>Pians</t>
  </si>
  <si>
    <t>Prutz</t>
  </si>
  <si>
    <t>Ried im Oberinntal</t>
  </si>
  <si>
    <t>Schönwies</t>
  </si>
  <si>
    <t>See</t>
  </si>
  <si>
    <t>Serfaus</t>
  </si>
  <si>
    <t>Spiss</t>
  </si>
  <si>
    <t>Stanz bei Landeck</t>
  </si>
  <si>
    <t>Strengen</t>
  </si>
  <si>
    <t>Tobadill</t>
  </si>
  <si>
    <t>Tösens</t>
  </si>
  <si>
    <t>Zams</t>
  </si>
  <si>
    <t>Abfaltersbach</t>
  </si>
  <si>
    <t>Ainet</t>
  </si>
  <si>
    <t>Amlach</t>
  </si>
  <si>
    <t>Anras</t>
  </si>
  <si>
    <t>Assling</t>
  </si>
  <si>
    <t>Außervillgraten</t>
  </si>
  <si>
    <t>Dölsach</t>
  </si>
  <si>
    <t>Gaimberg</t>
  </si>
  <si>
    <t>Hopfgarten in Defereggen</t>
  </si>
  <si>
    <t>Innervillgraten</t>
  </si>
  <si>
    <t>Iselsberg-Stronach</t>
  </si>
  <si>
    <t>Kals am Großglockner</t>
  </si>
  <si>
    <t>Kartitsch</t>
  </si>
  <si>
    <t>Lavant</t>
  </si>
  <si>
    <t>Leisach</t>
  </si>
  <si>
    <t>Lienz</t>
  </si>
  <si>
    <t>Matrei in Osttirol</t>
  </si>
  <si>
    <t>Nikolsdorf</t>
  </si>
  <si>
    <t>Nußdorf-Debant</t>
  </si>
  <si>
    <t>Oberlienz</t>
  </si>
  <si>
    <t>Obertilliach</t>
  </si>
  <si>
    <t>Prägraten am Großvenediger</t>
  </si>
  <si>
    <t>Schlaiten</t>
  </si>
  <si>
    <t>Sillian</t>
  </si>
  <si>
    <t>Strassen</t>
  </si>
  <si>
    <t>Thurn</t>
  </si>
  <si>
    <t>Tristach</t>
  </si>
  <si>
    <t>Untertilliach</t>
  </si>
  <si>
    <t>Virgen</t>
  </si>
  <si>
    <t>Heinfels</t>
  </si>
  <si>
    <t>Bach</t>
  </si>
  <si>
    <t>Berwang</t>
  </si>
  <si>
    <t>Biberwier</t>
  </si>
  <si>
    <t>Bichlbach</t>
  </si>
  <si>
    <t>Breitenwang</t>
  </si>
  <si>
    <t>Ehenbichl</t>
  </si>
  <si>
    <t>Ehrwald</t>
  </si>
  <si>
    <t>Elbigenalp</t>
  </si>
  <si>
    <t>Elmen</t>
  </si>
  <si>
    <t>Forchach</t>
  </si>
  <si>
    <t>Grän</t>
  </si>
  <si>
    <t>Gramais</t>
  </si>
  <si>
    <t>Häselgehr</t>
  </si>
  <si>
    <t>Heiterwang</t>
  </si>
  <si>
    <t>Hinterhornbach</t>
  </si>
  <si>
    <t>Höfen</t>
  </si>
  <si>
    <t>Holzgau</t>
  </si>
  <si>
    <t>Jungholz</t>
  </si>
  <si>
    <t>Kaisers</t>
  </si>
  <si>
    <t>Lechaschau</t>
  </si>
  <si>
    <t>Lermoos</t>
  </si>
  <si>
    <t>Musau</t>
  </si>
  <si>
    <t>Namlos</t>
  </si>
  <si>
    <t>Nesselwängle</t>
  </si>
  <si>
    <t>Pfafflar</t>
  </si>
  <si>
    <t>Pflach</t>
  </si>
  <si>
    <t>Pinswang</t>
  </si>
  <si>
    <t>Reutte</t>
  </si>
  <si>
    <t>Schattwald</t>
  </si>
  <si>
    <t>Stanzach</t>
  </si>
  <si>
    <t>Steeg</t>
  </si>
  <si>
    <t>Tannheim</t>
  </si>
  <si>
    <t>Vils</t>
  </si>
  <si>
    <t>Vorderhornbach</t>
  </si>
  <si>
    <t>Wängle</t>
  </si>
  <si>
    <t>Weißenbach am Lech</t>
  </si>
  <si>
    <t>Zöblen</t>
  </si>
  <si>
    <t>Achenkirch</t>
  </si>
  <si>
    <t>Aschau im Zillertal</t>
  </si>
  <si>
    <t>Brandberg</t>
  </si>
  <si>
    <t>Bruck am Ziller</t>
  </si>
  <si>
    <t>Buch in Tirol</t>
  </si>
  <si>
    <t>Eben am Achensee</t>
  </si>
  <si>
    <t>Finkenberg</t>
  </si>
  <si>
    <t>Fügen</t>
  </si>
  <si>
    <t>Fügenberg</t>
  </si>
  <si>
    <t>Gallzein</t>
  </si>
  <si>
    <t>Gerlos</t>
  </si>
  <si>
    <t>Gerlosberg</t>
  </si>
  <si>
    <t>Hainzenberg</t>
  </si>
  <si>
    <t>Hart im Zillertal</t>
  </si>
  <si>
    <t>Hippach</t>
  </si>
  <si>
    <t>Jenbach</t>
  </si>
  <si>
    <t>Kaltenbach</t>
  </si>
  <si>
    <t>Mayrhofen</t>
  </si>
  <si>
    <t>Pill</t>
  </si>
  <si>
    <t>Ramsau im Zillertal</t>
  </si>
  <si>
    <t>Ried im Zillertal</t>
  </si>
  <si>
    <t>Rohrberg</t>
  </si>
  <si>
    <t>Schlitters</t>
  </si>
  <si>
    <t>Schwaz</t>
  </si>
  <si>
    <t>Schwendau</t>
  </si>
  <si>
    <t>Stans</t>
  </si>
  <si>
    <t>Steinberg am Rofan</t>
  </si>
  <si>
    <t>Strass im Zillertal</t>
  </si>
  <si>
    <t>Stumm</t>
  </si>
  <si>
    <t>Stummerberg</t>
  </si>
  <si>
    <t>Terfens</t>
  </si>
  <si>
    <t>Tux</t>
  </si>
  <si>
    <t>Uderns</t>
  </si>
  <si>
    <t>Vomp</t>
  </si>
  <si>
    <t>Weer</t>
  </si>
  <si>
    <t>Weerberg</t>
  </si>
  <si>
    <t>Wiesing</t>
  </si>
  <si>
    <t>Zell am Ziller</t>
  </si>
  <si>
    <t>Zellberg</t>
  </si>
  <si>
    <t>Vorarlberg</t>
  </si>
  <si>
    <t>Bartholomäberg</t>
  </si>
  <si>
    <t>Blons</t>
  </si>
  <si>
    <t>Bludenz</t>
  </si>
  <si>
    <t>Bludesch</t>
  </si>
  <si>
    <t>Brand</t>
  </si>
  <si>
    <t>Bürs</t>
  </si>
  <si>
    <t>Bürserberg</t>
  </si>
  <si>
    <t>Dalaas</t>
  </si>
  <si>
    <t>Fontanella</t>
  </si>
  <si>
    <t>Gaschurn</t>
  </si>
  <si>
    <t>Innerbraz</t>
  </si>
  <si>
    <t>Klösterle</t>
  </si>
  <si>
    <t>Lech</t>
  </si>
  <si>
    <t>Lorüns</t>
  </si>
  <si>
    <t>Ludesch</t>
  </si>
  <si>
    <t>Nenzing</t>
  </si>
  <si>
    <t>Nüziders</t>
  </si>
  <si>
    <t>Raggal</t>
  </si>
  <si>
    <t>Schruns</t>
  </si>
  <si>
    <t>Silbertal</t>
  </si>
  <si>
    <t>Sonntag</t>
  </si>
  <si>
    <t>Stallehr</t>
  </si>
  <si>
    <t>Thüringen</t>
  </si>
  <si>
    <t>Thüringerberg</t>
  </si>
  <si>
    <t>Tschagguns</t>
  </si>
  <si>
    <t>Vandans</t>
  </si>
  <si>
    <t>Alberschwende</t>
  </si>
  <si>
    <t>Andelsbuch</t>
  </si>
  <si>
    <t>Au</t>
  </si>
  <si>
    <t>Bezau</t>
  </si>
  <si>
    <t>Bildstein</t>
  </si>
  <si>
    <t>Bizau</t>
  </si>
  <si>
    <t>Bregenz</t>
  </si>
  <si>
    <t>Buch</t>
  </si>
  <si>
    <t>Damüls</t>
  </si>
  <si>
    <t>Doren</t>
  </si>
  <si>
    <t>Egg</t>
  </si>
  <si>
    <t>Eichenberg</t>
  </si>
  <si>
    <t>Fußach</t>
  </si>
  <si>
    <t>Gaißau</t>
  </si>
  <si>
    <t>Hard</t>
  </si>
  <si>
    <t>Hittisau</t>
  </si>
  <si>
    <t>Höchst</t>
  </si>
  <si>
    <t>Hörbranz</t>
  </si>
  <si>
    <t>Hohenweiler</t>
  </si>
  <si>
    <t>Kennelbach</t>
  </si>
  <si>
    <t>Langen bei Bregenz</t>
  </si>
  <si>
    <t>Langenegg</t>
  </si>
  <si>
    <t>Lauterach</t>
  </si>
  <si>
    <t>Lingenau</t>
  </si>
  <si>
    <t>Lochau</t>
  </si>
  <si>
    <t>Mellau</t>
  </si>
  <si>
    <t>Mittelberg</t>
  </si>
  <si>
    <t>Möggers</t>
  </si>
  <si>
    <t>Reuthe</t>
  </si>
  <si>
    <t>Riefensberg</t>
  </si>
  <si>
    <t>Schnepfau</t>
  </si>
  <si>
    <t>Schoppernau</t>
  </si>
  <si>
    <t>Schröcken</t>
  </si>
  <si>
    <t>Schwarzach</t>
  </si>
  <si>
    <t>Schwarzenberg</t>
  </si>
  <si>
    <t>Sibratsgfäll</t>
  </si>
  <si>
    <t>Sulzberg</t>
  </si>
  <si>
    <t>Wolfurt</t>
  </si>
  <si>
    <t>Dornbirn</t>
  </si>
  <si>
    <t>Hohenems</t>
  </si>
  <si>
    <t>Lustenau</t>
  </si>
  <si>
    <t>Altach</t>
  </si>
  <si>
    <t>Düns</t>
  </si>
  <si>
    <t>Dünserberg</t>
  </si>
  <si>
    <t>Feldkirch</t>
  </si>
  <si>
    <t>Frastanz</t>
  </si>
  <si>
    <t>Fraxern</t>
  </si>
  <si>
    <t>Göfis</t>
  </si>
  <si>
    <t>Götzis</t>
  </si>
  <si>
    <t>Klaus</t>
  </si>
  <si>
    <t>Koblach</t>
  </si>
  <si>
    <t>Laterns</t>
  </si>
  <si>
    <t>Mäder</t>
  </si>
  <si>
    <t>Meiningen</t>
  </si>
  <si>
    <t>Rankweil</t>
  </si>
  <si>
    <t>Röns</t>
  </si>
  <si>
    <t>Röthis</t>
  </si>
  <si>
    <t>Satteins</t>
  </si>
  <si>
    <t>Schlins</t>
  </si>
  <si>
    <t>Schnifis</t>
  </si>
  <si>
    <t>Sulz</t>
  </si>
  <si>
    <t>Übersaxen</t>
  </si>
  <si>
    <t>Viktorsberg</t>
  </si>
  <si>
    <t>Weiler</t>
  </si>
  <si>
    <t>Zwischenwasser</t>
  </si>
  <si>
    <t>Wien</t>
  </si>
  <si>
    <t>Geplanter Baubeginn</t>
  </si>
  <si>
    <t>Geplantes Bauende</t>
  </si>
  <si>
    <t>GFZ [ ]</t>
  </si>
  <si>
    <t>Anzahl Gebäude</t>
  </si>
  <si>
    <t>ja</t>
  </si>
  <si>
    <t>nein</t>
  </si>
  <si>
    <t>Maßnahme 1</t>
  </si>
  <si>
    <t>Titel</t>
  </si>
  <si>
    <t>Beschreibung</t>
  </si>
  <si>
    <t>Ziele übertragen und verbindlich machen</t>
  </si>
  <si>
    <t>Qualitätskriterien, welche über grundeigentümliche Instrumente überbunden werden können, sind bekannt</t>
  </si>
  <si>
    <t>Städtebauliche Ziele wurden – im Rahmen der Möglichkeiten – in den Flächenwidmungsplan bzw. Bebauungsplan integriert (z.B. Art der Begrünung in Bauplatzerklärung enthalten)</t>
  </si>
  <si>
    <t>Energieorientierte Ziele wurden – im Rahmen der Möglichkeiten – in den Flächenwidmungsplan bzw. Bebauungsplan integriert (z.B. Art der Wärmeversorgung in Bauplatzerklärung enthalten)</t>
  </si>
  <si>
    <t>Mobilitätsrelevante Ziele wurden – im Rahmen der Möglichkeiten – in den Flächenwidmungsplan bzw. Bebauungsplan integriert (z.B. Parkplatzbeschränkung in Bauplatzerklärung vorhanden)</t>
  </si>
  <si>
    <t>Qualitätskriterien, welche über Kauf- bzw. Mietverträge von Flächen überbunden werden können, sind bekannt</t>
  </si>
  <si>
    <t>Monitoring installieren</t>
  </si>
  <si>
    <t>Monitoringkonzept für die Erfassung und Auswertung der Betriebsenergie auf Siedlungsebene liegt vor</t>
  </si>
  <si>
    <t>Strukturen etablieren</t>
  </si>
  <si>
    <t>Projektcontrolling durchführen</t>
  </si>
  <si>
    <t>Monitoringkonzept für die Erfassung und Auswertung des Wasserverbrauchs auf Siedlungsebene liegt vor</t>
  </si>
  <si>
    <t>Monitoringkonzept für die Erfassung und Auswertung der Abfallmengen auf Siedlungsebene liegt vor</t>
  </si>
  <si>
    <t>Ressourcen</t>
  </si>
  <si>
    <t>Steuerungsgruppe</t>
  </si>
  <si>
    <t>Die Entscheidungsstruktur ist festgelegt</t>
  </si>
  <si>
    <t>Die Steuerungsgruppe tagt regelmäßig (z.B. 1 x pro Monat)</t>
  </si>
  <si>
    <t>Ergebnisse werden den relevanten Personengruppen zugänglich gemacht</t>
  </si>
  <si>
    <t>Auf Basis der Ergebnisse werden die nächsten Schritte geplant</t>
  </si>
  <si>
    <t>Visualisierung und Kommunikation der Ergebnisse</t>
  </si>
  <si>
    <t>Partizipation</t>
  </si>
  <si>
    <t>Es gibt verschiedene Möglichkeiten für den Austausch (direkte Feedback, (Rück-) Fragemöglichkeiten, Informationsveranstaltungen)</t>
  </si>
  <si>
    <t>Die Strukturen werden regelmäßig auf ihre Zweckmäßigkeit überprüft und ggf. angepasst</t>
  </si>
  <si>
    <t>Die Strukturen werden von der Zielgruppe angenommen</t>
  </si>
  <si>
    <t>Sensibilisierung zu Energie- und Mobilitätsthemen</t>
  </si>
  <si>
    <t>Vielfalt der Nutzungen und der Nutzenden</t>
  </si>
  <si>
    <t>Lebenszykluskosten</t>
  </si>
  <si>
    <t>Gebäudestandards</t>
  </si>
  <si>
    <t>Angemessene Nutzungsdichte</t>
  </si>
  <si>
    <t>Effizienz der Wassernutzung</t>
  </si>
  <si>
    <t>Abfallvermeidung</t>
  </si>
  <si>
    <t>Mitbestimmung - Beteiligungsformat</t>
  </si>
  <si>
    <t>Maßnahme 2</t>
  </si>
  <si>
    <t>Maßnahme 3</t>
  </si>
  <si>
    <t>Summe</t>
  </si>
  <si>
    <t>Kommentar Kommission</t>
  </si>
  <si>
    <t>Biomasse</t>
  </si>
  <si>
    <t>Erdwärme</t>
  </si>
  <si>
    <t>Standort</t>
  </si>
  <si>
    <t>Innerörtlich, sehr gut erschlossen</t>
  </si>
  <si>
    <t>Innerörtlich, tlw. erschlossen</t>
  </si>
  <si>
    <t>Im Außenbereich, Erschließung im Zuge der Errichtung</t>
  </si>
  <si>
    <t>Eckdaten zum Projekt</t>
  </si>
  <si>
    <t>Projekttitel</t>
  </si>
  <si>
    <t>Gem_ID</t>
  </si>
  <si>
    <t>Gem_NAME</t>
  </si>
  <si>
    <t>10101</t>
  </si>
  <si>
    <t>10201</t>
  </si>
  <si>
    <t>10301</t>
  </si>
  <si>
    <t>10302</t>
  </si>
  <si>
    <t>10303</t>
  </si>
  <si>
    <t>10304</t>
  </si>
  <si>
    <t>10305</t>
  </si>
  <si>
    <t>10306</t>
  </si>
  <si>
    <t>10307</t>
  </si>
  <si>
    <t>10308</t>
  </si>
  <si>
    <t>10309</t>
  </si>
  <si>
    <t>10310</t>
  </si>
  <si>
    <t>10311</t>
  </si>
  <si>
    <t>10312</t>
  </si>
  <si>
    <t>10313</t>
  </si>
  <si>
    <t>10314</t>
  </si>
  <si>
    <t>10315</t>
  </si>
  <si>
    <t>10316</t>
  </si>
  <si>
    <t>10317</t>
  </si>
  <si>
    <t>10318</t>
  </si>
  <si>
    <t>10319</t>
  </si>
  <si>
    <t>10320</t>
  </si>
  <si>
    <t>10321</t>
  </si>
  <si>
    <t>10322</t>
  </si>
  <si>
    <t>10323</t>
  </si>
  <si>
    <t>10401</t>
  </si>
  <si>
    <t>10402</t>
  </si>
  <si>
    <t>10403</t>
  </si>
  <si>
    <t>10404</t>
  </si>
  <si>
    <t>10405</t>
  </si>
  <si>
    <t>10406</t>
  </si>
  <si>
    <t>10407</t>
  </si>
  <si>
    <t>10408</t>
  </si>
  <si>
    <t>10409</t>
  </si>
  <si>
    <t>10410</t>
  </si>
  <si>
    <t>10411</t>
  </si>
  <si>
    <t>10412</t>
  </si>
  <si>
    <t>10413</t>
  </si>
  <si>
    <t>10414</t>
  </si>
  <si>
    <t>10415</t>
  </si>
  <si>
    <t>10416</t>
  </si>
  <si>
    <t>10417</t>
  </si>
  <si>
    <t>10418</t>
  </si>
  <si>
    <t>10419</t>
  </si>
  <si>
    <t>10420</t>
  </si>
  <si>
    <t>10421</t>
  </si>
  <si>
    <t>10422</t>
  </si>
  <si>
    <t>10423</t>
  </si>
  <si>
    <t>10424</t>
  </si>
  <si>
    <t>10425</t>
  </si>
  <si>
    <t>10426</t>
  </si>
  <si>
    <t>10427</t>
  </si>
  <si>
    <t>10428</t>
  </si>
  <si>
    <t>10501</t>
  </si>
  <si>
    <t>10502</t>
  </si>
  <si>
    <t>10503</t>
  </si>
  <si>
    <t>10504</t>
  </si>
  <si>
    <t>10505</t>
  </si>
  <si>
    <t>10506</t>
  </si>
  <si>
    <t>10507</t>
  </si>
  <si>
    <t>10508</t>
  </si>
  <si>
    <t>10509</t>
  </si>
  <si>
    <t>10510</t>
  </si>
  <si>
    <t>10511</t>
  </si>
  <si>
    <t>10512</t>
  </si>
  <si>
    <t>10601</t>
  </si>
  <si>
    <t>10602</t>
  </si>
  <si>
    <t>10603</t>
  </si>
  <si>
    <t>10604</t>
  </si>
  <si>
    <t>10605</t>
  </si>
  <si>
    <t>10606</t>
  </si>
  <si>
    <t>10607</t>
  </si>
  <si>
    <t>10608</t>
  </si>
  <si>
    <t>10609</t>
  </si>
  <si>
    <t>10610</t>
  </si>
  <si>
    <t>10611</t>
  </si>
  <si>
    <t>10612</t>
  </si>
  <si>
    <t>10613</t>
  </si>
  <si>
    <t>10614</t>
  </si>
  <si>
    <t>10615</t>
  </si>
  <si>
    <t>10616</t>
  </si>
  <si>
    <t>10617</t>
  </si>
  <si>
    <t>10618</t>
  </si>
  <si>
    <t>10619</t>
  </si>
  <si>
    <t>10701</t>
  </si>
  <si>
    <t>10702</t>
  </si>
  <si>
    <t>10703</t>
  </si>
  <si>
    <t>10704</t>
  </si>
  <si>
    <t>10705</t>
  </si>
  <si>
    <t>10706</t>
  </si>
  <si>
    <t>10707</t>
  </si>
  <si>
    <t>10708</t>
  </si>
  <si>
    <t>10709</t>
  </si>
  <si>
    <t>10710</t>
  </si>
  <si>
    <t>10711</t>
  </si>
  <si>
    <t>10712</t>
  </si>
  <si>
    <t>10713</t>
  </si>
  <si>
    <t>10714</t>
  </si>
  <si>
    <t>10715</t>
  </si>
  <si>
    <t>10716</t>
  </si>
  <si>
    <t>10717</t>
  </si>
  <si>
    <t>10718</t>
  </si>
  <si>
    <t>10719</t>
  </si>
  <si>
    <t>10720</t>
  </si>
  <si>
    <t>10721</t>
  </si>
  <si>
    <t>10722</t>
  </si>
  <si>
    <t>10723</t>
  </si>
  <si>
    <t>10724</t>
  </si>
  <si>
    <t>10725</t>
  </si>
  <si>
    <t>10726</t>
  </si>
  <si>
    <t>10727</t>
  </si>
  <si>
    <t>10801</t>
  </si>
  <si>
    <t>10802</t>
  </si>
  <si>
    <t>10803</t>
  </si>
  <si>
    <t>10804</t>
  </si>
  <si>
    <t>10805</t>
  </si>
  <si>
    <t>10806</t>
  </si>
  <si>
    <t>10807</t>
  </si>
  <si>
    <t>10808</t>
  </si>
  <si>
    <t>10809</t>
  </si>
  <si>
    <t>10810</t>
  </si>
  <si>
    <t>10811</t>
  </si>
  <si>
    <t>10812</t>
  </si>
  <si>
    <t>10813</t>
  </si>
  <si>
    <t>10814</t>
  </si>
  <si>
    <t>10815</t>
  </si>
  <si>
    <t>10816</t>
  </si>
  <si>
    <t>10817</t>
  </si>
  <si>
    <t>10818</t>
  </si>
  <si>
    <t>10819</t>
  </si>
  <si>
    <t>10820</t>
  </si>
  <si>
    <t>10821</t>
  </si>
  <si>
    <t>10822</t>
  </si>
  <si>
    <t>10823</t>
  </si>
  <si>
    <t>10824</t>
  </si>
  <si>
    <t>10825</t>
  </si>
  <si>
    <t>10826</t>
  </si>
  <si>
    <t>10827</t>
  </si>
  <si>
    <t>10828</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</si>
  <si>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</si>
  <si>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</si>
  <si>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</si>
  <si>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</si>
  <si>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</si>
  <si>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</si>
  <si>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</si>
  <si>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</si>
  <si>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</si>
  <si>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</si>
  <si>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</si>
  <si>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</si>
  <si>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</si>
  <si>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</si>
  <si>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</si>
  <si>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</si>
  <si>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</si>
  <si>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</si>
  <si>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</si>
  <si>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</si>
  <si>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</si>
  <si>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</si>
  <si>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10923</t>
  </si>
  <si>
    <t>10924</t>
  </si>
  <si>
    <t>10925</t>
  </si>
  <si>
    <t>10926</t>
  </si>
  <si>
    <t>10927</t>
  </si>
  <si>
    <t>10928</t>
  </si>
  <si>
    <t>10929</t>
  </si>
  <si>
    <t>10930</t>
  </si>
  <si>
    <t>10931</t>
  </si>
  <si>
    <t>10932</t>
  </si>
  <si>
    <t>20101</t>
  </si>
  <si>
    <t>20201</t>
  </si>
  <si>
    <t>20302</t>
  </si>
  <si>
    <t>20305</t>
  </si>
  <si>
    <t>20306</t>
  </si>
  <si>
    <t>20307</t>
  </si>
  <si>
    <t>20316</t>
  </si>
  <si>
    <t>St. Stefan im Gailtal</t>
  </si>
  <si>
    <t>20320</t>
  </si>
  <si>
    <t>20321</t>
  </si>
  <si>
    <t>20402</t>
  </si>
  <si>
    <t>20403</t>
  </si>
  <si>
    <t>20405</t>
  </si>
  <si>
    <t>20409</t>
  </si>
  <si>
    <t>20412</t>
  </si>
  <si>
    <t>20414</t>
  </si>
  <si>
    <t>20415</t>
  </si>
  <si>
    <t>20416</t>
  </si>
  <si>
    <t>20417</t>
  </si>
  <si>
    <t>20418</t>
  </si>
  <si>
    <t>20419</t>
  </si>
  <si>
    <t>20421</t>
  </si>
  <si>
    <t>20424</t>
  </si>
  <si>
    <t>20425</t>
  </si>
  <si>
    <t>20428</t>
  </si>
  <si>
    <t>St. Margareten im Rosental</t>
  </si>
  <si>
    <t>20432</t>
  </si>
  <si>
    <t>20435</t>
  </si>
  <si>
    <t>20441</t>
  </si>
  <si>
    <t>20442</t>
  </si>
  <si>
    <t>20501</t>
  </si>
  <si>
    <t>20502</t>
  </si>
  <si>
    <t>20503</t>
  </si>
  <si>
    <t>20504</t>
  </si>
  <si>
    <t>20505</t>
  </si>
  <si>
    <t>20506</t>
  </si>
  <si>
    <t>20508</t>
  </si>
  <si>
    <t>20509</t>
  </si>
  <si>
    <t>20511</t>
  </si>
  <si>
    <t>20512</t>
  </si>
  <si>
    <t>20513</t>
  </si>
  <si>
    <t>Klein St. Paul</t>
  </si>
  <si>
    <t>20515</t>
  </si>
  <si>
    <t>20518</t>
  </si>
  <si>
    <t>20519</t>
  </si>
  <si>
    <t>20520</t>
  </si>
  <si>
    <t>20523</t>
  </si>
  <si>
    <t>St. Georgen am Längsee</t>
  </si>
  <si>
    <t>20527</t>
  </si>
  <si>
    <t>St. Veit an der Glan</t>
  </si>
  <si>
    <t>20530</t>
  </si>
  <si>
    <t>20531</t>
  </si>
  <si>
    <t>20534</t>
  </si>
  <si>
    <t>20601</t>
  </si>
  <si>
    <t>20602</t>
  </si>
  <si>
    <t>20603</t>
  </si>
  <si>
    <t>20604</t>
  </si>
  <si>
    <t>20605</t>
  </si>
  <si>
    <t>20607</t>
  </si>
  <si>
    <t>20608</t>
  </si>
  <si>
    <t>20609</t>
  </si>
  <si>
    <t>20610</t>
  </si>
  <si>
    <t>20611</t>
  </si>
  <si>
    <t>20613</t>
  </si>
  <si>
    <t>20616</t>
  </si>
  <si>
    <t>20618</t>
  </si>
  <si>
    <t>20619</t>
  </si>
  <si>
    <t>20620</t>
  </si>
  <si>
    <t>20622</t>
  </si>
  <si>
    <t>20624</t>
  </si>
  <si>
    <t>20625</t>
  </si>
  <si>
    <t>20627</t>
  </si>
  <si>
    <t>20630</t>
  </si>
  <si>
    <t>20631</t>
  </si>
  <si>
    <t>20632</t>
  </si>
  <si>
    <t>20633</t>
  </si>
  <si>
    <t>20634</t>
  </si>
  <si>
    <t>20635</t>
  </si>
  <si>
    <t>20636</t>
  </si>
  <si>
    <t>20637</t>
  </si>
  <si>
    <t>20638</t>
  </si>
  <si>
    <t>20639</t>
  </si>
  <si>
    <t>20640</t>
  </si>
  <si>
    <t>20642</t>
  </si>
  <si>
    <t>20643</t>
  </si>
  <si>
    <t>20644</t>
  </si>
  <si>
    <t>20701</t>
  </si>
  <si>
    <t>20702</t>
  </si>
  <si>
    <t>20703</t>
  </si>
  <si>
    <t>20705</t>
  </si>
  <si>
    <t>20707</t>
  </si>
  <si>
    <t>20708</t>
  </si>
  <si>
    <t>20710</t>
  </si>
  <si>
    <t>20711</t>
  </si>
  <si>
    <t>20712</t>
  </si>
  <si>
    <t>20713</t>
  </si>
  <si>
    <t>20719</t>
  </si>
  <si>
    <t>20720</t>
  </si>
  <si>
    <t>20721</t>
  </si>
  <si>
    <t>20722</t>
  </si>
  <si>
    <t>St. Jakob im Rosental</t>
  </si>
  <si>
    <t>20723</t>
  </si>
  <si>
    <t>20724</t>
  </si>
  <si>
    <t>20725</t>
  </si>
  <si>
    <t>20726</t>
  </si>
  <si>
    <t>20727</t>
  </si>
  <si>
    <t>20801</t>
  </si>
  <si>
    <t>20802</t>
  </si>
  <si>
    <t>20803</t>
  </si>
  <si>
    <t>20804</t>
  </si>
  <si>
    <t>20805</t>
  </si>
  <si>
    <t>20806</t>
  </si>
  <si>
    <t>20807</t>
  </si>
  <si>
    <t>20808</t>
  </si>
  <si>
    <t>20810</t>
  </si>
  <si>
    <t>20812</t>
  </si>
  <si>
    <t>20813</t>
  </si>
  <si>
    <t>St. Kanzian am Klopeiner See</t>
  </si>
  <si>
    <t>20815</t>
  </si>
  <si>
    <t>20817</t>
  </si>
  <si>
    <t>20901</t>
  </si>
  <si>
    <t>Bad St. Leonhard im Lavanttal</t>
  </si>
  <si>
    <t>20905</t>
  </si>
  <si>
    <t>Frantschach-St. Gertraud</t>
  </si>
  <si>
    <t>20909</t>
  </si>
  <si>
    <t>20911</t>
  </si>
  <si>
    <t>20912</t>
  </si>
  <si>
    <t>20913</t>
  </si>
  <si>
    <t>St. Andrä</t>
  </si>
  <si>
    <t>20914</t>
  </si>
  <si>
    <t>St. Georgen im Lavanttal</t>
  </si>
  <si>
    <t>20918</t>
  </si>
  <si>
    <t>St. Paul im Lavanttal</t>
  </si>
  <si>
    <t>20923</t>
  </si>
  <si>
    <t>21001</t>
  </si>
  <si>
    <t>21002</t>
  </si>
  <si>
    <t>21003</t>
  </si>
  <si>
    <t>21004</t>
  </si>
  <si>
    <t>21005</t>
  </si>
  <si>
    <t>21006</t>
  </si>
  <si>
    <t>21007</t>
  </si>
  <si>
    <t>21008</t>
  </si>
  <si>
    <t>St. Urban</t>
  </si>
  <si>
    <t>21009</t>
  </si>
  <si>
    <t>21010</t>
  </si>
  <si>
    <t>30101</t>
  </si>
  <si>
    <t>30201</t>
  </si>
  <si>
    <t>St. Pölten</t>
  </si>
  <si>
    <t>30301</t>
  </si>
  <si>
    <t>30401</t>
  </si>
  <si>
    <t>30501</t>
  </si>
  <si>
    <t>30502</t>
  </si>
  <si>
    <t>30503</t>
  </si>
  <si>
    <t>30504</t>
  </si>
  <si>
    <t>30506</t>
  </si>
  <si>
    <t>30507</t>
  </si>
  <si>
    <t>30508</t>
  </si>
  <si>
    <t>30509</t>
  </si>
  <si>
    <t>30510</t>
  </si>
  <si>
    <t>30511</t>
  </si>
  <si>
    <t>30512</t>
  </si>
  <si>
    <t>30514</t>
  </si>
  <si>
    <t>30515</t>
  </si>
  <si>
    <t>30516</t>
  </si>
  <si>
    <t>30517</t>
  </si>
  <si>
    <t>30520</t>
  </si>
  <si>
    <t>30521</t>
  </si>
  <si>
    <t>30522</t>
  </si>
  <si>
    <t>30524</t>
  </si>
  <si>
    <t>30526</t>
  </si>
  <si>
    <t>St. Georgen am Reith</t>
  </si>
  <si>
    <t>30527</t>
  </si>
  <si>
    <t>St. Georgen am Ybbsfelde</t>
  </si>
  <si>
    <t>30529</t>
  </si>
  <si>
    <t>St. Pantaleon-Erla</t>
  </si>
  <si>
    <t>30530</t>
  </si>
  <si>
    <t>St. Peter in der Au</t>
  </si>
  <si>
    <t>30531</t>
  </si>
  <si>
    <t>St. Valentin</t>
  </si>
  <si>
    <t>30532</t>
  </si>
  <si>
    <t>30533</t>
  </si>
  <si>
    <t>30534</t>
  </si>
  <si>
    <t>30536</t>
  </si>
  <si>
    <t>30538</t>
  </si>
  <si>
    <t>30539</t>
  </si>
  <si>
    <t>30541</t>
  </si>
  <si>
    <t>30542</t>
  </si>
  <si>
    <t>30543</t>
  </si>
  <si>
    <t>30544</t>
  </si>
  <si>
    <t>30601</t>
  </si>
  <si>
    <t>30602</t>
  </si>
  <si>
    <t>30603</t>
  </si>
  <si>
    <t>30604</t>
  </si>
  <si>
    <t>30605</t>
  </si>
  <si>
    <t>30607</t>
  </si>
  <si>
    <t>30608</t>
  </si>
  <si>
    <t>30609</t>
  </si>
  <si>
    <t>30612</t>
  </si>
  <si>
    <t>30613</t>
  </si>
  <si>
    <t>30614</t>
  </si>
  <si>
    <t>30615</t>
  </si>
  <si>
    <t>30616</t>
  </si>
  <si>
    <t>30618</t>
  </si>
  <si>
    <t>30620</t>
  </si>
  <si>
    <t>30621</t>
  </si>
  <si>
    <t>30623</t>
  </si>
  <si>
    <t>30625</t>
  </si>
  <si>
    <t>30626</t>
  </si>
  <si>
    <t>30627</t>
  </si>
  <si>
    <t>30629</t>
  </si>
  <si>
    <t>30631</t>
  </si>
  <si>
    <t>30633</t>
  </si>
  <si>
    <t>30635</t>
  </si>
  <si>
    <t>30636</t>
  </si>
  <si>
    <t>30637</t>
  </si>
  <si>
    <t>30639</t>
  </si>
  <si>
    <t>30641</t>
  </si>
  <si>
    <t>30645</t>
  </si>
  <si>
    <t>30646</t>
  </si>
  <si>
    <t>30701</t>
  </si>
  <si>
    <t>30702</t>
  </si>
  <si>
    <t>30703</t>
  </si>
  <si>
    <t>30704</t>
  </si>
  <si>
    <t>30706</t>
  </si>
  <si>
    <t>30708</t>
  </si>
  <si>
    <t>30709</t>
  </si>
  <si>
    <t>30710</t>
  </si>
  <si>
    <t>Hainburg a.d. Donau</t>
  </si>
  <si>
    <t>30711</t>
  </si>
  <si>
    <t>30712</t>
  </si>
  <si>
    <t>30713</t>
  </si>
  <si>
    <t>30715</t>
  </si>
  <si>
    <t>30716</t>
  </si>
  <si>
    <t>30718</t>
  </si>
  <si>
    <t>30719</t>
  </si>
  <si>
    <t>30721</t>
  </si>
  <si>
    <t>30722</t>
  </si>
  <si>
    <t>30724</t>
  </si>
  <si>
    <t>30726</t>
  </si>
  <si>
    <t>30728</t>
  </si>
  <si>
    <t>30801</t>
  </si>
  <si>
    <t>30802</t>
  </si>
  <si>
    <t>30803</t>
  </si>
  <si>
    <t>30804</t>
  </si>
  <si>
    <t>30805</t>
  </si>
  <si>
    <t>30808</t>
  </si>
  <si>
    <t>30810</t>
  </si>
  <si>
    <t>30811</t>
  </si>
  <si>
    <t>30812</t>
  </si>
  <si>
    <t>30813</t>
  </si>
  <si>
    <t>30814</t>
  </si>
  <si>
    <t>30817</t>
  </si>
  <si>
    <t>30819</t>
  </si>
  <si>
    <t>30821</t>
  </si>
  <si>
    <t>30822</t>
  </si>
  <si>
    <t>30824</t>
  </si>
  <si>
    <t>30825</t>
  </si>
  <si>
    <t>30826</t>
  </si>
  <si>
    <t>30827</t>
  </si>
  <si>
    <t>30828</t>
  </si>
  <si>
    <t>30829</t>
  </si>
  <si>
    <t>30830</t>
  </si>
  <si>
    <t>30831</t>
  </si>
  <si>
    <t>30834</t>
  </si>
  <si>
    <t>30835</t>
  </si>
  <si>
    <t>30836</t>
  </si>
  <si>
    <t>30838</t>
  </si>
  <si>
    <t>30841</t>
  </si>
  <si>
    <t>30842</t>
  </si>
  <si>
    <t>30844</t>
  </si>
  <si>
    <t>30845</t>
  </si>
  <si>
    <t>30846</t>
  </si>
  <si>
    <t>30848</t>
  </si>
  <si>
    <t>30849</t>
  </si>
  <si>
    <t>30850</t>
  </si>
  <si>
    <t>30852</t>
  </si>
  <si>
    <t>30854</t>
  </si>
  <si>
    <t>30856</t>
  </si>
  <si>
    <t>30857</t>
  </si>
  <si>
    <t>30858</t>
  </si>
  <si>
    <t>30859</t>
  </si>
  <si>
    <t>30860</t>
  </si>
  <si>
    <t>30863</t>
  </si>
  <si>
    <t>30865</t>
  </si>
  <si>
    <t>30902</t>
  </si>
  <si>
    <t>30903</t>
  </si>
  <si>
    <t>30904</t>
  </si>
  <si>
    <t>30906</t>
  </si>
  <si>
    <t>30908</t>
  </si>
  <si>
    <t>30909</t>
  </si>
  <si>
    <t>30910</t>
  </si>
  <si>
    <t>30912</t>
  </si>
  <si>
    <t>30913</t>
  </si>
  <si>
    <t>30915</t>
  </si>
  <si>
    <t>30916</t>
  </si>
  <si>
    <t>30917</t>
  </si>
  <si>
    <t>30920</t>
  </si>
  <si>
    <t>30921</t>
  </si>
  <si>
    <t>30925</t>
  </si>
  <si>
    <t>30929</t>
  </si>
  <si>
    <t>30932</t>
  </si>
  <si>
    <t>St. Martin</t>
  </si>
  <si>
    <t>30935</t>
  </si>
  <si>
    <t>30939</t>
  </si>
  <si>
    <t>30940</t>
  </si>
  <si>
    <t>30942</t>
  </si>
  <si>
    <t>31001</t>
  </si>
  <si>
    <t>31008</t>
  </si>
  <si>
    <t>31009</t>
  </si>
  <si>
    <t>31014</t>
  </si>
  <si>
    <t>31015</t>
  </si>
  <si>
    <t>31016</t>
  </si>
  <si>
    <t>31018</t>
  </si>
  <si>
    <t>31019</t>
  </si>
  <si>
    <t>31021</t>
  </si>
  <si>
    <t>Hohenwarth-Mühlbach a.M.</t>
  </si>
  <si>
    <t>31022</t>
  </si>
  <si>
    <t>31025</t>
  </si>
  <si>
    <t>31026</t>
  </si>
  <si>
    <t>31028</t>
  </si>
  <si>
    <t>31033</t>
  </si>
  <si>
    <t>31035</t>
  </si>
  <si>
    <t>31036</t>
  </si>
  <si>
    <t>31037</t>
  </si>
  <si>
    <t>31038</t>
  </si>
  <si>
    <t>31041</t>
  </si>
  <si>
    <t>31042</t>
  </si>
  <si>
    <t>31043</t>
  </si>
  <si>
    <t>31051</t>
  </si>
  <si>
    <t>31052</t>
  </si>
  <si>
    <t>31053</t>
  </si>
  <si>
    <t>31101</t>
  </si>
  <si>
    <t>31102</t>
  </si>
  <si>
    <t>31103</t>
  </si>
  <si>
    <t>31104</t>
  </si>
  <si>
    <t>31105</t>
  </si>
  <si>
    <t>31106</t>
  </si>
  <si>
    <t>31107</t>
  </si>
  <si>
    <t>31109</t>
  </si>
  <si>
    <t>31110</t>
  </si>
  <si>
    <t>31111</t>
  </si>
  <si>
    <t>31113</t>
  </si>
  <si>
    <t>31114</t>
  </si>
  <si>
    <t>31117</t>
  </si>
  <si>
    <t>31119</t>
  </si>
  <si>
    <t>31120</t>
  </si>
  <si>
    <t>31121</t>
  </si>
  <si>
    <t>31123</t>
  </si>
  <si>
    <t>St. Bernhard-Frauenhofen</t>
  </si>
  <si>
    <t>31124</t>
  </si>
  <si>
    <t>31129</t>
  </si>
  <si>
    <t>31130</t>
  </si>
  <si>
    <t>31201</t>
  </si>
  <si>
    <t>31202</t>
  </si>
  <si>
    <t>31203</t>
  </si>
  <si>
    <t>31204</t>
  </si>
  <si>
    <t>31205</t>
  </si>
  <si>
    <t>31206</t>
  </si>
  <si>
    <t>31207</t>
  </si>
  <si>
    <t>31208</t>
  </si>
  <si>
    <t>31213</t>
  </si>
  <si>
    <t>31214</t>
  </si>
  <si>
    <t>31215</t>
  </si>
  <si>
    <t>31216</t>
  </si>
  <si>
    <t>31224</t>
  </si>
  <si>
    <t>31226</t>
  </si>
  <si>
    <t>31227</t>
  </si>
  <si>
    <t>31228</t>
  </si>
  <si>
    <t>31229</t>
  </si>
  <si>
    <t>31230</t>
  </si>
  <si>
    <t>31234</t>
  </si>
  <si>
    <t>31301</t>
  </si>
  <si>
    <t>31302</t>
  </si>
  <si>
    <t>31303</t>
  </si>
  <si>
    <t>31304</t>
  </si>
  <si>
    <t>31308</t>
  </si>
  <si>
    <t>31309</t>
  </si>
  <si>
    <t>31310</t>
  </si>
  <si>
    <t>31311</t>
  </si>
  <si>
    <t>31315</t>
  </si>
  <si>
    <t>31319</t>
  </si>
  <si>
    <t>31321</t>
  </si>
  <si>
    <t>31322</t>
  </si>
  <si>
    <t>31323</t>
  </si>
  <si>
    <t>31324</t>
  </si>
  <si>
    <t>31326</t>
  </si>
  <si>
    <t>31327</t>
  </si>
  <si>
    <t>31330</t>
  </si>
  <si>
    <t>31333</t>
  </si>
  <si>
    <t>31336</t>
  </si>
  <si>
    <t>31337</t>
  </si>
  <si>
    <t>31338</t>
  </si>
  <si>
    <t>31340</t>
  </si>
  <si>
    <t>St. Leonhard am Hornerwald</t>
  </si>
  <si>
    <t>31343</t>
  </si>
  <si>
    <t>31344</t>
  </si>
  <si>
    <t>31346</t>
  </si>
  <si>
    <t>31347</t>
  </si>
  <si>
    <t>31350</t>
  </si>
  <si>
    <t>31351</t>
  </si>
  <si>
    <t>31355</t>
  </si>
  <si>
    <t>31356</t>
  </si>
  <si>
    <t>31401</t>
  </si>
  <si>
    <t>31402</t>
  </si>
  <si>
    <t>31403</t>
  </si>
  <si>
    <t>31404</t>
  </si>
  <si>
    <t>31405</t>
  </si>
  <si>
    <t>31406</t>
  </si>
  <si>
    <t>31407</t>
  </si>
  <si>
    <t>31408</t>
  </si>
  <si>
    <t>31409</t>
  </si>
  <si>
    <t>31410</t>
  </si>
  <si>
    <t>31411</t>
  </si>
  <si>
    <t>St. Aegyd am Neuwalde</t>
  </si>
  <si>
    <t>31412</t>
  </si>
  <si>
    <t>St. Veit an der Gölsen</t>
  </si>
  <si>
    <t>31413</t>
  </si>
  <si>
    <t>31414</t>
  </si>
  <si>
    <t>31502</t>
  </si>
  <si>
    <t>31503</t>
  </si>
  <si>
    <t>31504</t>
  </si>
  <si>
    <t>31505</t>
  </si>
  <si>
    <t>31506</t>
  </si>
  <si>
    <t>31507</t>
  </si>
  <si>
    <t>31508</t>
  </si>
  <si>
    <t>31509</t>
  </si>
  <si>
    <t>31511</t>
  </si>
  <si>
    <t>31513</t>
  </si>
  <si>
    <t>31514</t>
  </si>
  <si>
    <t>31515</t>
  </si>
  <si>
    <t>31516</t>
  </si>
  <si>
    <t>31517</t>
  </si>
  <si>
    <t>31519</t>
  </si>
  <si>
    <t>31520</t>
  </si>
  <si>
    <t>31521</t>
  </si>
  <si>
    <t>31522</t>
  </si>
  <si>
    <t>31523</t>
  </si>
  <si>
    <t>31524</t>
  </si>
  <si>
    <t>31525</t>
  </si>
  <si>
    <t>31527</t>
  </si>
  <si>
    <t>31528</t>
  </si>
  <si>
    <t>31530</t>
  </si>
  <si>
    <t>31531</t>
  </si>
  <si>
    <t>31533</t>
  </si>
  <si>
    <t>31534</t>
  </si>
  <si>
    <t>31535</t>
  </si>
  <si>
    <t>31537</t>
  </si>
  <si>
    <t>31539</t>
  </si>
  <si>
    <t>St. Leonhard am Forst</t>
  </si>
  <si>
    <t>31540</t>
  </si>
  <si>
    <t>St. Martin-Karlsbach</t>
  </si>
  <si>
    <t>31541</t>
  </si>
  <si>
    <t>St. Oswald</t>
  </si>
  <si>
    <t>31542</t>
  </si>
  <si>
    <t>31543</t>
  </si>
  <si>
    <t>31546</t>
  </si>
  <si>
    <t>31549</t>
  </si>
  <si>
    <t>31550</t>
  </si>
  <si>
    <t>31551</t>
  </si>
  <si>
    <t>31552</t>
  </si>
  <si>
    <t>31553</t>
  </si>
  <si>
    <t>31601</t>
  </si>
  <si>
    <t>31603</t>
  </si>
  <si>
    <t>31604</t>
  </si>
  <si>
    <t>31605</t>
  </si>
  <si>
    <t>31606</t>
  </si>
  <si>
    <t>31608</t>
  </si>
  <si>
    <t>31609</t>
  </si>
  <si>
    <t>31611</t>
  </si>
  <si>
    <t>31612</t>
  </si>
  <si>
    <t>31613</t>
  </si>
  <si>
    <t>31614</t>
  </si>
  <si>
    <t>31615</t>
  </si>
  <si>
    <t>31616</t>
  </si>
  <si>
    <t>31617</t>
  </si>
  <si>
    <t>31620</t>
  </si>
  <si>
    <t>31621</t>
  </si>
  <si>
    <t>31622</t>
  </si>
  <si>
    <t>31627</t>
  </si>
  <si>
    <t>31628</t>
  </si>
  <si>
    <t>31629</t>
  </si>
  <si>
    <t>31630</t>
  </si>
  <si>
    <t>31633</t>
  </si>
  <si>
    <t>31634</t>
  </si>
  <si>
    <t>31636</t>
  </si>
  <si>
    <t>31642</t>
  </si>
  <si>
    <t>31644</t>
  </si>
  <si>
    <t>31645</t>
  </si>
  <si>
    <t>31646</t>
  </si>
  <si>
    <t>31649</t>
  </si>
  <si>
    <t>31650</t>
  </si>
  <si>
    <t>31651</t>
  </si>
  <si>
    <t>31652</t>
  </si>
  <si>
    <t>31653</t>
  </si>
  <si>
    <t>31654</t>
  </si>
  <si>
    <t>31655</t>
  </si>
  <si>
    <t>31658</t>
  </si>
  <si>
    <t>31701</t>
  </si>
  <si>
    <t>31702</t>
  </si>
  <si>
    <t>31703</t>
  </si>
  <si>
    <t>31704</t>
  </si>
  <si>
    <t>31706</t>
  </si>
  <si>
    <t>31707</t>
  </si>
  <si>
    <t>31709</t>
  </si>
  <si>
    <t>31710</t>
  </si>
  <si>
    <t>31711</t>
  </si>
  <si>
    <t>31712</t>
  </si>
  <si>
    <t>31713</t>
  </si>
  <si>
    <t>31714</t>
  </si>
  <si>
    <t>31715</t>
  </si>
  <si>
    <t>31716</t>
  </si>
  <si>
    <t>31717</t>
  </si>
  <si>
    <t>31718</t>
  </si>
  <si>
    <t>31719</t>
  </si>
  <si>
    <t>31723</t>
  </si>
  <si>
    <t>31725</t>
  </si>
  <si>
    <t>31726</t>
  </si>
  <si>
    <t>31801</t>
  </si>
  <si>
    <t>31802</t>
  </si>
  <si>
    <t>31803</t>
  </si>
  <si>
    <t>Aspangberg-St. Peter</t>
  </si>
  <si>
    <t>31804</t>
  </si>
  <si>
    <t>31805</t>
  </si>
  <si>
    <t>31806</t>
  </si>
  <si>
    <t>31807</t>
  </si>
  <si>
    <t>31808</t>
  </si>
  <si>
    <t>31809</t>
  </si>
  <si>
    <t>31810</t>
  </si>
  <si>
    <t>31811</t>
  </si>
  <si>
    <t>Grafenbach-St. Valentin</t>
  </si>
  <si>
    <t>31812</t>
  </si>
  <si>
    <t>31813</t>
  </si>
  <si>
    <t>31814</t>
  </si>
  <si>
    <t>31815</t>
  </si>
  <si>
    <t>31817</t>
  </si>
  <si>
    <t>31818</t>
  </si>
  <si>
    <t>31820</t>
  </si>
  <si>
    <t>31821</t>
  </si>
  <si>
    <t>31823</t>
  </si>
  <si>
    <t>31825</t>
  </si>
  <si>
    <t>31826</t>
  </si>
  <si>
    <t>31827</t>
  </si>
  <si>
    <t>31829</t>
  </si>
  <si>
    <t>31830</t>
  </si>
  <si>
    <t>St. Corona am Wechsel</t>
  </si>
  <si>
    <t>31831</t>
  </si>
  <si>
    <t>St. Egyden am Steinfeld</t>
  </si>
  <si>
    <t>31832</t>
  </si>
  <si>
    <t>31833</t>
  </si>
  <si>
    <t>31834</t>
  </si>
  <si>
    <t>31835</t>
  </si>
  <si>
    <t>31836</t>
  </si>
  <si>
    <t>31837</t>
  </si>
  <si>
    <t>31838</t>
  </si>
  <si>
    <t>31839</t>
  </si>
  <si>
    <t>31840</t>
  </si>
  <si>
    <t>31841</t>
  </si>
  <si>
    <t>31842</t>
  </si>
  <si>
    <t>31843</t>
  </si>
  <si>
    <t>31844</t>
  </si>
  <si>
    <t>31845</t>
  </si>
  <si>
    <t>31846</t>
  </si>
  <si>
    <t>31847</t>
  </si>
  <si>
    <t>31848</t>
  </si>
  <si>
    <t>31849</t>
  </si>
  <si>
    <t>31901</t>
  </si>
  <si>
    <t>31902</t>
  </si>
  <si>
    <t>31903</t>
  </si>
  <si>
    <t>31904</t>
  </si>
  <si>
    <t>31905</t>
  </si>
  <si>
    <t>31906</t>
  </si>
  <si>
    <t>31907</t>
  </si>
  <si>
    <t>31909</t>
  </si>
  <si>
    <t>31910</t>
  </si>
  <si>
    <t>31911</t>
  </si>
  <si>
    <t>31912</t>
  </si>
  <si>
    <t>31913</t>
  </si>
  <si>
    <t>31915</t>
  </si>
  <si>
    <t>31916</t>
  </si>
  <si>
    <t>31917</t>
  </si>
  <si>
    <t>31918</t>
  </si>
  <si>
    <t>31919</t>
  </si>
  <si>
    <t>31920</t>
  </si>
  <si>
    <t>31921</t>
  </si>
  <si>
    <t>31922</t>
  </si>
  <si>
    <t>31923</t>
  </si>
  <si>
    <t>31925</t>
  </si>
  <si>
    <t>31926</t>
  </si>
  <si>
    <t>31927</t>
  </si>
  <si>
    <t>31928</t>
  </si>
  <si>
    <t>31929</t>
  </si>
  <si>
    <t>31930</t>
  </si>
  <si>
    <t>31932</t>
  </si>
  <si>
    <t>31934</t>
  </si>
  <si>
    <t>31935</t>
  </si>
  <si>
    <t>31938</t>
  </si>
  <si>
    <t>St. Margarethen an der Sierning</t>
  </si>
  <si>
    <t>31939</t>
  </si>
  <si>
    <t>31940</t>
  </si>
  <si>
    <t>31941</t>
  </si>
  <si>
    <t>31943</t>
  </si>
  <si>
    <t>31945</t>
  </si>
  <si>
    <t>31946</t>
  </si>
  <si>
    <t>Perschling</t>
  </si>
  <si>
    <t>31947</t>
  </si>
  <si>
    <t>31948</t>
  </si>
  <si>
    <t>32001</t>
  </si>
  <si>
    <t>32002</t>
  </si>
  <si>
    <t>32003</t>
  </si>
  <si>
    <t>32004</t>
  </si>
  <si>
    <t>32005</t>
  </si>
  <si>
    <t>32006</t>
  </si>
  <si>
    <t>32007</t>
  </si>
  <si>
    <t>32008</t>
  </si>
  <si>
    <t>32009</t>
  </si>
  <si>
    <t>32010</t>
  </si>
  <si>
    <t>32011</t>
  </si>
  <si>
    <t>St. Anton an der Jeßnitz</t>
  </si>
  <si>
    <t>32012</t>
  </si>
  <si>
    <t>St. Georgen an der Leys</t>
  </si>
  <si>
    <t>32013</t>
  </si>
  <si>
    <t>32014</t>
  </si>
  <si>
    <t>32015</t>
  </si>
  <si>
    <t>32016</t>
  </si>
  <si>
    <t>32017</t>
  </si>
  <si>
    <t>32018</t>
  </si>
  <si>
    <t>32101</t>
  </si>
  <si>
    <t>32104</t>
  </si>
  <si>
    <t>32106</t>
  </si>
  <si>
    <t>32107</t>
  </si>
  <si>
    <t>32109</t>
  </si>
  <si>
    <t>32110</t>
  </si>
  <si>
    <t>32112</t>
  </si>
  <si>
    <t>32114</t>
  </si>
  <si>
    <t>32115</t>
  </si>
  <si>
    <t>32116</t>
  </si>
  <si>
    <t>32119</t>
  </si>
  <si>
    <t>32120</t>
  </si>
  <si>
    <t>32131</t>
  </si>
  <si>
    <t>32132</t>
  </si>
  <si>
    <t>32134</t>
  </si>
  <si>
    <t>32135</t>
  </si>
  <si>
    <t>32139</t>
  </si>
  <si>
    <t>32140</t>
  </si>
  <si>
    <t>32141</t>
  </si>
  <si>
    <t>32142</t>
  </si>
  <si>
    <t>St. Andrä-Wördern</t>
  </si>
  <si>
    <t>32143</t>
  </si>
  <si>
    <t>32202</t>
  </si>
  <si>
    <t>32203</t>
  </si>
  <si>
    <t>32206</t>
  </si>
  <si>
    <t>32207</t>
  </si>
  <si>
    <t>32209</t>
  </si>
  <si>
    <t>32210</t>
  </si>
  <si>
    <t>32212</t>
  </si>
  <si>
    <t>32214</t>
  </si>
  <si>
    <t>Pfaffenschlag bei Waidhofen a.d.Thaya</t>
  </si>
  <si>
    <t>32216</t>
  </si>
  <si>
    <t>32217</t>
  </si>
  <si>
    <t>32219</t>
  </si>
  <si>
    <t>32220</t>
  </si>
  <si>
    <t>32221</t>
  </si>
  <si>
    <t>32222</t>
  </si>
  <si>
    <t>32223</t>
  </si>
  <si>
    <t>32301</t>
  </si>
  <si>
    <t>32302</t>
  </si>
  <si>
    <t>32304</t>
  </si>
  <si>
    <t>32305</t>
  </si>
  <si>
    <t>32306</t>
  </si>
  <si>
    <t>32307</t>
  </si>
  <si>
    <t>32308</t>
  </si>
  <si>
    <t>32309</t>
  </si>
  <si>
    <t>32310</t>
  </si>
  <si>
    <t>32311</t>
  </si>
  <si>
    <t>32312</t>
  </si>
  <si>
    <t>32313</t>
  </si>
  <si>
    <t>32314</t>
  </si>
  <si>
    <t>32315</t>
  </si>
  <si>
    <t>32316</t>
  </si>
  <si>
    <t>32317</t>
  </si>
  <si>
    <t>32318</t>
  </si>
  <si>
    <t>32319</t>
  </si>
  <si>
    <t>32320</t>
  </si>
  <si>
    <t>32321</t>
  </si>
  <si>
    <t>32322</t>
  </si>
  <si>
    <t>32323</t>
  </si>
  <si>
    <t>32324</t>
  </si>
  <si>
    <t>32325</t>
  </si>
  <si>
    <t>32326</t>
  </si>
  <si>
    <t>32327</t>
  </si>
  <si>
    <t>32330</t>
  </si>
  <si>
    <t>32331</t>
  </si>
  <si>
    <t>32332</t>
  </si>
  <si>
    <t>32333</t>
  </si>
  <si>
    <t>32334</t>
  </si>
  <si>
    <t>32335</t>
  </si>
  <si>
    <t>32336</t>
  </si>
  <si>
    <t>32337</t>
  </si>
  <si>
    <t>32338</t>
  </si>
  <si>
    <t>32401</t>
  </si>
  <si>
    <t>32402</t>
  </si>
  <si>
    <t>32403</t>
  </si>
  <si>
    <t>32404</t>
  </si>
  <si>
    <t>32405</t>
  </si>
  <si>
    <t>32406</t>
  </si>
  <si>
    <t>32407</t>
  </si>
  <si>
    <t>32408</t>
  </si>
  <si>
    <t>32409</t>
  </si>
  <si>
    <t>32410</t>
  </si>
  <si>
    <t>32411</t>
  </si>
  <si>
    <t>32412</t>
  </si>
  <si>
    <t>32413</t>
  </si>
  <si>
    <t>32415</t>
  </si>
  <si>
    <t>32416</t>
  </si>
  <si>
    <t>32417</t>
  </si>
  <si>
    <t>32418</t>
  </si>
  <si>
    <t>32419</t>
  </si>
  <si>
    <t>32421</t>
  </si>
  <si>
    <t>32423</t>
  </si>
  <si>
    <t>32424</t>
  </si>
  <si>
    <t>32501</t>
  </si>
  <si>
    <t>32502</t>
  </si>
  <si>
    <t>32503</t>
  </si>
  <si>
    <t>32504</t>
  </si>
  <si>
    <t>32505</t>
  </si>
  <si>
    <t>32506</t>
  </si>
  <si>
    <t>32508</t>
  </si>
  <si>
    <t>32509</t>
  </si>
  <si>
    <t>32511</t>
  </si>
  <si>
    <t>32514</t>
  </si>
  <si>
    <t>32515</t>
  </si>
  <si>
    <t>32516</t>
  </si>
  <si>
    <t>32517</t>
  </si>
  <si>
    <t>32518</t>
  </si>
  <si>
    <t>32519</t>
  </si>
  <si>
    <t>32520</t>
  </si>
  <si>
    <t>32521</t>
  </si>
  <si>
    <t>32522</t>
  </si>
  <si>
    <t>32523</t>
  </si>
  <si>
    <t>32524</t>
  </si>
  <si>
    <t>32525</t>
  </si>
  <si>
    <t>32528</t>
  </si>
  <si>
    <t>32529</t>
  </si>
  <si>
    <t>32530</t>
  </si>
  <si>
    <t>40101</t>
  </si>
  <si>
    <t>40201</t>
  </si>
  <si>
    <t>40301</t>
  </si>
  <si>
    <t>40401</t>
  </si>
  <si>
    <t>40402</t>
  </si>
  <si>
    <t>40403</t>
  </si>
  <si>
    <t>40404</t>
  </si>
  <si>
    <t>40405</t>
  </si>
  <si>
    <t>40406</t>
  </si>
  <si>
    <t>40407</t>
  </si>
  <si>
    <t>40408</t>
  </si>
  <si>
    <t>40409</t>
  </si>
  <si>
    <t>40410</t>
  </si>
  <si>
    <t>40411</t>
  </si>
  <si>
    <t>40412</t>
  </si>
  <si>
    <t>40413</t>
  </si>
  <si>
    <t>40414</t>
  </si>
  <si>
    <t>40415</t>
  </si>
  <si>
    <t>40416</t>
  </si>
  <si>
    <t>40417</t>
  </si>
  <si>
    <t>40418</t>
  </si>
  <si>
    <t>40419</t>
  </si>
  <si>
    <t>40420</t>
  </si>
  <si>
    <t>40421</t>
  </si>
  <si>
    <t>40422</t>
  </si>
  <si>
    <t>40423</t>
  </si>
  <si>
    <t>40424</t>
  </si>
  <si>
    <t>40425</t>
  </si>
  <si>
    <t>40426</t>
  </si>
  <si>
    <t>40427</t>
  </si>
  <si>
    <t>40428</t>
  </si>
  <si>
    <t>40429</t>
  </si>
  <si>
    <t>40430</t>
  </si>
  <si>
    <t>40431</t>
  </si>
  <si>
    <t>40432</t>
  </si>
  <si>
    <t>40433</t>
  </si>
  <si>
    <t>40434</t>
  </si>
  <si>
    <t>40435</t>
  </si>
  <si>
    <t>St. Georgen am Fillmannsbach</t>
  </si>
  <si>
    <t>40436</t>
  </si>
  <si>
    <t>St. Johann am Walde</t>
  </si>
  <si>
    <t>40437</t>
  </si>
  <si>
    <t>St. Pantaleon</t>
  </si>
  <si>
    <t>40438</t>
  </si>
  <si>
    <t>St. Peter am Hart</t>
  </si>
  <si>
    <t>40439</t>
  </si>
  <si>
    <t>St. Radegund</t>
  </si>
  <si>
    <t>40440</t>
  </si>
  <si>
    <t>St. Veit im Innkreis</t>
  </si>
  <si>
    <t>40441</t>
  </si>
  <si>
    <t>40442</t>
  </si>
  <si>
    <t>40443</t>
  </si>
  <si>
    <t>40444</t>
  </si>
  <si>
    <t>40445</t>
  </si>
  <si>
    <t>40446</t>
  </si>
  <si>
    <t>40501</t>
  </si>
  <si>
    <t>40502</t>
  </si>
  <si>
    <t>40503</t>
  </si>
  <si>
    <t>40504</t>
  </si>
  <si>
    <t>40505</t>
  </si>
  <si>
    <t>40506</t>
  </si>
  <si>
    <t>40507</t>
  </si>
  <si>
    <t>40508</t>
  </si>
  <si>
    <t>40509</t>
  </si>
  <si>
    <t>40510</t>
  </si>
  <si>
    <t>St. Marienkirchen an der Polsenz</t>
  </si>
  <si>
    <t>40511</t>
  </si>
  <si>
    <t>40512</t>
  </si>
  <si>
    <t>40601</t>
  </si>
  <si>
    <t>40602</t>
  </si>
  <si>
    <t>40603</t>
  </si>
  <si>
    <t>40604</t>
  </si>
  <si>
    <t>40605</t>
  </si>
  <si>
    <t>40606</t>
  </si>
  <si>
    <t>40607</t>
  </si>
  <si>
    <t>40608</t>
  </si>
  <si>
    <t>40609</t>
  </si>
  <si>
    <t>40610</t>
  </si>
  <si>
    <t>40611</t>
  </si>
  <si>
    <t>40612</t>
  </si>
  <si>
    <t>40613</t>
  </si>
  <si>
    <t>40614</t>
  </si>
  <si>
    <t>40615</t>
  </si>
  <si>
    <t>40616</t>
  </si>
  <si>
    <t>40617</t>
  </si>
  <si>
    <t>St. Leonhard bei Freistadt</t>
  </si>
  <si>
    <t>40618</t>
  </si>
  <si>
    <t>St. Oswald bei Freistadt</t>
  </si>
  <si>
    <t>40619</t>
  </si>
  <si>
    <t>40620</t>
  </si>
  <si>
    <t>40621</t>
  </si>
  <si>
    <t>40622</t>
  </si>
  <si>
    <t>40623</t>
  </si>
  <si>
    <t>40624</t>
  </si>
  <si>
    <t>40625</t>
  </si>
  <si>
    <t>40626</t>
  </si>
  <si>
    <t>40627</t>
  </si>
  <si>
    <t>40701</t>
  </si>
  <si>
    <t>40702</t>
  </si>
  <si>
    <t>40703</t>
  </si>
  <si>
    <t>40704</t>
  </si>
  <si>
    <t>40705</t>
  </si>
  <si>
    <t>40706</t>
  </si>
  <si>
    <t>40707</t>
  </si>
  <si>
    <t>40708</t>
  </si>
  <si>
    <t>40709</t>
  </si>
  <si>
    <t>40710</t>
  </si>
  <si>
    <t>40711</t>
  </si>
  <si>
    <t>40712</t>
  </si>
  <si>
    <t>40713</t>
  </si>
  <si>
    <t>40714</t>
  </si>
  <si>
    <t>40715</t>
  </si>
  <si>
    <t>40716</t>
  </si>
  <si>
    <t>St. Konrad</t>
  </si>
  <si>
    <t>40717</t>
  </si>
  <si>
    <t>St. Wolfgang im Salzkammergut</t>
  </si>
  <si>
    <t>40718</t>
  </si>
  <si>
    <t>40719</t>
  </si>
  <si>
    <t>40720</t>
  </si>
  <si>
    <t>40801</t>
  </si>
  <si>
    <t>40802</t>
  </si>
  <si>
    <t>40803</t>
  </si>
  <si>
    <t>40804</t>
  </si>
  <si>
    <t>40805</t>
  </si>
  <si>
    <t>40806</t>
  </si>
  <si>
    <t>40807</t>
  </si>
  <si>
    <t>40808</t>
  </si>
  <si>
    <t>40809</t>
  </si>
  <si>
    <t>40810</t>
  </si>
  <si>
    <t>40811</t>
  </si>
  <si>
    <t>40812</t>
  </si>
  <si>
    <t>40813</t>
  </si>
  <si>
    <t>40814</t>
  </si>
  <si>
    <t>40815</t>
  </si>
  <si>
    <t>40816</t>
  </si>
  <si>
    <t>40817</t>
  </si>
  <si>
    <t>40818</t>
  </si>
  <si>
    <t>40819</t>
  </si>
  <si>
    <t>40820</t>
  </si>
  <si>
    <t>40821</t>
  </si>
  <si>
    <t>40822</t>
  </si>
  <si>
    <t>40823</t>
  </si>
  <si>
    <t>40824</t>
  </si>
  <si>
    <t>St. Agatha</t>
  </si>
  <si>
    <t>40825</t>
  </si>
  <si>
    <t>St. Georgen bei Grieskirchen</t>
  </si>
  <si>
    <t>40826</t>
  </si>
  <si>
    <t>St. Thomas</t>
  </si>
  <si>
    <t>40827</t>
  </si>
  <si>
    <t>40828</t>
  </si>
  <si>
    <t>40829</t>
  </si>
  <si>
    <t>40830</t>
  </si>
  <si>
    <t>40831</t>
  </si>
  <si>
    <t>40832</t>
  </si>
  <si>
    <t>40833</t>
  </si>
  <si>
    <t>40834</t>
  </si>
  <si>
    <t>40901</t>
  </si>
  <si>
    <t>40902</t>
  </si>
  <si>
    <t>40903</t>
  </si>
  <si>
    <t>40904</t>
  </si>
  <si>
    <t>40905</t>
  </si>
  <si>
    <t>40906</t>
  </si>
  <si>
    <t>40907</t>
  </si>
  <si>
    <t>40908</t>
  </si>
  <si>
    <t>40909</t>
  </si>
  <si>
    <t>40910</t>
  </si>
  <si>
    <t>40911</t>
  </si>
  <si>
    <t>40912</t>
  </si>
  <si>
    <t>40913</t>
  </si>
  <si>
    <t>40914</t>
  </si>
  <si>
    <t>40915</t>
  </si>
  <si>
    <t>40916</t>
  </si>
  <si>
    <t>St. Pankraz</t>
  </si>
  <si>
    <t>40917</t>
  </si>
  <si>
    <t>40918</t>
  </si>
  <si>
    <t>40919</t>
  </si>
  <si>
    <t>40920</t>
  </si>
  <si>
    <t>40921</t>
  </si>
  <si>
    <t>40922</t>
  </si>
  <si>
    <t>40923</t>
  </si>
  <si>
    <t>41001</t>
  </si>
  <si>
    <t>41002</t>
  </si>
  <si>
    <t>41003</t>
  </si>
  <si>
    <t>41004</t>
  </si>
  <si>
    <t>41005</t>
  </si>
  <si>
    <t>41006</t>
  </si>
  <si>
    <t>41007</t>
  </si>
  <si>
    <t>41008</t>
  </si>
  <si>
    <t>41009</t>
  </si>
  <si>
    <t>41010</t>
  </si>
  <si>
    <t>41011</t>
  </si>
  <si>
    <t>41012</t>
  </si>
  <si>
    <t>41013</t>
  </si>
  <si>
    <t>St. Florian</t>
  </si>
  <si>
    <t>41014</t>
  </si>
  <si>
    <t>41015</t>
  </si>
  <si>
    <t>41016</t>
  </si>
  <si>
    <t>41017</t>
  </si>
  <si>
    <t>41018</t>
  </si>
  <si>
    <t>41019</t>
  </si>
  <si>
    <t>41020</t>
  </si>
  <si>
    <t>St. Marien</t>
  </si>
  <si>
    <t>41021</t>
  </si>
  <si>
    <t>41022</t>
  </si>
  <si>
    <t>41101</t>
  </si>
  <si>
    <t>41102</t>
  </si>
  <si>
    <t>41103</t>
  </si>
  <si>
    <t>41104</t>
  </si>
  <si>
    <t>41105</t>
  </si>
  <si>
    <t>41106</t>
  </si>
  <si>
    <t>41107</t>
  </si>
  <si>
    <t>41108</t>
  </si>
  <si>
    <t>41109</t>
  </si>
  <si>
    <t>41110</t>
  </si>
  <si>
    <t>41111</t>
  </si>
  <si>
    <t>41112</t>
  </si>
  <si>
    <t>41113</t>
  </si>
  <si>
    <t>41114</t>
  </si>
  <si>
    <t>41115</t>
  </si>
  <si>
    <t>41116</t>
  </si>
  <si>
    <t>41117</t>
  </si>
  <si>
    <t>41118</t>
  </si>
  <si>
    <t>41119</t>
  </si>
  <si>
    <t>St. Georgen am Walde</t>
  </si>
  <si>
    <t>41120</t>
  </si>
  <si>
    <t>St. Georgen an der Gusen</t>
  </si>
  <si>
    <t>41121</t>
  </si>
  <si>
    <t>St. Nikola an der Donau</t>
  </si>
  <si>
    <t>41122</t>
  </si>
  <si>
    <t>St. Thomas am Blasenstein</t>
  </si>
  <si>
    <t>41123</t>
  </si>
  <si>
    <t>41124</t>
  </si>
  <si>
    <t>41125</t>
  </si>
  <si>
    <t>41126</t>
  </si>
  <si>
    <t>41201</t>
  </si>
  <si>
    <t>41202</t>
  </si>
  <si>
    <t>41203</t>
  </si>
  <si>
    <t>41204</t>
  </si>
  <si>
    <t>41205</t>
  </si>
  <si>
    <t>41206</t>
  </si>
  <si>
    <t>41207</t>
  </si>
  <si>
    <t>41208</t>
  </si>
  <si>
    <t>41209</t>
  </si>
  <si>
    <t>41210</t>
  </si>
  <si>
    <t>41211</t>
  </si>
  <si>
    <t>41212</t>
  </si>
  <si>
    <t>41213</t>
  </si>
  <si>
    <t>41214</t>
  </si>
  <si>
    <t>41215</t>
  </si>
  <si>
    <t>41216</t>
  </si>
  <si>
    <t>41217</t>
  </si>
  <si>
    <t>41218</t>
  </si>
  <si>
    <t>41219</t>
  </si>
  <si>
    <t>41220</t>
  </si>
  <si>
    <t>41221</t>
  </si>
  <si>
    <t>41222</t>
  </si>
  <si>
    <t>41223</t>
  </si>
  <si>
    <t>41224</t>
  </si>
  <si>
    <t>41225</t>
  </si>
  <si>
    <t>41226</t>
  </si>
  <si>
    <t>St. Georgen bei Obernberg am Inn</t>
  </si>
  <si>
    <t>41227</t>
  </si>
  <si>
    <t>St. Marienkirchen am Hausruck</t>
  </si>
  <si>
    <t>41228</t>
  </si>
  <si>
    <t>St. Martin im Innkreis</t>
  </si>
  <si>
    <t>41229</t>
  </si>
  <si>
    <t>41230</t>
  </si>
  <si>
    <t>41231</t>
  </si>
  <si>
    <t>41232</t>
  </si>
  <si>
    <t>41233</t>
  </si>
  <si>
    <t>41234</t>
  </si>
  <si>
    <t>41235</t>
  </si>
  <si>
    <t>41236</t>
  </si>
  <si>
    <t>41301</t>
  </si>
  <si>
    <t>41302</t>
  </si>
  <si>
    <t>41304</t>
  </si>
  <si>
    <t>41305</t>
  </si>
  <si>
    <t>41306</t>
  </si>
  <si>
    <t>41307</t>
  </si>
  <si>
    <t>41309</t>
  </si>
  <si>
    <t>41310</t>
  </si>
  <si>
    <t>41311</t>
  </si>
  <si>
    <t>41312</t>
  </si>
  <si>
    <t>41313</t>
  </si>
  <si>
    <t>41314</t>
  </si>
  <si>
    <t>41315</t>
  </si>
  <si>
    <t>41316</t>
  </si>
  <si>
    <t>41317</t>
  </si>
  <si>
    <t>41318</t>
  </si>
  <si>
    <t>41319</t>
  </si>
  <si>
    <t>41320</t>
  </si>
  <si>
    <t>41321</t>
  </si>
  <si>
    <t>41322</t>
  </si>
  <si>
    <t>41323</t>
  </si>
  <si>
    <t>41324</t>
  </si>
  <si>
    <t>41325</t>
  </si>
  <si>
    <t>41326</t>
  </si>
  <si>
    <t>41327</t>
  </si>
  <si>
    <t>41328</t>
  </si>
  <si>
    <t>41329</t>
  </si>
  <si>
    <t>41331</t>
  </si>
  <si>
    <t>St. Johann am Wimberg</t>
  </si>
  <si>
    <t>41332</t>
  </si>
  <si>
    <t>St. Martin im Mühlkreis</t>
  </si>
  <si>
    <t>41333</t>
  </si>
  <si>
    <t>St. Oswald bei Haslach</t>
  </si>
  <si>
    <t>41334</t>
  </si>
  <si>
    <t>St. Peter am Wimberg</t>
  </si>
  <si>
    <t>41335</t>
  </si>
  <si>
    <t>St. Stefan am Walde</t>
  </si>
  <si>
    <t>41336</t>
  </si>
  <si>
    <t>St. Ulrich im Mühlkreis</t>
  </si>
  <si>
    <t>41337</t>
  </si>
  <si>
    <t>St. Veit im Mühlkreis</t>
  </si>
  <si>
    <t>41338</t>
  </si>
  <si>
    <t>41340</t>
  </si>
  <si>
    <t>41341</t>
  </si>
  <si>
    <t>41342</t>
  </si>
  <si>
    <t>41343</t>
  </si>
  <si>
    <t>41344</t>
  </si>
  <si>
    <t>41401</t>
  </si>
  <si>
    <t>41402</t>
  </si>
  <si>
    <t>41403</t>
  </si>
  <si>
    <t>41404</t>
  </si>
  <si>
    <t>41405</t>
  </si>
  <si>
    <t>41406</t>
  </si>
  <si>
    <t>41407</t>
  </si>
  <si>
    <t>41408</t>
  </si>
  <si>
    <t>41409</t>
  </si>
  <si>
    <t>41410</t>
  </si>
  <si>
    <t>41411</t>
  </si>
  <si>
    <t>41412</t>
  </si>
  <si>
    <t>41413</t>
  </si>
  <si>
    <t>41414</t>
  </si>
  <si>
    <t>41415</t>
  </si>
  <si>
    <t>41416</t>
  </si>
  <si>
    <t>41417</t>
  </si>
  <si>
    <t>St. Aegidi</t>
  </si>
  <si>
    <t>41418</t>
  </si>
  <si>
    <t>St. Florian am Inn</t>
  </si>
  <si>
    <t>41419</t>
  </si>
  <si>
    <t>St. Marienkirchen bei Schärding</t>
  </si>
  <si>
    <t>41420</t>
  </si>
  <si>
    <t>St. Roman</t>
  </si>
  <si>
    <t>41421</t>
  </si>
  <si>
    <t>St. Willibald</t>
  </si>
  <si>
    <t>41422</t>
  </si>
  <si>
    <t>41423</t>
  </si>
  <si>
    <t>41424</t>
  </si>
  <si>
    <t>41425</t>
  </si>
  <si>
    <t>41426</t>
  </si>
  <si>
    <t>41427</t>
  </si>
  <si>
    <t>41428</t>
  </si>
  <si>
    <t>41429</t>
  </si>
  <si>
    <t>41430</t>
  </si>
  <si>
    <t>41501</t>
  </si>
  <si>
    <t>41502</t>
  </si>
  <si>
    <t>41503</t>
  </si>
  <si>
    <t>41504</t>
  </si>
  <si>
    <t>41505</t>
  </si>
  <si>
    <t>41506</t>
  </si>
  <si>
    <t>41507</t>
  </si>
  <si>
    <t>41508</t>
  </si>
  <si>
    <t>41509</t>
  </si>
  <si>
    <t>41510</t>
  </si>
  <si>
    <t>41511</t>
  </si>
  <si>
    <t>41512</t>
  </si>
  <si>
    <t>41513</t>
  </si>
  <si>
    <t>41514</t>
  </si>
  <si>
    <t>St. Ulrich bei Steyr</t>
  </si>
  <si>
    <t>41515</t>
  </si>
  <si>
    <t>41516</t>
  </si>
  <si>
    <t>41517</t>
  </si>
  <si>
    <t>41518</t>
  </si>
  <si>
    <t>41521</t>
  </si>
  <si>
    <t>41522</t>
  </si>
  <si>
    <t>41601</t>
  </si>
  <si>
    <t>41602</t>
  </si>
  <si>
    <t>41603</t>
  </si>
  <si>
    <t>41604</t>
  </si>
  <si>
    <t>41605</t>
  </si>
  <si>
    <t>41606</t>
  </si>
  <si>
    <t>41607</t>
  </si>
  <si>
    <t>41608</t>
  </si>
  <si>
    <t>41609</t>
  </si>
  <si>
    <t>41610</t>
  </si>
  <si>
    <t>41611</t>
  </si>
  <si>
    <t>41612</t>
  </si>
  <si>
    <t>41613</t>
  </si>
  <si>
    <t>41614</t>
  </si>
  <si>
    <t>41615</t>
  </si>
  <si>
    <t>41616</t>
  </si>
  <si>
    <t>41617</t>
  </si>
  <si>
    <t>41618</t>
  </si>
  <si>
    <t>41619</t>
  </si>
  <si>
    <t>41620</t>
  </si>
  <si>
    <t>41621</t>
  </si>
  <si>
    <t>St. Gotthard im Mühlkreis</t>
  </si>
  <si>
    <t>41622</t>
  </si>
  <si>
    <t>41623</t>
  </si>
  <si>
    <t>41624</t>
  </si>
  <si>
    <t>41625</t>
  </si>
  <si>
    <t>41626</t>
  </si>
  <si>
    <t>41627</t>
  </si>
  <si>
    <t>41701</t>
  </si>
  <si>
    <t>41702</t>
  </si>
  <si>
    <t>41703</t>
  </si>
  <si>
    <t>41704</t>
  </si>
  <si>
    <t>41705</t>
  </si>
  <si>
    <t>41706</t>
  </si>
  <si>
    <t>41707</t>
  </si>
  <si>
    <t>41708</t>
  </si>
  <si>
    <t>41709</t>
  </si>
  <si>
    <t>41710</t>
  </si>
  <si>
    <t>41711</t>
  </si>
  <si>
    <t>41712</t>
  </si>
  <si>
    <t>41713</t>
  </si>
  <si>
    <t>41714</t>
  </si>
  <si>
    <t>41715</t>
  </si>
  <si>
    <t>41716</t>
  </si>
  <si>
    <t>41717</t>
  </si>
  <si>
    <t>41718</t>
  </si>
  <si>
    <t>41719</t>
  </si>
  <si>
    <t>41720</t>
  </si>
  <si>
    <t>41721</t>
  </si>
  <si>
    <t>41722</t>
  </si>
  <si>
    <t>41723</t>
  </si>
  <si>
    <t>41724</t>
  </si>
  <si>
    <t>41725</t>
  </si>
  <si>
    <t>41726</t>
  </si>
  <si>
    <t>41727</t>
  </si>
  <si>
    <t>41728</t>
  </si>
  <si>
    <t>41729</t>
  </si>
  <si>
    <t>41730</t>
  </si>
  <si>
    <t>41731</t>
  </si>
  <si>
    <t>41732</t>
  </si>
  <si>
    <t>41733</t>
  </si>
  <si>
    <t>41734</t>
  </si>
  <si>
    <t>St. Georgen im Attergau</t>
  </si>
  <si>
    <t>41735</t>
  </si>
  <si>
    <t>St. Lorenz</t>
  </si>
  <si>
    <t>41736</t>
  </si>
  <si>
    <t>41737</t>
  </si>
  <si>
    <t>41738</t>
  </si>
  <si>
    <t>41739</t>
  </si>
  <si>
    <t>41740</t>
  </si>
  <si>
    <t>41741</t>
  </si>
  <si>
    <t>41742</t>
  </si>
  <si>
    <t>41743</t>
  </si>
  <si>
    <t>41744</t>
  </si>
  <si>
    <t>41745</t>
  </si>
  <si>
    <t>41746</t>
  </si>
  <si>
    <t>41747</t>
  </si>
  <si>
    <t>41748</t>
  </si>
  <si>
    <t>41749</t>
  </si>
  <si>
    <t>41750</t>
  </si>
  <si>
    <t>41751</t>
  </si>
  <si>
    <t>41752</t>
  </si>
  <si>
    <t>41801</t>
  </si>
  <si>
    <t>41802</t>
  </si>
  <si>
    <t>41803</t>
  </si>
  <si>
    <t>41804</t>
  </si>
  <si>
    <t>41805</t>
  </si>
  <si>
    <t>41806</t>
  </si>
  <si>
    <t>41807</t>
  </si>
  <si>
    <t>41808</t>
  </si>
  <si>
    <t>41809</t>
  </si>
  <si>
    <t>41810</t>
  </si>
  <si>
    <t>41811</t>
  </si>
  <si>
    <t>41812</t>
  </si>
  <si>
    <t>41813</t>
  </si>
  <si>
    <t>41814</t>
  </si>
  <si>
    <t>41815</t>
  </si>
  <si>
    <t>41816</t>
  </si>
  <si>
    <t>41817</t>
  </si>
  <si>
    <t>41818</t>
  </si>
  <si>
    <t>41819</t>
  </si>
  <si>
    <t>41820</t>
  </si>
  <si>
    <t>41821</t>
  </si>
  <si>
    <t>41822</t>
  </si>
  <si>
    <t>41823</t>
  </si>
  <si>
    <t>41824</t>
  </si>
  <si>
    <t>50101</t>
  </si>
  <si>
    <t>50201</t>
  </si>
  <si>
    <t>50202</t>
  </si>
  <si>
    <t>50203</t>
  </si>
  <si>
    <t>50204</t>
  </si>
  <si>
    <t>50205</t>
  </si>
  <si>
    <t>50206</t>
  </si>
  <si>
    <t>50207</t>
  </si>
  <si>
    <t>50208</t>
  </si>
  <si>
    <t>50209</t>
  </si>
  <si>
    <t>50210</t>
  </si>
  <si>
    <t>50211</t>
  </si>
  <si>
    <t>50212</t>
  </si>
  <si>
    <t>50213</t>
  </si>
  <si>
    <t>50301</t>
  </si>
  <si>
    <t>50302</t>
  </si>
  <si>
    <t>50303</t>
  </si>
  <si>
    <t>50304</t>
  </si>
  <si>
    <t>50305</t>
  </si>
  <si>
    <t>50306</t>
  </si>
  <si>
    <t>50307</t>
  </si>
  <si>
    <t>50308</t>
  </si>
  <si>
    <t>50309</t>
  </si>
  <si>
    <t>50310</t>
  </si>
  <si>
    <t>50311</t>
  </si>
  <si>
    <t>50312</t>
  </si>
  <si>
    <t>50313</t>
  </si>
  <si>
    <t>50314</t>
  </si>
  <si>
    <t>50315</t>
  </si>
  <si>
    <t>50316</t>
  </si>
  <si>
    <t>50317</t>
  </si>
  <si>
    <t>50318</t>
  </si>
  <si>
    <t>50319</t>
  </si>
  <si>
    <t>50320</t>
  </si>
  <si>
    <t>50321</t>
  </si>
  <si>
    <t>50322</t>
  </si>
  <si>
    <t>50323</t>
  </si>
  <si>
    <t>50324</t>
  </si>
  <si>
    <t>50325</t>
  </si>
  <si>
    <t>50326</t>
  </si>
  <si>
    <t>50327</t>
  </si>
  <si>
    <t>50328</t>
  </si>
  <si>
    <t>50329</t>
  </si>
  <si>
    <t>50330</t>
  </si>
  <si>
    <t>50331</t>
  </si>
  <si>
    <t>50332</t>
  </si>
  <si>
    <t>50335</t>
  </si>
  <si>
    <t>50336</t>
  </si>
  <si>
    <t>50337</t>
  </si>
  <si>
    <t>50338</t>
  </si>
  <si>
    <t>50339</t>
  </si>
  <si>
    <t>50401</t>
  </si>
  <si>
    <t>50402</t>
  </si>
  <si>
    <t>50403</t>
  </si>
  <si>
    <t>50404</t>
  </si>
  <si>
    <t>50405</t>
  </si>
  <si>
    <t>50406</t>
  </si>
  <si>
    <t>50407</t>
  </si>
  <si>
    <t>50408</t>
  </si>
  <si>
    <t>50409</t>
  </si>
  <si>
    <t>50410</t>
  </si>
  <si>
    <t>50411</t>
  </si>
  <si>
    <t>50412</t>
  </si>
  <si>
    <t>50413</t>
  </si>
  <si>
    <t>50414</t>
  </si>
  <si>
    <t>50415</t>
  </si>
  <si>
    <t>50416</t>
  </si>
  <si>
    <t>50417</t>
  </si>
  <si>
    <t>50418</t>
  </si>
  <si>
    <t>50419</t>
  </si>
  <si>
    <t>50420</t>
  </si>
  <si>
    <t>50421</t>
  </si>
  <si>
    <t>50422</t>
  </si>
  <si>
    <t>50423</t>
  </si>
  <si>
    <t>50424</t>
  </si>
  <si>
    <t>50425</t>
  </si>
  <si>
    <t>50501</t>
  </si>
  <si>
    <t>50502</t>
  </si>
  <si>
    <t>50503</t>
  </si>
  <si>
    <t>50504</t>
  </si>
  <si>
    <t>50505</t>
  </si>
  <si>
    <t>50506</t>
  </si>
  <si>
    <t>50507</t>
  </si>
  <si>
    <t>50508</t>
  </si>
  <si>
    <t>50509</t>
  </si>
  <si>
    <t>50510</t>
  </si>
  <si>
    <t>50511</t>
  </si>
  <si>
    <t>50512</t>
  </si>
  <si>
    <t>50513</t>
  </si>
  <si>
    <t>50514</t>
  </si>
  <si>
    <t>50515</t>
  </si>
  <si>
    <t>50601</t>
  </si>
  <si>
    <t>50602</t>
  </si>
  <si>
    <t>50603</t>
  </si>
  <si>
    <t>50604</t>
  </si>
  <si>
    <t>50605</t>
  </si>
  <si>
    <t>50606</t>
  </si>
  <si>
    <t>50607</t>
  </si>
  <si>
    <t>50608</t>
  </si>
  <si>
    <t>50609</t>
  </si>
  <si>
    <t>50610</t>
  </si>
  <si>
    <t>50611</t>
  </si>
  <si>
    <t>50612</t>
  </si>
  <si>
    <t>50613</t>
  </si>
  <si>
    <t>50614</t>
  </si>
  <si>
    <t>50615</t>
  </si>
  <si>
    <t>50616</t>
  </si>
  <si>
    <t>50617</t>
  </si>
  <si>
    <t>50618</t>
  </si>
  <si>
    <t>50619</t>
  </si>
  <si>
    <t>50620</t>
  </si>
  <si>
    <t>50621</t>
  </si>
  <si>
    <t>50622</t>
  </si>
  <si>
    <t>50623</t>
  </si>
  <si>
    <t>50624</t>
  </si>
  <si>
    <t>50625</t>
  </si>
  <si>
    <t>50626</t>
  </si>
  <si>
    <t>50627</t>
  </si>
  <si>
    <t>50628</t>
  </si>
  <si>
    <t>60101</t>
  </si>
  <si>
    <t>60305</t>
  </si>
  <si>
    <t>60318</t>
  </si>
  <si>
    <t>60323</t>
  </si>
  <si>
    <t>60324</t>
  </si>
  <si>
    <t>60326</t>
  </si>
  <si>
    <t>60329</t>
  </si>
  <si>
    <t>60341</t>
  </si>
  <si>
    <t>60344</t>
  </si>
  <si>
    <t>60345</t>
  </si>
  <si>
    <t>60346</t>
  </si>
  <si>
    <t>60347</t>
  </si>
  <si>
    <t>60348</t>
  </si>
  <si>
    <t>60349</t>
  </si>
  <si>
    <t>60350</t>
  </si>
  <si>
    <t>60351</t>
  </si>
  <si>
    <t>60608</t>
  </si>
  <si>
    <t>60611</t>
  </si>
  <si>
    <t>60613</t>
  </si>
  <si>
    <t>60617</t>
  </si>
  <si>
    <t>60618</t>
  </si>
  <si>
    <t>60619</t>
  </si>
  <si>
    <t>60623</t>
  </si>
  <si>
    <t>60624</t>
  </si>
  <si>
    <t>60626</t>
  </si>
  <si>
    <t>60628</t>
  </si>
  <si>
    <t>60629</t>
  </si>
  <si>
    <t>60632</t>
  </si>
  <si>
    <t>60639</t>
  </si>
  <si>
    <t>60641</t>
  </si>
  <si>
    <t>60642</t>
  </si>
  <si>
    <t>60645</t>
  </si>
  <si>
    <t>60646</t>
  </si>
  <si>
    <t>60647</t>
  </si>
  <si>
    <t>60648</t>
  </si>
  <si>
    <t>60651</t>
  </si>
  <si>
    <t>60653</t>
  </si>
  <si>
    <t>60654</t>
  </si>
  <si>
    <t>60655</t>
  </si>
  <si>
    <t>60656</t>
  </si>
  <si>
    <t>60659</t>
  </si>
  <si>
    <t>60660</t>
  </si>
  <si>
    <t>60661</t>
  </si>
  <si>
    <t>60662</t>
  </si>
  <si>
    <t>60663</t>
  </si>
  <si>
    <t>60664</t>
  </si>
  <si>
    <t>60665</t>
  </si>
  <si>
    <t>60666</t>
  </si>
  <si>
    <t>60667</t>
  </si>
  <si>
    <t>60668</t>
  </si>
  <si>
    <t>60669</t>
  </si>
  <si>
    <t>60670</t>
  </si>
  <si>
    <t>Premstätten</t>
  </si>
  <si>
    <t>61001</t>
  </si>
  <si>
    <t>61002</t>
  </si>
  <si>
    <t>61007</t>
  </si>
  <si>
    <t>61008</t>
  </si>
  <si>
    <t>61012</t>
  </si>
  <si>
    <t>61013</t>
  </si>
  <si>
    <t>61016</t>
  </si>
  <si>
    <t>61017</t>
  </si>
  <si>
    <t>61019</t>
  </si>
  <si>
    <t>61020</t>
  </si>
  <si>
    <t>61021</t>
  </si>
  <si>
    <t>61024</t>
  </si>
  <si>
    <t>61027</t>
  </si>
  <si>
    <t>61030</t>
  </si>
  <si>
    <t>61032</t>
  </si>
  <si>
    <t>61033</t>
  </si>
  <si>
    <t>61043</t>
  </si>
  <si>
    <t>61045</t>
  </si>
  <si>
    <t>61049</t>
  </si>
  <si>
    <t>61050</t>
  </si>
  <si>
    <t>61051</t>
  </si>
  <si>
    <t>61052</t>
  </si>
  <si>
    <t>61053</t>
  </si>
  <si>
    <t>61054</t>
  </si>
  <si>
    <t>61055</t>
  </si>
  <si>
    <t>61056</t>
  </si>
  <si>
    <t>61057</t>
  </si>
  <si>
    <t>61058</t>
  </si>
  <si>
    <t>Straß in Steiermark</t>
  </si>
  <si>
    <t>61059</t>
  </si>
  <si>
    <t>61101</t>
  </si>
  <si>
    <t>61105</t>
  </si>
  <si>
    <t>61106</t>
  </si>
  <si>
    <t>61107</t>
  </si>
  <si>
    <t>61108</t>
  </si>
  <si>
    <t>61109</t>
  </si>
  <si>
    <t>61110</t>
  </si>
  <si>
    <t>61111</t>
  </si>
  <si>
    <t>61112</t>
  </si>
  <si>
    <t>61113</t>
  </si>
  <si>
    <t>61114</t>
  </si>
  <si>
    <t>61115</t>
  </si>
  <si>
    <t>61116</t>
  </si>
  <si>
    <t>61118</t>
  </si>
  <si>
    <t>61119</t>
  </si>
  <si>
    <t>61120</t>
  </si>
  <si>
    <t>61203</t>
  </si>
  <si>
    <t>61204</t>
  </si>
  <si>
    <t>61205</t>
  </si>
  <si>
    <t>61206</t>
  </si>
  <si>
    <t>61207</t>
  </si>
  <si>
    <t>61213</t>
  </si>
  <si>
    <t>61215</t>
  </si>
  <si>
    <t>61217</t>
  </si>
  <si>
    <t>61222</t>
  </si>
  <si>
    <t>61236</t>
  </si>
  <si>
    <t>61243</t>
  </si>
  <si>
    <t>61247</t>
  </si>
  <si>
    <t>61251</t>
  </si>
  <si>
    <t>61252</t>
  </si>
  <si>
    <t>61253</t>
  </si>
  <si>
    <t>61254</t>
  </si>
  <si>
    <t>61255</t>
  </si>
  <si>
    <t>61256</t>
  </si>
  <si>
    <t>61257</t>
  </si>
  <si>
    <t>61258</t>
  </si>
  <si>
    <t>Gams bei Hieflau</t>
  </si>
  <si>
    <t>61259</t>
  </si>
  <si>
    <t>61260</t>
  </si>
  <si>
    <t>61261</t>
  </si>
  <si>
    <t>61262</t>
  </si>
  <si>
    <t>61263</t>
  </si>
  <si>
    <t>61264</t>
  </si>
  <si>
    <t>61265</t>
  </si>
  <si>
    <t>61266</t>
  </si>
  <si>
    <t>61267</t>
  </si>
  <si>
    <t>61410</t>
  </si>
  <si>
    <t>61413</t>
  </si>
  <si>
    <t>61425</t>
  </si>
  <si>
    <t>St. Peter am Kammersberg</t>
  </si>
  <si>
    <t>61428</t>
  </si>
  <si>
    <t>61437</t>
  </si>
  <si>
    <t>61438</t>
  </si>
  <si>
    <t>61439</t>
  </si>
  <si>
    <t>61440</t>
  </si>
  <si>
    <t>61441</t>
  </si>
  <si>
    <t>61442</t>
  </si>
  <si>
    <t>61443</t>
  </si>
  <si>
    <t>61444</t>
  </si>
  <si>
    <t>61445</t>
  </si>
  <si>
    <t>61446</t>
  </si>
  <si>
    <t>61611</t>
  </si>
  <si>
    <t>61612</t>
  </si>
  <si>
    <t>61615</t>
  </si>
  <si>
    <t>61618</t>
  </si>
  <si>
    <t>61621</t>
  </si>
  <si>
    <t>61624</t>
  </si>
  <si>
    <t>61625</t>
  </si>
  <si>
    <t>61626</t>
  </si>
  <si>
    <t>61627</t>
  </si>
  <si>
    <t>61628</t>
  </si>
  <si>
    <t>61629</t>
  </si>
  <si>
    <t>61630</t>
  </si>
  <si>
    <t>61631</t>
  </si>
  <si>
    <t>61632</t>
  </si>
  <si>
    <t>61633</t>
  </si>
  <si>
    <t>61701</t>
  </si>
  <si>
    <t>61708</t>
  </si>
  <si>
    <t>61710</t>
  </si>
  <si>
    <t>61711</t>
  </si>
  <si>
    <t>61716</t>
  </si>
  <si>
    <t>61719</t>
  </si>
  <si>
    <t>61727</t>
  </si>
  <si>
    <t>61728</t>
  </si>
  <si>
    <t>61729</t>
  </si>
  <si>
    <t>61730</t>
  </si>
  <si>
    <t>61731</t>
  </si>
  <si>
    <t>61740</t>
  </si>
  <si>
    <t>61741</t>
  </si>
  <si>
    <t>61743</t>
  </si>
  <si>
    <t>61744</t>
  </si>
  <si>
    <t>St. Kathrein am Hauenstein</t>
  </si>
  <si>
    <t>61745</t>
  </si>
  <si>
    <t>61746</t>
  </si>
  <si>
    <t>St. Margarethen an der Raab</t>
  </si>
  <si>
    <t>61748</t>
  </si>
  <si>
    <t>61750</t>
  </si>
  <si>
    <t>61751</t>
  </si>
  <si>
    <t>61756</t>
  </si>
  <si>
    <t>61757</t>
  </si>
  <si>
    <t>61758</t>
  </si>
  <si>
    <t>61759</t>
  </si>
  <si>
    <t>61760</t>
  </si>
  <si>
    <t>61761</t>
  </si>
  <si>
    <t>61762</t>
  </si>
  <si>
    <t>61763</t>
  </si>
  <si>
    <t>61764</t>
  </si>
  <si>
    <t>61765</t>
  </si>
  <si>
    <t>61766</t>
  </si>
  <si>
    <t>62007</t>
  </si>
  <si>
    <t>62008</t>
  </si>
  <si>
    <t>62010</t>
  </si>
  <si>
    <t>62014</t>
  </si>
  <si>
    <t>62021</t>
  </si>
  <si>
    <t>62026</t>
  </si>
  <si>
    <t>62032</t>
  </si>
  <si>
    <t>62034</t>
  </si>
  <si>
    <t>62036</t>
  </si>
  <si>
    <t>62038</t>
  </si>
  <si>
    <t>62039</t>
  </si>
  <si>
    <t>Lobmingtal</t>
  </si>
  <si>
    <t>62040</t>
  </si>
  <si>
    <t>62041</t>
  </si>
  <si>
    <t>62042</t>
  </si>
  <si>
    <t>62043</t>
  </si>
  <si>
    <t>62044</t>
  </si>
  <si>
    <t>62045</t>
  </si>
  <si>
    <t>62046</t>
  </si>
  <si>
    <t>62047</t>
  </si>
  <si>
    <t>62048</t>
  </si>
  <si>
    <t>62105</t>
  </si>
  <si>
    <t>62115</t>
  </si>
  <si>
    <t>62116</t>
  </si>
  <si>
    <t>62125</t>
  </si>
  <si>
    <t>62128</t>
  </si>
  <si>
    <t>62131</t>
  </si>
  <si>
    <t>62132</t>
  </si>
  <si>
    <t>62135</t>
  </si>
  <si>
    <t>62138</t>
  </si>
  <si>
    <t>62139</t>
  </si>
  <si>
    <t>62140</t>
  </si>
  <si>
    <t>62141</t>
  </si>
  <si>
    <t>62142</t>
  </si>
  <si>
    <t>62143</t>
  </si>
  <si>
    <t>62144</t>
  </si>
  <si>
    <t>62145</t>
  </si>
  <si>
    <t>62146</t>
  </si>
  <si>
    <t>62147</t>
  </si>
  <si>
    <t>62148</t>
  </si>
  <si>
    <t>62202</t>
  </si>
  <si>
    <t>62205</t>
  </si>
  <si>
    <t>Buch-St. Magdalena</t>
  </si>
  <si>
    <t>62206</t>
  </si>
  <si>
    <t>62209</t>
  </si>
  <si>
    <t>62211</t>
  </si>
  <si>
    <t>62214</t>
  </si>
  <si>
    <t>62216</t>
  </si>
  <si>
    <t>62219</t>
  </si>
  <si>
    <t>62220</t>
  </si>
  <si>
    <t>62226</t>
  </si>
  <si>
    <t>62232</t>
  </si>
  <si>
    <t>62233</t>
  </si>
  <si>
    <t>62235</t>
  </si>
  <si>
    <t>62242</t>
  </si>
  <si>
    <t>62244</t>
  </si>
  <si>
    <t>62245</t>
  </si>
  <si>
    <t>62247</t>
  </si>
  <si>
    <t>62252</t>
  </si>
  <si>
    <t>62256</t>
  </si>
  <si>
    <t>62262</t>
  </si>
  <si>
    <t>62264</t>
  </si>
  <si>
    <t>62265</t>
  </si>
  <si>
    <t>62266</t>
  </si>
  <si>
    <t>62267</t>
  </si>
  <si>
    <t>62268</t>
  </si>
  <si>
    <t>62269</t>
  </si>
  <si>
    <t>62270</t>
  </si>
  <si>
    <t>62271</t>
  </si>
  <si>
    <t>62272</t>
  </si>
  <si>
    <t>62273</t>
  </si>
  <si>
    <t>62274</t>
  </si>
  <si>
    <t>62275</t>
  </si>
  <si>
    <t>62276</t>
  </si>
  <si>
    <t>62277</t>
  </si>
  <si>
    <t>62278</t>
  </si>
  <si>
    <t>62279</t>
  </si>
  <si>
    <t>62311</t>
  </si>
  <si>
    <t>62314</t>
  </si>
  <si>
    <t>62326</t>
  </si>
  <si>
    <t>62330</t>
  </si>
  <si>
    <t>62332</t>
  </si>
  <si>
    <t>62335</t>
  </si>
  <si>
    <t>62343</t>
  </si>
  <si>
    <t>62347</t>
  </si>
  <si>
    <t>62368</t>
  </si>
  <si>
    <t>62372</t>
  </si>
  <si>
    <t>62375</t>
  </si>
  <si>
    <t>62376</t>
  </si>
  <si>
    <t>62377</t>
  </si>
  <si>
    <t>62378</t>
  </si>
  <si>
    <t>62379</t>
  </si>
  <si>
    <t>62380</t>
  </si>
  <si>
    <t>62381</t>
  </si>
  <si>
    <t>Kirchbach-Zerlach</t>
  </si>
  <si>
    <t>62382</t>
  </si>
  <si>
    <t>62383</t>
  </si>
  <si>
    <t>62384</t>
  </si>
  <si>
    <t>62385</t>
  </si>
  <si>
    <t>62386</t>
  </si>
  <si>
    <t>62387</t>
  </si>
  <si>
    <t>62388</t>
  </si>
  <si>
    <t>62389</t>
  </si>
  <si>
    <t>62390</t>
  </si>
  <si>
    <t>70101</t>
  </si>
  <si>
    <t>70201</t>
  </si>
  <si>
    <t>70202</t>
  </si>
  <si>
    <t>70203</t>
  </si>
  <si>
    <t>70204</t>
  </si>
  <si>
    <t>70205</t>
  </si>
  <si>
    <t>70206</t>
  </si>
  <si>
    <t>70207</t>
  </si>
  <si>
    <t>70208</t>
  </si>
  <si>
    <t>70209</t>
  </si>
  <si>
    <t>70210</t>
  </si>
  <si>
    <t>70211</t>
  </si>
  <si>
    <t>70212</t>
  </si>
  <si>
    <t>70213</t>
  </si>
  <si>
    <t>70214</t>
  </si>
  <si>
    <t>70215</t>
  </si>
  <si>
    <t>70216</t>
  </si>
  <si>
    <t>70217</t>
  </si>
  <si>
    <t>St. Leonhard im Pitztal</t>
  </si>
  <si>
    <t>70218</t>
  </si>
  <si>
    <t>70219</t>
  </si>
  <si>
    <t>70220</t>
  </si>
  <si>
    <t>70221</t>
  </si>
  <si>
    <t>70222</t>
  </si>
  <si>
    <t>70223</t>
  </si>
  <si>
    <t>70224</t>
  </si>
  <si>
    <t>70301</t>
  </si>
  <si>
    <t>70302</t>
  </si>
  <si>
    <t>70303</t>
  </si>
  <si>
    <t>70304</t>
  </si>
  <si>
    <t>70305</t>
  </si>
  <si>
    <t>70306</t>
  </si>
  <si>
    <t>70307</t>
  </si>
  <si>
    <t>70308</t>
  </si>
  <si>
    <t>70309</t>
  </si>
  <si>
    <t>70310</t>
  </si>
  <si>
    <t>70311</t>
  </si>
  <si>
    <t>70312</t>
  </si>
  <si>
    <t>70313</t>
  </si>
  <si>
    <t>70314</t>
  </si>
  <si>
    <t>70315</t>
  </si>
  <si>
    <t>70317</t>
  </si>
  <si>
    <t>70318</t>
  </si>
  <si>
    <t>70319</t>
  </si>
  <si>
    <t>70320</t>
  </si>
  <si>
    <t>70322</t>
  </si>
  <si>
    <t>70323</t>
  </si>
  <si>
    <t>70325</t>
  </si>
  <si>
    <t>70326</t>
  </si>
  <si>
    <t>70327</t>
  </si>
  <si>
    <t>70328</t>
  </si>
  <si>
    <t>70329</t>
  </si>
  <si>
    <t>70330</t>
  </si>
  <si>
    <t>70331</t>
  </si>
  <si>
    <t>70332</t>
  </si>
  <si>
    <t>70333</t>
  </si>
  <si>
    <t>70334</t>
  </si>
  <si>
    <t>70335</t>
  </si>
  <si>
    <t>70336</t>
  </si>
  <si>
    <t>70337</t>
  </si>
  <si>
    <t>70338</t>
  </si>
  <si>
    <t>70339</t>
  </si>
  <si>
    <t>70340</t>
  </si>
  <si>
    <t>70341</t>
  </si>
  <si>
    <t>70342</t>
  </si>
  <si>
    <t>70343</t>
  </si>
  <si>
    <t>70344</t>
  </si>
  <si>
    <t>70345</t>
  </si>
  <si>
    <t>70346</t>
  </si>
  <si>
    <t>70347</t>
  </si>
  <si>
    <t>St. Sigmund im Sellrain</t>
  </si>
  <si>
    <t>70348</t>
  </si>
  <si>
    <t>70349</t>
  </si>
  <si>
    <t>70350</t>
  </si>
  <si>
    <t>70351</t>
  </si>
  <si>
    <t>70352</t>
  </si>
  <si>
    <t>70353</t>
  </si>
  <si>
    <t>70354</t>
  </si>
  <si>
    <t>70355</t>
  </si>
  <si>
    <t>70356</t>
  </si>
  <si>
    <t>70357</t>
  </si>
  <si>
    <t>70358</t>
  </si>
  <si>
    <t>70359</t>
  </si>
  <si>
    <t>70360</t>
  </si>
  <si>
    <t>70361</t>
  </si>
  <si>
    <t>70362</t>
  </si>
  <si>
    <t>70364</t>
  </si>
  <si>
    <t>70365</t>
  </si>
  <si>
    <t>70366</t>
  </si>
  <si>
    <t>70367</t>
  </si>
  <si>
    <t>70368</t>
  </si>
  <si>
    <t>70369</t>
  </si>
  <si>
    <t>70401</t>
  </si>
  <si>
    <t>70402</t>
  </si>
  <si>
    <t>70403</t>
  </si>
  <si>
    <t>70404</t>
  </si>
  <si>
    <t>70405</t>
  </si>
  <si>
    <t>70406</t>
  </si>
  <si>
    <t>70407</t>
  </si>
  <si>
    <t>70408</t>
  </si>
  <si>
    <t>70409</t>
  </si>
  <si>
    <t>70410</t>
  </si>
  <si>
    <t>70411</t>
  </si>
  <si>
    <t>70412</t>
  </si>
  <si>
    <t>70413</t>
  </si>
  <si>
    <t>70414</t>
  </si>
  <si>
    <t>70415</t>
  </si>
  <si>
    <t>St. Jakob in Haus</t>
  </si>
  <si>
    <t>70416</t>
  </si>
  <si>
    <t>St. Johann in Tirol</t>
  </si>
  <si>
    <t>70417</t>
  </si>
  <si>
    <t>St. Ulrich am Pillersee</t>
  </si>
  <si>
    <t>70418</t>
  </si>
  <si>
    <t>70419</t>
  </si>
  <si>
    <t>70420</t>
  </si>
  <si>
    <t>70501</t>
  </si>
  <si>
    <t>70502</t>
  </si>
  <si>
    <t>70503</t>
  </si>
  <si>
    <t>70504</t>
  </si>
  <si>
    <t>70505</t>
  </si>
  <si>
    <t>70506</t>
  </si>
  <si>
    <t>70508</t>
  </si>
  <si>
    <t>70509</t>
  </si>
  <si>
    <t>70510</t>
  </si>
  <si>
    <t>70511</t>
  </si>
  <si>
    <t>70512</t>
  </si>
  <si>
    <t>70513</t>
  </si>
  <si>
    <t>70514</t>
  </si>
  <si>
    <t>70515</t>
  </si>
  <si>
    <t>70516</t>
  </si>
  <si>
    <t>70517</t>
  </si>
  <si>
    <t>70518</t>
  </si>
  <si>
    <t>70519</t>
  </si>
  <si>
    <t>70520</t>
  </si>
  <si>
    <t>70521</t>
  </si>
  <si>
    <t>70522</t>
  </si>
  <si>
    <t>70523</t>
  </si>
  <si>
    <t>70524</t>
  </si>
  <si>
    <t>70525</t>
  </si>
  <si>
    <t>70526</t>
  </si>
  <si>
    <t>70527</t>
  </si>
  <si>
    <t>70528</t>
  </si>
  <si>
    <t>70529</t>
  </si>
  <si>
    <t>70530</t>
  </si>
  <si>
    <t>70531</t>
  </si>
  <si>
    <t>70601</t>
  </si>
  <si>
    <t>70602</t>
  </si>
  <si>
    <t>70603</t>
  </si>
  <si>
    <t>70604</t>
  </si>
  <si>
    <t>70605</t>
  </si>
  <si>
    <t>70606</t>
  </si>
  <si>
    <t>70607</t>
  </si>
  <si>
    <t>70608</t>
  </si>
  <si>
    <t>70609</t>
  </si>
  <si>
    <t>70610</t>
  </si>
  <si>
    <t>70611</t>
  </si>
  <si>
    <t>70612</t>
  </si>
  <si>
    <t>70613</t>
  </si>
  <si>
    <t>70614</t>
  </si>
  <si>
    <t>70615</t>
  </si>
  <si>
    <t>70616</t>
  </si>
  <si>
    <t>70617</t>
  </si>
  <si>
    <t>70618</t>
  </si>
  <si>
    <t>70619</t>
  </si>
  <si>
    <t>70620</t>
  </si>
  <si>
    <t>70621</t>
  </si>
  <si>
    <t>St. Anton am Arlberg</t>
  </si>
  <si>
    <t>70622</t>
  </si>
  <si>
    <t>70623</t>
  </si>
  <si>
    <t>70624</t>
  </si>
  <si>
    <t>70625</t>
  </si>
  <si>
    <t>70626</t>
  </si>
  <si>
    <t>70627</t>
  </si>
  <si>
    <t>70628</t>
  </si>
  <si>
    <t>70629</t>
  </si>
  <si>
    <t>70630</t>
  </si>
  <si>
    <t>70701</t>
  </si>
  <si>
    <t>70702</t>
  </si>
  <si>
    <t>70703</t>
  </si>
  <si>
    <t>70704</t>
  </si>
  <si>
    <t>70705</t>
  </si>
  <si>
    <t>70706</t>
  </si>
  <si>
    <t>70707</t>
  </si>
  <si>
    <t>70708</t>
  </si>
  <si>
    <t>70709</t>
  </si>
  <si>
    <t>70710</t>
  </si>
  <si>
    <t>70711</t>
  </si>
  <si>
    <t>70712</t>
  </si>
  <si>
    <t>70713</t>
  </si>
  <si>
    <t>70714</t>
  </si>
  <si>
    <t>70715</t>
  </si>
  <si>
    <t>70716</t>
  </si>
  <si>
    <t>70717</t>
  </si>
  <si>
    <t>70718</t>
  </si>
  <si>
    <t>70719</t>
  </si>
  <si>
    <t>70720</t>
  </si>
  <si>
    <t>70721</t>
  </si>
  <si>
    <t>70723</t>
  </si>
  <si>
    <t>70724</t>
  </si>
  <si>
    <t>St. Jakob in Defereggen</t>
  </si>
  <si>
    <t>70725</t>
  </si>
  <si>
    <t>St. Johann im Walde</t>
  </si>
  <si>
    <t>70726</t>
  </si>
  <si>
    <t>St. Veit in Defereggen</t>
  </si>
  <si>
    <t>70727</t>
  </si>
  <si>
    <t>70728</t>
  </si>
  <si>
    <t>70729</t>
  </si>
  <si>
    <t>70731</t>
  </si>
  <si>
    <t>70732</t>
  </si>
  <si>
    <t>70733</t>
  </si>
  <si>
    <t>70734</t>
  </si>
  <si>
    <t>70735</t>
  </si>
  <si>
    <t>70801</t>
  </si>
  <si>
    <t>70802</t>
  </si>
  <si>
    <t>70803</t>
  </si>
  <si>
    <t>70804</t>
  </si>
  <si>
    <t>70805</t>
  </si>
  <si>
    <t>70806</t>
  </si>
  <si>
    <t>70807</t>
  </si>
  <si>
    <t>70808</t>
  </si>
  <si>
    <t>70809</t>
  </si>
  <si>
    <t>70810</t>
  </si>
  <si>
    <t>70811</t>
  </si>
  <si>
    <t>70812</t>
  </si>
  <si>
    <t>70813</t>
  </si>
  <si>
    <t>70814</t>
  </si>
  <si>
    <t>70815</t>
  </si>
  <si>
    <t>70816</t>
  </si>
  <si>
    <t>70817</t>
  </si>
  <si>
    <t>70818</t>
  </si>
  <si>
    <t>70819</t>
  </si>
  <si>
    <t>70820</t>
  </si>
  <si>
    <t>70821</t>
  </si>
  <si>
    <t>70822</t>
  </si>
  <si>
    <t>70823</t>
  </si>
  <si>
    <t>70824</t>
  </si>
  <si>
    <t>70825</t>
  </si>
  <si>
    <t>70826</t>
  </si>
  <si>
    <t>70827</t>
  </si>
  <si>
    <t>70828</t>
  </si>
  <si>
    <t>70829</t>
  </si>
  <si>
    <t>70830</t>
  </si>
  <si>
    <t>70831</t>
  </si>
  <si>
    <t>70832</t>
  </si>
  <si>
    <t>70833</t>
  </si>
  <si>
    <t>70834</t>
  </si>
  <si>
    <t>70835</t>
  </si>
  <si>
    <t>70836</t>
  </si>
  <si>
    <t>70837</t>
  </si>
  <si>
    <t>70901</t>
  </si>
  <si>
    <t>70902</t>
  </si>
  <si>
    <t>70903</t>
  </si>
  <si>
    <t>70904</t>
  </si>
  <si>
    <t>70905</t>
  </si>
  <si>
    <t>70907</t>
  </si>
  <si>
    <t>70908</t>
  </si>
  <si>
    <t>70909</t>
  </si>
  <si>
    <t>70910</t>
  </si>
  <si>
    <t>70911</t>
  </si>
  <si>
    <t>70912</t>
  </si>
  <si>
    <t>70913</t>
  </si>
  <si>
    <t>70914</t>
  </si>
  <si>
    <t>70915</t>
  </si>
  <si>
    <t>70916</t>
  </si>
  <si>
    <t>70917</t>
  </si>
  <si>
    <t>70918</t>
  </si>
  <si>
    <t>70920</t>
  </si>
  <si>
    <t>70921</t>
  </si>
  <si>
    <t>70922</t>
  </si>
  <si>
    <t>70923</t>
  </si>
  <si>
    <t>70924</t>
  </si>
  <si>
    <t>70925</t>
  </si>
  <si>
    <t>70926</t>
  </si>
  <si>
    <t>70927</t>
  </si>
  <si>
    <t>70928</t>
  </si>
  <si>
    <t>70929</t>
  </si>
  <si>
    <t>70930</t>
  </si>
  <si>
    <t>70931</t>
  </si>
  <si>
    <t>70932</t>
  </si>
  <si>
    <t>70933</t>
  </si>
  <si>
    <t>70934</t>
  </si>
  <si>
    <t>70935</t>
  </si>
  <si>
    <t>70936</t>
  </si>
  <si>
    <t>70937</t>
  </si>
  <si>
    <t>70938</t>
  </si>
  <si>
    <t>70939</t>
  </si>
  <si>
    <t>70940</t>
  </si>
  <si>
    <t>70941</t>
  </si>
  <si>
    <t>80101</t>
  </si>
  <si>
    <t>80102</t>
  </si>
  <si>
    <t>80103</t>
  </si>
  <si>
    <t>80104</t>
  </si>
  <si>
    <t>80105</t>
  </si>
  <si>
    <t>80106</t>
  </si>
  <si>
    <t>80107</t>
  </si>
  <si>
    <t>80108</t>
  </si>
  <si>
    <t>80109</t>
  </si>
  <si>
    <t>80110</t>
  </si>
  <si>
    <t>80111</t>
  </si>
  <si>
    <t>80112</t>
  </si>
  <si>
    <t>80113</t>
  </si>
  <si>
    <t>80114</t>
  </si>
  <si>
    <t>80115</t>
  </si>
  <si>
    <t>80116</t>
  </si>
  <si>
    <t>80117</t>
  </si>
  <si>
    <t>80118</t>
  </si>
  <si>
    <t>80119</t>
  </si>
  <si>
    <t>St. Anton im Montafon</t>
  </si>
  <si>
    <t>80120</t>
  </si>
  <si>
    <t>St. Gallenkirch</t>
  </si>
  <si>
    <t>80121</t>
  </si>
  <si>
    <t>St. Gerold</t>
  </si>
  <si>
    <t>80122</t>
  </si>
  <si>
    <t>80123</t>
  </si>
  <si>
    <t>80124</t>
  </si>
  <si>
    <t>80125</t>
  </si>
  <si>
    <t>80126</t>
  </si>
  <si>
    <t>80127</t>
  </si>
  <si>
    <t>80128</t>
  </si>
  <si>
    <t>80129</t>
  </si>
  <si>
    <t>80201</t>
  </si>
  <si>
    <t>80202</t>
  </si>
  <si>
    <t>80203</t>
  </si>
  <si>
    <t>80204</t>
  </si>
  <si>
    <t>80205</t>
  </si>
  <si>
    <t>80206</t>
  </si>
  <si>
    <t>80207</t>
  </si>
  <si>
    <t>80208</t>
  </si>
  <si>
    <t>80209</t>
  </si>
  <si>
    <t>80210</t>
  </si>
  <si>
    <t>80211</t>
  </si>
  <si>
    <t>80212</t>
  </si>
  <si>
    <t>80213</t>
  </si>
  <si>
    <t>80214</t>
  </si>
  <si>
    <t>80215</t>
  </si>
  <si>
    <t>80216</t>
  </si>
  <si>
    <t>80217</t>
  </si>
  <si>
    <t>80218</t>
  </si>
  <si>
    <t>80219</t>
  </si>
  <si>
    <t>80220</t>
  </si>
  <si>
    <t>80221</t>
  </si>
  <si>
    <t>80222</t>
  </si>
  <si>
    <t>80223</t>
  </si>
  <si>
    <t>80224</t>
  </si>
  <si>
    <t>80225</t>
  </si>
  <si>
    <t>80226</t>
  </si>
  <si>
    <t>80227</t>
  </si>
  <si>
    <t>80228</t>
  </si>
  <si>
    <t>80229</t>
  </si>
  <si>
    <t>80230</t>
  </si>
  <si>
    <t>80231</t>
  </si>
  <si>
    <t>80232</t>
  </si>
  <si>
    <t>80233</t>
  </si>
  <si>
    <t>80234</t>
  </si>
  <si>
    <t>80235</t>
  </si>
  <si>
    <t>80236</t>
  </si>
  <si>
    <t>80237</t>
  </si>
  <si>
    <t>80238</t>
  </si>
  <si>
    <t>80239</t>
  </si>
  <si>
    <t>80240</t>
  </si>
  <si>
    <t>80301</t>
  </si>
  <si>
    <t>80302</t>
  </si>
  <si>
    <t>80303</t>
  </si>
  <si>
    <t>80401</t>
  </si>
  <si>
    <t>80402</t>
  </si>
  <si>
    <t>80403</t>
  </si>
  <si>
    <t>80404</t>
  </si>
  <si>
    <t>80405</t>
  </si>
  <si>
    <t>80406</t>
  </si>
  <si>
    <t>80407</t>
  </si>
  <si>
    <t>80408</t>
  </si>
  <si>
    <t>80409</t>
  </si>
  <si>
    <t>80410</t>
  </si>
  <si>
    <t>80411</t>
  </si>
  <si>
    <t>80412</t>
  </si>
  <si>
    <t>80413</t>
  </si>
  <si>
    <t>80414</t>
  </si>
  <si>
    <t>80415</t>
  </si>
  <si>
    <t>80416</t>
  </si>
  <si>
    <t>80417</t>
  </si>
  <si>
    <t>80418</t>
  </si>
  <si>
    <t>80419</t>
  </si>
  <si>
    <t>80420</t>
  </si>
  <si>
    <t>80421</t>
  </si>
  <si>
    <t>80422</t>
  </si>
  <si>
    <t>80423</t>
  </si>
  <si>
    <t>80424</t>
  </si>
  <si>
    <t>90101</t>
  </si>
  <si>
    <t>Wien-Innere Stadt</t>
  </si>
  <si>
    <t>90201</t>
  </si>
  <si>
    <t>Wien-Leopoldstadt</t>
  </si>
  <si>
    <t>90301</t>
  </si>
  <si>
    <t>Wien-Landstraße</t>
  </si>
  <si>
    <t>90401</t>
  </si>
  <si>
    <t>Wien-Wieden</t>
  </si>
  <si>
    <t>90501</t>
  </si>
  <si>
    <t>Wien-Margareten</t>
  </si>
  <si>
    <t>90601</t>
  </si>
  <si>
    <t>Wien-Mariahilf</t>
  </si>
  <si>
    <t>90701</t>
  </si>
  <si>
    <t>Wien-Neubau</t>
  </si>
  <si>
    <t>90801</t>
  </si>
  <si>
    <t>Wien-Josefstadt</t>
  </si>
  <si>
    <t>90901</t>
  </si>
  <si>
    <t>Wien-Alsergrund</t>
  </si>
  <si>
    <t>91001</t>
  </si>
  <si>
    <t>Wien-Favoriten</t>
  </si>
  <si>
    <t>91101</t>
  </si>
  <si>
    <t>Wien-Simmering</t>
  </si>
  <si>
    <t>91201</t>
  </si>
  <si>
    <t>Wien-Meidling</t>
  </si>
  <si>
    <t>91301</t>
  </si>
  <si>
    <t>Wien-Hietzing</t>
  </si>
  <si>
    <t>91401</t>
  </si>
  <si>
    <t>Wien-Penzing</t>
  </si>
  <si>
    <t>91501</t>
  </si>
  <si>
    <t>Wien-Rudolfsheim-Fünfhaus</t>
  </si>
  <si>
    <t>91601</t>
  </si>
  <si>
    <t>Wien-Ottakring</t>
  </si>
  <si>
    <t>91701</t>
  </si>
  <si>
    <t>Wien-Hernals</t>
  </si>
  <si>
    <t>91801</t>
  </si>
  <si>
    <t>Wien-Währing</t>
  </si>
  <si>
    <t>91901</t>
  </si>
  <si>
    <t>Wien-Döbling</t>
  </si>
  <si>
    <t>92001</t>
  </si>
  <si>
    <t>Wien-Brigittenau</t>
  </si>
  <si>
    <t>92101</t>
  </si>
  <si>
    <t>Wien-Floridsdorf</t>
  </si>
  <si>
    <t>92201</t>
  </si>
  <si>
    <t>Wien-Donaustadt</t>
  </si>
  <si>
    <t>92301</t>
  </si>
  <si>
    <t>Wien-Liesing</t>
  </si>
  <si>
    <t>TYP</t>
  </si>
  <si>
    <t>Regions-ÖV-Typ GEMEINDE</t>
  </si>
  <si>
    <t>Wohngebäude</t>
  </si>
  <si>
    <t>Bürogebäude</t>
  </si>
  <si>
    <t>Angabe</t>
  </si>
  <si>
    <t>Abweichung</t>
  </si>
  <si>
    <t>Freiraum</t>
  </si>
  <si>
    <t>Mitwirkung und Mitbestimmung wird beworben und aktiv eingefordert</t>
  </si>
  <si>
    <t>Mitwirkung und Mitbestimmung erfolgt bereits bei der Variantenentwicklung</t>
  </si>
  <si>
    <t>Ausgewählte, bedeutsame Elemente werden durch Mitbestimmung entschieden</t>
  </si>
  <si>
    <t>Mitbestimmung - Relevante Auswirkung</t>
  </si>
  <si>
    <t>Zielgruppenspezifische Ansprache vorgesehen</t>
  </si>
  <si>
    <t>Gesicherte Finanzierung der Umsetzungsmaßnahmen</t>
  </si>
  <si>
    <t>Erstellung/Erarbeitung von Informationsmaterial (geeignete Form z.B. Print, Webseite etc.)</t>
  </si>
  <si>
    <t>Häufigkeit der Kommunikation</t>
  </si>
  <si>
    <t>Stand der Technik</t>
  </si>
  <si>
    <t>Nah/Fernwärmenetz</t>
  </si>
  <si>
    <t>Einheit</t>
  </si>
  <si>
    <t>Fläche [m²]</t>
  </si>
  <si>
    <t>Erfüllungsgrad</t>
  </si>
  <si>
    <t>Berechnung</t>
  </si>
  <si>
    <t>Personen</t>
  </si>
  <si>
    <t>Anzahl</t>
  </si>
  <si>
    <t>Monitoringkonzept für die Erfassung und Auswertung des Mobilitätsverhaltens auf Siedlungsebene liegt vor</t>
  </si>
  <si>
    <t>Monitoringkonzept für die Erfassung und Auswertung des Wasserverbrauchs auf Ebene der Mieteinheit liegt vor (Musterwohnung)</t>
  </si>
  <si>
    <t>Monitoringkonzept für die Erfassung und Auswertung des Wasserverbrauchs auf Gebäudeebene liegt vor (Mustergebäude)</t>
  </si>
  <si>
    <t>Monitoringkonzept für die Erfassung und Auswertung der Betriebsenergie auf Ebene der Mieteinheit liegt vor (Musterwohnung)</t>
  </si>
  <si>
    <t>Monitoringkonzept für die Erfassung und Auswertung der Betriebsenergie auf Gebäudeebene liegt vor (Mustergebäude)</t>
  </si>
  <si>
    <t>Beschäftigte (Büro und Gewerbe) [€/Monat]</t>
  </si>
  <si>
    <t>Kunden (Verkauf) [€/Stunde]</t>
  </si>
  <si>
    <t>Wert</t>
  </si>
  <si>
    <t>Energieausweise</t>
  </si>
  <si>
    <t>Monitoringkonzept</t>
  </si>
  <si>
    <t>Notiz</t>
  </si>
  <si>
    <t>Geschirrspüler</t>
  </si>
  <si>
    <t>WC [Liter/Vollspülung - Zweimengen bzw. Einmengen Spültechnik]</t>
  </si>
  <si>
    <t>Wasserhahn Küche [l/min]</t>
  </si>
  <si>
    <t>Wasserhahn Bad [l/min]</t>
  </si>
  <si>
    <t>Toplader</t>
  </si>
  <si>
    <t>Füllmenge bis 6,5 kg</t>
  </si>
  <si>
    <t>Füllmenge 7 kg</t>
  </si>
  <si>
    <t>Füllmenge 8-9 kg</t>
  </si>
  <si>
    <t>Integrierbar 60 cm Breite</t>
  </si>
  <si>
    <t>Vollintegrierbar 60 cm Breite</t>
  </si>
  <si>
    <t>Stand 60 cm Breite</t>
  </si>
  <si>
    <t>Integrierbar 45 cm Breite</t>
  </si>
  <si>
    <t>Vollintegrierbar 45 cm Breite</t>
  </si>
  <si>
    <t>Stand 45 cm Breite</t>
  </si>
  <si>
    <t>Waschmaschine [l/Jahr]</t>
  </si>
  <si>
    <t>Dusche [l/min]</t>
  </si>
  <si>
    <t>Sonstiges (z.B. Bidet)</t>
  </si>
  <si>
    <t>Nutzung</t>
  </si>
  <si>
    <t>Sparsam</t>
  </si>
  <si>
    <t>Normal</t>
  </si>
  <si>
    <t>Hoher Bedarf</t>
  </si>
  <si>
    <t>Sparsam/Normal/Hoher Bedarf</t>
  </si>
  <si>
    <t>Qualität Sammelstellen (siehe auch Müllabfuhrverordnung)</t>
  </si>
  <si>
    <t>Energiemarketing: Infos zu Abfallvermeidung</t>
  </si>
  <si>
    <t>(Mehrsprachige) Informationsblätter zum richtigen Trennen liegen auf</t>
  </si>
  <si>
    <t>Laufende Betreuung der Sammelstelle durch z.B. Hausmeister</t>
  </si>
  <si>
    <t>Optimierte Anzahl, Größe und Art der Sammelbehälter (z.B. genaue Bedarfsanalyse, Presscontainer, intelligente Mülltonne)</t>
  </si>
  <si>
    <t>Abfallintensives Gewerbe vor Ort</t>
  </si>
  <si>
    <t>Infos zum Recyclinghof bzw. zu Abgabemöglichkeiten liegen vor</t>
  </si>
  <si>
    <t>Bewusstes einkaufen wird beworben</t>
  </si>
  <si>
    <t>Art der Nutzung</t>
  </si>
  <si>
    <t>Einfamilienhaus</t>
  </si>
  <si>
    <t>Wohnhaus</t>
  </si>
  <si>
    <t>Heime</t>
  </si>
  <si>
    <t>Altenheime</t>
  </si>
  <si>
    <t>Restaurant</t>
  </si>
  <si>
    <t>Hotel</t>
  </si>
  <si>
    <t>Jugendherberge</t>
  </si>
  <si>
    <t>Motel</t>
  </si>
  <si>
    <t>Bezugsgröße</t>
  </si>
  <si>
    <t>BGF</t>
  </si>
  <si>
    <t>Betten</t>
  </si>
  <si>
    <t>Arbeitsplätze</t>
  </si>
  <si>
    <t>Hallenfläche</t>
  </si>
  <si>
    <t>Sitzplätze</t>
  </si>
  <si>
    <t>Wohnungen allgemein</t>
  </si>
  <si>
    <t>Für Besucher von Privatwohnungen</t>
  </si>
  <si>
    <t>Für Besucher von Wohnheimen</t>
  </si>
  <si>
    <t>Altenwohnheime</t>
  </si>
  <si>
    <t>Krankenhäuser</t>
  </si>
  <si>
    <t>Schulen</t>
  </si>
  <si>
    <t>Gaststätten</t>
  </si>
  <si>
    <t>Jugendherbergen und Jugendgasthäuser</t>
  </si>
  <si>
    <t>Kindergartenplatz</t>
  </si>
  <si>
    <t>Ausbildungsplatz</t>
  </si>
  <si>
    <t>Umsetzung prüfen</t>
  </si>
  <si>
    <t>Wohneinheiten</t>
  </si>
  <si>
    <t>Nutzfläche [m²]</t>
  </si>
  <si>
    <t>Abfrage</t>
  </si>
  <si>
    <t>Verbrauch</t>
  </si>
  <si>
    <t>Bäcker</t>
  </si>
  <si>
    <t>Konditor</t>
  </si>
  <si>
    <t>Lebensmittelbetrieb</t>
  </si>
  <si>
    <t>Fleischer</t>
  </si>
  <si>
    <t>Kleingewerbe</t>
  </si>
  <si>
    <t>Handel</t>
  </si>
  <si>
    <t>Anteil PKW am Modal-Split</t>
  </si>
  <si>
    <t>Anteil Fahrrad am Modal-Split</t>
  </si>
  <si>
    <t>Einrichtung</t>
  </si>
  <si>
    <t>Anteil Wohnnutzung [% der Fläche]</t>
  </si>
  <si>
    <t>NAVIGATION</t>
  </si>
  <si>
    <t>Schmaler Bildschirm</t>
  </si>
  <si>
    <t>ê</t>
  </si>
  <si>
    <t>Aktionsplan</t>
  </si>
  <si>
    <t>Inkludierte Zusatzpunkte</t>
  </si>
  <si>
    <t>Bauträger</t>
  </si>
  <si>
    <t>Bauliche Dichte</t>
  </si>
  <si>
    <t>Halböffentliche und öffentliche Räume</t>
  </si>
  <si>
    <t>Motorisierter Individualverkehr</t>
  </si>
  <si>
    <t>ÖV-Angebote und alternative Angebote</t>
  </si>
  <si>
    <t>Stellplatzgrundwert</t>
  </si>
  <si>
    <t>Typ</t>
  </si>
  <si>
    <t>Anteil MIV</t>
  </si>
  <si>
    <t>Anteil Rad</t>
  </si>
  <si>
    <t>Ist</t>
  </si>
  <si>
    <t>Soll</t>
  </si>
  <si>
    <t>(Betriebliche) Abwärme</t>
  </si>
  <si>
    <t>Grund- bzw. Oberflächenwasser</t>
  </si>
  <si>
    <t>Umgebungswärme</t>
  </si>
  <si>
    <t>Eigenverbrauchsanteil</t>
  </si>
  <si>
    <t>Abfallart</t>
  </si>
  <si>
    <t>Minimalwert [kg/P]</t>
  </si>
  <si>
    <t>Maximalwert [kg/P]</t>
  </si>
  <si>
    <t>Altpapier, Pappe und Kartonage</t>
  </si>
  <si>
    <t>Altglas (Weiß- und Buntglas)</t>
  </si>
  <si>
    <t>Metalle (Verpackungen)</t>
  </si>
  <si>
    <t>Leichtfraktionen (Verpackungen)</t>
  </si>
  <si>
    <t>Biotonne</t>
  </si>
  <si>
    <t>Es werden nur alle jene Einrichtungen angerechnet, welche ohne Barrieren zu Fuß oder mit dem Fahrrad annehmbar erreichbar sind.</t>
  </si>
  <si>
    <t>Umsetzung forcieren</t>
  </si>
  <si>
    <t>Umsetzung nachweisen</t>
  </si>
  <si>
    <t>Adresse</t>
  </si>
  <si>
    <t>Sonne</t>
  </si>
  <si>
    <t>B - Hochrangige ÖV-Erschließung</t>
  </si>
  <si>
    <t>A - Höchstrangige ÖV-Erschließung</t>
  </si>
  <si>
    <t>C - Sehr gute ÖV-Erschließung</t>
  </si>
  <si>
    <t>D - Gute ÖV-Erschließung</t>
  </si>
  <si>
    <t>E - Sehr gute Basiserschließung</t>
  </si>
  <si>
    <t>G - Basiserschließung</t>
  </si>
  <si>
    <t>F - Gute Basiserschließung</t>
  </si>
  <si>
    <t>Energieträger für Wärmeversorgung</t>
  </si>
  <si>
    <t>Sonstige</t>
  </si>
  <si>
    <t>Planung</t>
  </si>
  <si>
    <t>ÖV-Güteklasse STANDORT</t>
  </si>
  <si>
    <t>Anzahl Wohneinheiten</t>
  </si>
  <si>
    <t>Anzahl Bewohner</t>
  </si>
  <si>
    <t>Neubau</t>
  </si>
  <si>
    <t>Art des Vorhabens</t>
  </si>
  <si>
    <t>Weitere Informationen</t>
  </si>
  <si>
    <t>Offenes Kommentarfeld</t>
  </si>
  <si>
    <t>Rückfragen</t>
  </si>
  <si>
    <t>Oskar Mair am Tinkhof</t>
  </si>
  <si>
    <t>Tel.: +43 (0)662 623455-32</t>
  </si>
  <si>
    <t>E-Mail: oskar.mairamtinkhof@salzburg.gv.at</t>
  </si>
  <si>
    <t>Planungsphase</t>
  </si>
  <si>
    <t>Umsetzungsphase</t>
  </si>
  <si>
    <t>Beispiele für qualitätsvolle Nachverdichtung sind bekannt und wurden für relevante Zielgruppen aufbereitet</t>
  </si>
  <si>
    <t>Die Geschossflächenzahl wurde in Abstimmung mit der lokalen Baubehörde für das vorliegende Bauvorhaben optimiert</t>
  </si>
  <si>
    <t>Die stadträumliche Strukturierung berücksichtigt die relevanten, übergeordneten Durchlüftungsachsen</t>
  </si>
  <si>
    <t>Das Nutzungskonzept der geplanten Nutzflächen entspricht den mit der Steuerungsgruppe und der Standortgemeinde abgestimmten Zielen</t>
  </si>
  <si>
    <t>Das Nutzungskonzept berücksichtigt die im Kommunikationskonzept und in der Stakeholderanalyse definierten Zielgruppen. Diese werden aktiv beworben</t>
  </si>
  <si>
    <t>Es besteht ein attraktiver Wohnungsmix (Starter-Wohnungen, Wohnung für Alleinerziehende, betreubares Wohnen, Gästewohnungen, …)</t>
  </si>
  <si>
    <t>Es werden sowohl Mietwohnungen als auch Wohneigentum in unterschiedlichen Größen realisiert</t>
  </si>
  <si>
    <t>Der Anteil von preisgünstigen Wohnungen beträgt mindestens 20% der Wohnflächen</t>
  </si>
  <si>
    <t>Ganzes Areal dient der Hauptnutzung</t>
  </si>
  <si>
    <t>Die zusätzlichen Nutzungsarten haben einen Flächen-Anteil &gt;30%</t>
  </si>
  <si>
    <t>Die Hauptnutzungen, die zusätzlichen Nutzungsarten sowie die Nebennutzungen sind aufeinander abgestimmt und entsprechen den mit der Gemeinde abgestimmten Zielen</t>
  </si>
  <si>
    <t>Die Räume verfügen über eine minimale lichte Raumhöhe von 3,60 m (Roh-Lichtmaß)</t>
  </si>
  <si>
    <t>Voraussetzungen für die Erschließung (z.B. Lüftung) sind vorhanden</t>
  </si>
  <si>
    <t>Der Zugang ist sichergestellt. Das heißt: Die Höhe des Erdgeschoss-Bodens von Neubauten entspricht dem angrenzenden Gehsteig-Niveau; der Vorbereich auf Privatgrund ist auf die Gestaltung des öffentlichen Raumes abgestimmt; der Zugangsbereich ist ungehindert zugänglich; die Straßenraumgestaltung reicht bis zur Gebäudefassade</t>
  </si>
  <si>
    <t>Keine Angebote sind vorhanden und nutzbar</t>
  </si>
  <si>
    <t>Einzelne Angebote sind vorhanden und nutzbar</t>
  </si>
  <si>
    <t>Mehrere Angebote sind vorhanden und nutzbar</t>
  </si>
  <si>
    <t>Mehrere Angebote mit unterschiedlichen Funktionen für unterschiedliche Altersstufen sind vorhanden und nutzbar</t>
  </si>
  <si>
    <t>Sehr viele Angebote mit unterschiedlichen Funktionen sind vorhanden und halböffentlich und teilweise auch öffentlich zugänglich</t>
  </si>
  <si>
    <t>Die Zugänglichkeit für interne Nutzende (halböffentliche Räume) und externe Nutzende (öffentliche Räume) ist geregelt</t>
  </si>
  <si>
    <t>Der Umgang mit Nutzungskonflikten ist geregelt</t>
  </si>
  <si>
    <t>Finanzierung einer frühzeitigen Ausstattung des Außenraumes ist gesichert (inkl. Unterhalt)</t>
  </si>
  <si>
    <t>LZK- und/oder Wirtschaftlichkeitsberechnungen wurden für verschiedene Bauteilvarianten durchgeführt</t>
  </si>
  <si>
    <t>LZK- und/oder Wirtschaftlichkeitsberechnungen wurden für verschiedene Energiesystemvarianten durchgeführt</t>
  </si>
  <si>
    <t>Die Ergebnisse wurden bei Variantenentscheidungen berücksichtigt</t>
  </si>
  <si>
    <t>Weniger als 1/3 der Fahrradabstellplätze sind bei den Eingängen der Gebäude angeordnet und weniger als zwei Anforderungen sind in guter Qualität erfüllt</t>
  </si>
  <si>
    <t>Mindestens 1/3 der Fahrradabstellplätze sind bei den Eingängen der Gebäude angeordnet und zwei zusätzliche Anforderungen sind in guter Qualität erfüllt</t>
  </si>
  <si>
    <t>Mindestens 1/3 der Fahrradabstellplätze sind bei den Eingängen der Gebäude angeordnet und drei zusätzliche Anforderungen sind in guter Qualität erfüllt</t>
  </si>
  <si>
    <t>Alle Anforderungen sind in guter Qualität erfüllt</t>
  </si>
  <si>
    <t>Die RVS-Empfehlungen zum Thema „Barrierefreiheit“ ist nicht realisiert</t>
  </si>
  <si>
    <t>Die RVS-Empfehlung zum Thema „Barrierefreiheit“ ist im ganzen Areal optimal umgesetzt</t>
  </si>
  <si>
    <t>Ein Angebot in guter Qualität vorhanden</t>
  </si>
  <si>
    <t>Zwei Angebote sind in guter Qualität vorhanden</t>
  </si>
  <si>
    <t>Drei Angebote sind in guter Qualität vorhanden</t>
  </si>
  <si>
    <t>Mehr als drei Angebote sind in guter Qualität vorhanden</t>
  </si>
  <si>
    <t>Kein Carsharing-Standplatz vorhanden</t>
  </si>
  <si>
    <t>1 Carsharing-Standplatz liegt in max. 300 Meter Fußdistanz vom Zentrumsplatz / im Zentrum des Areals</t>
  </si>
  <si>
    <t>1 Carsharing-Standplatz liegt direkt am Zentrumsplatz / im Zentrum des Areals</t>
  </si>
  <si>
    <t>(Elektro-)Carsharing-Angebot für das ganze Areal ist realisiert</t>
  </si>
  <si>
    <t>Steuerungsgruppe ist eingerichtet, offiziell legitimiert und mit Kompetenzen ausgestattet</t>
  </si>
  <si>
    <t>Konzept beinhaltet zu allen genannten Themen qualitative Ziele</t>
  </si>
  <si>
    <t>Konzept beinhaltet zu allen genannten Themen quantitative Ziele</t>
  </si>
  <si>
    <t>Externe Interessensvertreter wurden bei Konzepterstellung eingebunden</t>
  </si>
  <si>
    <t>Städtebauliches Konzept zeigt eine plausible schrittweise Umsetzung auf</t>
  </si>
  <si>
    <t>Die Zwischenstände weisen eine gute Qualität in Hinblick auf die definierten Ziele auf (z.B. bezüglich Aufenthaltsqualität, Erreichbarkeit, Energieversorgung, etc.)</t>
  </si>
  <si>
    <t>Relevante Bestimmungen für die Zielerreichung wurden bei Verkäufen (oder langfristigen Vermietungen) in allen relevanten Verträgen mit allen Käufern bzw. Mietern berücksichtigt (Bewertung in Abhängigkeit der Anzahl)</t>
  </si>
  <si>
    <t>Energie und Klimaschutz relevante Qualitätskriterien, welche beim Auswahl- bzw. Planungsverfahren berücksichtigt werden sollten, sind bekannt</t>
  </si>
  <si>
    <t>Relevante Bestimmungen für die Zielerreichung wurden beim Auswahl- bzw. Planungsverfahren vorgegeben und bei der Jurierung eigens bewertet</t>
  </si>
  <si>
    <t>Energie und Klimaschutz relevante Qualitätskriterien, welche bei Ausschreibungen berücksichtigt werden sollten, sind bekannt</t>
  </si>
  <si>
    <t>Das Ausschreibeverfahren ist dazu geeignet. „Geeignet“ bedeutet in diesem Zusammenhang, dass die Abweichung von Standardtexten möglich ist und die Vergabe nach dem Bestbieterprinzip erfolgt</t>
  </si>
  <si>
    <t>Relevante Bestimmungen für die Zielerreichung wurden bei allen relevanten Ausschreibungen vorgegeben und bei der Vergabe eigens bewertet (Bewertung in Abhängigkeit der Anzahl)</t>
  </si>
  <si>
    <t>Energie und Klimaschutz relevante Förderungen und die damit verbundenen Qualitätssicherungsverfahren wurden in Anspruch genommen bzw. wurden Projekte eingereicht</t>
  </si>
  <si>
    <t>Zuständigkeiten und Ressourcen für die interne und externe Qualitätssicherung sind festgelegt und gesichert</t>
  </si>
  <si>
    <t>Alle relevanten Stakeholder sind definiert</t>
  </si>
  <si>
    <t>Die angemessene Einbeziehung für jede Stakeholder-Gruppe ist festgelegt</t>
  </si>
  <si>
    <t>Die Stakeholder sind über Form, Art und Zeitpunkt der Einbeziehung in die Entscheidungsprozesse informiert</t>
  </si>
  <si>
    <t>Regelmäßig findet eine Überprüfung der Stakeholderanalyse statt. Dabei sind die relevanten Stakeholder entsprechend der Projektphase zu identifizieren und die Auswahl anzupassen</t>
  </si>
  <si>
    <t>Geeignete Strukturen, Situationen und Ressourcen für den Austausch sind vorhanden bzw. im Prozess eingeplant (die Beurteilung berücksichtigt die Wichtigkeit der teilnehmenden Stakeholder)</t>
  </si>
  <si>
    <t>Planung von Sensibilisierungsaktionen, Veranstaltungen, Informations- und Austauschformaten in Zusammenarbeit mit verschiedenen Partnern zu allen drei Themen</t>
  </si>
  <si>
    <t>Erstellung/Erarbeitung von Informationsmaterial zu allen drei Themen (geeignete Form z.B. Print, Webseite etc.)</t>
  </si>
  <si>
    <t>Planung von Sensibilisierungsaktionen, Veranstaltungen, Informations- und Austauschformaten in Zusammenarbeit mit verschiedenen Partnern</t>
  </si>
  <si>
    <t>Berücksichtigte Zielgruppen lokal, regional, national: Gemeinde, Behörden, Bevölkerung, Wirtschaft</t>
  </si>
  <si>
    <t>Medium: Website, Medien, Regionalpresse, Berichterstattung an Gemeinde, Flyer, Broschüre</t>
  </si>
  <si>
    <t>Aktionen: Veranstaltung, Marktstand, Tag der offenen Türe, Baustellenfest etc.</t>
  </si>
  <si>
    <t>Kommunikation 1-2 mal pro Jahr, an verschiedene Zielgruppen mit unterschiedlichen Medien</t>
  </si>
  <si>
    <t>Regelmäßige Kommunikation auf verschiedenen Kanälen, an verschiedene Zielgruppen</t>
  </si>
  <si>
    <t>Kommunikation mindestens jeweils am Audit, Re-Audit, an einzelne Zielgruppen</t>
  </si>
  <si>
    <t>Das Gesamtergebnis ist stark durch Mitbestimmung/Mitgestaltung der Stakeholder geprägt</t>
  </si>
  <si>
    <t>Grundsätzliche Rückmeldungen berücksichtigt</t>
  </si>
  <si>
    <t>Rückmeldungen nicht berücksichtigt</t>
  </si>
  <si>
    <t>Keine externe Mitwirkung und Mitbestimmung vorgesehen: 0%</t>
  </si>
  <si>
    <t>Beteiligung an vorbereiteten Variantenentscheiden</t>
  </si>
  <si>
    <t>Mehrere Veranstaltungen mit hoher Beteiligung in den letzten 12 Monaten sowie fest konstituierte Arbeitsgruppe</t>
  </si>
  <si>
    <t>2-3 Aktionen in den letzten 12 Monaten (Veranstaltungen, Runde Tische, etc.) oder es besteht eine fest konstituierte Arbeitsgruppe</t>
  </si>
  <si>
    <t>1 Veranstaltung in den vergangenen 12 Monaten bzw. im jährlichen Intervall</t>
  </si>
  <si>
    <t>Austausch findet situationsbedingt und nicht regelmäßig statt</t>
  </si>
  <si>
    <t>Das interne Wegenetz für Fuß- und Radverkehr weist keine sichere Querungs- /Anbindungsmöglichkeiten zu den übergeordneten Fuß- und Radwegnetzen auf</t>
  </si>
  <si>
    <t>Das interne Wegenetz für Fuß- und Radverkehr weist an den wichtigsten Anschlusspunkten über sichere Querungs- /Anbindungsmöglichkeiten zu den übergeordneten Fuß- und Radwegnetzen auf; es besteht aber noch Optimierungspotenzial</t>
  </si>
  <si>
    <t>Das interne Wegenetz für Fuß- und Radverkehr weist an den wichtigsten Anschlusspunkten über sichere und optimale Querungs- /Anbindungsmöglichkeiten zu den übergeordneten Fuß- und Radwegnetzen auf</t>
  </si>
  <si>
    <t>Das interne Wegenetz für Fuß- und Radverkehr weist an allen Anschlusspunkten sichere und optimale Querungs- /Anbindungsmöglichkeiten zu den übergeordneten Fuß- und Radwegnetzen auf</t>
  </si>
  <si>
    <t>m²/Person</t>
  </si>
  <si>
    <t>Kommentar</t>
  </si>
  <si>
    <t>Vollständig mit Trinkwasser</t>
  </si>
  <si>
    <t>Bauliche Maßnahmen: Kenndaten der Armaturen</t>
  </si>
  <si>
    <t xml:space="preserve">Marketing Maßnahmen: Vorschläge für Einbaugeräte </t>
  </si>
  <si>
    <t>Marketing Maßnahmen: Vorschläge für Nutzung</t>
  </si>
  <si>
    <t>Swimmingpool vorhanden</t>
  </si>
  <si>
    <t>Bauliche Maßnahmen: Verbaute Anlagen</t>
  </si>
  <si>
    <t>Regelung</t>
  </si>
  <si>
    <t>Bewässerung erfolgt vollautomatisch</t>
  </si>
  <si>
    <t>Bewässerung erfolgt manuell und wassersparend</t>
  </si>
  <si>
    <t>Bewässerung erfolgt manuell ohne Berücksichtigung des Themas "Wassersparen"</t>
  </si>
  <si>
    <t>Möglicherweise resultierender Wasserverbrauch</t>
  </si>
  <si>
    <t>Wassersparendes Produkt</t>
  </si>
  <si>
    <t>Trinkwasseranlage</t>
  </si>
  <si>
    <t>m³/ha*h</t>
  </si>
  <si>
    <t>l/Ang.*d</t>
  </si>
  <si>
    <t>l/m²*d</t>
  </si>
  <si>
    <t>Anzahl der externen Personen</t>
  </si>
  <si>
    <t>Erreichte Punkte 
(ohne Zusatzpunkte)</t>
  </si>
  <si>
    <t>Wert aus Drop-Down-Liste auswählen</t>
  </si>
  <si>
    <t>Berechnungsergebnis. Wert prüfen</t>
  </si>
  <si>
    <t>Wert eintragen</t>
  </si>
  <si>
    <t>Auditinhalt</t>
  </si>
  <si>
    <t>Dokumentation des Auditprozesses</t>
  </si>
  <si>
    <t>Eine der vier Anforderungen ist in guter Qualität erfüllt</t>
  </si>
  <si>
    <t>Zwei der vier Anforderungen sind in guter Qualität erfüllt</t>
  </si>
  <si>
    <t>Drei der vier Anforderungen sind in guter Qualität erfüllt</t>
  </si>
  <si>
    <t>Alle vier Anforderungen sind in guter Qualität erfüllt</t>
  </si>
  <si>
    <t>Variante 1</t>
  </si>
  <si>
    <t>Variante 2</t>
  </si>
  <si>
    <t>Mögliche Restmüllmenge</t>
  </si>
  <si>
    <t>Möglicher Verbrauch</t>
  </si>
  <si>
    <t>Erfüllungsgrad nach Flächenanteil an signalisierten Temporeduktions- und Begegnungszonen am Gesamtareal inkl. Einbezug der direkt angrenzenden Straßen</t>
  </si>
  <si>
    <t>Anzahl PKW-Stellplätze</t>
  </si>
  <si>
    <t>Anzahl Fahrrad-Stellplätze</t>
  </si>
  <si>
    <t>Interner Merker</t>
  </si>
  <si>
    <t>Eckdaten Siedlung bzw. Quartier</t>
  </si>
  <si>
    <t>Anteil</t>
  </si>
  <si>
    <t>Siedlung/Quartier</t>
  </si>
  <si>
    <t>Siedlung</t>
  </si>
  <si>
    <t>Quartier</t>
  </si>
  <si>
    <t>Nachweis Mindestanforderung</t>
  </si>
  <si>
    <t>Industrie/Gewerbe - Personal</t>
  </si>
  <si>
    <t>Industrie/Gewerbe - Besucher</t>
  </si>
  <si>
    <t>Industrie/Gewerbe - Lagerhallen</t>
  </si>
  <si>
    <t>Dienstleistungsbetrieb - Personal</t>
  </si>
  <si>
    <t>Dienstleistungsbetrieb - Besuchergruppe "intensiv"</t>
  </si>
  <si>
    <t>Dienstleistungsbetrieb - Besuchergruppe "nicht intensiv"</t>
  </si>
  <si>
    <t>Verkaufsgeschäft - Personal</t>
  </si>
  <si>
    <t>Verkaufsgeschäft - Kundengruppe "intensiv"</t>
  </si>
  <si>
    <t>Verkaufsgeschäft - Kundengruppe " nicht-intensiv"</t>
  </si>
  <si>
    <t>Kindergärten, Horte</t>
  </si>
  <si>
    <t>Heime (Studenten/Angestellte)</t>
  </si>
  <si>
    <t>Verkaufsfläche</t>
  </si>
  <si>
    <t>BGF/Betten/AP/Fläche</t>
  </si>
  <si>
    <t>Gruppenraum</t>
  </si>
  <si>
    <t>Klasse</t>
  </si>
  <si>
    <t>Bibliotheken</t>
  </si>
  <si>
    <t>Hochschulgebäude</t>
  </si>
  <si>
    <t>Geschäfte für Waren des täglichen Bedarfs</t>
  </si>
  <si>
    <t>Verkaufsgeschäfte</t>
  </si>
  <si>
    <t>Dienstleistungsbetriebe "kundenintensiv"</t>
  </si>
  <si>
    <t>Dienstleistungsbetriebe "nicht kundenintensiv"</t>
  </si>
  <si>
    <t>Jugendzentren</t>
  </si>
  <si>
    <t>BGF/Betten/AP/Flächen</t>
  </si>
  <si>
    <t>Studenten</t>
  </si>
  <si>
    <t>Arbeitsplatz</t>
  </si>
  <si>
    <t>Verleihfläche</t>
  </si>
  <si>
    <t>Nutzfläche 
[m² NF]</t>
  </si>
  <si>
    <t>Bruttogrundfläche 
[m² BGF]</t>
  </si>
  <si>
    <t>Energiebezugsfläche 
[m² EBF]</t>
  </si>
  <si>
    <r>
      <rPr>
        <b/>
        <sz val="11"/>
        <color theme="1"/>
        <rFont val="Calibri"/>
        <family val="2"/>
        <scheme val="minor"/>
      </rPr>
      <t xml:space="preserve">RH: </t>
    </r>
    <r>
      <rPr>
        <sz val="11"/>
        <color theme="1"/>
        <rFont val="Calibri"/>
        <family val="2"/>
        <scheme val="minor"/>
      </rPr>
      <t>Die Rechenhilfen unterstützen bei der Bewertung einzelner Maßnahmen</t>
    </r>
  </si>
  <si>
    <r>
      <t>Erfüllen klima</t>
    </r>
    <r>
      <rPr>
        <b/>
        <sz val="11"/>
        <color theme="1"/>
        <rFont val="Calibri"/>
        <family val="2"/>
        <scheme val="minor"/>
      </rPr>
      <t>aktiv</t>
    </r>
    <r>
      <rPr>
        <sz val="11"/>
        <color theme="1"/>
        <rFont val="Calibri"/>
        <family val="2"/>
        <scheme val="minor"/>
      </rPr>
      <t xml:space="preserve"> Basiskriterien</t>
    </r>
  </si>
  <si>
    <r>
      <rPr>
        <b/>
        <i/>
        <sz val="10"/>
        <rFont val="Calibri"/>
        <family val="2"/>
        <scheme val="minor"/>
      </rPr>
      <t>Anforderungen</t>
    </r>
    <r>
      <rPr>
        <sz val="10"/>
        <rFont val="Calibri"/>
        <family val="2"/>
        <scheme val="minor"/>
      </rPr>
      <t xml:space="preserve">
Für das Bauvorhaben liegt ein Gebäudekonzept vor, in dem das Leitbild/Vision und konkrete Ziele beschrieben sind. Das Konzept enthält z.B. Aussagen hinsichtlich: 
1) Niedrigstenergie / Plusenergie (Heizwärmebedarf, Primärenergiebedarf, CO2, Anteil Erneuerbarer, Speicherfähigkeit, Sommertauglichkeit)
2) Baustoffe (z.B. graue Energie, Kreislauffähigkeit, Wartungsfreundlichkeit, Schadstoffarm, Speicherfähigkeit)
3) Wohnqualität (z.B. thermischer Komfort im Sommer, Innenraumluftqualität, Lärm, Besonnung, Tageslicht, Flexibilität)
4) Barrierefreiheit
5) Wohnungsgrößen, Grundrisse
</t>
    </r>
    <r>
      <rPr>
        <b/>
        <i/>
        <sz val="10"/>
        <rFont val="Calibri"/>
        <family val="2"/>
        <scheme val="minor"/>
      </rPr>
      <t>Hintergrundinformationen und Literatur</t>
    </r>
    <r>
      <rPr>
        <sz val="10"/>
        <rFont val="Calibri"/>
        <family val="2"/>
        <scheme val="minor"/>
      </rPr>
      <t xml:space="preserve">
• Handlungsfeld Gebäude und Versorgung
• Ergebnisse aus dem durchgeführten Auswahl- bzw. Planungsverfahren
• Bebauungsplan
• klimaaktiv bauen &amp; sanieren (klimaaktiv Gebäudestandard). Weitere Infos unter: https://www.klimaaktiv.at/bauen-sanieren/gebaeudedeklaration.html; Zugriff am 13.11.2017.
• klimaaktiv nawaros (Nachwachsende Rohstoffe für innovative Produkte). Weitere Infos unter: https://www.klimaaktiv.at/erneuerbare/nawaro_markt.html; Zugriff am 13.11.2017.
</t>
    </r>
  </si>
  <si>
    <r>
      <rPr>
        <b/>
        <i/>
        <sz val="10"/>
        <color theme="1"/>
        <rFont val="Calibri"/>
        <family val="2"/>
        <scheme val="minor"/>
      </rPr>
      <t>Anforderungen</t>
    </r>
    <r>
      <rPr>
        <sz val="10"/>
        <color theme="1"/>
        <rFont val="Calibri"/>
        <family val="2"/>
        <scheme val="minor"/>
      </rPr>
      <t xml:space="preserve">
Für das Bauvorhaben liegt ein Versorgungkonzept vor, in dem das Leitbild/Vision und konkrete Ziele beschrieben sind. Das Konzept enthält z.B. Aussagen hinsichtlich:
</t>
    </r>
    <r>
      <rPr>
        <u/>
        <sz val="10"/>
        <color theme="1"/>
        <rFont val="Calibri"/>
        <family val="2"/>
        <scheme val="minor"/>
      </rPr>
      <t>1) Energieversorgung</t>
    </r>
    <r>
      <rPr>
        <sz val="10"/>
        <color theme="1"/>
        <rFont val="Calibri"/>
        <family val="2"/>
        <scheme val="minor"/>
      </rPr>
      <t xml:space="preserve">
a. Eigenversorgungsgrad (z.B. Aussagen hinsichtlich Plus-Energie)
b. Nutzung erneuerbarer Energien (z.B. Aussagen hinsichtlich Speicherung von Strom und Wärme)
c. Qualität der Energieversorgung
</t>
    </r>
    <r>
      <rPr>
        <u/>
        <sz val="10"/>
        <color theme="1"/>
        <rFont val="Calibri"/>
        <family val="2"/>
        <scheme val="minor"/>
      </rPr>
      <t>2) Wassernutzung</t>
    </r>
    <r>
      <rPr>
        <sz val="10"/>
        <color theme="1"/>
        <rFont val="Calibri"/>
        <family val="2"/>
        <scheme val="minor"/>
      </rPr>
      <t xml:space="preserve">
a. Effiziente Trinkwassernutzung im Gebäude
b. Effiziente Bewässerung im Außenraum
c. Bereitstellung von Regenwasser und Grauwasser
</t>
    </r>
    <r>
      <rPr>
        <u/>
        <sz val="10"/>
        <color theme="1"/>
        <rFont val="Calibri"/>
        <family val="2"/>
        <scheme val="minor"/>
      </rPr>
      <t>3) Abfallbewirtschaftung</t>
    </r>
    <r>
      <rPr>
        <sz val="10"/>
        <color theme="1"/>
        <rFont val="Calibri"/>
        <family val="2"/>
        <scheme val="minor"/>
      </rPr>
      <t xml:space="preserve">
a. Vermeidung von gemischten Siedlungsabfällen (z.B. Bauliche Vorkehrungen / Hinweis zu Trennung / Abgabe von Abfällen des täglichen Bedarfs wie z.B. Papier, Karton, Glas usw.)
b. Vermeidung von nicht gemischten Siedlungsabfällen (z.B. Hinweis zur Abholservice für sperrige Güter, Elektrogeräte mit der Möglichkeit zur Zwischenlagerung; Umgang mit Biomasse, Speiseresten, Grasschnitt und mögliche energetische Verwertung)
</t>
    </r>
    <r>
      <rPr>
        <b/>
        <i/>
        <sz val="10"/>
        <color theme="1"/>
        <rFont val="Calibri"/>
        <family val="2"/>
        <scheme val="minor"/>
      </rPr>
      <t>Hintergrundinformationen und Literatur</t>
    </r>
    <r>
      <rPr>
        <sz val="10"/>
        <color theme="1"/>
        <rFont val="Calibri"/>
        <family val="2"/>
        <scheme val="minor"/>
      </rPr>
      <t xml:space="preserve">
• Handlungsfeld Versorgung, Gebäude, Städtebau
• Masterplan der Stadt/Gemeinde
• Informationen aus dem Wärmeatlas 
• Ergebnisse aus der durchgeführten Energieraumanalyse
• klimaaktiv erneuerbare wärme (Beispiele für Stadt-Quartiere). Weitere Infos unter: https://www.klimaaktiv.at/erneuerbare/erneuerbarewaerme/stadt-quartiere.html; Zugriff am 13.11.2017.
</t>
    </r>
  </si>
  <si>
    <r>
      <rPr>
        <b/>
        <i/>
        <sz val="10"/>
        <color theme="1"/>
        <rFont val="Calibri"/>
        <family val="2"/>
        <scheme val="minor"/>
      </rPr>
      <t>Anforderungen</t>
    </r>
    <r>
      <rPr>
        <sz val="10"/>
        <color theme="1"/>
        <rFont val="Calibri"/>
        <family val="2"/>
        <scheme val="minor"/>
      </rPr>
      <t xml:space="preserve">
Für das Bauvorhaben liegt ein Mobilitätskonzept vor, in dem das Leitbild/Vision und konkrete Ziele beschrieben sind. Das Konzept enthält z.B. Aussagen hinsichtlich:
1) Motorisierter Individualverkehr
2) Fuß- und Radverkehr
3) ÖV-Angebot und alternative Angebote
</t>
    </r>
    <r>
      <rPr>
        <b/>
        <i/>
        <sz val="10"/>
        <color theme="1"/>
        <rFont val="Calibri"/>
        <family val="2"/>
        <scheme val="minor"/>
      </rPr>
      <t>Hintergrundinformationen und Literatur</t>
    </r>
    <r>
      <rPr>
        <sz val="10"/>
        <color theme="1"/>
        <rFont val="Calibri"/>
        <family val="2"/>
        <scheme val="minor"/>
      </rPr>
      <t xml:space="preserve">
• Handlungsfeld Mobilität
• Masterplan der Stadt/Gemeinde
• Ergebnisse aus der Mobilitätsraumanalyse
• klimaaktiv mobil (Mobilitätsmanagement). Weitere Infos unter: https://www.klimaaktiv.at/mobilitaet/mobilitaetsmanagem.html; Zugriff am 13.11.2017.
</t>
    </r>
  </si>
  <si>
    <r>
      <rPr>
        <b/>
        <i/>
        <sz val="10"/>
        <color theme="1"/>
        <rFont val="Calibri"/>
        <family val="2"/>
        <scheme val="minor"/>
      </rPr>
      <t>Anforderungen</t>
    </r>
    <r>
      <rPr>
        <sz val="10"/>
        <color theme="1"/>
        <rFont val="Calibri"/>
        <family val="2"/>
        <scheme val="minor"/>
      </rPr>
      <t xml:space="preserve">
Bei Ausschreibungen werden Energie und Klimaschutz relevante Gesichtspunkte berücksichtigt (vgl. auch Themenfeld Ziele setzen). Beispiele:
• Qualität der Baustoffe
• Qualität der Energieversorgung
• Qualität der Mobilitätsinfrastruktur
</t>
    </r>
    <r>
      <rPr>
        <b/>
        <i/>
        <sz val="10"/>
        <color theme="1"/>
        <rFont val="Calibri"/>
        <family val="2"/>
        <scheme val="minor"/>
      </rPr>
      <t xml:space="preserve">
Hintergrundinformationen und Literatur</t>
    </r>
    <r>
      <rPr>
        <sz val="10"/>
        <color theme="1"/>
        <rFont val="Calibri"/>
        <family val="2"/>
        <scheme val="minor"/>
      </rPr>
      <t xml:space="preserve">
• NABE-Aktionsplan. Österreichischer Aktionsplan zur nachhaltigen öffentlichen Beschaffung. Weitere Infos unter: http://www.nachhaltigebeschaffung.at/; Zugriff am 10.09.2018
• ÖkoKaufWien – Programm für die ökologische Beschaffung der Stadt Wien. Weitere Infos unter: https://www.wien.gv.at/umweltschutz/oekokauf/; Zugriff am 10.09.2018
• baubook – ökologisch ausschreiben. Weitere Infos unter: https://www.baubook.info/; Zugriff am 10.09.2018
• Contracting-Portal für Österreich. Weitere Infos unter: http://www.contracting-portal.at/show.php?nid=0&amp;mid=21; Zugriff am 10.09.2018
• Länderspezifische Fachliteratur wie z.B.: 
o Geier St. et al.: Energieraumplanung in Wien. MA 20, Wien 2016.
o Itzlinger Chr.: Leitfaden Energie im REK. Land Salzburg, Salzburg 2016.
</t>
    </r>
  </si>
  <si>
    <r>
      <rPr>
        <b/>
        <i/>
        <sz val="10"/>
        <color theme="1"/>
        <rFont val="Calibri"/>
        <family val="2"/>
        <scheme val="minor"/>
      </rPr>
      <t>Anforderungen</t>
    </r>
    <r>
      <rPr>
        <sz val="10"/>
        <color theme="1"/>
        <rFont val="Calibri"/>
        <family val="2"/>
        <scheme val="minor"/>
      </rPr>
      <t xml:space="preserve">
Bei der Finanzierung des Bauvorhabens werden – in Abstimmung mit dem Land bzw. dem Bund – Förderungen in Anspruch genommen, welche Energie und Klimaschutz relevante Gesichtspunkte fördern. Dadurch wird die externe Qualitätssicherung von Maßnahmen unterstützt. Beispiele:
• Förderung für erneuerbare Energieträger
• Förderung für umweltfreundliche Mobilität
</t>
    </r>
    <r>
      <rPr>
        <b/>
        <i/>
        <sz val="10"/>
        <color theme="1"/>
        <rFont val="Calibri"/>
        <family val="2"/>
        <scheme val="minor"/>
      </rPr>
      <t>Hintergrundinformationen und Literatur</t>
    </r>
    <r>
      <rPr>
        <sz val="10"/>
        <color theme="1"/>
        <rFont val="Calibri"/>
        <family val="2"/>
        <scheme val="minor"/>
      </rPr>
      <t xml:space="preserve">
• Wegweiser Förderungen. Weitere Infos unter: https://www.energyagency.at/fakten-service/foerderungen.html; Zugriff am 10.09.2018
• klimaaktiv mobil (Mobilitätsmanagement). Weitere Infos unter: https://www.klimaaktiv.at/mobilitaet/mobilitaetsmanagem.html; Zugriff am 13.11.2017.
• Länderspezifische Informationen zu Förderungen
</t>
    </r>
  </si>
  <si>
    <r>
      <rPr>
        <b/>
        <i/>
        <sz val="10"/>
        <color theme="1"/>
        <rFont val="Calibri"/>
        <family val="2"/>
        <scheme val="minor"/>
      </rPr>
      <t>Anforderungen</t>
    </r>
    <r>
      <rPr>
        <sz val="10"/>
        <color theme="1"/>
        <rFont val="Calibri"/>
        <family val="2"/>
        <scheme val="minor"/>
      </rPr>
      <t xml:space="preserve">
Es liegt ein Konzept für die Erfassung und Auswertung der gesamten Betriebsenergie vor (Wärme, Strom). Berücksichtigt werden alle Energieträger und Anlagen. Mindestinhalt: Intervalle, Messumfang, Messpunkte, Verantwortlichkeiten, Budget.
</t>
    </r>
    <r>
      <rPr>
        <b/>
        <i/>
        <sz val="10"/>
        <color theme="1"/>
        <rFont val="Calibri"/>
        <family val="2"/>
        <scheme val="minor"/>
      </rPr>
      <t>Hintergrundinformationen und Literatur</t>
    </r>
    <r>
      <rPr>
        <sz val="10"/>
        <color theme="1"/>
        <rFont val="Calibri"/>
        <family val="2"/>
        <scheme val="minor"/>
      </rPr>
      <t xml:space="preserve">
• Handlungsfeld Versorgung
• Informationen vom Energieversorger
• klimaaktiv bauen &amp; sanieren (klimaaktiv Gebäudestandard, Deklarationsstufe "In der Nutzung"). Weitere Infos unter: https://www.klimaaktiv.at/bauen-sanieren/gebaeudedeklaration.html; Zugriff am 13.11.2017.
</t>
    </r>
  </si>
  <si>
    <r>
      <rPr>
        <b/>
        <i/>
        <sz val="10"/>
        <color theme="1"/>
        <rFont val="Calibri"/>
        <family val="2"/>
        <scheme val="minor"/>
      </rPr>
      <t>Anforderungen</t>
    </r>
    <r>
      <rPr>
        <sz val="10"/>
        <color theme="1"/>
        <rFont val="Calibri"/>
        <family val="2"/>
        <scheme val="minor"/>
      </rPr>
      <t xml:space="preserve">
Es liegt ein Konzept für die Erfassung und Auswertung des Wasserverbrauchs vor. Mindestinhalt: Intervalle, Messumfang, Messpunkte, Verantwortlichkeiten, Budget.
</t>
    </r>
    <r>
      <rPr>
        <b/>
        <i/>
        <sz val="10"/>
        <color theme="1"/>
        <rFont val="Calibri"/>
        <family val="2"/>
        <scheme val="minor"/>
      </rPr>
      <t>Hintergrundinformationen und Literatur</t>
    </r>
    <r>
      <rPr>
        <sz val="10"/>
        <color theme="1"/>
        <rFont val="Calibri"/>
        <family val="2"/>
        <scheme val="minor"/>
      </rPr>
      <t xml:space="preserve">
• Handlungsfeld Versorgung
• Informationen von der Gemeinde
</t>
    </r>
  </si>
  <si>
    <r>
      <rPr>
        <b/>
        <i/>
        <sz val="10"/>
        <color theme="1"/>
        <rFont val="Calibri"/>
        <family val="2"/>
        <scheme val="minor"/>
      </rPr>
      <t>Anforderungen</t>
    </r>
    <r>
      <rPr>
        <sz val="10"/>
        <color theme="1"/>
        <rFont val="Calibri"/>
        <family val="2"/>
        <scheme val="minor"/>
      </rPr>
      <t xml:space="preserve">
Es liegt ein Konzept für die Erfassung und Auswertung der Abfallmengen vor. Mindestinhalt: Intervalle, Messumfang, Messpunkte, Verantwortlichkeiten, Budget.
</t>
    </r>
    <r>
      <rPr>
        <b/>
        <i/>
        <sz val="10"/>
        <color theme="1"/>
        <rFont val="Calibri"/>
        <family val="2"/>
        <scheme val="minor"/>
      </rPr>
      <t>Hintergrundinformationen und Literatur</t>
    </r>
    <r>
      <rPr>
        <sz val="10"/>
        <color theme="1"/>
        <rFont val="Calibri"/>
        <family val="2"/>
        <scheme val="minor"/>
      </rPr>
      <t xml:space="preserve">
• Handlungsfeld Versorgung
• Informationen von der Gemeinde
• Müll – Abrechnung nach Gewicht durch Chips. Weitere Infos unter: http://salzburg.orf.at/news/stories/2903340/; Zugriff am 07.09.2018
• Wiegung von Rest- und Biomüll. Weitere Infos unter:  https://www.abfall-hdh.de/internet/pdf/20171228161911.PDF; Zugriff am 07.09.2018</t>
    </r>
  </si>
  <si>
    <r>
      <rPr>
        <b/>
        <i/>
        <sz val="10"/>
        <color theme="1"/>
        <rFont val="Calibri"/>
        <family val="2"/>
        <scheme val="minor"/>
      </rPr>
      <t>Anforderungen</t>
    </r>
    <r>
      <rPr>
        <sz val="10"/>
        <color theme="1"/>
        <rFont val="Calibri"/>
        <family val="2"/>
        <scheme val="minor"/>
      </rPr>
      <t xml:space="preserve">
Die Steuerungsgruppe überprüft – gemeinsam mit den relevanten Interessensgruppen – die Aktualität der festgelegten Ziele und die Dokumentation in den entsprechenden Konzepten.
</t>
    </r>
    <r>
      <rPr>
        <b/>
        <i/>
        <sz val="10"/>
        <color theme="1"/>
        <rFont val="Calibri"/>
        <family val="2"/>
        <scheme val="minor"/>
      </rPr>
      <t>Hintergrundinformationen und Literatur</t>
    </r>
    <r>
      <rPr>
        <sz val="10"/>
        <color theme="1"/>
        <rFont val="Calibri"/>
        <family val="2"/>
        <scheme val="minor"/>
      </rPr>
      <t xml:space="preserve">
Keine spezielle Empfehlung
</t>
    </r>
  </si>
  <si>
    <r>
      <rPr>
        <b/>
        <i/>
        <sz val="10"/>
        <color theme="1"/>
        <rFont val="Calibri"/>
        <family val="2"/>
        <scheme val="minor"/>
      </rPr>
      <t>Anforderungen</t>
    </r>
    <r>
      <rPr>
        <sz val="10"/>
        <color theme="1"/>
        <rFont val="Calibri"/>
        <family val="2"/>
        <scheme val="minor"/>
      </rPr>
      <t xml:space="preserve">
Der Spielraum bei vorhandenen Qualitätssicherungsverfahren wird optimal genutzt um die qualitätsvolle Umsetzung der im Rahmen des Begleitprozesses definierten Maßnahmen / Ziele sicherzustellen und die Zertifizierung zu erlangen. Neben baulichen Maßnahmen werden auch organisatorische Maßnahmen qualitätsgesichert. Aus diesem Grund werden neben der örtlichen Bauaufsicht auch interne oder externe Personen mit der Qualitätssicherung beauftragt.
</t>
    </r>
    <r>
      <rPr>
        <b/>
        <i/>
        <sz val="10"/>
        <color theme="1"/>
        <rFont val="Calibri"/>
        <family val="2"/>
        <scheme val="minor"/>
      </rPr>
      <t>Hintergrundinformationen und Literatur</t>
    </r>
    <r>
      <rPr>
        <sz val="10"/>
        <color theme="1"/>
        <rFont val="Calibri"/>
        <family val="2"/>
        <scheme val="minor"/>
      </rPr>
      <t xml:space="preserve">
Keine spezielle Empfehlung</t>
    </r>
  </si>
  <si>
    <r>
      <rPr>
        <b/>
        <i/>
        <sz val="10"/>
        <color theme="1"/>
        <rFont val="Calibri"/>
        <family val="2"/>
        <scheme val="minor"/>
      </rPr>
      <t>Anforderungen</t>
    </r>
    <r>
      <rPr>
        <sz val="10"/>
        <color theme="1"/>
        <rFont val="Calibri"/>
        <family val="2"/>
        <scheme val="minor"/>
      </rPr>
      <t xml:space="preserve">
Ein Dialog mit Betroffenen und Anspruchsgruppen wird ermöglicht. Es bestehen strukturierte Gelegenheiten zum Austausch. Es bestehen direkte Feedback- und (Rück)- Fragemöglichkeiten, Informationsveranstaltungen.
</t>
    </r>
    <r>
      <rPr>
        <b/>
        <i/>
        <sz val="10"/>
        <color theme="1"/>
        <rFont val="Calibri"/>
        <family val="2"/>
        <scheme val="minor"/>
      </rPr>
      <t>Hintergrundinformationen und Literatur</t>
    </r>
    <r>
      <rPr>
        <sz val="10"/>
        <color theme="1"/>
        <rFont val="Calibri"/>
        <family val="2"/>
        <scheme val="minor"/>
      </rPr>
      <t xml:space="preserve">
• Dearing E.: Standards der Öffentlichkeitsbeteiligung. BMLFUW, Wien 2011. Download: https://www.partizipation.at/standards_oeb.html; Zugriff am 07.09.2018
• Dearing E.: Praxisleitfaden zu den Standards der Öffentlichkeitsbeteiligung. BMLFUW, Wien 2011. Download: https://www.partizipation.at/standards_oeb.html; Zugriff am 07.09.2018
</t>
    </r>
  </si>
  <si>
    <r>
      <rPr>
        <b/>
        <i/>
        <sz val="10"/>
        <color theme="1"/>
        <rFont val="Calibri"/>
        <family val="2"/>
        <scheme val="minor"/>
      </rPr>
      <t>Anforderungen</t>
    </r>
    <r>
      <rPr>
        <sz val="10"/>
        <color theme="1"/>
        <rFont val="Calibri"/>
        <family val="2"/>
        <scheme val="minor"/>
      </rPr>
      <t xml:space="preserve">
Ein regelmäßiger Austausch wird gewährleistet.
</t>
    </r>
    <r>
      <rPr>
        <b/>
        <i/>
        <sz val="10"/>
        <color theme="1"/>
        <rFont val="Calibri"/>
        <family val="2"/>
        <scheme val="minor"/>
      </rPr>
      <t>Hintergrundinformationen und Literatur</t>
    </r>
    <r>
      <rPr>
        <sz val="10"/>
        <color theme="1"/>
        <rFont val="Calibri"/>
        <family val="2"/>
        <scheme val="minor"/>
      </rPr>
      <t xml:space="preserve">
• Dearing E.: Standards der Öffentlichkeitsbeteiligung. BMLFUW, Wien 2011. Download: https://www.partizipation.at/standards_oeb.html; Zugriff am 07.09.2018
• Dearing E.: Praxisleitfaden zu den Standards der Öffentlichkeitsbeteiligung. BMLFUW, Wien 2011. Download: https://www.partizipation.at/standards_oeb.html; Zugriff am 07.09.2018
</t>
    </r>
  </si>
  <si>
    <r>
      <rPr>
        <b/>
        <i/>
        <sz val="10"/>
        <color theme="1"/>
        <rFont val="Calibri"/>
        <family val="2"/>
        <scheme val="minor"/>
      </rPr>
      <t>Anforderungen</t>
    </r>
    <r>
      <rPr>
        <sz val="10"/>
        <color theme="1"/>
        <rFont val="Calibri"/>
        <family val="2"/>
        <scheme val="minor"/>
      </rPr>
      <t xml:space="preserve">
Durch Beteiligungsformate wird Mitbestimmung bei der Gestaltung des Areals ermöglicht. Die Mitbestimmung durch die relevanten Stakeholder kann über die Beteiligung an Variantenentscheiden, Auswahlverfahren (Testplanungen, städtebauliche Wettbewerbe, Architekturwettbewerbe, Studienaufträge) und/oder über die kreative Beteiligung an der Konzeptentwicklung (z.B. Planungswerkstatt, Charrette, Workshops etc.) in den Projektphasen Planung und Umsetzung erfolgen. 
</t>
    </r>
    <r>
      <rPr>
        <b/>
        <i/>
        <sz val="10"/>
        <color theme="1"/>
        <rFont val="Calibri"/>
        <family val="2"/>
        <scheme val="minor"/>
      </rPr>
      <t>Hintergrundinformationen und Literatur</t>
    </r>
    <r>
      <rPr>
        <sz val="10"/>
        <color theme="1"/>
        <rFont val="Calibri"/>
        <family val="2"/>
        <scheme val="minor"/>
      </rPr>
      <t xml:space="preserve">
• Handler M.: Methodenbuch Praxisbuch Bürgerbeteiligung. ÖGUT, Wien 2018. Weitere Infos unter: http://www.partizipation.at/alle-methoden.html; Zugriff am 07.09.2018
</t>
    </r>
  </si>
  <si>
    <r>
      <rPr>
        <b/>
        <i/>
        <sz val="10"/>
        <color theme="1"/>
        <rFont val="Calibri"/>
        <family val="2"/>
        <scheme val="minor"/>
      </rPr>
      <t>Anforderungen</t>
    </r>
    <r>
      <rPr>
        <sz val="10"/>
        <color theme="1"/>
        <rFont val="Calibri"/>
        <family val="2"/>
        <scheme val="minor"/>
      </rPr>
      <t xml:space="preserve">
Die Mitbestimmung der Betroffenen und Stakeholder hat eine bedeutende Auswirkung auf die Gestaltung des Areals.
</t>
    </r>
    <r>
      <rPr>
        <b/>
        <i/>
        <sz val="10"/>
        <color theme="1"/>
        <rFont val="Calibri"/>
        <family val="2"/>
        <scheme val="minor"/>
      </rPr>
      <t>Hintergrundinformationen und Literatur</t>
    </r>
    <r>
      <rPr>
        <sz val="10"/>
        <color theme="1"/>
        <rFont val="Calibri"/>
        <family val="2"/>
        <scheme val="minor"/>
      </rPr>
      <t xml:space="preserve">
• Handler M.: Methodenbuch Praxisbuch Bürgerbeteiligung. ÖGUT, Wien 2018. Weitere Infos unter: http://www.partizipation.at/alle-methoden.html; Zugriff am 07.09.2018
</t>
    </r>
  </si>
  <si>
    <r>
      <rPr>
        <b/>
        <i/>
        <sz val="10"/>
        <color theme="1"/>
        <rFont val="Calibri"/>
        <family val="2"/>
        <scheme val="minor"/>
      </rPr>
      <t>Anforderungen</t>
    </r>
    <r>
      <rPr>
        <sz val="10"/>
        <color theme="1"/>
        <rFont val="Calibri"/>
        <family val="2"/>
        <scheme val="minor"/>
      </rPr>
      <t xml:space="preserve">
Die Steuerungsgruppe kommuniziert regelmäßig ihre vorbildlichen Aktivitäten zur Erreichung der gemeinsam festgelegten (v.a. klimarelevanten) Ziele nach außen. Die Erfolge werden sichtbar gemacht. Dabei werden verschiedene Zielgruppen definiert und angesprochen.
</t>
    </r>
    <r>
      <rPr>
        <b/>
        <i/>
        <sz val="10"/>
        <color theme="1"/>
        <rFont val="Calibri"/>
        <family val="2"/>
        <scheme val="minor"/>
      </rPr>
      <t>Hintergrundinformationen und Literatur</t>
    </r>
    <r>
      <rPr>
        <sz val="10"/>
        <color theme="1"/>
        <rFont val="Calibri"/>
        <family val="2"/>
        <scheme val="minor"/>
      </rPr>
      <t xml:space="preserve">
• Kommunikation und Bildung entscheidend für Klimaschutz. klimaaktiv Bildungskoordination, Wien 2018. Weitere Infos unter: https://www.klimaaktiv.at/bildung/news_infos/klimaschutz-kommunikation.html; Zugriff am 07.09.2018
• Klimawandel erfolgreich kommunizieren. Umweltbundesamt GmbH, Wien 2016. Weitere Infos unter: http://klimawandelanpassung.at/index.php?id=26275; Zugriff am 07.09.2018
</t>
    </r>
  </si>
  <si>
    <r>
      <rPr>
        <b/>
        <i/>
        <sz val="10"/>
        <color theme="1"/>
        <rFont val="Calibri"/>
        <family val="2"/>
        <scheme val="minor"/>
      </rPr>
      <t>Anforderungen</t>
    </r>
    <r>
      <rPr>
        <sz val="10"/>
        <color theme="1"/>
        <rFont val="Calibri"/>
        <family val="2"/>
        <scheme val="minor"/>
      </rPr>
      <t xml:space="preserve">
Die gemeinsam festgelegten (v.a. klimarelevanten) Ziele werden regelmäßig beworben.
</t>
    </r>
    <r>
      <rPr>
        <b/>
        <i/>
        <sz val="10"/>
        <color theme="1"/>
        <rFont val="Calibri"/>
        <family val="2"/>
        <scheme val="minor"/>
      </rPr>
      <t>Hintergrundinformationen und Literatur</t>
    </r>
    <r>
      <rPr>
        <sz val="10"/>
        <color theme="1"/>
        <rFont val="Calibri"/>
        <family val="2"/>
        <scheme val="minor"/>
      </rPr>
      <t xml:space="preserve">
Keine spezielle Empfehlung
</t>
    </r>
  </si>
  <si>
    <r>
      <rPr>
        <b/>
        <i/>
        <sz val="10"/>
        <color theme="1"/>
        <rFont val="Calibri"/>
        <family val="2"/>
        <scheme val="minor"/>
      </rPr>
      <t xml:space="preserve">Anforderungen
</t>
    </r>
    <r>
      <rPr>
        <sz val="10"/>
        <color theme="1"/>
        <rFont val="Calibri"/>
        <family val="2"/>
        <scheme val="minor"/>
      </rPr>
      <t xml:space="preserve">Das Bauvorhaben weist – unter Berücksichtigung der lokalen Rahmenbedingungen und Zielsetzungen – eine optimale bauliche Dichte auf. </t>
    </r>
    <r>
      <rPr>
        <b/>
        <i/>
        <sz val="10"/>
        <color theme="1"/>
        <rFont val="Calibri"/>
        <family val="2"/>
        <scheme val="minor"/>
      </rPr>
      <t xml:space="preserve">
Hilfestellung und Literatur
</t>
    </r>
    <r>
      <rPr>
        <sz val="10"/>
        <color theme="1"/>
        <rFont val="Calibri"/>
        <family val="2"/>
        <scheme val="minor"/>
      </rPr>
      <t xml:space="preserve">• Tröger E., Eberle D.: Dichte Atmosphäre: Über die bauliche Dichte und ihre Bedingungen in der mittel-europäischen Stadt. Departement Architektur – ETH Zürich, Zürich 2014.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</si>
  <si>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Das Umsetzungskonzept berücksichtigt Aspekte der Durchlüftung.
</t>
    </r>
    <r>
      <rPr>
        <b/>
        <i/>
        <sz val="10"/>
        <color theme="1"/>
        <rFont val="Calibri"/>
        <family val="2"/>
        <scheme val="minor"/>
      </rPr>
      <t>Punktereduktion</t>
    </r>
    <r>
      <rPr>
        <sz val="10"/>
        <color theme="1"/>
        <rFont val="Calibri"/>
        <family val="2"/>
        <scheme val="minor"/>
      </rPr>
      <t xml:space="preserve">
Eine Reduktion auf 0 Punkte ist möglich, wenn sich das Entwicklungsgebiet im ländlichen Raum befindet.
</t>
    </r>
    <r>
      <rPr>
        <b/>
        <i/>
        <sz val="10"/>
        <color theme="1"/>
        <rFont val="Calibri"/>
        <family val="2"/>
        <scheme val="minor"/>
      </rPr>
      <t>Hintergrundinformationen und Literatur</t>
    </r>
    <r>
      <rPr>
        <sz val="10"/>
        <color theme="1"/>
        <rFont val="Calibri"/>
        <family val="2"/>
        <scheme val="minor"/>
      </rPr>
      <t xml:space="preserve">
• Ergebnisse aus der Stadtklimaanalyse
</t>
    </r>
  </si>
  <si>
    <r>
      <rPr>
        <b/>
        <i/>
        <sz val="10"/>
        <color theme="1"/>
        <rFont val="Calibri"/>
        <family val="2"/>
        <scheme val="minor"/>
      </rPr>
      <t>Anforderungen</t>
    </r>
    <r>
      <rPr>
        <sz val="10"/>
        <color theme="1"/>
        <rFont val="Calibri"/>
        <family val="2"/>
        <scheme val="minor"/>
      </rPr>
      <t xml:space="preserve">
Das Nutzungskonzept ist auf die Ziele, Zielgruppen und Zielgruppenkommunikation des Areals abgestimmt.
</t>
    </r>
    <r>
      <rPr>
        <b/>
        <i/>
        <sz val="10"/>
        <color theme="1"/>
        <rFont val="Calibri"/>
        <family val="2"/>
        <scheme val="minor"/>
      </rPr>
      <t>Hintergrundinformationen und Literatur</t>
    </r>
    <r>
      <rPr>
        <sz val="10"/>
        <color theme="1"/>
        <rFont val="Calibri"/>
        <family val="2"/>
        <scheme val="minor"/>
      </rPr>
      <t xml:space="preserve">
• Räumliches/Örtliches Entwicklungskonzept der Stadt/Gemeinde
• Ergebnisse aus der durchgeführten Sozialraumanalyse 
• Ergebnisse aus dem durchgeführten Auswahl- bzw. Planungsverfahren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</si>
  <si>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Das Areal bietet einen attraktiven Wohnungsmix und Flächen in unterschiedlichen Preissegmenten an, insbesondere auch preisgünstigen Wohnraum.
</t>
    </r>
    <r>
      <rPr>
        <b/>
        <i/>
        <sz val="10"/>
        <color theme="1"/>
        <rFont val="Calibri"/>
        <family val="2"/>
        <scheme val="minor"/>
      </rPr>
      <t>Hintergrundinformationen und Literatur</t>
    </r>
    <r>
      <rPr>
        <sz val="10"/>
        <color theme="1"/>
        <rFont val="Calibri"/>
        <family val="2"/>
        <scheme val="minor"/>
      </rPr>
      <t xml:space="preserve">
• Räumliches Entwicklungskonzept der Stadt/Gemeinde
• Ergebnisse aus der durchgeführten Sozialraumanalyse 
• Ergebnisse aus dem durchgeführten Auswahl- bzw. Planungsverfahren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</si>
  <si>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Im Verhältnis zur Hauptnutzung steht ein Anteil der gesamten Geschoßfläche des Areals für andere Nutzungen zur Verfügung.
</t>
    </r>
    <r>
      <rPr>
        <b/>
        <i/>
        <sz val="10"/>
        <color theme="1"/>
        <rFont val="Calibri"/>
        <family val="2"/>
        <scheme val="minor"/>
      </rPr>
      <t>Hintergrundinformationen und Literatur</t>
    </r>
    <r>
      <rPr>
        <sz val="10"/>
        <color theme="1"/>
        <rFont val="Calibri"/>
        <family val="2"/>
        <scheme val="minor"/>
      </rPr>
      <t xml:space="preserve">
• Räumliches Entwicklungskonzept der Stadt/Gemeinde
• Ergebnisse aus der durchgeführten Sozialraumanalyse 
• Ergebnisse aus dem durchgeführten Auswahl- und Planungsverfahren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</si>
  <si>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Die Nutzungen auf dem Areal leisten einen wesentlichen Beitrag zur Förderung der Diversität der Nutzungen des Umfelds.
</t>
    </r>
    <r>
      <rPr>
        <b/>
        <i/>
        <sz val="10"/>
        <color theme="1"/>
        <rFont val="Calibri"/>
        <family val="2"/>
        <scheme val="minor"/>
      </rPr>
      <t>Hintergrundinformationen und Literatur</t>
    </r>
    <r>
      <rPr>
        <sz val="10"/>
        <color theme="1"/>
        <rFont val="Calibri"/>
        <family val="2"/>
        <scheme val="minor"/>
      </rPr>
      <t xml:space="preserve">
• Räumliches Entwicklungskonzept der Stadt/Gemeinde
• Ergebnisse aus der durchgeführten Sozialraumanalyse 
• Ergebnisse aus dem durchgeführten Auswahl- und Planungsverfahren
• Hugentobler M., Wiener D.: Leitfaden und Checklisten zur nachhaltigen Arealentwicklung für Städte und Gemeinden. ETH Wohnforum – ETH CASE, Zürich 2016.
</t>
    </r>
  </si>
  <si>
    <r>
      <rPr>
        <b/>
        <i/>
        <sz val="9"/>
        <color theme="1"/>
        <rFont val="Calibri"/>
        <family val="2"/>
        <scheme val="minor"/>
      </rPr>
      <t>Rechenhilfe:</t>
    </r>
    <r>
      <rPr>
        <b/>
        <sz val="9"/>
        <color theme="1"/>
        <rFont val="Calibri"/>
        <family val="2"/>
        <scheme val="minor"/>
      </rPr>
      <t xml:space="preserve"> </t>
    </r>
    <r>
      <rPr>
        <sz val="9"/>
        <color theme="1"/>
        <rFont val="Calibri"/>
        <family val="2"/>
        <scheme val="minor"/>
      </rPr>
      <t>Flächen der an den öffentlichen Raum angrenzenden Erdgeschossnutzungen, welche für die Ansiedlung publikumsorientierter Nutzung geeignet sind [m²] / Alle an den öffentlichen Raum angrenzenden Erdgeschossflächen [m²]</t>
    </r>
  </si>
  <si>
    <r>
      <rPr>
        <b/>
        <i/>
        <sz val="10"/>
        <color theme="1"/>
        <rFont val="Calibri"/>
        <family val="2"/>
        <scheme val="minor"/>
      </rPr>
      <t>Anforderungen</t>
    </r>
    <r>
      <rPr>
        <sz val="10"/>
        <color theme="1"/>
        <rFont val="Calibri"/>
        <family val="2"/>
        <scheme val="minor"/>
      </rPr>
      <t xml:space="preserve">
Die an den öffentlichen Freiraum angrenzenden Erdgeschossnutzungen sind geeignet für die Ansiedlung publikumsorientierter Nutzungen (Läden, Restaurants, Kleingewerbe, Dienstleistungen, Kultur, Soziales). Sie verfügen über eine minimale Raumhöhe von 3,60 m (Roh-Lichtmaß).
</t>
    </r>
    <r>
      <rPr>
        <b/>
        <i/>
        <sz val="10"/>
        <color theme="1"/>
        <rFont val="Calibri"/>
        <family val="2"/>
        <scheme val="minor"/>
      </rPr>
      <t>Hintergrundinformationen und Literatur</t>
    </r>
    <r>
      <rPr>
        <sz val="10"/>
        <color theme="1"/>
        <rFont val="Calibri"/>
        <family val="2"/>
        <scheme val="minor"/>
      </rPr>
      <t xml:space="preserve">
Keine spezifische Empfehlung
</t>
    </r>
  </si>
  <si>
    <r>
      <rPr>
        <b/>
        <i/>
        <sz val="10"/>
        <color theme="1"/>
        <rFont val="Calibri"/>
        <family val="2"/>
        <scheme val="minor"/>
      </rPr>
      <t>Anforderungen</t>
    </r>
    <r>
      <rPr>
        <sz val="10"/>
        <color theme="1"/>
        <rFont val="Calibri"/>
        <family val="2"/>
        <scheme val="minor"/>
      </rPr>
      <t xml:space="preserve">
Es sind Innenräume und halböffentliche Außenräume vorhanden, die als Aufenthalts-/ Begegnungsorte gestaltet sind und/oder durch eine bestimmte Funktion einen gemeinsamen Bedarf decken.
</t>
    </r>
    <r>
      <rPr>
        <b/>
        <i/>
        <sz val="10"/>
        <color theme="1"/>
        <rFont val="Calibri"/>
        <family val="2"/>
        <scheme val="minor"/>
      </rPr>
      <t xml:space="preserve">
Hintergrundinformationen und Literatur</t>
    </r>
    <r>
      <rPr>
        <sz val="10"/>
        <color theme="1"/>
        <rFont val="Calibri"/>
        <family val="2"/>
        <scheme val="minor"/>
      </rPr>
      <t xml:space="preserve">
• M. Hugentobler, D. Wiener: Leitfaden und Checklisten zur nachhaltigen Arealentwicklung für Städte und Gemeinden. ETH Wohnforum – ETH CASE, Zürich (2015)
</t>
    </r>
  </si>
  <si>
    <r>
      <rPr>
        <b/>
        <i/>
        <sz val="10"/>
        <color theme="1"/>
        <rFont val="Calibri"/>
        <family val="2"/>
        <scheme val="minor"/>
      </rPr>
      <t>Anforderungen</t>
    </r>
    <r>
      <rPr>
        <sz val="10"/>
        <color theme="1"/>
        <rFont val="Calibri"/>
        <family val="2"/>
        <scheme val="minor"/>
      </rPr>
      <t xml:space="preserve">
Es sind Außenräume vorhanden, die als Aufenthalts-/Begegnungsorte gestaltet sind und/oder durch eine bestimmte Funktion einen gemeinsamen Bedarf decken. Bewertet werden vielfältig nutzbare Außenräume mit Angeboten für die Erholung (z.B. Außenräume mit Sitzmöglichkeiten, schattige Ruheräume, Platz, Anlagen und Hartplätze für Spiel für verschiedene Alters- und Nutzergruppen, Grünflächen, urban farming Angebote, Mietgärten, etc.), welche mindestens für die Bewohnenden und Beschäftigten des Areals zugänglich sind (halböffentliche Außenräume). Die Einrichtungen auf dem Areal sind mit Angeboten in der Nachbarschaft koordiniert. 
</t>
    </r>
    <r>
      <rPr>
        <b/>
        <sz val="10"/>
        <color theme="1"/>
        <rFont val="Calibri"/>
        <family val="2"/>
        <scheme val="minor"/>
      </rPr>
      <t>Hintergrundinformationen und Literatur</t>
    </r>
    <r>
      <rPr>
        <sz val="10"/>
        <color theme="1"/>
        <rFont val="Calibri"/>
        <family val="2"/>
        <scheme val="minor"/>
      </rPr>
      <t xml:space="preserve">
• VCÖ: Wohnbau, Wohnumfeld und Mobilität. VCÖ-Schriftenreihe „Mobilität mit Zukunft“ 3/2015. VCÖ, Wien 2015.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</si>
  <si>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Für die Außenräume besteht ein Nutzungs- und Bewirtschaftungskonzept.
</t>
    </r>
    <r>
      <rPr>
        <b/>
        <i/>
        <sz val="10"/>
        <color theme="1"/>
        <rFont val="Calibri"/>
        <family val="2"/>
        <scheme val="minor"/>
      </rPr>
      <t xml:space="preserve">
Hintergrundinformationen und Literatur</t>
    </r>
    <r>
      <rPr>
        <sz val="10"/>
        <color theme="1"/>
        <rFont val="Calibri"/>
        <family val="2"/>
        <scheme val="minor"/>
      </rPr>
      <t xml:space="preserve">
• Hugentobler M., Wiener D.: Leitfaden und Checklisten zur nachhaltigen Arealentwicklung für Städte und Gemeinden. ETH Wohnforum – ETH CASE, Zürich 2016.
</t>
    </r>
  </si>
  <si>
    <r>
      <rPr>
        <b/>
        <i/>
        <sz val="10"/>
        <color theme="1"/>
        <rFont val="Calibri"/>
        <family val="2"/>
        <scheme val="minor"/>
      </rPr>
      <t>Anforderungen</t>
    </r>
    <r>
      <rPr>
        <sz val="10"/>
        <color theme="1"/>
        <rFont val="Calibri"/>
        <family val="2"/>
        <scheme val="minor"/>
      </rPr>
      <t xml:space="preserve">
Die angestrebten bzw. umgesetzten Gebäudequalitäten werden hinsichtlich der Schwerpunktsetzung in den Bereichen Erstellung, Betriebsenergie und Mobilität durch Gebäudelabels und –standards extern qualitätsgesichert. Gewürdigt werden die angestrebten und vorliegenden Zertifikate/Deklarationen bzw. Standards der Gebäude. 
</t>
    </r>
    <r>
      <rPr>
        <b/>
        <i/>
        <sz val="10"/>
        <color theme="1"/>
        <rFont val="Calibri"/>
        <family val="2"/>
        <scheme val="minor"/>
      </rPr>
      <t>Hintergrundinformationen und Literatur</t>
    </r>
    <r>
      <rPr>
        <sz val="10"/>
        <color theme="1"/>
        <rFont val="Calibri"/>
        <family val="2"/>
        <scheme val="minor"/>
      </rPr>
      <t xml:space="preserve">
• klimaaktiv bauen &amp; sanieren (klimaaktiv Gebäudestandard). Weitere Infos unter: https://www.klimaaktiv.at/bauen-sanieren/gebaeudedeklaration.html; Zugriff am 13.11.2017.
</t>
    </r>
  </si>
  <si>
    <r>
      <rPr>
        <b/>
        <i/>
        <sz val="10"/>
        <color theme="1"/>
        <rFont val="Calibri"/>
        <family val="2"/>
        <scheme val="minor"/>
      </rPr>
      <t>Anforderungen</t>
    </r>
    <r>
      <rPr>
        <sz val="10"/>
        <color theme="1"/>
        <rFont val="Calibri"/>
        <family val="2"/>
        <scheme val="minor"/>
      </rPr>
      <t xml:space="preserve">
Zur Optimierung der Personenfläche kommen Belegungsvorgaben, optimierte Raumangebote oder andere Steuerungsinstrumente zum Einsatz. 
</t>
    </r>
    <r>
      <rPr>
        <b/>
        <i/>
        <sz val="10"/>
        <color theme="1"/>
        <rFont val="Calibri"/>
        <family val="2"/>
        <scheme val="minor"/>
      </rPr>
      <t>Hintergrundinformationen und Literatur</t>
    </r>
    <r>
      <rPr>
        <sz val="10"/>
        <color theme="1"/>
        <rFont val="Calibri"/>
        <family val="2"/>
        <scheme val="minor"/>
      </rPr>
      <t xml:space="preserve">
• Strukturanalyse der Statistik Austria zum Thema Wohnen. Weitere Infos unter: http://www.statistik.at/web_de/statistiken/menschen_und_gesellschaft/wohnen/index.html (Zugriff am 01.10.2018)
• Landesstatistiken
</t>
    </r>
  </si>
  <si>
    <r>
      <rPr>
        <b/>
        <i/>
        <sz val="9"/>
        <color theme="1"/>
        <rFont val="Calibri"/>
        <family val="2"/>
        <scheme val="minor"/>
      </rPr>
      <t xml:space="preserve">Rechenhilfe: </t>
    </r>
    <r>
      <rPr>
        <sz val="9"/>
        <color theme="1"/>
        <rFont val="Calibri"/>
        <family val="2"/>
        <scheme val="minor"/>
      </rPr>
      <t>Bei mehreren Gebäuden mit unterschiedlichen Nutzungen erfolgt die Bewertung anhand der anteiligen Nutzfläche lt. ÖNORM B 1800, 2013</t>
    </r>
    <r>
      <rPr>
        <b/>
        <sz val="9"/>
        <color theme="1"/>
        <rFont val="Calibri"/>
        <family val="2"/>
        <scheme val="minor"/>
      </rPr>
      <t xml:space="preserve">
• </t>
    </r>
    <r>
      <rPr>
        <sz val="9"/>
        <color theme="1"/>
        <rFont val="Calibri"/>
        <family val="2"/>
        <scheme val="minor"/>
      </rPr>
      <t>Wohnen: 40-30 m² NF pro Person
• Verwaltung: 23-17 m² NF pro Person</t>
    </r>
  </si>
  <si>
    <r>
      <rPr>
        <b/>
        <i/>
        <sz val="10"/>
        <color theme="1"/>
        <rFont val="Calibri"/>
        <family val="2"/>
        <scheme val="minor"/>
      </rPr>
      <t>Anforderungen</t>
    </r>
    <r>
      <rPr>
        <sz val="10"/>
        <color theme="1"/>
        <rFont val="Calibri"/>
        <family val="2"/>
        <scheme val="minor"/>
      </rPr>
      <t xml:space="preserve">
Zur Optimierung der Personenflächen werden flexible Raumangebote für verschiedene Nutzungsarten realisiert:
• Wohnen: Schaltzimmer, Joker-Zimmer, separate Gästezimmer für mehrere Wohneinheiten, Cluster-Wohnungen, Co-Working Spaces etc.
• Verwaltung: Konzepte zur Reduktion der Arbeitsplatzfläche (z.B. Desk-Sharing etc.)
</t>
    </r>
    <r>
      <rPr>
        <b/>
        <i/>
        <sz val="10"/>
        <color theme="1"/>
        <rFont val="Calibri"/>
        <family val="2"/>
        <scheme val="minor"/>
      </rPr>
      <t>Hintergrundinformationen und Literatur</t>
    </r>
    <r>
      <rPr>
        <sz val="10"/>
        <color theme="1"/>
        <rFont val="Calibri"/>
        <family val="2"/>
        <scheme val="minor"/>
      </rPr>
      <t xml:space="preserve">
Keine spezifischen Empfehlungen
</t>
    </r>
  </si>
  <si>
    <r>
      <rPr>
        <b/>
        <i/>
        <sz val="9"/>
        <color theme="1"/>
        <rFont val="Calibri"/>
        <family val="2"/>
        <scheme val="minor"/>
      </rPr>
      <t xml:space="preserve">Rechenhilfe: </t>
    </r>
    <r>
      <rPr>
        <sz val="9"/>
        <color theme="1"/>
        <rFont val="Calibri"/>
        <family val="2"/>
        <scheme val="minor"/>
      </rPr>
      <t>Wärme aus erneuerbaren Energieträgern vor Ort [kWh/a] / Gesamtwärmebedarf [kWh/a]</t>
    </r>
  </si>
  <si>
    <r>
      <rPr>
        <b/>
        <i/>
        <sz val="10"/>
        <color theme="1"/>
        <rFont val="Calibri"/>
        <family val="2"/>
        <scheme val="minor"/>
      </rPr>
      <t>Anforderungen</t>
    </r>
    <r>
      <rPr>
        <sz val="10"/>
        <color theme="1"/>
        <rFont val="Calibri"/>
        <family val="2"/>
        <scheme val="minor"/>
      </rPr>
      <t xml:space="preserve">
Im Außenraum wird die Ressource Wasser effizient eingesetzt (berücksichtigt: Gartenbewässerung, Swimmingpool).
</t>
    </r>
    <r>
      <rPr>
        <b/>
        <i/>
        <sz val="10"/>
        <color theme="1"/>
        <rFont val="Calibri"/>
        <family val="2"/>
        <scheme val="minor"/>
      </rPr>
      <t>Punktereduktion</t>
    </r>
    <r>
      <rPr>
        <sz val="10"/>
        <color theme="1"/>
        <rFont val="Calibri"/>
        <family val="2"/>
        <scheme val="minor"/>
      </rPr>
      <t xml:space="preserve">
Eine Reduktion auf 0 Punkte ist möglich, wenn der Außenraum mit Regenwasser versorgt wird und kein Swimmingpool vorhanden ist.
</t>
    </r>
    <r>
      <rPr>
        <b/>
        <i/>
        <sz val="10"/>
        <color theme="1"/>
        <rFont val="Calibri"/>
        <family val="2"/>
        <scheme val="minor"/>
      </rPr>
      <t>Hintergrundinformationen und Literatur</t>
    </r>
    <r>
      <rPr>
        <sz val="10"/>
        <color theme="1"/>
        <rFont val="Calibri"/>
        <family val="2"/>
        <scheme val="minor"/>
      </rPr>
      <t xml:space="preserve">
• Neunteufel R. et al.: Wasserverbrauch und Wasserbedarf. Teil 1: Literaturstudie zum Wasserverbrauch – Einflussfaktoren, Entwicklung und Prognose. BMLFUW, Wien 2010.
• BMLFUW: Wasserverbrauch und Wasserbedarf. Auswertung empirischer Daten zum Wasserverbrauch. BMLFUW, Wien, 2012.
</t>
    </r>
  </si>
  <si>
    <r>
      <rPr>
        <b/>
        <i/>
        <sz val="10"/>
        <color theme="1"/>
        <rFont val="Calibri"/>
        <family val="2"/>
        <scheme val="minor"/>
      </rPr>
      <t>Anforderungen</t>
    </r>
    <r>
      <rPr>
        <sz val="10"/>
        <color theme="1"/>
        <rFont val="Calibri"/>
        <family val="2"/>
        <scheme val="minor"/>
      </rPr>
      <t xml:space="preserve">
In Dienstleistungsgebäuden wird die Ressource Wasser effizient verwendet.
</t>
    </r>
    <r>
      <rPr>
        <b/>
        <sz val="10"/>
        <color theme="1"/>
        <rFont val="Calibri"/>
        <family val="2"/>
        <scheme val="minor"/>
      </rPr>
      <t>Punktereduktion</t>
    </r>
    <r>
      <rPr>
        <sz val="10"/>
        <color theme="1"/>
        <rFont val="Calibri"/>
        <family val="2"/>
        <scheme val="minor"/>
      </rPr>
      <t xml:space="preserve">
Eine Reduktion auf 0 Punkte ist möglich, wenn kein Dienstleistungsgebäude vorhanden ist.
</t>
    </r>
    <r>
      <rPr>
        <b/>
        <i/>
        <sz val="10"/>
        <color theme="1"/>
        <rFont val="Calibri"/>
        <family val="2"/>
        <scheme val="minor"/>
      </rPr>
      <t>Hintergrundinformationen und Literatur</t>
    </r>
    <r>
      <rPr>
        <sz val="10"/>
        <color theme="1"/>
        <rFont val="Calibri"/>
        <family val="2"/>
        <scheme val="minor"/>
      </rPr>
      <t xml:space="preserve">
• Neunteufel R. et al.: Wasserverbrauch und Wasserbedarf. Teil 1: Literaturstudie zum Wasserverbrauch – Einflussfaktoren, Entwicklung und Prognose. BMLFUW, Wien 2010.
• BMLFUW: Wasserverbrauch und Wasserbedarf. Auswertung empirischer Daten zum Wasserverbrauch. BMLFUW, Wien, 2012.
</t>
    </r>
  </si>
  <si>
    <r>
      <rPr>
        <b/>
        <i/>
        <sz val="10"/>
        <color theme="1"/>
        <rFont val="Calibri"/>
        <family val="2"/>
        <scheme val="minor"/>
      </rPr>
      <t>Anforderungen</t>
    </r>
    <r>
      <rPr>
        <sz val="10"/>
        <color theme="1"/>
        <rFont val="Calibri"/>
        <family val="2"/>
        <scheme val="minor"/>
      </rPr>
      <t xml:space="preserve">
Gemischte Siedlungsabfälle aus Haushalten und ähnlichen Einrichtungen (auch als Hausmüll oder Restmüll bezeichnet) werden soweit als möglich vermieden (berücksichtigt: alle Abfälle mit Ausnahme von getrennt gesammelten Altstoffen, biogene Siedlungsabfälle, sperrige Siedlungsabfälle, Elektronikgeräte, Altbatterien, Problemstoffe oder Straßenkehricht).
</t>
    </r>
    <r>
      <rPr>
        <b/>
        <i/>
        <sz val="10"/>
        <color theme="1"/>
        <rFont val="Calibri"/>
        <family val="2"/>
        <scheme val="minor"/>
      </rPr>
      <t xml:space="preserve">
Hintergrundinformationen und Literatur</t>
    </r>
    <r>
      <rPr>
        <sz val="10"/>
        <color theme="1"/>
        <rFont val="Calibri"/>
        <family val="2"/>
        <scheme val="minor"/>
      </rPr>
      <t xml:space="preserve">
• BMNT: Bundes-Abfall-Wirtschafsplan 2017 – Teil 1. BMNT, Wien 2017.
• Abfall Trenn-ABC. Download: https://www.bmnt.gv.at/umwelt/abfall-ressourcen/richtig-sammeln; Zu-griff am 19.04.2018
• Leitlinien für den Gebäudebetrieb – Checkliste 3.7: Aufbau eines Abfallmanagements. Download: https://www.klimaaktiv.at/service/tools/bauen_sanieren/leitlinien.html; Zugriff am 19.04.2018
</t>
    </r>
  </si>
  <si>
    <r>
      <rPr>
        <b/>
        <i/>
        <sz val="10"/>
        <color theme="1"/>
        <rFont val="Calibri"/>
        <family val="2"/>
        <scheme val="minor"/>
      </rPr>
      <t>Anforderungen</t>
    </r>
    <r>
      <rPr>
        <sz val="10"/>
        <color theme="1"/>
        <rFont val="Calibri"/>
        <family val="2"/>
        <scheme val="minor"/>
      </rPr>
      <t xml:space="preserve">
Nicht gemischte Siedlungsabfälle aus Haushalten und ähnlichen Einrichtungen werden soweit als möglich vermieden. Berücksichtigt: 
• Getrennt gesammelte Altstoffe: 
o Altpapier, Pappe und Kartonagen
o Altglas (Weiß- und Buntglas)
o Metalle (Verpackungen)
o Metalle (Haushaltsschrott)
o Alttextilien
o Leichtfraktionen (Verpackungen)
o Altholz
o Sonstiges Altstoffe
• Biogene Siedlungsabfälle:
o Biotonne
o Grünabfälle
</t>
    </r>
    <r>
      <rPr>
        <b/>
        <i/>
        <sz val="10"/>
        <color theme="1"/>
        <rFont val="Calibri"/>
        <family val="2"/>
        <scheme val="minor"/>
      </rPr>
      <t>Hintergrundinformationen und Literatur</t>
    </r>
    <r>
      <rPr>
        <sz val="10"/>
        <color theme="1"/>
        <rFont val="Calibri"/>
        <family val="2"/>
        <scheme val="minor"/>
      </rPr>
      <t xml:space="preserve">
• BMNT: Bundes-Abfall-Wirtschafsplan 2017 – Teil 1. BMNT, Wien 2017.
• Abfall Trenn-ABC. Download: https://www.bmnt.gv.at/umwelt/abfall-ressourcen/richtig-sammeln; Zu-griff am 19.04.2018
• Leitlinien für den Gebäudebetrieb – Checkliste 3.7: Aufbau eines Abfallmanagements. Download: https://www.klimaaktiv.at/service/tools/bauen_sanieren/leitlinien.html; Zugriff am 19.04.2018
</t>
    </r>
  </si>
  <si>
    <r>
      <rPr>
        <b/>
        <i/>
        <sz val="9"/>
        <color theme="1"/>
        <rFont val="Calibri"/>
        <family val="2"/>
        <scheme val="minor"/>
      </rPr>
      <t xml:space="preserve">Rechenhilfe: </t>
    </r>
    <r>
      <rPr>
        <sz val="9"/>
        <color theme="1"/>
        <rFont val="Calibri"/>
        <family val="2"/>
        <scheme val="minor"/>
      </rPr>
      <t xml:space="preserve">Anzahl der Pkw-Stellplätze je Nutzung </t>
    </r>
  </si>
  <si>
    <r>
      <rPr>
        <b/>
        <i/>
        <sz val="10"/>
        <color theme="1"/>
        <rFont val="Calibri"/>
        <family val="2"/>
        <scheme val="minor"/>
      </rPr>
      <t>Anforderungen</t>
    </r>
    <r>
      <rPr>
        <sz val="10"/>
        <color theme="1"/>
        <rFont val="Calibri"/>
        <family val="2"/>
        <scheme val="minor"/>
      </rPr>
      <t xml:space="preserve">
Parkraum zu bewirtschaften bedeutet, die im Areal öffentlich zugänglichen Pkw-Stellplätze (soweit vorhanden) unter Einbeziehung von Benützungsgebühren zu organisieren. Die Einführung einer Parkraumbewirtschaftung (PRB) obliegt der Kommune. Die Erträge aus der Parkraumbewirtschaftung bzw. ein Anteil der Erträge aus Parkplatzbewirtschaftung wird für die Förderung nachhaltiger Mobilitätsformen zweckgebunden eingesetzt (zum Beispiel: Ausbau/Verbesserung des öffentlichen Verkehrs, Ausbau des Radwegenetzes, etc.). 
</t>
    </r>
    <r>
      <rPr>
        <b/>
        <i/>
        <sz val="10"/>
        <color theme="1"/>
        <rFont val="Calibri"/>
        <family val="2"/>
        <scheme val="minor"/>
      </rPr>
      <t xml:space="preserve">
Punktereduktion</t>
    </r>
    <r>
      <rPr>
        <sz val="10"/>
        <color theme="1"/>
        <rFont val="Calibri"/>
        <family val="2"/>
        <scheme val="minor"/>
      </rPr>
      <t xml:space="preserve">
Eine Reduktion auf 0 Punkte ist möglich, wenn keine öffentlich zugänglichen Pkw-Stellplätze im Areal vorhanden sind.
</t>
    </r>
    <r>
      <rPr>
        <b/>
        <i/>
        <sz val="10"/>
        <color theme="1"/>
        <rFont val="Calibri"/>
        <family val="2"/>
        <scheme val="minor"/>
      </rPr>
      <t>Hintergrundinformationen und Literatur</t>
    </r>
    <r>
      <rPr>
        <sz val="10"/>
        <color theme="1"/>
        <rFont val="Calibri"/>
        <family val="2"/>
        <scheme val="minor"/>
      </rPr>
      <t xml:space="preserve">
• Parkraumbewirtschaftung in den Gemeinden. Weitere Infos unter: https://www.bmvit.gv.at/verkehr/gesamtverkehr/statistik/downloads/viz_2011_kap_4.pdf; Zugriff am 17.09.2018
• Stand der Parkraumbewirtschaftung in Österreich. Weitere Infos unter: https://www.staedtebund.gv.at/oegz/archiv-bis-2009/details/artikel/stand-der-parkraumbewirtschaftungin-oesterreich/; Zugriff am 17.09.2018
• Parkraumbewirtschaftung: Diskussion im Austria Forum. Weitere Infos unter: https://austria-forum.org/af/AustriaWiki/Parkraumbewirtschaftung; Zugriff am 17.09.2018
• Rechtliche Grundlagen der Parkraumbewirtschaftung. Weitere Infos unter: https://www.wko.at/service/w/verkehr-betriebsstandort/Rechtliche_Grundlagen_der_Parkraumbewirtschaftung.html; Zugriff am 17.09.2018
• Parklätze: ein Schaden für Städte und Wirtschaft? Weitere Infos unter: https://www.wienerzeitung.at/meinungen/blogs/freitritt/888459_Parkplaetze-ein-Schaden-fuer-Staedte-und-Wirtschaft.html; Zugriff am 13.09.2018.
</t>
    </r>
  </si>
  <si>
    <r>
      <rPr>
        <b/>
        <i/>
        <sz val="9"/>
        <color theme="1"/>
        <rFont val="Calibri"/>
        <family val="2"/>
        <scheme val="minor"/>
      </rPr>
      <t xml:space="preserve">Rechenhilfe: </t>
    </r>
    <r>
      <rPr>
        <sz val="9"/>
        <color theme="1"/>
        <rFont val="Calibri"/>
        <family val="2"/>
        <scheme val="minor"/>
      </rPr>
      <t>Gebühren / Mietpreise in Abhängigkeit der Nutzungen</t>
    </r>
  </si>
  <si>
    <r>
      <rPr>
        <b/>
        <i/>
        <sz val="9"/>
        <color theme="1"/>
        <rFont val="Calibri"/>
        <family val="2"/>
        <scheme val="minor"/>
      </rPr>
      <t xml:space="preserve">Rechenhilfe: </t>
    </r>
    <r>
      <rPr>
        <sz val="9"/>
        <color theme="1"/>
        <rFont val="Calibri"/>
        <family val="2"/>
        <scheme val="minor"/>
      </rPr>
      <t xml:space="preserve">Anzahl der Fahrradabstellplätze je Nutzung </t>
    </r>
  </si>
  <si>
    <r>
      <t xml:space="preserve">Umsetzung forcieren: </t>
    </r>
    <r>
      <rPr>
        <sz val="11"/>
        <color theme="1"/>
        <rFont val="Calibri"/>
        <family val="2"/>
        <scheme val="minor"/>
      </rPr>
      <t>Die Maßnahme wurde mit 0% bewertet. Die Steuerungsgruppe prüft aber eine mögliche Umsetzung im weiteren Projektverlauf. Eine erneute Bewertung im Zuge des Folgeaudits wird empfohlen.</t>
    </r>
  </si>
  <si>
    <r>
      <t>Umsetzung prüfen:</t>
    </r>
    <r>
      <rPr>
        <sz val="11"/>
        <color theme="1"/>
        <rFont val="Calibri"/>
        <family val="2"/>
        <scheme val="minor"/>
      </rPr>
      <t xml:space="preserve"> Die Maßnahme wurde schon teilweise umgesetzt bzw. liegt eine Absichtserklärung für deren Optimierung / Umsetzung vor. Die Bewertung wurde nach dem derzeitigen Wissensstand durchgeführt. Eine erneute Bewertung im Zuge des Folgeaudits wird empfohlen. </t>
    </r>
  </si>
  <si>
    <r>
      <t xml:space="preserve">Umsetzung nachweisen: </t>
    </r>
    <r>
      <rPr>
        <sz val="11"/>
        <color theme="1"/>
        <rFont val="Calibri"/>
        <family val="2"/>
        <scheme val="minor"/>
      </rPr>
      <t>Die Maßnahme wurde vollständig umgesetzt. Für die Nachweisführung sind aber noch die entsprechenden Dokumente nachzuliefern.</t>
    </r>
  </si>
  <si>
    <r>
      <t xml:space="preserve">Interner Merker: </t>
    </r>
    <r>
      <rPr>
        <sz val="11"/>
        <color theme="1"/>
        <rFont val="Calibri"/>
        <family val="2"/>
        <scheme val="minor"/>
      </rPr>
      <t>Bei der Beschreibung und/oder Bewertung der Maßnahme im Management-Tool besteht noch Verbesserungspotential welches intern diskutiert werden sollte.</t>
    </r>
  </si>
  <si>
    <t>Zusätzliche Qualität</t>
  </si>
  <si>
    <t xml:space="preserve"> -</t>
  </si>
  <si>
    <t>Wärme aus Biomasse</t>
  </si>
  <si>
    <t>Solarthermie</t>
  </si>
  <si>
    <t>Wärme aus Grund- bzw. Oberflächenwasser</t>
  </si>
  <si>
    <t xml:space="preserve"> +Strom für WP</t>
  </si>
  <si>
    <t>Wärme aus Erdreich</t>
  </si>
  <si>
    <t>Umgebungswärme (Luft)</t>
  </si>
  <si>
    <t>Vorgewärmte Umgebungswärme</t>
  </si>
  <si>
    <t>Wärme aus Nah/Fernwärmenetz</t>
  </si>
  <si>
    <t>Wärme aus Gasnetz</t>
  </si>
  <si>
    <t xml:space="preserve"> - </t>
  </si>
  <si>
    <t>Wärme Strom direkt</t>
  </si>
  <si>
    <t>Volllaststunden</t>
  </si>
  <si>
    <t>Fläche</t>
  </si>
  <si>
    <t>Wert [m²]</t>
  </si>
  <si>
    <t>Soziale Infrastruktur</t>
  </si>
  <si>
    <t>Tägliche Grundversorgung</t>
  </si>
  <si>
    <t>Freizeitinfrastruktur</t>
  </si>
  <si>
    <r>
      <rPr>
        <b/>
        <i/>
        <sz val="10"/>
        <color theme="1"/>
        <rFont val="Calibri"/>
        <family val="2"/>
        <scheme val="minor"/>
      </rPr>
      <t>Anforderungen</t>
    </r>
    <r>
      <rPr>
        <sz val="10"/>
        <color theme="1"/>
        <rFont val="Calibri"/>
        <family val="2"/>
        <scheme val="minor"/>
      </rPr>
      <t xml:space="preserve">
Beim Verkauf oder der Vermietung von Wohneinheiten sind Energie und Klimaschutz relevante Gesichtspunkte wichtige Kriterien (vgl. auch Handlungsfeld Ziele setzen). Beispiele:
• Sparsamer Umgang mit Energie, Trinkwasser und Abfallvermeidung
• Einsatz effizienter Geräte und Beleuchtung
• Bezug von zertifiziertem nachhaltigen Ökostrom
• Anschluss an das Fernwärme-/ Nahwärmenetz
• Nutzung des Photovoltaikstroms
• Nutzung der Mobilitätsangebote
• Teilnahme an Wohnzufriedenheitsstudie / Nutzung der Monitoringdaten
</t>
    </r>
    <r>
      <rPr>
        <b/>
        <i/>
        <sz val="10"/>
        <color theme="1"/>
        <rFont val="Calibri"/>
        <family val="2"/>
        <scheme val="minor"/>
      </rPr>
      <t>Hintergrundinformationen und Literatur</t>
    </r>
    <r>
      <rPr>
        <sz val="10"/>
        <color theme="1"/>
        <rFont val="Calibri"/>
        <family val="2"/>
        <scheme val="minor"/>
      </rPr>
      <t xml:space="preserve">
• Mietrechtsgesetz in der geltenden Fassung
• Stöglehner G. et al.: Impulse für eine kommunale Energieplanung. BMLFUW, Wien 2017.
• Länderspezifische Fachliteratur wie z.B.: 
o Geier St. et al.: Energieraumplanung in Wien. MA 20, Wien 2016.
o Itzlinger Chr.: Leitfaden Energie im REK. Land Salzburg, Salzburg 2016.
</t>
    </r>
  </si>
  <si>
    <t>Die Gebäudenutzungen sind mit dem Umfeld abgestimmt</t>
  </si>
  <si>
    <t>Die vorgesehenen Nebennutzungen des Areals decken die lokalen Bedürfnisse der Hauptnutzungen des Umfelds mit ab (z.B. Lebensmittelnahversorgung, etc.)</t>
  </si>
  <si>
    <t>Gegenseitige Synergiepotentiale sind erkannt und werden bei der Umsetzung berücksichtigt</t>
  </si>
  <si>
    <t>Bei reiner Hauptnutzung (Wohnen/Verwaltung) bestehen keine entsprechenden flexiblen Angebote: 0%</t>
  </si>
  <si>
    <t>Bei reiner Hauptnutzung (Wohnen/Verwaltung) bestehen entsprechenden flexiblen Angebote mit Verbesserungspotential: 50%</t>
  </si>
  <si>
    <t>Bei reiner Hauptnutzung (Wohnen/Verwaltung) bestehen sehr gute flexible Angebote: 100%</t>
  </si>
  <si>
    <t>Bei gemischter Nutzung (Wohnen/Verwaltung) bestehen keine entspreche flexible Angebote: 0%</t>
  </si>
  <si>
    <t>Bei gemischter Nutzung (Wohnen/Verwaltung) bestehen entsprechende flexible Angebote für Wohnen oder Verwaltung mit Verbesserungspotential: 30%</t>
  </si>
  <si>
    <t>Bei gemischter Nutzung (Wohnen/Verwaltung) bestehen entsprechende flexible Angebote für Wohnen und Verwaltung mit Verbesserungspotential: 50%</t>
  </si>
  <si>
    <t>Bei gemischter Nutzung (Wohnen/Verwaltung) bestehen sehr gute flexible Angebote für beide Nutzungskategorien: 100%</t>
  </si>
  <si>
    <t>Ausgewählte Dachflächen sind öffentlich zugänglich</t>
  </si>
  <si>
    <r>
      <rPr>
        <b/>
        <i/>
        <sz val="10"/>
        <color theme="1"/>
        <rFont val="Calibri"/>
        <family val="2"/>
        <scheme val="minor"/>
      </rPr>
      <t>Anforderungen</t>
    </r>
    <r>
      <rPr>
        <sz val="10"/>
        <color theme="1"/>
        <rFont val="Calibri"/>
        <family val="2"/>
        <scheme val="minor"/>
      </rPr>
      <t xml:space="preserve">
Die an den öffentlichen Freiraum angrenzenden Erdgeschossnutzungen sind geeignet für die Ansiedlung publikumsorientierter Nutzungen (Läden, Restaurants, Kleingewerbe, Dienstleistungen, Kultur, Soziales). Auch Gespräche mit interessierten Betreibern laufen bereits.
</t>
    </r>
    <r>
      <rPr>
        <b/>
        <i/>
        <sz val="10"/>
        <color theme="1"/>
        <rFont val="Calibri"/>
        <family val="2"/>
        <scheme val="minor"/>
      </rPr>
      <t xml:space="preserve">
Hintergrundinformationen und Literatur</t>
    </r>
    <r>
      <rPr>
        <sz val="10"/>
        <color theme="1"/>
        <rFont val="Calibri"/>
        <family val="2"/>
        <scheme val="minor"/>
      </rPr>
      <t xml:space="preserve">
• Ergebnisse aus der durchgeführten Sozialraumanalyse 
• Ergebnisse aus dem durchgeführten Auswahl- und Planungsverfahren
• MA 18, TU Wien: Perspektive Erdgeschoss. Werkstattbericht Nr. 121. MA 18, Wien k.J.
• RZU: Lebendige Erdgeschosse – Der Gestaltung von Erdgeschosszonen als eigenständige und interdisziplinäre Planungsaufgabe. Stadtentwicklung Zürich, 2018.
• VCÖ: Wohnbau, Wohnumfeld und Mobilität. VCÖ-Schriftenreihe „Mobilität mit Zukunft“ 3/2015. VCÖ, Wien 2015.
</t>
    </r>
  </si>
  <si>
    <t>Fassadenbegrünung</t>
  </si>
  <si>
    <t>Wasserflächen</t>
  </si>
  <si>
    <t>Grün- und Freiflächenfaktor</t>
  </si>
  <si>
    <t>Energieträger</t>
  </si>
  <si>
    <t>Die Geschossflächenzahl (GFZ) ist &gt;= 0,5</t>
  </si>
  <si>
    <r>
      <rPr>
        <b/>
        <i/>
        <sz val="10"/>
        <color theme="1"/>
        <rFont val="Calibri"/>
        <family val="2"/>
        <scheme val="minor"/>
      </rPr>
      <t>Anforderungen</t>
    </r>
    <r>
      <rPr>
        <sz val="10"/>
        <color theme="1"/>
        <rFont val="Calibri"/>
        <family val="2"/>
        <scheme val="minor"/>
      </rPr>
      <t xml:space="preserve">
Eine gute städtebauliche Qualität und Anbindung sowie Aufenthaltsqualität und Versorgung ist in jeder Entwicklungsstufe des Areals, mit Beginn der ersten Besiedlung, gewährleistet.
</t>
    </r>
    <r>
      <rPr>
        <i/>
        <sz val="10"/>
        <color theme="1"/>
        <rFont val="Calibri"/>
        <family val="2"/>
        <scheme val="minor"/>
      </rPr>
      <t xml:space="preserve">
</t>
    </r>
    <r>
      <rPr>
        <b/>
        <i/>
        <sz val="10"/>
        <color theme="1"/>
        <rFont val="Calibri"/>
        <family val="2"/>
        <scheme val="minor"/>
      </rPr>
      <t>Punktereduktion</t>
    </r>
    <r>
      <rPr>
        <sz val="10"/>
        <color theme="1"/>
        <rFont val="Calibri"/>
        <family val="2"/>
        <scheme val="minor"/>
      </rPr>
      <t xml:space="preserve">
Eine Reduktion auf 0 Punkte ist möglich, wenn das Areal in einem Schritt bebaut und besiedelt wird.
</t>
    </r>
    <r>
      <rPr>
        <b/>
        <i/>
        <sz val="10"/>
        <color theme="1"/>
        <rFont val="Calibri"/>
        <family val="2"/>
        <scheme val="minor"/>
      </rPr>
      <t>Hintergrundinformationen und Literatur</t>
    </r>
    <r>
      <rPr>
        <sz val="10"/>
        <color theme="1"/>
        <rFont val="Calibri"/>
        <family val="2"/>
        <scheme val="minor"/>
      </rPr>
      <t xml:space="preserve">
Keine spezielle Empfehlung
</t>
    </r>
  </si>
  <si>
    <r>
      <rPr>
        <b/>
        <i/>
        <sz val="9"/>
        <color theme="1"/>
        <rFont val="Calibri"/>
        <family val="2"/>
        <scheme val="minor"/>
      </rPr>
      <t xml:space="preserve">Rechenhilfe: </t>
    </r>
    <r>
      <rPr>
        <sz val="9"/>
        <color theme="1"/>
        <rFont val="Calibri"/>
        <family val="2"/>
        <scheme val="minor"/>
      </rPr>
      <t>Bei mehreren Gebäuden mit unterschiedlichen Gebäudestandards erfolgt die Bewertung anhand der anteiligen Energiebezugsfläche.
Bewertung: Lineare Interpolation zwischen 0 bis 1.000 Punkten entsprechend dem Ergebnis der klimaaktiv Gebäudedeklaration.</t>
    </r>
  </si>
  <si>
    <r>
      <rPr>
        <b/>
        <i/>
        <sz val="10"/>
        <color theme="1"/>
        <rFont val="Calibri"/>
        <family val="2"/>
        <scheme val="minor"/>
      </rPr>
      <t>Anforderungen</t>
    </r>
    <r>
      <rPr>
        <sz val="10"/>
        <color theme="1"/>
        <rFont val="Calibri"/>
        <family val="2"/>
        <scheme val="minor"/>
      </rPr>
      <t xml:space="preserve">
Das Areal verfügt über ein attraktives ÖV-Angebot. Die Haltestellen des öffentlichen Verkehrs und deren Zugänge sind attraktiv gestaltet. Das Angebot und die Erreichbarkeit und Ausgestaltung der Haltestellen des öffentlichen Verkehrs werden gemäß ÖV-Güteklassen beurteilt. Die ÖV-Güteklassen sind nicht nach gut / schlecht zu bewerten, sondern immer im Kontext der räumlichen Struktur zu beurteilen. Daraus kann abgeleitet werden, ob ÖV-Güteklassen und Nutzungen, Dichten und Bauweisen zweckmäßig zugeordnet sind, ob Verbesserungspotenziale bestehen und wie Neuplanungen (räumliche Entwicklung, ÖV-Angebotsentwicklung) zu bewerten sind.
</t>
    </r>
    <r>
      <rPr>
        <b/>
        <i/>
        <sz val="10"/>
        <color theme="1"/>
        <rFont val="Calibri"/>
        <family val="2"/>
        <scheme val="minor"/>
      </rPr>
      <t>Hintergrundinformationen und Literatur</t>
    </r>
    <r>
      <rPr>
        <sz val="10"/>
        <color theme="1"/>
        <rFont val="Calibri"/>
        <family val="2"/>
        <scheme val="minor"/>
      </rPr>
      <t xml:space="preserve">
• Hiess H.: Entwicklung eines Umsetzungskonzepts für österreichweite ÖV-Güteklassen. ÖROK, Wien 2017.
• Länderspezifisches Geografisches Informationssystem (Funktion im Aufbau)
</t>
    </r>
  </si>
  <si>
    <t>An den öffentlichen Raum angrenzende EG-Flächen [m²]</t>
  </si>
  <si>
    <t>Vorhandene Dachflächen [m²]</t>
  </si>
  <si>
    <t>Publikumsorientierte 
EG-Flächen [m²]</t>
  </si>
  <si>
    <t>A.1</t>
  </si>
  <si>
    <t>A.1.1</t>
  </si>
  <si>
    <t>Handlungsfeld A - Management</t>
  </si>
  <si>
    <t>A.1 Strukturen etablieren</t>
  </si>
  <si>
    <t>A.2 Ziele setzen</t>
  </si>
  <si>
    <t>A.3 Ziele übertragen und verbindlich machen</t>
  </si>
  <si>
    <t>A.4 Monitoring installieren</t>
  </si>
  <si>
    <t>A.6 Projektcontrolling durchführen</t>
  </si>
  <si>
    <t>Handlungsfeld B - Kommunikation</t>
  </si>
  <si>
    <t>B.1 Partizipation</t>
  </si>
  <si>
    <t>B.2 Sensibilisierung zur Energie- und Mobilitätsthemen</t>
  </si>
  <si>
    <t>B.3 Vorbildwirkung</t>
  </si>
  <si>
    <t>A.1.2</t>
  </si>
  <si>
    <t>A.2</t>
  </si>
  <si>
    <t>A.2.1</t>
  </si>
  <si>
    <t>A.2.2</t>
  </si>
  <si>
    <t>A.2.3</t>
  </si>
  <si>
    <t>A.2.4</t>
  </si>
  <si>
    <t>A.2.5</t>
  </si>
  <si>
    <t>A.3</t>
  </si>
  <si>
    <t>A.3.1</t>
  </si>
  <si>
    <t>A.3.2</t>
  </si>
  <si>
    <t>A.3.3</t>
  </si>
  <si>
    <t>A.3.4</t>
  </si>
  <si>
    <t>A.3.5</t>
  </si>
  <si>
    <t>A.3.6</t>
  </si>
  <si>
    <t>A.4</t>
  </si>
  <si>
    <t>A.4.1</t>
  </si>
  <si>
    <t>A.4.2</t>
  </si>
  <si>
    <t>A.4.3</t>
  </si>
  <si>
    <t>A.4.4</t>
  </si>
  <si>
    <t>A.4.5</t>
  </si>
  <si>
    <t>A.5</t>
  </si>
  <si>
    <t>A.5.1</t>
  </si>
  <si>
    <t>A.5.2</t>
  </si>
  <si>
    <t>A.5.3</t>
  </si>
  <si>
    <t>B.1</t>
  </si>
  <si>
    <t>B.1.1</t>
  </si>
  <si>
    <t>B.1.2</t>
  </si>
  <si>
    <t>B.1.3</t>
  </si>
  <si>
    <t>B.1.4</t>
  </si>
  <si>
    <t>B.1.5</t>
  </si>
  <si>
    <t>B.2.1</t>
  </si>
  <si>
    <t>B.2</t>
  </si>
  <si>
    <t>B.2.2</t>
  </si>
  <si>
    <t>B.3</t>
  </si>
  <si>
    <t>B.3.1</t>
  </si>
  <si>
    <t>B.3.2</t>
  </si>
  <si>
    <t>Handlungsfeld C - Städtebau</t>
  </si>
  <si>
    <t>C.1</t>
  </si>
  <si>
    <t>C.1.1</t>
  </si>
  <si>
    <t>C.2.1</t>
  </si>
  <si>
    <t>C.2</t>
  </si>
  <si>
    <t>C.2.2</t>
  </si>
  <si>
    <t>C.2.3</t>
  </si>
  <si>
    <t>C.3</t>
  </si>
  <si>
    <t>C.3.1</t>
  </si>
  <si>
    <t>C.3.2</t>
  </si>
  <si>
    <t>C.3.3</t>
  </si>
  <si>
    <t>C.3.4</t>
  </si>
  <si>
    <t>C.4.1</t>
  </si>
  <si>
    <t>C.4</t>
  </si>
  <si>
    <t>C.4.2</t>
  </si>
  <si>
    <t>C.4.3</t>
  </si>
  <si>
    <t>C.4.4</t>
  </si>
  <si>
    <t>C.5.1</t>
  </si>
  <si>
    <t>C.5</t>
  </si>
  <si>
    <t>C.5.2</t>
  </si>
  <si>
    <t>C.6.1</t>
  </si>
  <si>
    <t>C.6</t>
  </si>
  <si>
    <t>Handlungsfeld D - Gebäude</t>
  </si>
  <si>
    <t>D.1</t>
  </si>
  <si>
    <t>D.1.1</t>
  </si>
  <si>
    <t>D.2.1</t>
  </si>
  <si>
    <t>D.2</t>
  </si>
  <si>
    <t>D.3</t>
  </si>
  <si>
    <t>D.3.1</t>
  </si>
  <si>
    <t>D.3.2</t>
  </si>
  <si>
    <t>Handlungsfeld E - Versorgung</t>
  </si>
  <si>
    <t>E.1</t>
  </si>
  <si>
    <t>E.1.1</t>
  </si>
  <si>
    <t>E.1.2</t>
  </si>
  <si>
    <t>E.1.3</t>
  </si>
  <si>
    <t>E.2.1</t>
  </si>
  <si>
    <t>E.2</t>
  </si>
  <si>
    <t>E.2.2</t>
  </si>
  <si>
    <t>E.2.3</t>
  </si>
  <si>
    <t>E.3</t>
  </si>
  <si>
    <t>E.3.1</t>
  </si>
  <si>
    <t>E.3.2</t>
  </si>
  <si>
    <t>E.3.3</t>
  </si>
  <si>
    <t>E.4</t>
  </si>
  <si>
    <t>E.4.1</t>
  </si>
  <si>
    <t>E.4.2</t>
  </si>
  <si>
    <t>F.1.1</t>
  </si>
  <si>
    <t>F.1</t>
  </si>
  <si>
    <t>Handlungsfeld F - Mobilität</t>
  </si>
  <si>
    <t>F.1.2</t>
  </si>
  <si>
    <t>F.1.3</t>
  </si>
  <si>
    <t>F.2.1</t>
  </si>
  <si>
    <t>F.2</t>
  </si>
  <si>
    <t>F.2.2</t>
  </si>
  <si>
    <t>F.2.3</t>
  </si>
  <si>
    <t>F.3</t>
  </si>
  <si>
    <t>F.3.1</t>
  </si>
  <si>
    <t>F.3.2</t>
  </si>
  <si>
    <t>D.3.1 Personenfläche geplant</t>
  </si>
  <si>
    <t>E.3 Effizienz der Wassernutzung</t>
  </si>
  <si>
    <t>E.4 Abfallvermeidung</t>
  </si>
  <si>
    <t>F.1.1 Abstellanlagen für Pkw</t>
  </si>
  <si>
    <t>F.1.3 Gebühren/Mietpreise</t>
  </si>
  <si>
    <t>F.2.1 Abstellanlagen für Fahrräder</t>
  </si>
  <si>
    <r>
      <rPr>
        <b/>
        <i/>
        <sz val="10"/>
        <color theme="1"/>
        <rFont val="Calibri"/>
        <family val="2"/>
        <scheme val="minor"/>
      </rPr>
      <t>Anforderungen</t>
    </r>
    <r>
      <rPr>
        <sz val="10"/>
        <color theme="1"/>
        <rFont val="Calibri"/>
        <family val="2"/>
        <scheme val="minor"/>
      </rPr>
      <t xml:space="preserve">
Anbindung an übergeordnete Fuß- und Radwegnetze: Das Areal verfügt über eine gute Anbindung an die übergeordneten Fuß- und Radwegnetze.
</t>
    </r>
    <r>
      <rPr>
        <u/>
        <sz val="10"/>
        <color theme="1"/>
        <rFont val="Calibri"/>
        <family val="2"/>
        <scheme val="minor"/>
      </rPr>
      <t>Signalisierte Temporeduktions- und Begegnungszonen</t>
    </r>
    <r>
      <rPr>
        <sz val="10"/>
        <color theme="1"/>
        <rFont val="Calibri"/>
        <family val="2"/>
        <scheme val="minor"/>
      </rPr>
      <t xml:space="preserve">: Temporeduktions- und Begegnungszonen erhöhen die Sicherheit für den Fuß- und Fahrradverkehr. Die Wege und Plätze und insbesondere die Kreuzungen sind räumlich übersichtlich gestaltet und gut einsehbar. Öffentliche Räume sind so gestaltet, dass sie auch für Menschen mit Sinnesbehinderungen oder Mobilitätseinschränkungen ohne besondere Erschwernis und ohne fremde Hilfe zugänglich und nutzbar sind.
</t>
    </r>
    <r>
      <rPr>
        <u/>
        <sz val="10"/>
        <color theme="1"/>
        <rFont val="Calibri"/>
        <family val="2"/>
        <scheme val="minor"/>
      </rPr>
      <t>Barrierefreiheit</t>
    </r>
    <r>
      <rPr>
        <sz val="10"/>
        <color theme="1"/>
        <rFont val="Calibri"/>
        <family val="2"/>
        <scheme val="minor"/>
      </rPr>
      <t xml:space="preserve">: Empfehlung entsprechend (FSV, 2015) zum Thema „Barrierefreiheit“: Öffentliche Räume sind so zu gestalten, dass sie auch für Menschen mit Sinnesbehinderungen oder Mobilitätseinschränkungen ohne besondere Erschwernis und ohne fremde Hilfe zugänglich und nutzbar sind. Daher sind auf Gehsteigen und Gehwegen ausreichende Bewegungsflächen für Rollstuhlfahrer zur Verfügung zu stellen. Zur Verbesserung der Orientierungsmöglichkeiten für sehbehinderte bzw. blinde Menschen ist eine Optimierung der optischen Kontraste und taktilen Elemente zu berücksichtigen. Oberflächen für den Fußgängerverkehr sind rutschfest und eben auszuführen.
</t>
    </r>
    <r>
      <rPr>
        <b/>
        <i/>
        <sz val="10"/>
        <color theme="1"/>
        <rFont val="Calibri"/>
        <family val="2"/>
        <scheme val="minor"/>
      </rPr>
      <t>Hintergrundinformationen und Literatur</t>
    </r>
    <r>
      <rPr>
        <sz val="10"/>
        <color theme="1"/>
        <rFont val="Calibri"/>
        <family val="2"/>
        <scheme val="minor"/>
      </rPr>
      <t xml:space="preserve">
• FSV: Richtlinien und Vorschriften für das Straßenwesen (RSV) 03.02.12 – Fußgängerverkehr. FSV, Wien 2015.
</t>
    </r>
  </si>
  <si>
    <r>
      <rPr>
        <b/>
        <i/>
        <sz val="9"/>
        <color theme="1"/>
        <rFont val="Calibri"/>
        <family val="2"/>
        <scheme val="minor"/>
      </rPr>
      <t xml:space="preserve">Rechenhilfe: </t>
    </r>
    <r>
      <rPr>
        <sz val="9"/>
        <color theme="1"/>
        <rFont val="Calibri"/>
        <family val="2"/>
        <scheme val="minor"/>
      </rPr>
      <t>Pro Bewertungsgruppe wird eine Einrichtung angerechnet.
• Einrichtung 500 Meter vom Zentrum entfernt: 10%
• Einrichtung 1.000 Meter vom Zentrum entfernt: 2%</t>
    </r>
  </si>
  <si>
    <t>Supermarkt, Wochenmarkt, Lebensmittelgeschäft, Gemischtwarenhandel und dergleichen</t>
  </si>
  <si>
    <t>Trafik, Kiosk, Tankstelle mit Lebensmittelhandel, Apotheke, Bankomat</t>
  </si>
  <si>
    <t>Universität, Fachhochschule</t>
  </si>
  <si>
    <t>Öffentlicher Park, Grünraum, Wald, zusammenhängendes Erholungsgebiet</t>
  </si>
  <si>
    <t>Sporteinrichtungen wie Tennisplatz, Sportplatz, Fitness-Center, Sandsportflächen, Freibad, Ballspielplatz</t>
  </si>
  <si>
    <t xml:space="preserve">Kulturelle Einrichtungen wie Kino, Theater, Museum, Galerien, Kulturzentrum, Veranstaltungszentrum </t>
  </si>
  <si>
    <t>Sonstige Freiräume mit Erholungsfunktion wie Fußgängerzonen, Marktplätze und multifunktionale öffentliche Räume, öffentliche Spielplätze, Jugendzentrum</t>
  </si>
  <si>
    <t>Dienstleistungen</t>
  </si>
  <si>
    <t>Post, Bank</t>
  </si>
  <si>
    <t>Gemeindeamt, öffentliche Verwaltung</t>
  </si>
  <si>
    <t>Dienstleistungseinrichtung wie Friseur, Putzerei, Schuster, Schlüsseldienst, Fußpflege, Kosmetik</t>
  </si>
  <si>
    <t>Nachbarschaftszentrum, Co-Working-Spaces</t>
  </si>
  <si>
    <r>
      <rPr>
        <b/>
        <i/>
        <sz val="10"/>
        <color theme="1"/>
        <rFont val="Calibri"/>
        <family val="2"/>
        <scheme val="minor"/>
      </rPr>
      <t>Anforderungen</t>
    </r>
    <r>
      <rPr>
        <sz val="10"/>
        <color theme="1"/>
        <rFont val="Calibri"/>
        <family val="2"/>
        <scheme val="minor"/>
      </rPr>
      <t xml:space="preserve">
Es bestehen Angebote des täglichen Bedarfs in naher Umgebung, welche auf die Bedürfnisse der Nutzenden - Wohnende, Arbeitstätige - des Areals abgestimmt sind.
• Bewertungsgruppen: Tägliche Grundversorgung, soziale Infrastruktur, Freizeitinfrastruktur, Dienstleistungen
• Es werden nur alle jene Einrichtungen angerechnet, welche ohne Barrieren zu Fuß oder mit dem Fahrrad annehmbar erreichbar sind.
</t>
    </r>
    <r>
      <rPr>
        <b/>
        <i/>
        <sz val="10"/>
        <color theme="1"/>
        <rFont val="Calibri"/>
        <family val="2"/>
        <scheme val="minor"/>
      </rPr>
      <t>Hintergrundinformationen und Literatur</t>
    </r>
    <r>
      <rPr>
        <sz val="10"/>
        <color theme="1"/>
        <rFont val="Calibri"/>
        <family val="2"/>
        <scheme val="minor"/>
      </rPr>
      <t xml:space="preserve">
• Lokales Geografisches Informationssystem
• VCÖ: Wohnbau, Wohnumfeld und Mobilität. VCÖ-Schriftenreihe „Mobilität mit Zukunft“ 3/2015. VCÖ, Wien 2015. 
</t>
    </r>
  </si>
  <si>
    <t>Entfernung (Luftlinie) [m]</t>
  </si>
  <si>
    <t>C.2.3 Aufheizung und Verdunstung</t>
  </si>
  <si>
    <t>Angebote für den täglichen Bedarf</t>
  </si>
  <si>
    <t>Faktor</t>
  </si>
  <si>
    <t>Erschließungsflächen, Plätze und versiegelte Flächen</t>
  </si>
  <si>
    <t>Wasserdurchlässige Flächen (Schotter, Schotterrasen, Terraway)</t>
  </si>
  <si>
    <t>Teilversiegelte Flächen (Pflaster/Platten ungebunden, Drainagebelag, wassergebundene Decke)</t>
  </si>
  <si>
    <t>Versiegelte Flächen (wasserundurchlässig)</t>
  </si>
  <si>
    <t>Freiflächen mit Vegetation</t>
  </si>
  <si>
    <t>Gartenflächen</t>
  </si>
  <si>
    <t>Verholzende Vegetation</t>
  </si>
  <si>
    <t>Künstliches Becken/technisches Wasser/ Pool</t>
  </si>
  <si>
    <t>Naturnaher Teich/Wasserfläche</t>
  </si>
  <si>
    <t>Bodengebundene Fassadenbegrünung</t>
  </si>
  <si>
    <t>Fassadengebundene modulare bzw. vollflächige Vegetationsträger</t>
  </si>
  <si>
    <t>Dachflächen und Dachbegrünung</t>
  </si>
  <si>
    <t>Semi-intensiv: &gt;20 cm Gesamtdicke des Begrünungsaufbaues (ÖNORM L 1131 – reduzierte Intensivbegrünung)</t>
  </si>
  <si>
    <t>Intensiv: &gt;30 cm Gesamtdicke des Begrünungsaufbaues (ÖNORM L 1131 – Intensivbegrünung)</t>
  </si>
  <si>
    <t>Super-intensiv: &gt;150 cm Gesamtdicke des Begrünungsaufbaues</t>
  </si>
  <si>
    <t>Begrünte Pergolen</t>
  </si>
  <si>
    <t>Bonuselemente</t>
  </si>
  <si>
    <t>Freistehende grüne Wände</t>
  </si>
  <si>
    <t>Über natürlich gewachsenem Boden: Rasen, Wiese</t>
  </si>
  <si>
    <t>Über natürlich gewachsenem Boden: Staudenbeete, Strauchflächen und Hecken</t>
  </si>
  <si>
    <t xml:space="preserve">Auf unterbauten Flächen &gt; 150 cm Schüttungshöhe: Rasen, Wiese </t>
  </si>
  <si>
    <t xml:space="preserve">Auf unterbauten Flächen &gt; 150 cm Schüttungshöhe: Staudenbeete, Strauchflächen und Hecken </t>
  </si>
  <si>
    <t xml:space="preserve">Auf unterbauten Flächen &lt; 150 cm Schüttungshöhe: Rasen, Wiese </t>
  </si>
  <si>
    <t>Auf unterbauten Flächen &lt; 150 cm Schüttungshöhe: Staudenbeete, Strauchflächen und Hecken</t>
  </si>
  <si>
    <t>Sickermulden, Raingardens, Structural Soil</t>
  </si>
  <si>
    <t>A. Management</t>
  </si>
  <si>
    <t>B. Kommunikation</t>
  </si>
  <si>
    <t>C. Städtebau</t>
  </si>
  <si>
    <t>D. Gebäude</t>
  </si>
  <si>
    <t>E. Versorgung</t>
  </si>
  <si>
    <t>F. Mobilität</t>
  </si>
  <si>
    <t>5) Mitfahrzentrale</t>
  </si>
  <si>
    <t>7) Zustelldienste, etc.</t>
  </si>
  <si>
    <t>1) Sammelgarage nahe Straßennetz</t>
  </si>
  <si>
    <r>
      <rPr>
        <b/>
        <i/>
        <sz val="10"/>
        <color theme="1"/>
        <rFont val="Calibri"/>
        <family val="2"/>
        <scheme val="minor"/>
      </rPr>
      <t>Anforderungen</t>
    </r>
    <r>
      <rPr>
        <sz val="10"/>
        <color theme="1"/>
        <rFont val="Calibri"/>
        <family val="2"/>
        <scheme val="minor"/>
      </rPr>
      <t xml:space="preserve">
</t>
    </r>
    <r>
      <rPr>
        <u/>
        <sz val="10"/>
        <color theme="1"/>
        <rFont val="Calibri"/>
        <family val="2"/>
        <scheme val="minor"/>
      </rPr>
      <t>Anzahl</t>
    </r>
    <r>
      <rPr>
        <sz val="10"/>
        <color theme="1"/>
        <rFont val="Calibri"/>
        <family val="2"/>
        <scheme val="minor"/>
      </rPr>
      <t xml:space="preserve">: Die Zahl der Stellplätze für Pkw wird auf eine geringe Nachfrage ausgerichtet. Somit trägt das Stellplatzangebot für Pkw zur Nutzung effizienter und umweltschonender Mobilitätsangebote (zu Fuß gehen, Rad fahren, Nutzung öffentlicher Verkehrsmittel, etc.) bei.
</t>
    </r>
    <r>
      <rPr>
        <u/>
        <sz val="10"/>
        <color theme="1"/>
        <rFont val="Calibri"/>
        <family val="2"/>
        <scheme val="minor"/>
      </rPr>
      <t>Qualität und Ausstattung</t>
    </r>
    <r>
      <rPr>
        <sz val="10"/>
        <color theme="1"/>
        <rFont val="Calibri"/>
        <family val="2"/>
        <scheme val="minor"/>
      </rPr>
      <t xml:space="preserve">: Es werden die nachstehenden Merkmale beurteilt:
1) Im Areal angeordnetes Sammel-Parkplatz-Angebot (z.B. Sammelgarage / Quartierparkhaus) sind zur Minimierung der Belastung nahe am übergeordneten Straßennetz angeordnet.
2) Die Entfernung zwischen Quelle oder Ziel und Parkplatz (z.B. Sammelgarage / Quartierparkhaus) ist nicht kürzer als zwischen Quelle oder Ziel und der Haltestelle eines adäquaten öffentlichen Verkehrsmittels, um die Chancengleichheit zwischen diesen Verkehrsmitteln zu wahren. Als „adäquat“ wird zumindest eine gute Erschließung mit öffentlichen Verkehrsmitteln gemäß RVS 02.02.13 definiert: „Dichtes Angebot mit Intervallen bis zu 30 Minuten“ (FSV, 2008).
3) Bevorzugtes Stellplatz-Angebot für effiziente/umweltfreundliche Fahrzeuge (wie zum Beispiel Carsharing-Fahrzeuge, Pool-Fahrzeuge, Elektro-Fahrzeuge, etc.) ist vorhanden.
4) Vorhandensein von Lademöglichkeiten für private Elektro-Pkw.
</t>
    </r>
    <r>
      <rPr>
        <b/>
        <i/>
        <sz val="10"/>
        <color theme="1"/>
        <rFont val="Calibri"/>
        <family val="2"/>
        <scheme val="minor"/>
      </rPr>
      <t>Hintergrundinformationen und Literatur</t>
    </r>
    <r>
      <rPr>
        <sz val="10"/>
        <color theme="1"/>
        <rFont val="Calibri"/>
        <family val="2"/>
        <scheme val="minor"/>
      </rPr>
      <t xml:space="preserve">
• FSV: Richtlinien und Vorschriften für das Straßenwesen (RVS) 03.07.11 – Organisation und Anzahl der Stellplätze für den Individualverkehr. FSV, Wien 2008.
• BMLFUW: Umweltfreundliches Parkraummanagement: Leitfaden für Länder, Städte, Gemeinden, Betriebe und Bauträger. BMLFUW, Wien 2015.
</t>
    </r>
  </si>
  <si>
    <t>4) Lademöglichkeiten E-Pkw</t>
  </si>
  <si>
    <t>2) ÖV-Haltestelle ist näher als Garage</t>
  </si>
  <si>
    <t>3) Stellplatzangebot für umweltfreundliche F.</t>
  </si>
  <si>
    <t>1) Abstellplätze bei Eingang</t>
  </si>
  <si>
    <t>2) Abstellplätze bequem erreichbar</t>
  </si>
  <si>
    <t>3) Abstellplätze geschützt</t>
  </si>
  <si>
    <t>4) Platz für Spezialfahrzeuge</t>
  </si>
  <si>
    <t>6) Serviceangebote</t>
  </si>
  <si>
    <t>1) Taxidienste/Anrufsammeltaxis</t>
  </si>
  <si>
    <t xml:space="preserve">2) Verleihangebote Elektro-Fahrräder </t>
  </si>
  <si>
    <t>3) Verleihangebote Transporträder</t>
  </si>
  <si>
    <t>4) Mobilitätszentrale</t>
  </si>
  <si>
    <t xml:space="preserve">6) Rad-Reparaturservice-Einrichtungen </t>
  </si>
  <si>
    <t>E. Ver- und Entsorgung</t>
  </si>
  <si>
    <t>C.4.1 Erdgeschossnutzungen</t>
  </si>
  <si>
    <t>C.4.4 Dachflächen</t>
  </si>
  <si>
    <t>A.1 Infrastruktur</t>
  </si>
  <si>
    <t>A.2 Umweltfreundliche Mobilität</t>
  </si>
  <si>
    <t>A.3 Mikroklima und Grünraum</t>
  </si>
  <si>
    <t>A.4 Sonstige Maßnahmen</t>
  </si>
  <si>
    <t>-</t>
  </si>
  <si>
    <t>B.1 Energie</t>
  </si>
  <si>
    <t>B.2 Innovative Effizienztechnologien</t>
  </si>
  <si>
    <t>B.3 Betrieb und Qualitätssicherung</t>
  </si>
  <si>
    <t>C.2 Vermeidung von besorgniserregenden Substanzen</t>
  </si>
  <si>
    <t>C.3 Einsatz von klimafreundlichen Bauprodukten und Komponenten</t>
  </si>
  <si>
    <t>C.4 Ökobilanzen</t>
  </si>
  <si>
    <t>D.1 Thermischer Komfort</t>
  </si>
  <si>
    <t>D.2 Raumluftqualität</t>
  </si>
  <si>
    <t>D.3 Tageslichtqualität</t>
  </si>
  <si>
    <r>
      <rPr>
        <b/>
        <i/>
        <sz val="10"/>
        <color theme="1"/>
        <rFont val="Calibri"/>
        <family val="2"/>
        <scheme val="minor"/>
      </rPr>
      <t>Anforderungen</t>
    </r>
    <r>
      <rPr>
        <sz val="10"/>
        <color theme="1"/>
        <rFont val="Calibri"/>
        <family val="2"/>
        <scheme val="minor"/>
      </rPr>
      <t xml:space="preserve">
In Haushalten wird die Ressource Wasser effizient eingesetzt (berücksichtigt: WC, Duschen, Badewanne, Waschmaschine, Wasserhahn Küche, Wasserhahn Bad/WC, Geschirrspüler, Sonstige Verbraucher inkl. Verluste).
</t>
    </r>
    <r>
      <rPr>
        <b/>
        <i/>
        <sz val="10"/>
        <color theme="1"/>
        <rFont val="Calibri"/>
        <family val="2"/>
        <scheme val="minor"/>
      </rPr>
      <t>Hintergrundinformationen und Literatur</t>
    </r>
    <r>
      <rPr>
        <sz val="10"/>
        <color theme="1"/>
        <rFont val="Calibri"/>
        <family val="2"/>
        <scheme val="minor"/>
      </rPr>
      <t xml:space="preserve">
• Neunteufel R. et al.: Wasserverbrauch und Wasserbedarf. Teil 1: Literaturstudie zum Wasserverbrauch – Einflussfaktoren, Entwicklung und Prognose. BMLFUW, Wien 2010.
• BMLFUW: Wasserverbrauch und Wasserbedarf. Auswertung empirischer Daten zum Wasserverbrauch. BMLFUW, Wien, 2012.
• klimaaktiv topprodukte.at (Kostenrechner). Weitere Infos unter: http://kostenrechner.topprodukte.at/; Zugriff am 03.07.2018
• Richtlinie UZ 33 – Sanitärarmaturen. Österreichisches Umweltzeichen, Wien 2020. 
• Richtlinie UZ 71 – Energie- und wassersparende Hand- und Kopfbrausen. Österreichisches Umweltzeichen, Wien 2020. 
</t>
    </r>
  </si>
  <si>
    <t>5) Lademöglichkeiten E-Fahrräder</t>
  </si>
  <si>
    <t>Wärmeversorgung</t>
  </si>
  <si>
    <t>Stromversorgung</t>
  </si>
  <si>
    <t>Weitere Funktionen (z.B. Temperieren)</t>
  </si>
  <si>
    <t>Weitere Funktionen (z.B. Speicher, Temperieren)</t>
  </si>
  <si>
    <t>Überbaute Grundfläche [m²]</t>
  </si>
  <si>
    <t>E.2.1 Überbaute Grundfläche</t>
  </si>
  <si>
    <t>Photovoltaik Direktnutzung</t>
  </si>
  <si>
    <t>Kleinwasserkraft Direktnutzung</t>
  </si>
  <si>
    <t>Kleinwind Direktnutzung</t>
  </si>
  <si>
    <t>KWK (sofern erneuerbar) Direktnutzung</t>
  </si>
  <si>
    <t>Bäckerei, Gemüsehandel, Greisslerei, Ab-Hof-Verkauf</t>
  </si>
  <si>
    <t>Kundenwunsch und Randbedingungen als Grundlage für die HLK-Planung wurde zu Projektstart und bei der Baueinreichung einmalig geklärt.</t>
  </si>
  <si>
    <t>Kundenwunsch und Randbedingungen als Grundlage für die HLK-Planung wurde in mehreren Workshops geklärt. Relevante Änderungen wurden kommuniziert und in der Planung tlw. berücksichtigt.</t>
  </si>
  <si>
    <t>Kundenwunsch und Randbedingungen als Grundlage für die HLK-Planung wurde in mehreren Workshops geklärt. Relevante Änderungen wurden zeitnah kommuniziert und in der Planung vollständig berücksichtigt.</t>
  </si>
  <si>
    <t>Die Warmwasserzirkulation erfolgt Zeit- bzw. Rücklauftemperaturgesteuert.</t>
  </si>
  <si>
    <t>Die Warmwasserzirkulation wurde soweit als möglich vermieden.</t>
  </si>
  <si>
    <t>Die gewählten Hauptkomponenten für die Wärmeerzeugung sind in der KPC Datenbank enthalten.</t>
  </si>
  <si>
    <t xml:space="preserve">Die gewählten Hauptkomponenten sind für die Wärmeerzeugung sind in der KPC Datenbank enthalten und verfügen über zusätzliche Funktionen (z.B. modulierend, smart grid ready). </t>
  </si>
  <si>
    <t>Die gewählten Hauptkomponenten für die Wärmeerzeugung sind in der KPC Datenbank enthalten, verfügen über zusätzliche Funktionen (z.B. modulierend, smart grid ready) und stammen von Österreichischen Herstellern.</t>
  </si>
  <si>
    <t>Die gewählten Nebenkomponenten entsprechen dem Stand der Technik.</t>
  </si>
  <si>
    <t>Die gewählten Nebenkomponenten sind hocheffizient (z.B. Umwälzpumpen mit einem EEI von max. 0,23).</t>
  </si>
  <si>
    <t>Die gewählten Nebenkomponenten sind hocheffizient (z.B. Umwälzpumpen mit einem EEI von max. 0,23) und stammen von Österreichischen Herstellern.</t>
  </si>
  <si>
    <t>Die Betriebsführung aller Anlagen erfolgt dezentral durch mehrere Personen und ist noch nicht vollumfassend geregelt (Verantwortlichkeiten, Garantien, Gewährleistung, Aufgaben, Budget)</t>
  </si>
  <si>
    <t>Die Betriebsführung aller Anlagen erfolgt dezentral durch mehrere Personen und ist klar geregelt (Verantwortlichkeiten, Garantien, Gewährleistung, Aufgaben, Budget)</t>
  </si>
  <si>
    <t>Die Betriebsführung aller Anlagen erfolgt zentral durch eine Person und ist klar geregelt (Verantwortlichkeiten, Garantien, Gewährleistung, Aufgaben, Budget)</t>
  </si>
  <si>
    <t>Kundenwunsch und Randbedingungen als Grundlage für die Elektro-Planung wurde zu Projektstart und bei der Baueinreichung einmalig geklärt.</t>
  </si>
  <si>
    <t>Kundenwunsch und Randbedingungen als Grundlage für die Elektro-Planung wurde in mehreren Workshops geklärt. Relevante Änderungen wurden kommuniziert und in der Planung tlw. berücksichtigt.</t>
  </si>
  <si>
    <t>Kundenwunsch und Randbedingungen als Grundlage für die Elektro-Planung wurde in mehreren Workshops geklärt. Relevante Änderungen wurden zeitnah kommuniziert und in der Planung vollständig berücksichtigt.</t>
  </si>
  <si>
    <t>Die Dimensionierung der Photovoltaikanlage erfolgt auf Basis der verfügbaren Dachfläche [m²] bzw. der gesetzlichen Vorgaben [kWp]</t>
  </si>
  <si>
    <t xml:space="preserve">Die Dimensionierung der Photovoltaikanlage erfolgt auf Basis des ermittelten Strombedarfs und Lastgangs mit Hilfe einfachen Simulations-Tools. </t>
  </si>
  <si>
    <t>Die Dimensionierung der Photovoltaikanlage erfolgt auf Basis des ermittelten Strombedarfs, Lastgangs und unter Berücksichtigung von Speicher- und DSM-Möglichkeiten mit Hilfe professionellen Simulations-Tools.</t>
  </si>
  <si>
    <t xml:space="preserve">Die gewählten Hauptkomponenten erfüllt die Anforderungen an die örtliche Schnee- und Windlast und das Montagesystem entspricht gängigen Normen. </t>
  </si>
  <si>
    <t xml:space="preserve">Die Betriebsführung der PV-Anlage ist noch nicht vollumfassend geregelt (Verantwortlichkeiten, Garantien, Gewährleistung, Aufgaben, Budget). Die links angeführten Anforderungen werden teilweise erfüllt.
</t>
  </si>
  <si>
    <t xml:space="preserve">Die Betriebsführung der PV-Anlage ist klar geregelt (Verantwortlichkeiten, Garantien, Gewährleistung, Aufgaben, Budget). Die links angeführten Anforderungen werden vollständig erfüllt.
</t>
  </si>
  <si>
    <r>
      <rPr>
        <b/>
        <i/>
        <sz val="10"/>
        <color theme="1"/>
        <rFont val="Calibri"/>
        <family val="2"/>
        <scheme val="minor"/>
      </rPr>
      <t>Anforderungen</t>
    </r>
    <r>
      <rPr>
        <sz val="10"/>
        <color theme="1"/>
        <rFont val="Calibri"/>
        <family val="2"/>
        <scheme val="minor"/>
      </rPr>
      <t xml:space="preserve">
Das Potenzial lokaler erneuerbarer Energieträger für die Bereitstellung von elektrischer Energie für den Allgemein- und Nutzerbereich wird ausgeschöpft. Zum Allgemeinstrom zählt z.B. Beleuchtung der allgemein zugänglichen Teile des Hauses wie Stiegenhäuser und Tiefgaragen, Stromversorgung des Aufzuges udgl. Zum Nutzerstrom zählt die Stromversorgung der einzelnen Wohnungen bzw. der Gewerbeeinheiten. Definition erneuerbare Energieträger: Sonne (Umwandlung mit Photovoltaik), Wasserkraft, Wind, Kraft-Wärme-Kopplung | KWK (sofern erneuerbar). Die Bewertung erfolgt auf Basis der Endenergie.
</t>
    </r>
    <r>
      <rPr>
        <b/>
        <i/>
        <sz val="10"/>
        <color theme="1"/>
        <rFont val="Calibri"/>
        <family val="2"/>
        <scheme val="minor"/>
      </rPr>
      <t>Hintergrundinformationen und Literatur</t>
    </r>
    <r>
      <rPr>
        <sz val="10"/>
        <color theme="1"/>
        <rFont val="Calibri"/>
        <family val="2"/>
        <scheme val="minor"/>
      </rPr>
      <t xml:space="preserve">
• Informationen aus Wärmeatlas 
• Ergebnisse aus der durchgeführten Energieraumanalyse
• Durchschnittlicher Stromverbrauch eines Haushalts. Weitere Infos unter: https://www.statistik.at/web_de/statistiken/energie_umwelt_innovation_mobilitaet/energie_und_umwelt/energie/energieeinsatz_der_haushalte/index.html; Zugriff am 10.09.2018
• klimaaktiv topprodukte.at (Kostenrechner). Weitere Infos unter: http://kostenrechner.topprodukte.at/; Zugriff am 03.07.2018
• Photovoltaik-Rechner. Download: https://www.klimaaktiv.at/service/tools/erneuerbare/pv_rechner.html; Zugriff am 11.09.2018
• SUSI – Die Strom-Unabhängigkeits-Simulation. Weitere Infos unter: https://www.energieinstitut.at/tools/susi/; Zugriff am 19.04.2018
• Photovoltaik-Eigenverbrauchsrechner. Weitere Infos unter: https://pvaustria.at/sonnenklar_rechner/; Zugriff am 28.10.2019
• PVopti – tool for calculation the self-consumption of buildings based on hourly values. Weitere Infos unter: http://www.annex67.org/publications/software/pvopti/; Zugriff am 28.10.2019
</t>
    </r>
  </si>
  <si>
    <r>
      <rPr>
        <b/>
        <i/>
        <sz val="9"/>
        <color theme="1"/>
        <rFont val="Calibri"/>
        <family val="2"/>
        <scheme val="minor"/>
      </rPr>
      <t>Rechenhilfe:</t>
    </r>
    <r>
      <rPr>
        <sz val="9"/>
        <color theme="1"/>
        <rFont val="Calibri"/>
        <family val="2"/>
        <scheme val="minor"/>
      </rPr>
      <t xml:space="preserve"> Strom aus erneuerbaren Energieträgern vor Ort [kWh/a] / Überbaute Fläche [m² ÜF]</t>
    </r>
  </si>
  <si>
    <r>
      <rPr>
        <b/>
        <i/>
        <sz val="10"/>
        <color theme="1"/>
        <rFont val="Calibri"/>
        <family val="2"/>
        <scheme val="minor"/>
      </rPr>
      <t>Anforderungen</t>
    </r>
    <r>
      <rPr>
        <sz val="10"/>
        <color theme="1"/>
        <rFont val="Calibri"/>
        <family val="2"/>
        <scheme val="minor"/>
      </rPr>
      <t xml:space="preserve">
In Abhängigkeit der umgesetzten Wärmeversorgungslösung sind anlagenspezifische Qualitätskriterien einzuhalten (z.B. Anlieferradius bei Biomasse, gewähltes Stromprodukt bei Wärmepumpen; Details siehe Rechenhilfe).
</t>
    </r>
    <r>
      <rPr>
        <b/>
        <i/>
        <sz val="10"/>
        <color theme="1"/>
        <rFont val="Calibri"/>
        <family val="2"/>
        <scheme val="minor"/>
      </rPr>
      <t>Hintergrundinformationen und Literatur</t>
    </r>
    <r>
      <rPr>
        <sz val="10"/>
        <color theme="1"/>
        <rFont val="Calibri"/>
        <family val="2"/>
        <scheme val="minor"/>
      </rPr>
      <t xml:space="preserve">
• Informationen aus Wärmeatlas 
• Ergebnisse aus der durchgeführten Energieraumanalyse
• klimaaktiv erneuerbare wärme (Beispiele für Stadt-Quartiere). Weitere Infos unter: https://www.klimaaktiv.at/erneuerbare/erneuerbarewaerme/stadt-quartiere.html; Zugriff am 13.11.2017.
• Für Qualität der Stromprodukte siehe auch Abschnitt E.2
</t>
    </r>
  </si>
  <si>
    <r>
      <rPr>
        <b/>
        <i/>
        <sz val="10"/>
        <color theme="1"/>
        <rFont val="Calibri"/>
        <family val="2"/>
        <scheme val="minor"/>
      </rPr>
      <t>Anforderungen</t>
    </r>
    <r>
      <rPr>
        <sz val="10"/>
        <color theme="1"/>
        <rFont val="Calibri"/>
        <family val="2"/>
        <scheme val="minor"/>
      </rPr>
      <t xml:space="preserve">
Das Potenzial lokaler erneuerbarer Energieträger für die Bereitstellung von Raumwärme, Warmwasser und Prozesswärme und für die Abfuhr des Kühlbedarfs wird ausgeschöpft (Angabe in %-Anteil am Gesamtwärmebedarf). Definition erneuerbare Energieträger: Biomasse, Solarthermie, (Betriebliche) Abwärme, Wärme aus Grund- bzw. Oberflächenwasser, Wärme aus dem Erdreich, Umgebungswärme, Erneuerbarer Anteil im Nah/Fernwärme-Mix (entsprechend OIB-RL 6), Strom direkt aus erneuerbaren Quellen aus Österreich. Die Bewertung erfolgt auf Basis der Endenergie.
</t>
    </r>
    <r>
      <rPr>
        <b/>
        <i/>
        <sz val="10"/>
        <color theme="1"/>
        <rFont val="Calibri"/>
        <family val="2"/>
        <scheme val="minor"/>
      </rPr>
      <t>Hintergrundinformationen und Literatur</t>
    </r>
    <r>
      <rPr>
        <sz val="10"/>
        <color theme="1"/>
        <rFont val="Calibri"/>
        <family val="2"/>
        <scheme val="minor"/>
      </rPr>
      <t xml:space="preserve">
• Informationen aus Wärmeatlas 
• Ergebnisse aus der durchgeführten Energieraumanalyse
• klimaaktiv erneuerbare wärme (Beispiele für Stadt-Quartiere). Weitere Infos unter: https://www.klimaaktiv.at/erneuerbare/erneuerbarewaerme/stadt-quartiere.html; Zugriff am 13.11.2017.
</t>
    </r>
  </si>
  <si>
    <t>Die gewählten Hauptkomponenten erfüllen die Anforderungen an die örtliche Schnee- und Windlast und das Montagesystem entspricht gängigen Normen. Die PV-Module sind gemäß EN IEC 612215 bzw. 616464 zertifiziert und stammen von Österreichischen Herstellern.</t>
  </si>
  <si>
    <t>Vollständig mit Zisterne</t>
  </si>
  <si>
    <t>Teilweise mit Zisterne, Rest Trinkwasser</t>
  </si>
  <si>
    <t>Empfehlung: Maximaler Erreichungsgrad bei Maßnahmen, welche man als Best Practice weiterempfehlen würde</t>
  </si>
  <si>
    <t>Hohe Qualität der Gestaltung und Ausstattung der Sammelstelle (Kennzeichnung der Behälter, Beleuchtung, Erreichbarkeit, Zugriffsregelung)</t>
  </si>
  <si>
    <t xml:space="preserve">Die Betriebsführung der PV-Anlage ist klar geregelt (Verantwortlichkeiten, Garantien, Gewährleistung, Aufgaben, Budget). Die links angeführten Anforderungen werden teilweise erfüllt. Wechselrichter: Mind. 95,5%
</t>
  </si>
  <si>
    <t>fertiggestellt</t>
  </si>
  <si>
    <t>Beteiligte</t>
  </si>
  <si>
    <t>Eckdaten Siedlung/Quartier</t>
  </si>
  <si>
    <t>Bauherrenschaft</t>
  </si>
  <si>
    <t>Architektur</t>
  </si>
  <si>
    <t>ÖV-Güteklasse</t>
  </si>
  <si>
    <t>Managementstruktur</t>
  </si>
  <si>
    <t>PV-Ertrag [kWh/m²ÜFa]</t>
  </si>
  <si>
    <t>Erfüllungsgrad klimaaktiv Gebäudestandard</t>
  </si>
  <si>
    <t>Qualität des Freiraums</t>
  </si>
  <si>
    <t>Qualität des Mikroklimas</t>
  </si>
  <si>
    <t>Planungsgrundlagen/Konzepte</t>
  </si>
  <si>
    <t>Partizipationsprozess</t>
  </si>
  <si>
    <t>Kommunikationsprozess</t>
  </si>
  <si>
    <t>klimaaktiv- Punkte</t>
  </si>
  <si>
    <t>Erwartete THG-Emissionen</t>
  </si>
  <si>
    <t>THG-Emissionen 2030</t>
  </si>
  <si>
    <t>PEB 2030</t>
  </si>
  <si>
    <t>Auszeichnungen</t>
  </si>
  <si>
    <t>Link</t>
  </si>
  <si>
    <t>Text</t>
  </si>
  <si>
    <t>Beschreibung (x Zeichen)</t>
  </si>
  <si>
    <t>C.1 Bauliche Dichte</t>
  </si>
  <si>
    <t>C.2 Stadtklima</t>
  </si>
  <si>
    <t>C.3 Vielfalt der Nutzungen und der Nutzenden</t>
  </si>
  <si>
    <t>C.4 Halböffentliche und öffentliche Räume</t>
  </si>
  <si>
    <t>C.5 Freiraum</t>
  </si>
  <si>
    <t>C.6 Angebote für den "täglichen" Bedarf</t>
  </si>
  <si>
    <t>F.1 Motorisierter Individualverkehr</t>
  </si>
  <si>
    <t>F.3 ÖV-Angebot und alternative Angebote</t>
  </si>
  <si>
    <t>E.1 Eigenversorgungsgrad</t>
  </si>
  <si>
    <t>E.2 Qualität der Energieversorgung</t>
  </si>
  <si>
    <t>D.1 Lebenszykluskosten</t>
  </si>
  <si>
    <t>D.2 Gebäudestandards</t>
  </si>
  <si>
    <t>D.3 Angemessene Nutzungsdichte</t>
  </si>
  <si>
    <t>Gastronomie (z.B. Gasthaus, Restaurant, Café, Take-Away-Food)</t>
  </si>
  <si>
    <t>Kinderbetreuung wie Kindergarten, Hort, Kindergruppe, Tagesmutter</t>
  </si>
  <si>
    <t xml:space="preserve">Bildungseinrichtung wie Volksschule, Hauptschule, Mittelschule, Gymnasium, Höhere Schule </t>
  </si>
  <si>
    <t>Medizinische Versorgung wie Arztpraxis, Facharztpraxis, medizinisches Zentrum, Krankenhaus, Gemeinschaftspraxis, Physiotherapie, Heilmassage</t>
  </si>
  <si>
    <t>Text für Aktionsplan</t>
  </si>
  <si>
    <t>Text für Auswahlliste</t>
  </si>
  <si>
    <t>%Werte für Auswahlliste</t>
  </si>
  <si>
    <t>%Werte für Nutzung</t>
  </si>
  <si>
    <t>%Werte für Planung/Umsetzung</t>
  </si>
  <si>
    <t>Nutzungsphase</t>
  </si>
  <si>
    <t>Mikroklima</t>
  </si>
  <si>
    <t>Gebäudekategorie</t>
  </si>
  <si>
    <t>Gebäude</t>
  </si>
  <si>
    <t>Anzahl Nutzer:innen</t>
  </si>
  <si>
    <r>
      <rPr>
        <b/>
        <i/>
        <sz val="10"/>
        <color theme="1"/>
        <rFont val="Calibri"/>
        <family val="2"/>
        <scheme val="minor"/>
      </rPr>
      <t>Anforderungen</t>
    </r>
    <r>
      <rPr>
        <sz val="10"/>
        <color theme="1"/>
        <rFont val="Calibri"/>
        <family val="2"/>
        <scheme val="minor"/>
      </rPr>
      <t xml:space="preserve">
Für das Bauvorhaben sind die städtebaulichen Rahmenbedingungen und das Nutzungskonzept klar definiert. Das Leitbild/Vision und konkrete Ziele sind in einem Konzept zusammengefasst. Das Konzept enthält z.B. Aussagen hinsichtlich:
1) Bauliche Dichte
2) Mikroklima
3) Vielfalt der Nutzungen und Nutzenden
4) Halböffentliche und öffentliche Räume
5) Freiraum
6) Angebote für den „täglichen“ Bedarf
</t>
    </r>
    <r>
      <rPr>
        <b/>
        <i/>
        <sz val="10"/>
        <color theme="1"/>
        <rFont val="Calibri"/>
        <family val="2"/>
        <scheme val="minor"/>
      </rPr>
      <t xml:space="preserve">
Hintergrundinformationen und Literatur</t>
    </r>
    <r>
      <rPr>
        <sz val="10"/>
        <color theme="1"/>
        <rFont val="Calibri"/>
        <family val="2"/>
        <scheme val="minor"/>
      </rPr>
      <t xml:space="preserve">
• Handlungsfeld Städtebau
• Räumliches Entwicklungskonzept der Stadt/Gemeinde
• Ergebnisse aus der durchgeführten Sozialraumanalyse 
• Ergebnisse aus dem durchgeführten Auswahl- bzw. Planungsverfahren
• Hugentobler M., Wiener D.: Leitfaden und Checklisten zur nachhaltigen Arealentwicklung für Städte und Gemeinden. ETH Wohnforum – ETH CASE, Zürich 2016.
</t>
    </r>
  </si>
  <si>
    <r>
      <rPr>
        <b/>
        <sz val="9"/>
        <color theme="1"/>
        <rFont val="Calibri"/>
        <family val="2"/>
        <scheme val="minor"/>
      </rPr>
      <t xml:space="preserve">Variante 1 - </t>
    </r>
    <r>
      <rPr>
        <b/>
        <i/>
        <sz val="9"/>
        <color theme="1"/>
        <rFont val="Calibri"/>
        <family val="2"/>
        <scheme val="minor"/>
      </rPr>
      <t xml:space="preserve">Rechenhilfe: </t>
    </r>
    <r>
      <rPr>
        <sz val="9"/>
        <color theme="1"/>
        <rFont val="Calibri"/>
        <family val="2"/>
        <scheme val="minor"/>
      </rPr>
      <t>Erzielter Grün- und Freiflächenfaktor</t>
    </r>
  </si>
  <si>
    <r>
      <rPr>
        <b/>
        <sz val="9"/>
        <color theme="1"/>
        <rFont val="Calibri"/>
        <family val="2"/>
        <scheme val="minor"/>
      </rPr>
      <t xml:space="preserve">Variante 2 - </t>
    </r>
    <r>
      <rPr>
        <b/>
        <i/>
        <sz val="9"/>
        <color theme="1"/>
        <rFont val="Calibri"/>
        <family val="2"/>
        <scheme val="minor"/>
      </rPr>
      <t>Alternative:</t>
    </r>
    <r>
      <rPr>
        <i/>
        <sz val="9"/>
        <color theme="1"/>
        <rFont val="Calibri"/>
        <family val="2"/>
        <scheme val="minor"/>
      </rPr>
      <t xml:space="preserve"> </t>
    </r>
    <r>
      <rPr>
        <sz val="9"/>
        <color theme="1"/>
        <rFont val="Calibri"/>
        <family val="2"/>
        <scheme val="minor"/>
      </rPr>
      <t>Gesamterfüllungsgrad entsprechend dem Ergebnis einer Grünraum (Pre)Zertifizierung (z.B. GREENPASS</t>
    </r>
    <r>
      <rPr>
        <sz val="9"/>
        <color theme="1"/>
        <rFont val="Trebuchet MS"/>
        <family val="2"/>
      </rPr>
      <t>®</t>
    </r>
    <r>
      <rPr>
        <sz val="9"/>
        <color theme="1"/>
        <rFont val="Calibri"/>
        <family val="2"/>
        <scheme val="minor"/>
      </rPr>
      <t xml:space="preserve"> oder vergleichbar).</t>
    </r>
  </si>
  <si>
    <r>
      <rPr>
        <b/>
        <sz val="9"/>
        <color theme="1"/>
        <rFont val="Calibri"/>
        <family val="2"/>
        <scheme val="minor"/>
      </rPr>
      <t xml:space="preserve">Variante 1 - </t>
    </r>
    <r>
      <rPr>
        <b/>
        <i/>
        <sz val="9"/>
        <color theme="1"/>
        <rFont val="Calibri"/>
        <family val="2"/>
        <scheme val="minor"/>
      </rPr>
      <t xml:space="preserve">Rechenhilfe: </t>
    </r>
    <r>
      <rPr>
        <sz val="9"/>
        <color theme="1"/>
        <rFont val="Calibri"/>
        <family val="2"/>
        <scheme val="minor"/>
      </rPr>
      <t>Trinkwasserverbrauch Haushalte pro Person und Tag</t>
    </r>
  </si>
  <si>
    <r>
      <rPr>
        <b/>
        <sz val="9"/>
        <color theme="1"/>
        <rFont val="Calibri"/>
        <family val="2"/>
        <scheme val="minor"/>
      </rPr>
      <t xml:space="preserve">Variante 2 - </t>
    </r>
    <r>
      <rPr>
        <b/>
        <i/>
        <sz val="9"/>
        <color theme="1"/>
        <rFont val="Calibri"/>
        <family val="2"/>
        <scheme val="minor"/>
      </rPr>
      <t>Alternative Rechenhilfe:</t>
    </r>
    <r>
      <rPr>
        <i/>
        <sz val="9"/>
        <color theme="1"/>
        <rFont val="Calibri"/>
        <family val="2"/>
        <scheme val="minor"/>
      </rPr>
      <t xml:space="preserve"> </t>
    </r>
    <r>
      <rPr>
        <sz val="9"/>
        <color theme="1"/>
        <rFont val="Calibri"/>
        <family val="2"/>
        <scheme val="minor"/>
      </rPr>
      <t>Bewertung der baulichen Maßnahmen und Marketing Maßnahmen</t>
    </r>
  </si>
  <si>
    <r>
      <rPr>
        <b/>
        <i/>
        <sz val="9"/>
        <color theme="1"/>
        <rFont val="Calibri"/>
        <family val="2"/>
        <scheme val="minor"/>
      </rPr>
      <t xml:space="preserve">Variante 1 - Rechenhilfe: </t>
    </r>
    <r>
      <rPr>
        <sz val="9"/>
        <color theme="1"/>
        <rFont val="Calibri"/>
        <family val="2"/>
        <scheme val="minor"/>
      </rPr>
      <t xml:space="preserve">Trinkwasserverbrauch für Gartenbewässerung und Swimmingpools (Anteil jeweils 50%) pro m² und Tag </t>
    </r>
  </si>
  <si>
    <r>
      <rPr>
        <b/>
        <sz val="9"/>
        <color theme="1"/>
        <rFont val="Calibri"/>
        <family val="2"/>
        <scheme val="minor"/>
      </rPr>
      <t xml:space="preserve">Variante 2 - </t>
    </r>
    <r>
      <rPr>
        <b/>
        <i/>
        <sz val="9"/>
        <color theme="1"/>
        <rFont val="Calibri"/>
        <family val="2"/>
        <scheme val="minor"/>
      </rPr>
      <t xml:space="preserve">Alternative Rechenhilfe: </t>
    </r>
    <r>
      <rPr>
        <sz val="9"/>
        <color theme="1"/>
        <rFont val="Calibri"/>
        <family val="2"/>
        <scheme val="minor"/>
      </rPr>
      <t>Bewertung der baulichen Maßnahmen und Marketing Maßnahmen</t>
    </r>
  </si>
  <si>
    <r>
      <rPr>
        <b/>
        <sz val="9"/>
        <color theme="1"/>
        <rFont val="Calibri"/>
        <family val="2"/>
        <scheme val="minor"/>
      </rPr>
      <t xml:space="preserve">Variante 1 - </t>
    </r>
    <r>
      <rPr>
        <b/>
        <i/>
        <sz val="9"/>
        <color theme="1"/>
        <rFont val="Calibri"/>
        <family val="2"/>
        <scheme val="minor"/>
      </rPr>
      <t>Rechenhilfe:</t>
    </r>
    <r>
      <rPr>
        <b/>
        <sz val="9"/>
        <color theme="1"/>
        <rFont val="Calibri"/>
        <family val="2"/>
        <scheme val="minor"/>
      </rPr>
      <t xml:space="preserve"> </t>
    </r>
    <r>
      <rPr>
        <sz val="9"/>
        <color theme="1"/>
        <rFont val="Calibri"/>
        <family val="2"/>
        <scheme val="minor"/>
      </rPr>
      <t>Trinkwasserverbrauch Dienstleistungsgebäude pro Einheit</t>
    </r>
  </si>
  <si>
    <r>
      <rPr>
        <b/>
        <sz val="9"/>
        <color theme="1"/>
        <rFont val="Calibri"/>
        <family val="2"/>
        <scheme val="minor"/>
      </rPr>
      <t xml:space="preserve">Variante 1 - </t>
    </r>
    <r>
      <rPr>
        <b/>
        <i/>
        <sz val="9"/>
        <color theme="1"/>
        <rFont val="Calibri"/>
        <family val="2"/>
        <scheme val="minor"/>
      </rPr>
      <t xml:space="preserve">Rechenhilfe: </t>
    </r>
    <r>
      <rPr>
        <sz val="9"/>
        <color theme="1"/>
        <rFont val="Calibri"/>
        <family val="2"/>
        <scheme val="minor"/>
      </rPr>
      <t>Abfallmenge pro Person</t>
    </r>
  </si>
  <si>
    <t>Bildungseinrichtungen</t>
  </si>
  <si>
    <t>Verkaufsstätten</t>
  </si>
  <si>
    <t>VARIANTE 1: Trinkwasserverbrauch Haushalte pro Person und Tag</t>
  </si>
  <si>
    <t>VARIANTE 2: Bewertung der baulichen Maßnahmen und Marketing Maßnahmen</t>
  </si>
  <si>
    <t xml:space="preserve">VARIANTE 1: Trinkwasserverbrauch für Gartenbewässerung und Swimmingpools (Anteil jeweils 50%) pro m² und Tag </t>
  </si>
  <si>
    <t>VARIANTE 1: Trinkwasserverbrauch Dienstleistungsgebäude pro Einheit</t>
  </si>
  <si>
    <t>Flächenanteil DL-Gebäude 1</t>
  </si>
  <si>
    <t>Dienstleistungsgebäude 1</t>
  </si>
  <si>
    <t>Wasserverbrauch DL-Gebäude 1 [l/Einheit]</t>
  </si>
  <si>
    <t>Wasserverbrauch DL-Gebäude 2 [l/Einheit]</t>
  </si>
  <si>
    <t>Dienstleistungsgebäude 2</t>
  </si>
  <si>
    <t>Flächenanteil DL-Gebäude 2</t>
  </si>
  <si>
    <t>Dienstleistungsgebäude 3</t>
  </si>
  <si>
    <t>Flächenanteil DL-Gebäude 3</t>
  </si>
  <si>
    <t>Wasserverbrauch DL-Gebäude 3 [l/Einheit]</t>
  </si>
  <si>
    <t>Wasserverbrauch DL-Gebäude 1-3 [l/Einheit]</t>
  </si>
  <si>
    <t>Leer</t>
  </si>
  <si>
    <t>Flächenmäßig größtes Dienstleistungsgebäude</t>
  </si>
  <si>
    <t>VARIANTE 1: Abfallmenge pro Person</t>
  </si>
  <si>
    <t>E.3.2 Wassernutzung AUSSENRAUM</t>
  </si>
  <si>
    <t>E.3.1 Wassernutzung HAUSHALTE</t>
  </si>
  <si>
    <t>E.3.3 Wassernutzung DIENSTLEISTUNGSGEBÄUDE</t>
  </si>
  <si>
    <t>E.4.2 Vermeidung von NICHT GEMISCHTEN SIEDLUNGSABFÄLLEN</t>
  </si>
  <si>
    <t>E.4.1 Vermeidung von GEMISCHTEN SIEDUNGSABFÄLLEN (Restmüll)</t>
  </si>
  <si>
    <t>Mögliche Menge gemischte Siedlungsabfälle</t>
  </si>
  <si>
    <t>Vorhanden (x)</t>
  </si>
  <si>
    <t>Ist-Wert</t>
  </si>
  <si>
    <t>E.1 Wärmeversorgung</t>
  </si>
  <si>
    <t>Wärmebereitstellungssystem</t>
  </si>
  <si>
    <t>Wärmebereitstellungssystem 1</t>
  </si>
  <si>
    <t>Wärmebereitstellungssystem 2</t>
  </si>
  <si>
    <t>Heizwärmebedarf 
[kWh/a]</t>
  </si>
  <si>
    <t>Netzdienliches Stromprodukt?</t>
  </si>
  <si>
    <t>Wärmebereitstellungssystem 3</t>
  </si>
  <si>
    <t>JAZ [ ]</t>
  </si>
  <si>
    <t>Lt. e-control: Erneuerbare Energieträger</t>
  </si>
  <si>
    <t>Lt. e-control: Herkunft Österreich</t>
  </si>
  <si>
    <t>Warmwasserwärmebedarf
[kWh/a]</t>
  </si>
  <si>
    <t>Gewählter (lokaler) Stromlieferant entsprechend aktuellem Stromkennzeichnungsbericht der e-control</t>
  </si>
  <si>
    <t>Wärme PV direkt</t>
  </si>
  <si>
    <t>Erdreich</t>
  </si>
  <si>
    <t>Strom direkt</t>
  </si>
  <si>
    <t>Strom kann nicht anders verwertet werden</t>
  </si>
  <si>
    <t>Anlieferradius [km]</t>
  </si>
  <si>
    <r>
      <t>Wirkungsgrad [kWh/(m²</t>
    </r>
    <r>
      <rPr>
        <sz val="11"/>
        <color theme="1"/>
        <rFont val="Symbol"/>
        <family val="1"/>
        <charset val="2"/>
      </rPr>
      <t>×</t>
    </r>
    <r>
      <rPr>
        <sz val="11"/>
        <color theme="1"/>
        <rFont val="Calibri"/>
        <family val="2"/>
        <scheme val="minor"/>
      </rPr>
      <t>a)]</t>
    </r>
  </si>
  <si>
    <t>Dauer Liefervertrag [Jahre]</t>
  </si>
  <si>
    <t>Max</t>
  </si>
  <si>
    <t>siehe oben</t>
  </si>
  <si>
    <t>Stromprodukt (Netzdienlichkeit, Anteil EE, aus AT</t>
  </si>
  <si>
    <t>Kältebereitstellungssystem</t>
  </si>
  <si>
    <t>Kältebereitstellungssystem 1</t>
  </si>
  <si>
    <t>Kältebereitstellungssystem 2</t>
  </si>
  <si>
    <t>Kältebereitstellungssystem 3</t>
  </si>
  <si>
    <t>Kompressionskältemaschine</t>
  </si>
  <si>
    <t>ohne elektrische Hilfsmittel</t>
  </si>
  <si>
    <t>Free-Cooling (Pumpe/Ventilator)</t>
  </si>
  <si>
    <t>Free Cooling</t>
  </si>
  <si>
    <t>Prozesswärmebedarf
[kWh/a]</t>
  </si>
  <si>
    <t>Qualität der Versorgung</t>
  </si>
  <si>
    <t>Haushaltsstrombedarf
[kWh/a]</t>
  </si>
  <si>
    <t>Betriebsstrombedarf
[kWh/a]</t>
  </si>
  <si>
    <t>Strombereitstellungssystem</t>
  </si>
  <si>
    <t>Öffentliches Stromnetz Anbieter 1</t>
  </si>
  <si>
    <t>Öffentliches Stromnetz Anbieter 2</t>
  </si>
  <si>
    <t>Öffentliches Stromnetz Anbieter 3</t>
  </si>
  <si>
    <t>Strombereitstellungssystem 1</t>
  </si>
  <si>
    <t>Strombereitstellungssystem 2</t>
  </si>
  <si>
    <t>Strombereitstellungssystem 3</t>
  </si>
  <si>
    <t>Angaben für Strom aus dem Netz</t>
  </si>
  <si>
    <t>Anbieter 1</t>
  </si>
  <si>
    <t>Anbieter 2</t>
  </si>
  <si>
    <t>Anbieter 3</t>
  </si>
  <si>
    <t>Best</t>
  </si>
  <si>
    <t>Strom</t>
  </si>
  <si>
    <t>Aus EE und vor Ort erzeugt [kWh/a]</t>
  </si>
  <si>
    <t>Aus EE und vor Ort erzeugt [%]</t>
  </si>
  <si>
    <t>Vor Ort erzeugt [kWh/a]</t>
  </si>
  <si>
    <r>
      <t>Vor Ort erzeugt [kWh/(m²ÜF</t>
    </r>
    <r>
      <rPr>
        <sz val="11"/>
        <color theme="1"/>
        <rFont val="Symbol"/>
        <family val="1"/>
        <charset val="2"/>
      </rPr>
      <t>×</t>
    </r>
    <r>
      <rPr>
        <sz val="11"/>
        <color theme="1"/>
        <rFont val="Calibri"/>
        <family val="2"/>
        <scheme val="minor"/>
      </rPr>
      <t>a)]</t>
    </r>
  </si>
  <si>
    <r>
      <t>Vor Ort erzeugt [kWh/(m²BGF</t>
    </r>
    <r>
      <rPr>
        <sz val="11"/>
        <color theme="0" tint="-0.499984740745262"/>
        <rFont val="Symbol"/>
        <family val="1"/>
        <charset val="2"/>
      </rPr>
      <t>×</t>
    </r>
    <r>
      <rPr>
        <sz val="11"/>
        <color theme="0" tint="-0.499984740745262"/>
        <rFont val="Calibri"/>
        <family val="2"/>
        <scheme val="minor"/>
      </rPr>
      <t>a)]</t>
    </r>
  </si>
  <si>
    <t>Zielwert Plus-Energie [kWh/(m²BGF×a)]</t>
  </si>
  <si>
    <t>Ergebnis E.4.1</t>
  </si>
  <si>
    <t>Ergebnis E.4.2</t>
  </si>
  <si>
    <t>Ergebnis E.3.1</t>
  </si>
  <si>
    <t>Ergebnis E.3.2</t>
  </si>
  <si>
    <t>Ergebnis E.3.3</t>
  </si>
  <si>
    <t>Ergebnis E.1.1</t>
  </si>
  <si>
    <t>Ergebnis E.1.2</t>
  </si>
  <si>
    <t>Ergebnis E.2.1</t>
  </si>
  <si>
    <t>Ergebnis E.2.2</t>
  </si>
  <si>
    <t>Ergebnis D.2.1</t>
  </si>
  <si>
    <t>Ergebnis D.3.1</t>
  </si>
  <si>
    <t>Ergebnis C.4.1</t>
  </si>
  <si>
    <t>Ergebnis C.4.4</t>
  </si>
  <si>
    <t>Input für E.2.1</t>
  </si>
  <si>
    <t>Ergebnis C.6.1</t>
  </si>
  <si>
    <t>Ergebnis C.2.3</t>
  </si>
  <si>
    <t>Ergebnis F.1.1</t>
  </si>
  <si>
    <t>Ergebnis F.1.3</t>
  </si>
  <si>
    <t>Ergebnis F.2.1</t>
  </si>
  <si>
    <t>Ergebnis F.2.2.1</t>
  </si>
  <si>
    <t>Ergebnis F.2.2.2</t>
  </si>
  <si>
    <t>F.3.1. Bestimmung ÖV-Güteklasse</t>
  </si>
  <si>
    <t>Verkehrsmittel</t>
  </si>
  <si>
    <t>Bezeichnung Haltestelle</t>
  </si>
  <si>
    <t>Parameter</t>
  </si>
  <si>
    <t>Ergebnis F.3.1</t>
  </si>
  <si>
    <t>Richtung 1</t>
  </si>
  <si>
    <t>Richtung 2</t>
  </si>
  <si>
    <t>Richtung 3</t>
  </si>
  <si>
    <t>Richtung 4</t>
  </si>
  <si>
    <t>Anzahl Abfahrten</t>
  </si>
  <si>
    <t>Weg 1</t>
  </si>
  <si>
    <t>Weg 2</t>
  </si>
  <si>
    <t>Weg 3</t>
  </si>
  <si>
    <t>Weg 4</t>
  </si>
  <si>
    <t>Durchschnitt</t>
  </si>
  <si>
    <t>Gut erschlossene Fußwege innerhalb des Areals</t>
  </si>
  <si>
    <t>Gut erschlossene Fußwege außerhalb des Areals</t>
  </si>
  <si>
    <t>Weg 5</t>
  </si>
  <si>
    <t>Weg 6</t>
  </si>
  <si>
    <t>Weg 7</t>
  </si>
  <si>
    <t>Länge Fußweg innerhalb des Areals [m]</t>
  </si>
  <si>
    <t>Länge Fußweg im Umkreis von 300 Meter ab der Grundstücksgrenze [m]</t>
  </si>
  <si>
    <t>Länge Radweg innerhalb des Areals [m]</t>
  </si>
  <si>
    <t>Gut erschlossene Radwege innerhalb des Areals</t>
  </si>
  <si>
    <t>Länge Radweg im Umkreis von 300 Meter ab der Grundstücksgrenze [m]</t>
  </si>
  <si>
    <t>Gut erschlossene Radwege außerhalb des Areals</t>
  </si>
  <si>
    <r>
      <t xml:space="preserve">Durchschnittliches Kursintervall aus der Summe alle Abfahrten pro Richtung (Werktags an Schultagen) | </t>
    </r>
    <r>
      <rPr>
        <b/>
        <sz val="11"/>
        <color theme="1"/>
        <rFont val="Calibri"/>
        <family val="2"/>
        <scheme val="minor"/>
      </rPr>
      <t>Eingabe rechts</t>
    </r>
  </si>
  <si>
    <t>Berechnung Kursintervall</t>
  </si>
  <si>
    <t>Abklärungen zum Stadt- und Mikroklima wurden durchgeführt und die Relevanz geklärt</t>
  </si>
  <si>
    <t>Die Abklärung mit Folgerungen/Maßnahmen zum Stadt- und Mikroklima sind dokumentiert</t>
  </si>
  <si>
    <r>
      <rPr>
        <b/>
        <i/>
        <sz val="10"/>
        <color theme="1"/>
        <rFont val="Calibri"/>
        <family val="2"/>
        <scheme val="minor"/>
      </rPr>
      <t>Anforderungen</t>
    </r>
    <r>
      <rPr>
        <sz val="10"/>
        <color theme="1"/>
        <rFont val="Calibri"/>
        <family val="2"/>
        <scheme val="minor"/>
      </rPr>
      <t xml:space="preserve">
Es wurde eine Abklärung zum Stadt- und Mikroklima durchgeführt (z.B. UHI – Urban Heat Island Simulationen, thermischer Komfort, thermische Speicherung, thermischer Abluftstrom, Retentionsleistung, Beschattungsgrad, Starkniederschläge).
</t>
    </r>
    <r>
      <rPr>
        <b/>
        <i/>
        <sz val="10"/>
        <color theme="1"/>
        <rFont val="Calibri"/>
        <family val="2"/>
        <scheme val="minor"/>
      </rPr>
      <t xml:space="preserve">
Hintergrundinformationen und Literatur</t>
    </r>
    <r>
      <rPr>
        <sz val="10"/>
        <color theme="1"/>
        <rFont val="Calibri"/>
        <family val="2"/>
        <scheme val="minor"/>
      </rPr>
      <t xml:space="preserve">
• Ergebnisse aus der Stadtklimaanalyse
• GREENPASS Product Books. Weitere Infos unter: https://greenpass.io/de/info-material/; Zugriff am 02.08.2022
• VCÖ: Wohnbau, Wohnumfeld und Mobilität. VCÖ-Schriftenreihe „Mobilität mit Zukunft“ 3/2015. VCÖ, Wien 2015.
• Zentralanstalt für Meteorologie und Geodynamik. Weitere Infos unter: https://www.zamg.ac.at/cms/de/aktuell; Zugriff am 10.09.2018
</t>
    </r>
  </si>
  <si>
    <t>Durchlässige Bebauungsstrukturen und größere Freiflächen auf dem Areal und in dessen Umgebung begünstigen eine gute Durchlüftung und vermeiden Winddüsen</t>
  </si>
  <si>
    <t>SIR - Salzburger Institut für Raumordnung und Wohnen GmbH</t>
  </si>
  <si>
    <t>Web: klimaaktiv.at/siedlungen und siedlungs-check.klimaaktiv.at</t>
  </si>
  <si>
    <t>Architekt:in</t>
  </si>
  <si>
    <r>
      <t>klima</t>
    </r>
    <r>
      <rPr>
        <b/>
        <sz val="11"/>
        <color theme="1"/>
        <rFont val="Calibri"/>
        <family val="2"/>
        <scheme val="minor"/>
      </rPr>
      <t>aktiv</t>
    </r>
    <r>
      <rPr>
        <sz val="11"/>
        <color theme="1"/>
        <rFont val="Calibri"/>
        <family val="2"/>
        <scheme val="minor"/>
      </rPr>
      <t xml:space="preserve"> Kontakt | Kompetenzpartner:in</t>
    </r>
  </si>
  <si>
    <t>Anzahl Bewohner:innen</t>
  </si>
  <si>
    <t>Wohnfläche pro Bewohner:in</t>
  </si>
  <si>
    <t>Bewohner:innen pro ha</t>
  </si>
  <si>
    <t>siehe auch RH Mobilität</t>
  </si>
  <si>
    <t>Brutto-Bauland [m²]</t>
  </si>
  <si>
    <t>Brutto-Grundfläche [m²]</t>
  </si>
  <si>
    <t>Liste der beteiligten Organisationen (Bauherr, Architekt:in, Ausführende, usw.)</t>
  </si>
  <si>
    <t>Datum</t>
  </si>
  <si>
    <t>Meilenstein</t>
  </si>
  <si>
    <t>Relevant für Baustellentafel</t>
  </si>
  <si>
    <t>siehe auch RH Gebäude</t>
  </si>
  <si>
    <t>C.6.1 Güter und Dienstleistungen des täglichen Bedarfs</t>
  </si>
  <si>
    <t>Trog gebundene Fassadenbegrünung</t>
  </si>
  <si>
    <t>Erdgeschoßgärten, Mieter:innengärten, Eigentümer:innengärten, Gemeinschaftsgärten</t>
  </si>
  <si>
    <r>
      <t>Dieses Excel-Tool ermöglicht die qualitative Bewertung von Siedlungen und Quartieren. Das Bewertungsergebnis dient einerseits zur 
- Bewusstseinsbildung (Handlungsfelder identifizieren - siehe auch Siedlungs-Check), 
- kann als Grundlage für die weitere Planung herangezogen werden (welche Maßnahmen sollten wie umgesetzt werden) und 
- bildet schließlich die Grundlage für die</t>
    </r>
    <r>
      <rPr>
        <sz val="11"/>
        <rFont val="Calibri"/>
        <family val="2"/>
        <scheme val="minor"/>
      </rPr>
      <t xml:space="preserve"> Auditierung. </t>
    </r>
    <r>
      <rPr>
        <sz val="11"/>
        <color theme="1"/>
        <rFont val="Calibri"/>
        <family val="2"/>
        <scheme val="minor"/>
      </rPr>
      <t xml:space="preserve">
Weitere Informationen stehen im Handbuch zum Tool zur Verfügung.</t>
    </r>
  </si>
  <si>
    <t>Schillerstraße 25, 5020 Salzburg</t>
  </si>
  <si>
    <t>C.1 Ausschluss von besorgniserregenden Substanzen</t>
  </si>
  <si>
    <t>Bewohnende</t>
  </si>
  <si>
    <t>Exkurs klimaaktiv Gebäudekriterien zur groben Orientierung | Demonstrationstool: https://klimaaktiv.baudock.at/</t>
  </si>
  <si>
    <t>Punkte Gebäudelabel</t>
  </si>
  <si>
    <t>Beschäftigte Büro</t>
  </si>
  <si>
    <t>Fabrikat / Type</t>
  </si>
  <si>
    <t>Swimmingpool</t>
  </si>
  <si>
    <t>Anlage zur Gartenbewässerung</t>
  </si>
  <si>
    <t>Wasserverbrauch Haushalte [l/(P*d)]</t>
  </si>
  <si>
    <t>Wasserverbrauch Außenraum s.o. [l/(m²*d)]</t>
  </si>
  <si>
    <t>Wasserverbrauch Haushalte geschätzt [l/(P*d)]</t>
  </si>
  <si>
    <t>Wasserverbrauch Außenraum geschätzt [l/(m²*d)]</t>
  </si>
  <si>
    <t>Wasserverbrauch DL-Gebäude geschätzt [l/Einheit]</t>
  </si>
  <si>
    <t>Summe aller gemischten Siedlungsabfälle</t>
  </si>
  <si>
    <r>
      <t>Menge Restmüll [kg/(P</t>
    </r>
    <r>
      <rPr>
        <sz val="11"/>
        <color theme="1"/>
        <rFont val="Symbol"/>
        <family val="1"/>
        <charset val="2"/>
      </rPr>
      <t>×</t>
    </r>
    <r>
      <rPr>
        <sz val="11"/>
        <color theme="1"/>
        <rFont val="Calibri"/>
        <family val="2"/>
        <scheme val="minor"/>
      </rPr>
      <t>a)]</t>
    </r>
  </si>
  <si>
    <r>
      <t>Menge Restmüll geschätzt [kg/(P</t>
    </r>
    <r>
      <rPr>
        <sz val="11"/>
        <color theme="1"/>
        <rFont val="Symbol"/>
        <family val="1"/>
        <charset val="2"/>
      </rPr>
      <t>×</t>
    </r>
    <r>
      <rPr>
        <sz val="11"/>
        <color theme="1"/>
        <rFont val="Calibri"/>
        <family val="2"/>
      </rPr>
      <t>a)</t>
    </r>
    <r>
      <rPr>
        <sz val="11"/>
        <color theme="1"/>
        <rFont val="Calibri"/>
        <family val="2"/>
        <scheme val="minor"/>
      </rPr>
      <t>]</t>
    </r>
  </si>
  <si>
    <r>
      <t>Menge gemischte Siedlungsabfälle [kg/(P</t>
    </r>
    <r>
      <rPr>
        <b/>
        <sz val="11"/>
        <color theme="1"/>
        <rFont val="Symbol"/>
        <family val="1"/>
        <charset val="2"/>
      </rPr>
      <t>×</t>
    </r>
    <r>
      <rPr>
        <b/>
        <sz val="11"/>
        <color theme="1"/>
        <rFont val="Calibri"/>
        <family val="2"/>
      </rPr>
      <t>a)</t>
    </r>
    <r>
      <rPr>
        <b/>
        <sz val="11"/>
        <color theme="1"/>
        <rFont val="Calibri"/>
        <family val="2"/>
        <scheme val="minor"/>
      </rPr>
      <t>]</t>
    </r>
  </si>
  <si>
    <r>
      <t>Menge gemischte Siedlungsabfälle geschätzt [kg/(P</t>
    </r>
    <r>
      <rPr>
        <b/>
        <sz val="11"/>
        <color theme="1"/>
        <rFont val="Symbol"/>
        <family val="1"/>
        <charset val="2"/>
      </rPr>
      <t>×</t>
    </r>
    <r>
      <rPr>
        <b/>
        <sz val="11"/>
        <color theme="1"/>
        <rFont val="Calibri"/>
        <family val="2"/>
      </rPr>
      <t>a)</t>
    </r>
    <r>
      <rPr>
        <b/>
        <sz val="11"/>
        <color theme="1"/>
        <rFont val="Calibri"/>
        <family val="2"/>
        <scheme val="minor"/>
      </rPr>
      <t>]</t>
    </r>
  </si>
  <si>
    <t>Energiebezugsfläche [m²]</t>
  </si>
  <si>
    <t>Miete, Gebühr in EUR je Parkplatz</t>
  </si>
  <si>
    <t>Betriebsstunden [h:m]</t>
  </si>
  <si>
    <t>Kursintervall [h:m]</t>
  </si>
  <si>
    <t>Kindergärten, Kindertagesstätten</t>
  </si>
  <si>
    <t>Hotels und Pensionen</t>
  </si>
  <si>
    <t>Name Linie</t>
  </si>
  <si>
    <r>
      <t xml:space="preserve">Länge Fußweg </t>
    </r>
    <r>
      <rPr>
        <b/>
        <i/>
        <sz val="11"/>
        <color theme="1"/>
        <rFont val="Calibri"/>
        <family val="2"/>
        <scheme val="minor"/>
      </rPr>
      <t>gut erschlossen (s.o.)</t>
    </r>
    <r>
      <rPr>
        <sz val="11"/>
        <color theme="1"/>
        <rFont val="Calibri"/>
        <family val="2"/>
        <scheme val="minor"/>
      </rPr>
      <t xml:space="preserve"> im Umkreis von 300 Meter ab der Grundstücksgrenze [m]</t>
    </r>
  </si>
  <si>
    <r>
      <t xml:space="preserve">Länge Radweg </t>
    </r>
    <r>
      <rPr>
        <b/>
        <sz val="11"/>
        <color theme="1"/>
        <rFont val="Calibri"/>
        <family val="2"/>
        <scheme val="minor"/>
      </rPr>
      <t>gut erschlossen (s.o.)</t>
    </r>
    <r>
      <rPr>
        <sz val="11"/>
        <color theme="1"/>
        <rFont val="Calibri"/>
        <family val="2"/>
        <scheme val="minor"/>
      </rPr>
      <t xml:space="preserve"> innerhalb des Areals [m]</t>
    </r>
  </si>
  <si>
    <r>
      <t xml:space="preserve">Länge Radweg </t>
    </r>
    <r>
      <rPr>
        <b/>
        <sz val="11"/>
        <color theme="1"/>
        <rFont val="Calibri"/>
        <family val="2"/>
        <scheme val="minor"/>
      </rPr>
      <t>gut erschlossen (s.o.)</t>
    </r>
    <r>
      <rPr>
        <sz val="11"/>
        <color theme="1"/>
        <rFont val="Calibri"/>
        <family val="2"/>
        <scheme val="minor"/>
      </rPr>
      <t xml:space="preserve"> im Umkreis von 300 Meter ab der Grundstücksgrenze [m]</t>
    </r>
  </si>
  <si>
    <r>
      <t xml:space="preserve">Länge Fußweg </t>
    </r>
    <r>
      <rPr>
        <b/>
        <i/>
        <sz val="11"/>
        <color theme="1"/>
        <rFont val="Calibri"/>
        <family val="2"/>
        <scheme val="minor"/>
      </rPr>
      <t>gut erschlossen (s.o.)</t>
    </r>
    <r>
      <rPr>
        <sz val="11"/>
        <color theme="1"/>
        <rFont val="Calibri"/>
        <family val="2"/>
        <scheme val="minor"/>
      </rPr>
      <t xml:space="preserve"> innerhalb des Areals [m]</t>
    </r>
  </si>
  <si>
    <t>Nachweis Klimaneutralität</t>
  </si>
  <si>
    <t>Qualität der Fuß- und Radinfrastruktur</t>
  </si>
  <si>
    <t>Lokale Ansprechperson für die Projektbegleitung ist vorhanden (A.1.2; mind. 50 %)</t>
  </si>
  <si>
    <t>Geeignete Strukturen, Situationen und Ressourcen für den Austausch mit Betroffenen und Anspruchsgruppen sind vorhanden bzw. im Prozess eingeplant (B.1.2; mind. 25 %)</t>
  </si>
  <si>
    <t>Geschossflächenzahl ist größer gleich 0,5 (C.1.1.3; mind. 0 %)</t>
  </si>
  <si>
    <t>Gebäude erfüllen die klimaaktiv Basis-Kriterien (D.2.1; mind. 30 %)</t>
  </si>
  <si>
    <t>Lokal erzeugter Strom aus erneuerbaren Energieträgern von mind. 25 kWh/m²ÜF (E.2.1; mind. 0 %)</t>
  </si>
  <si>
    <t>ÖV-Güteklasse am Standort ist gleich bzw. besser als die Kategorie F (F.3.1; mind. 0 %)</t>
  </si>
  <si>
    <t>Kriterium</t>
  </si>
  <si>
    <t>Ergänzung</t>
  </si>
  <si>
    <t>Niedertemperaturnetz
Nutzung des Rücklaufs
Nutzung für WW-Bereitung</t>
  </si>
  <si>
    <t>Ergebnis für vor Ort erzeugt [%]</t>
  </si>
  <si>
    <t>Ergebnis für Qualität der Versorgung</t>
  </si>
  <si>
    <t>Min/Max</t>
  </si>
  <si>
    <t>Sehr gute bauliche Maßnahmen zwecks Reduktion des Kältebedarfs</t>
  </si>
  <si>
    <t xml:space="preserve"> +Strom für Pumpe/Ventilator</t>
  </si>
  <si>
    <t xml:space="preserve"> +Strom für KKM</t>
  </si>
  <si>
    <t>Erwärmte Luft/Wasser wird nicht übermässig erhitzt abgegeben</t>
  </si>
  <si>
    <t>Weitere Funktionen (z.B. Wärmebereitstellung/Abwärmenutzung)</t>
  </si>
  <si>
    <r>
      <t xml:space="preserve">Lt. e-control: Herkunft Österreich </t>
    </r>
    <r>
      <rPr>
        <b/>
        <sz val="11"/>
        <color theme="1"/>
        <rFont val="Calibri"/>
        <family val="2"/>
        <scheme val="minor"/>
      </rPr>
      <t>PLUS anteilig Strom vor Ort erzeugt</t>
    </r>
  </si>
  <si>
    <t>Ergebnis aus EE und vor Ort erzeugt</t>
  </si>
  <si>
    <t>Beleuchtungsenergiebedarf
[kWh/a]</t>
  </si>
  <si>
    <t>Strombedarf [kWh/a]</t>
  </si>
  <si>
    <r>
      <rPr>
        <b/>
        <i/>
        <sz val="10"/>
        <color theme="1"/>
        <rFont val="Calibri"/>
        <family val="2"/>
        <scheme val="minor"/>
      </rPr>
      <t>Anforderungen</t>
    </r>
    <r>
      <rPr>
        <sz val="10"/>
        <color theme="1"/>
        <rFont val="Calibri"/>
        <family val="2"/>
        <scheme val="minor"/>
      </rPr>
      <t xml:space="preserve">
Bei der Planung der Heizungs-, Lüftungs- und Kälte-Anlage (HLK) werden folgende Themen berücksichtigt: 
• Frühzeitige und vollständige Berücksichtigung des Kundenwunschs und der Randbedingungen in der HKL Planung
• Erarbeitung von erweitert- und anpassbaren, wartungsarmen und integrierten Low-Tech Lösungen
• Vermeidung von Warmwasser-Zirkulationsleitungen
• Auslegung der Anlagen mit dynamischen Simulationsprogrammen
• Frühzeitige Einplanung der Technikräume
• Einbau von geprüften Hauptkomponenten von Österreichischen Herstellern
• Einbau von geprüften Nebenkomponenten von Österreichischen Herstellern
• Inbetriebnahme, Abnahme und Einschulung gemäß internationalen Standards
• Gewährleistung einer optimalen Betriebsführung
</t>
    </r>
    <r>
      <rPr>
        <b/>
        <i/>
        <sz val="10"/>
        <color theme="1"/>
        <rFont val="Calibri"/>
        <family val="2"/>
        <scheme val="minor"/>
      </rPr>
      <t xml:space="preserve">
Hintergrundinformationen und Literatur</t>
    </r>
    <r>
      <rPr>
        <sz val="10"/>
        <color theme="1"/>
        <rFont val="Calibri"/>
        <family val="2"/>
        <scheme val="minor"/>
      </rPr>
      <t xml:space="preserve">
• Wegweiser zur guten Heizungs- und Lüftungsinstallation. Qualitätslinie 1: Heizkessel, Wärmeverteilung und –Abgabe. Weitere Infos unter: https://www.klimaaktiv.at/service/publikationen/erneuerbare-energie/heizkessel.html; Zugriff am 30.10.2019
• Wegweiser zur guten Heizungs- und Lüftungsinstallation. Qualitätslinie 2: Wärmepumpe. Weitere Infos unter: https://www.klimaaktiv.at/service/publikationen/erneuerbare-energie/waermepumpe0.html; Zugriff am 30.10.2019
• Wegweiser zur guten Heizungs- und Lüftungsinstallation. Qualitätslinie Komfortlüftung. Weitere Infos unter: https://www.klimaaktiv.at/service/publikationen/bauen-sanieren/komfortlueftung.html; Zugriff am 30.10.2019
• Wegweiser zur guten Heizungs- und Lüftungsinstallation. Qualitätslinie Solarwärme. Weitere Infos unter: https://www.klimaaktiv.at/service/publikationen/erneuerbare-energie/qualitaetslinie-solarwaerme-.html; Zugriff am 30.10.2019
• Planungshilfen klimaaktiv (werden aktuell erstellt)</t>
    </r>
  </si>
  <si>
    <t>Die Warmwasserbereitung erfolgt ausschließlich über eine Zirkulationsleitung.</t>
  </si>
  <si>
    <t>Die Auslegung der Hauptkomponenten erfolgt auf Basis von Energieausweiswerten. Der Heizkessel ist maximal 20% gegenüber der berechneten Heizlast überdimensioniert bzw. sind Speicher vorgehen. Alle anderen Anlagen wurden bedarfsgerecht ausgelegt.</t>
  </si>
  <si>
    <t>Die geplanten Technikräume und Steigschächte für die einzelnen Gewerke sind teilweise nicht ideal platziert und relativ klein.</t>
  </si>
  <si>
    <t>Die erarbeiteten Konzepte weißen für die Erfüllung der Anforderungen einen hohen technischen Aufwand auf (High-Tech), sind nicht leicht erweiterbar und anpassbar, wartungsintensiv und von anderen Gewerken unabhängig.</t>
  </si>
  <si>
    <t>Die erarbeiteten Konzepte weißen eine gute Balance zwischen Anforderungen und technischem Aufwand auf (Low-Tech), sind teilweise erweiterbar und anpassbar, teilweise wartungsarm und von anderen Gewerken unabhängig.</t>
  </si>
  <si>
    <t xml:space="preserve">Die erarbeiteten Konzepte weißen eine gute Balance zwischen Anforderungen und technischem Aufwand auf (Low-Tech), sind erweiterbar und anpassbar, wartungsarm und in das Gesamtkonzept integriert. </t>
  </si>
  <si>
    <t>Für das gesamte Wärmeverteilsystem wurde ein hydraulischer Abgleich durchgeführt. Die Inbetriebnahme und Abnahme ist dokumentiert.</t>
  </si>
  <si>
    <t>Die geplanten Technikräume und Steigschächte für die einzelnen Gewerke sind teilweise nicht ideal platziert aber relativ groß und erweiterbar.</t>
  </si>
  <si>
    <t>Die geplanten Technikräume und Steigschächte für die einzelnen Gewerke sind frühzeitig richtig eingeplant worden und daher ideal platziert und relativ groß und erweiterbar.</t>
  </si>
  <si>
    <t>Die Auslegung der Hauptkomponenten erfolgt auf Basis von PHPP Werten. Der Heizkessel ist maximal 10% gegenüber der berechneten Heizlast überdimensioniert bzw. sind Speicher vorgehen. Alle anderen Anlagen wurden bedarfsgerecht ausgelegt.</t>
  </si>
  <si>
    <t>Die Auslegung der Hauptkomponenten erfolgt auf Basis von Simulationswerten. Der Heizkessel ist maximal 5% gegenüber der berechneten Heizlast überdimensioniert bzw. sind Speicher vorgehen. Alle anderen Anlagen wurden bedarfsgerecht ausgelegt.</t>
  </si>
  <si>
    <t>Für das gesamte Wärmeverteilsystem wurde ein hydraulischer Abgleich durchgeführt. Die Inbetriebnahme und Abnahme erfolgt gemeinsam mit einer vom Auftraggeber nominierten Person. Die Inbetriebnahme und Abnahme ist dokumentiert.</t>
  </si>
  <si>
    <t>Anforderungen
In Abhängigkeit der umgesetzten Stromversorgungslösung sind anlagenspezifische Qualitätskriterien einzuhalten (z.B. gewähltes Stromprodukt; Details siehe Rechenhilfe).
Hintergrundinformationen und Literatur
• Informationen aus Wärmeatlas 
• Ergebnisse aus der durchgeführten Energieraumanalyse
• SUSI – Die Strom-Unabhängigkeits-Simulation. Weitere Infos unter: https://www.energieinstitut.at/tools/susi/; Zugriff am 19.04.2018
• Photovoltaik-Eigenverbrauchsrechner. Weitere Infos unter: https://pvaustria.at/sonnenklar_rechner/; Zugriff am 28.10.2019
• PVopti – tool for calculation the self-consumption of buildings based on hourly values. Weitere Infos unter: http://www.annex67.org/publications/software/pvopti/; Zugriff am 28.10.2019
• Flex-Tarif: Entgelte und Bepreisung zur Steuerung von Lastflüssen im Stromnetz. Wei-tere Infos unter: https://nachhaltigwirtschaften.at/resources/e2050_pdf/reports/endbericht_201501i_flextarif.pdf; Zugriff am 28.10.2019
• Blockchain basierter Abruf von Flexibilitäten in Verteilnetzen. Weitere Infos unter: https://www.greenenergylab.at/projekt/blockchain-grid/; Zugriff am 28.10.2019
• Tarifkalkulator: Überblick über verschiedene Stromprodukte. Weitere Infos unter: https://www.e-control.at/konsumenten/service-und-beratung/toolbox/tarifkalkulator; Zugriff am 28.10.2019
• Variable Stromtarife für flexible Stromverbraucher. Weitere Infos unter: https://www.next-kraftwerke.at/produkte/stromverbraucher/variabler-stromtarif; Zugriff am 28.10.2019
• Stromtarife mit stündlicher Preisanpassung. Weitere Infos unter: https://www.awattar.com/tariffs/hourly; Zugriff am 28.10.2019</t>
  </si>
  <si>
    <r>
      <rPr>
        <b/>
        <i/>
        <sz val="10"/>
        <color theme="1"/>
        <rFont val="Calibri"/>
        <family val="2"/>
        <scheme val="minor"/>
      </rPr>
      <t>Anforderungen</t>
    </r>
    <r>
      <rPr>
        <sz val="10"/>
        <color theme="1"/>
        <rFont val="Calibri"/>
        <family val="2"/>
        <scheme val="minor"/>
      </rPr>
      <t xml:space="preserve">
Bei der Planung der Elektroanlage werden folgende Themen berücksichtigt: 
• Frühzeitige und vollständige Berücksichtigung des Kundenwunschs und der Randbedingungen in der Elektroplanung
• Auslegung der Anlagen mit dynamischen Simulationsprogrammen
• Einbau von geprüften Hauptkomponenten von Österreichischen Herstellern
• Inbetriebnahme, Abnahme und Einschulung gemäß internationalen Standards
• Gewährleistung einer optimalen Betriebsführung
Grundlagen für Betriebsführung
• Produktgarantie PV-Module:  mind. 10 Jahre
• Leistungsgarantie: mind. 90% nach 10 Jahren und mind. 80% nach 20 Jahren
• Sachgemäße Rücknahme und Recycling der PV-Module ist garantiert
• Produktgarantie Wechselrichter: mind. 5 Jahre
• Europäischer Wirkungsgrad Wechselrichter: Mind. 95,5%
</t>
    </r>
    <r>
      <rPr>
        <b/>
        <i/>
        <sz val="10"/>
        <color theme="1"/>
        <rFont val="Calibri"/>
        <family val="2"/>
        <scheme val="minor"/>
      </rPr>
      <t xml:space="preserve">
Hintergrundinformationen und Literatur</t>
    </r>
    <r>
      <rPr>
        <sz val="10"/>
        <color theme="1"/>
        <rFont val="Calibri"/>
        <family val="2"/>
        <scheme val="minor"/>
      </rPr>
      <t xml:space="preserve">
• Photovoltaik – Wegweiser zur guten Installation. Weitere Infos unter: https://www.klimaaktiv.at/erneuerbare/erneuerbarewaerme/PV-Wegweiser.html; Zugriff am 30.10.2019
• Planungshilfen klimaaktiv (werden aktuell erstellt). 
</t>
    </r>
  </si>
  <si>
    <t>Die Inbetriebnahme und Abnahme ist dokumentiert.</t>
  </si>
  <si>
    <t>Die Inbetriebnahme und Abnahme erfolgt gemeinsam mit einer vom Auftraggeber nominierten Person. Die Inbetriebnahme und Abnahme ist dokumentiert.</t>
  </si>
  <si>
    <t>Die Inbetriebnahme und Abnahme erfolgt gemäß der AMEV Empfehlung Nr. 135 (Technisches Monitoring). Zudem wurden die Nutzer:innen in die Benutzung der Anlage eingeschult. Die Inbetriebnahme und Abnahme ist dokumentiert.</t>
  </si>
  <si>
    <t>Fuß- und Radverkehr</t>
  </si>
  <si>
    <t>F.2 Fuß- und Radverkehr</t>
  </si>
  <si>
    <t>Wesentliche Expert:innen (Gebäude, Versorgung, Mobilität) werden phasengerecht hinzugezogen</t>
  </si>
  <si>
    <t>Externe Interessensvertreter:innen wurden bei Konzepterstellung eingebunden</t>
  </si>
  <si>
    <t>Das Auswahl- bzw. Planungsverfahren (städtebaulicher Wettbewerb, kooperatives Planungsverfahren, …) ist geeignet. „Geeignet“ bedeutet in diesem Zusammenhang, dass das Verfahren die Integration verschiedener Themen ermöglicht und dass die Expert:innengruppe/Entscheidungsträger aufgrund ihrer Zusammensetzung und ihres Know-hows die Energie und Klimaschutz relevanten Kriterien bewerten können</t>
  </si>
  <si>
    <t>Die Qualitätsziele und Nachweisverfahren sind bekannt und dokumentiert (z.B. Qualität der Bürgerbeteiligung, Qualität der Gebäude (z.B. Blower Door Test), Qualität der Anschlusspunkte bei Fuß- und Radwegenetzen)</t>
  </si>
  <si>
    <r>
      <t xml:space="preserve">Anforderungen
</t>
    </r>
    <r>
      <rPr>
        <sz val="10"/>
        <color theme="1"/>
        <rFont val="Calibri"/>
        <family val="2"/>
        <scheme val="minor"/>
      </rPr>
      <t>Mit der Festlegung des Auswahl- bzw. Planungsverfahrens wird der Weg festgelegt, wie und mit wem das Bauvorhaben entwickelt wird. Dabei sollten neben städtebaulich relevanten Themen auch Energie und Klimaschutz relevante Kriterien berücksichtigt werden. Beispiele für zu berücksichtigende Themen: 
• Gebäudestandard
• Erneuerbare Energieversorgung
• Mobilitätskonzepte</t>
    </r>
    <r>
      <rPr>
        <b/>
        <i/>
        <sz val="10"/>
        <color theme="1"/>
        <rFont val="Calibri"/>
        <family val="2"/>
        <scheme val="minor"/>
      </rPr>
      <t xml:space="preserve">
Hintergrundinformationen und Literatur
</t>
    </r>
    <r>
      <rPr>
        <sz val="10"/>
        <color theme="1"/>
        <rFont val="Calibri"/>
        <family val="2"/>
        <scheme val="minor"/>
      </rPr>
      <t>• Pendl G.: Wettbewerbsstandard Architektur – WSA 2010. Bundeskammer der Architekten und Ingenieurkonsulenten, Wien 2010.
• Kellenberger D. et al.: Implementation of Energy Strategies in Communities (Annex 63): Development of strategic measures (Design of Urban Competition Processes). SIR, Salzburg 2017. Download: https://www.annex63.org/results/volume-2/; Zugriff am 10.09.2018
• Länderspezifische Fachliteratur wie z.B.: 
o Geier St. et al.: Energieraumplanung in Wien. MA 20, Wien 2016.
o Itzlinger Chr.: Leitfaden Energie im REK. Land Salzburg, Salzburg 2016.</t>
    </r>
    <r>
      <rPr>
        <b/>
        <i/>
        <sz val="10"/>
        <color theme="1"/>
        <rFont val="Calibri"/>
        <family val="2"/>
        <scheme val="minor"/>
      </rPr>
      <t xml:space="preserve">
</t>
    </r>
  </si>
  <si>
    <t>Für Arealbewohner halböffentlich zugängliche Dachflächen [m²]</t>
  </si>
  <si>
    <r>
      <rPr>
        <b/>
        <i/>
        <sz val="9"/>
        <color theme="1"/>
        <rFont val="Calibri"/>
        <family val="2"/>
        <scheme val="minor"/>
      </rPr>
      <t>Rechenhilfe: Qualität a</t>
    </r>
    <r>
      <rPr>
        <sz val="9"/>
        <color theme="1"/>
        <rFont val="Calibri"/>
        <family val="2"/>
        <scheme val="minor"/>
      </rPr>
      <t>bhängig von umgesetzter Stromversorgungslösung</t>
    </r>
  </si>
  <si>
    <r>
      <rPr>
        <b/>
        <i/>
        <sz val="10"/>
        <color theme="1"/>
        <rFont val="Calibri"/>
        <family val="2"/>
        <scheme val="minor"/>
      </rPr>
      <t>Anforderungen</t>
    </r>
    <r>
      <rPr>
        <sz val="10"/>
        <color theme="1"/>
        <rFont val="Calibri"/>
        <family val="2"/>
        <scheme val="minor"/>
      </rPr>
      <t xml:space="preserve">
Beim Verkauf (oder langfristigen Vermietungen z.B. in Form eines Baurechts) von Flächen sind Energie und Klimaschutz relevante Gesichtspunkte wichtige Kriterien (vgl. auch Ziele setzen). Beispiele:
• Städtebauliche Submissionen
• Berücksichtigung der biologischen Vielfalt
• Niedrigenergie- oder Passivhausstandard
• Erneuerbare Energieversorgung
• Fern- und Nahwärmeanschluss
• Beschränkung der Parkplatzanzahl
</t>
    </r>
    <r>
      <rPr>
        <b/>
        <i/>
        <sz val="10"/>
        <color theme="1"/>
        <rFont val="Calibri"/>
        <family val="2"/>
        <scheme val="minor"/>
      </rPr>
      <t xml:space="preserve">
Punktereduktion</t>
    </r>
    <r>
      <rPr>
        <sz val="10"/>
        <color theme="1"/>
        <rFont val="Calibri"/>
        <family val="2"/>
        <scheme val="minor"/>
      </rPr>
      <t xml:space="preserve">
Eine Reduktion auf 1 Punkt ist möglich, wenn Verkaufsverhandlungen schon abgeschlossen sind bzw. wenn es sich bei dem Verkäufer nicht um eine Gebietskörperschaft handelt, welche im Öffentlichen Interesse agiert.
</t>
    </r>
    <r>
      <rPr>
        <b/>
        <i/>
        <sz val="10"/>
        <color theme="1"/>
        <rFont val="Calibri"/>
        <family val="2"/>
        <scheme val="minor"/>
      </rPr>
      <t>Hintergrundinformationen und Literatur</t>
    </r>
    <r>
      <rPr>
        <sz val="10"/>
        <color theme="1"/>
        <rFont val="Calibri"/>
        <family val="2"/>
        <scheme val="minor"/>
      </rPr>
      <t xml:space="preserve">
• Stöglehner G. et al.: Impulse für eine kommunale Energieplanung. BMLFUW, Wien 2017.
• Länderspezifische Fachliteratur wie z.B.: 
o Geier St. et al.: Energieraumplanung in Wien. MA 20, Wien 2016.
o Itzlinger Chr.: Leitfaden Energie im REK. Land Salzburg, Salzburg 2016.
</t>
    </r>
  </si>
  <si>
    <r>
      <rPr>
        <b/>
        <i/>
        <sz val="10"/>
        <color theme="1"/>
        <rFont val="Calibri"/>
        <family val="2"/>
        <scheme val="minor"/>
      </rPr>
      <t>Anforderungen</t>
    </r>
    <r>
      <rPr>
        <sz val="10"/>
        <color theme="1"/>
        <rFont val="Calibri"/>
        <family val="2"/>
        <scheme val="minor"/>
      </rPr>
      <t xml:space="preserve">
Vorhandene Dachflächen von Flachdächern können halböffentlich genutzt werden.
</t>
    </r>
    <r>
      <rPr>
        <b/>
        <i/>
        <sz val="10"/>
        <color theme="1"/>
        <rFont val="Calibri"/>
        <family val="2"/>
        <scheme val="minor"/>
      </rPr>
      <t>Punktereduktion</t>
    </r>
    <r>
      <rPr>
        <sz val="10"/>
        <color theme="1"/>
        <rFont val="Calibri"/>
        <family val="2"/>
        <scheme val="minor"/>
      </rPr>
      <t xml:space="preserve">
Eine Reduktion auf 0 bzw. 6,5 Punkte ist in Ausnahmefällen möglich, wenn keine begehbaren Dachflächen vorhanden sind bzw. eine Nutzung aus rechtlichen Gründen nicht möglich ist.
</t>
    </r>
    <r>
      <rPr>
        <b/>
        <i/>
        <sz val="10"/>
        <color theme="1"/>
        <rFont val="Calibri"/>
        <family val="2"/>
        <scheme val="minor"/>
      </rPr>
      <t>Hintergrundinformationen und Literatur</t>
    </r>
    <r>
      <rPr>
        <sz val="10"/>
        <color theme="1"/>
        <rFont val="Calibri"/>
        <family val="2"/>
        <scheme val="minor"/>
      </rPr>
      <t xml:space="preserve">
Keine spezielle Empfehlung
</t>
    </r>
  </si>
  <si>
    <r>
      <rPr>
        <b/>
        <i/>
        <sz val="10"/>
        <color theme="1"/>
        <rFont val="Calibri"/>
        <family val="2"/>
        <scheme val="minor"/>
      </rPr>
      <t>Anforderungen</t>
    </r>
    <r>
      <rPr>
        <sz val="10"/>
        <color theme="1"/>
        <rFont val="Calibri"/>
        <family val="2"/>
        <scheme val="minor"/>
      </rPr>
      <t xml:space="preserve">
Die Möglichkeiten zur Übertragung von Zielen in (lokale) Planungs- und Bauvorschriften sind bekannt und werden – in Abstimmung mit der Gemeinde – optimal genutzt. Beispiele:
• Hohe Bebauungsdichte
• Reduktion der Bodenversiegelung und Maßnahmen zur Versickerung am Grundstück
• Begrünung
• Kompakte Bauformen
• Wärmeversorgung
• Beschränkung der Parkplatzanzahl
</t>
    </r>
    <r>
      <rPr>
        <b/>
        <i/>
        <sz val="10"/>
        <color theme="1"/>
        <rFont val="Calibri"/>
        <family val="2"/>
        <scheme val="minor"/>
      </rPr>
      <t>Punktereduktion</t>
    </r>
    <r>
      <rPr>
        <sz val="10"/>
        <color theme="1"/>
        <rFont val="Calibri"/>
        <family val="2"/>
        <scheme val="minor"/>
      </rPr>
      <t xml:space="preserve">
Eine Reduktion auf 1 Punkt ist möglich, wenn die Flächenwidmung und Bebauungsplanung schon abgeschlossen sind.
</t>
    </r>
    <r>
      <rPr>
        <b/>
        <i/>
        <sz val="10"/>
        <color theme="1"/>
        <rFont val="Calibri"/>
        <family val="2"/>
        <scheme val="minor"/>
      </rPr>
      <t>Hintergrundinformationen und Literatur</t>
    </r>
    <r>
      <rPr>
        <sz val="10"/>
        <color theme="1"/>
        <rFont val="Calibri"/>
        <family val="2"/>
        <scheme val="minor"/>
      </rPr>
      <t xml:space="preserve">
• Stöglehner G. et al.: Impulse für eine kommunale Energieplanung. BMLFUW, Wien 2017.
• Länderspezifische Fachliteratur wie z.B.: 
o Geier St. et al.: Energieraumplanung in Wien. MA 20, Wien 2016.
o Itzlinger Chr.: Leitfaden Energie im REK. Land Salzburg, Salzburg 2016.
</t>
    </r>
  </si>
  <si>
    <t>Von bzw. nach</t>
  </si>
  <si>
    <t>Erste Fahrt [h:m]</t>
  </si>
  <si>
    <t>Letzte Fahrt [h:m]</t>
  </si>
  <si>
    <t>Distanz zur Haltestelle [m]</t>
  </si>
  <si>
    <t>Haltestellenkategorie (I bis VIII; siehe unten)</t>
  </si>
  <si>
    <t>ÖV-Güteklasse (A bis G; siehe unten)</t>
  </si>
  <si>
    <r>
      <t>Zur Verfügung gestellt von klima</t>
    </r>
    <r>
      <rPr>
        <b/>
        <sz val="11"/>
        <color theme="1"/>
        <rFont val="Calibri"/>
        <family val="2"/>
        <scheme val="minor"/>
      </rPr>
      <t>aktiv</t>
    </r>
    <r>
      <rPr>
        <sz val="11"/>
        <color theme="1"/>
        <rFont val="Calibri"/>
        <family val="2"/>
        <scheme val="minor"/>
      </rPr>
      <t>, der Klimaschutzinitiative des Bundesministeriums für Klimaschutz, Umwelt, Energie, Mobilität, Innovation und Technologie.</t>
    </r>
  </si>
  <si>
    <t>Deckung Strombedarf
[kWh/a]</t>
  </si>
  <si>
    <t>Deckung Wärmebedarf 
[kWh/a]</t>
  </si>
  <si>
    <t>Prüfsumme</t>
  </si>
  <si>
    <t>Deckung Wärmebedarf
[%]</t>
  </si>
  <si>
    <t>Anteil 
Energieträger [%]</t>
  </si>
  <si>
    <t>Wärmebedarf
[kWh/a]</t>
  </si>
  <si>
    <t>Angaben Wärmepumpensysteme</t>
  </si>
  <si>
    <t>Angaben Kältebereitstellungssystem</t>
  </si>
  <si>
    <t>Indikator</t>
  </si>
  <si>
    <t>Wärme</t>
  </si>
  <si>
    <t>Kälte</t>
  </si>
  <si>
    <t>Strombedarf
[kWh/a]</t>
  </si>
  <si>
    <t>Anteil Strombedarf</t>
  </si>
  <si>
    <t>Heizung</t>
  </si>
  <si>
    <t>Warmwassererwärmung</t>
  </si>
  <si>
    <t>Wasser</t>
  </si>
  <si>
    <t>Luft</t>
  </si>
  <si>
    <t>JAZ</t>
  </si>
  <si>
    <t>Aufteilung Wärmebedarf</t>
  </si>
  <si>
    <t>Aufteilung Strombedarf</t>
  </si>
  <si>
    <t>D.2.1 Gebäudestandards (Werte im doppelten Rahmen übertragen in das Tool "Nachweis Klimaneutralität")</t>
  </si>
  <si>
    <t>Wärmebereitstellung (Werte aus Energieausweis; Werte im doppelten Rahmen übertragen in das Tool "Nachweis Klimaneutralität")</t>
  </si>
  <si>
    <t>Kältebereitstellung (Werte aus Energieausweis; Werte im doppelten Rahmen übertragen in das Tool "Nachweis Klimaneutralität")</t>
  </si>
  <si>
    <t>Zusammenfassung Wärme / Kälte</t>
  </si>
  <si>
    <t>JAZ [ ] | siehe rechts bzw. https://www.energieinstitut.at/tools/machvier/</t>
  </si>
  <si>
    <t>PV-Export
[kWh/a]</t>
  </si>
  <si>
    <t>PV-Ertrag
[kWh/a]</t>
  </si>
  <si>
    <t>Installierte PV-Leistung 
(oder andere EE) [kWp]</t>
  </si>
  <si>
    <t>Nicht-Wohngebäude</t>
  </si>
  <si>
    <t>Für das gesamte Wärmeverteilsystem wurde ein hydraulischer Abgleich durchgeführt. Die Inbetriebnahme und Abnahme erfolgt gemäß AMEV Empfehlung Nr.135 (Technisches Monitoring). Nutzer:innen wurden eingeschult. Die Inbetrieb- und Abnahme ist dokumentiert.</t>
  </si>
  <si>
    <t>Kühlbedarf
[kWh/a]</t>
  </si>
  <si>
    <t>Deckung Kühlbedarf
[%]</t>
  </si>
  <si>
    <t>Deckung Kühlbedarf 
[kWh/a]</t>
  </si>
  <si>
    <t>Wärme-, Kühlbedarf [kWh/a]</t>
  </si>
  <si>
    <r>
      <rPr>
        <b/>
        <i/>
        <sz val="9"/>
        <color theme="1"/>
        <rFont val="Calibri"/>
        <family val="2"/>
        <scheme val="minor"/>
      </rPr>
      <t xml:space="preserve">Rechenhilfe: Qualität </t>
    </r>
    <r>
      <rPr>
        <i/>
        <sz val="9"/>
        <color theme="1"/>
        <rFont val="Calibri"/>
        <family val="2"/>
        <scheme val="minor"/>
      </rPr>
      <t>abhä</t>
    </r>
    <r>
      <rPr>
        <sz val="9"/>
        <color theme="1"/>
        <rFont val="Calibri"/>
        <family val="2"/>
        <scheme val="minor"/>
      </rPr>
      <t>ngig von umgesetzter Wärmeversorgungslösung</t>
    </r>
  </si>
  <si>
    <r>
      <rPr>
        <b/>
        <i/>
        <sz val="10"/>
        <color theme="1"/>
        <rFont val="Calibri"/>
        <family val="2"/>
        <scheme val="minor"/>
      </rPr>
      <t>Anforderungen</t>
    </r>
    <r>
      <rPr>
        <sz val="10"/>
        <color theme="1"/>
        <rFont val="Calibri"/>
        <family val="2"/>
        <scheme val="minor"/>
      </rPr>
      <t xml:space="preserve">
Es liegt ein Konzept zur zukünftigen Erfassung und Auswertung der Zufriedenheit der Mieter:innen, Nutzer:innen und Eigentümer vor. Mindestinhalt: Intervalle, Inhalt der Befragung, Anzahl der Befragungen, Verantwortlichkeiten, Budget.
</t>
    </r>
    <r>
      <rPr>
        <b/>
        <i/>
        <sz val="10"/>
        <color theme="1"/>
        <rFont val="Calibri"/>
        <family val="2"/>
        <scheme val="minor"/>
      </rPr>
      <t xml:space="preserve">
Hintergrundinformationen und Literatur</t>
    </r>
    <r>
      <rPr>
        <sz val="10"/>
        <color theme="1"/>
        <rFont val="Calibri"/>
        <family val="2"/>
        <scheme val="minor"/>
      </rPr>
      <t xml:space="preserve">
• Handlungsfeld Städtebau
• Ergebnisse aus der Sozialraumanalyse
• Leitlinien für den Gebäudebetrieb – Checkliste 4: Festlegung und Sicherung der Nutzer:innenzufriedenheit. Download: https://www.klimaaktiv.at/service/tools/bauen_sanieren/leitlinien.html; Zugriff am 19.04.2018
• klimaaktiv bauen &amp; sanieren (klimaaktiv Gebäudestandard in der Nutzung). Weitere Infos unter: https://www.klimaaktiv.at/bauen-sanieren/gebaeudedeklaration.html; Zugriff am 13.11.2017.
</t>
    </r>
  </si>
  <si>
    <t>Zufriedenheit wurde gemäß dem vereinbarten Konzept erfasst, analysiert und die Ergebnisse kommuniziert</t>
  </si>
  <si>
    <t>Die Anzahl der Beschwerden sind rückläufig</t>
  </si>
  <si>
    <t>Arbeitsgruppen, runde Tische im Areal vorhanden</t>
  </si>
  <si>
    <t>Institutionalisierte Anlaufstelle für aktive Personen besteht und wird genutzt</t>
  </si>
  <si>
    <t>Mehrere Arbeitsgruppen bestehen und Einzelaktivitäten mit hoher Beteiligung in den letzten 12 Monaten durchgeführt</t>
  </si>
  <si>
    <t>Inhalte zu den drei genannten Themen sind vollständig und aktuell</t>
  </si>
  <si>
    <t>Häufigkeit der Aktionen ist angemessen (mind. 1x jährlich)</t>
  </si>
  <si>
    <t>Zielgruppen werden spezifisch angeschrieben (Rundschreiben, Newsletter, mehrmals im Jahr, je nach Anlass)</t>
  </si>
  <si>
    <t>Inhalte sind vollständig und aktuell</t>
  </si>
  <si>
    <t>Eine Analyse inkl. Schlussfolgerungen liegt vor</t>
  </si>
  <si>
    <t>Maßnahmen zur Optimierung sind identifiziert und geplant</t>
  </si>
  <si>
    <t>Die aktuellen Angebote für den täglichen Bedarf sind mit gut gestützten Aussagen erfasst (effektive Angebote)</t>
  </si>
  <si>
    <t>Maßnahmen zur Optimierung sind identifiziert und geplant (z.B. Nutzungsverträge)</t>
  </si>
  <si>
    <t>Die aktuelle Personenfläche ist mit gut gestützten Aussagen erfasst (effektive Auslastung flexibler Raumangebote, Umsetzung Wohnungsvergabe, Schwachstellen usw.)</t>
  </si>
  <si>
    <t>Maßnahmen zur Optimierung sind identifiziert und geplant (z.B. Vermietung oder kommunikativ)</t>
  </si>
  <si>
    <t>Maßnahmen zur Optimierung sind identifiziert und geplant (z.B. Umnutzung von Parkplätzen)</t>
  </si>
  <si>
    <t>Maßnahmen zur Optimierung sind identifiziert und geplant (z.B. baulich, kommunikativ)</t>
  </si>
  <si>
    <t>Die aktuelle Situation der Abstellanlagen für Fahrräder ist mit gut gestützten Aussagen erfasst (bestehende Nachfrage von Fahrrad-Stellplätzen bzw. deren Qualität)</t>
  </si>
  <si>
    <t>Die aktuelle Situation der Abstellanlagen für Pkw ist mit gut gestützten Aussagen erfasst (bestehende Nachfrage von Pkw-Stellplätzen bzw. deren Qualität innerhalb bzw. außerhalb des Areals)</t>
  </si>
  <si>
    <t>Die aktuelle Situation im Bereich Gestaltung und Barrierefreiheit ist mit gut gestützten Aussagen erfasst (Schwachstellen und ggf. Unfälle/Ereignisse im Areal, erfasste Beschwerden)</t>
  </si>
  <si>
    <t>Die aktuellen alternativen Mobilitätsangebote sind mit gut gestützten Aussagen erfasst (Schwachstellen, Angebotslücken, Lage Standplätze)</t>
  </si>
  <si>
    <t>Eine Analyse inkl. Schlussfolgerungen liegt vor (Benchmarkvergleich)</t>
  </si>
  <si>
    <t>Maßnahmen zur Optimierung sind identifiziert und geplant (z.B. Verbrauchsreduktion, Effizienzsteigerung, Speicher- und Lastmanagement)</t>
  </si>
  <si>
    <t>Die aktuelle Situation der Wärmeversorgung ist mit gut gestützten Aussagen erfasst (tatsächliche Nutzung und Produktion, Monitoring usw.)</t>
  </si>
  <si>
    <t>Die aktuelle Situation der Qualität der Wärmeversorgung ist mit gut gestützten Aussagen erfasst (vorhandene Zertifikate)</t>
  </si>
  <si>
    <t>Maßnahmen zur Optimierung sind identifiziert und geplant (z.B. Energiebeschaffung)</t>
  </si>
  <si>
    <t>Die aktuelle Situation der Stromversorgung ist mit gut gestützten Aussagen erfasst (tatsächliche Nutzung und Produktion, Monitoring usw.)</t>
  </si>
  <si>
    <t>Die aktuelle Situation der Qualität der Stromversorgung ist mit gut gestützten Aussagen erfasst (vorhandene Zertifikate)</t>
  </si>
  <si>
    <t>Der aktuelle Wasserverbrauch der Dienstleistungsgebäude ist mit gut gestützten Aussagen erfasst</t>
  </si>
  <si>
    <t>Der aktuelle Wasserverbrauch der Haushalte ist mit gut gestützten Aussagen erfasst</t>
  </si>
  <si>
    <t>Der aktuelle Wasserverbrauch des Außenraum ist mit gut gestützten Aussagen erfasst</t>
  </si>
  <si>
    <t>Das aktuelle Abfallaufkommen (gemischte Siedlungsabfälle) ist mit gut gestützten Aussagen erfasst</t>
  </si>
  <si>
    <t>Das aktuelle Abfallaufkommen (nicht gemischte Siedlungsabfälle) ist mit gut gestützten Aussagen erfasst</t>
  </si>
  <si>
    <t>Ein Wartungsplan für die elektrischen Anlagen liegt vor</t>
  </si>
  <si>
    <t>Inspektionen werden regelmäßig durchgeführt und Instandhaltungsmaßnahmen umgehend umgesetzt und dokumentiert</t>
  </si>
  <si>
    <t>Planung/Umsetzung: Kein Austausch vorgesehen</t>
  </si>
  <si>
    <t>Nutzung: Kein Austausch vorgesehen</t>
  </si>
  <si>
    <t>Die Beschwerdestelle ist leicht zugänglich (Ansprechpartner vorhanden, Öffnungszeiten nutzerfreundlich)</t>
  </si>
  <si>
    <t>x</t>
  </si>
  <si>
    <r>
      <rPr>
        <b/>
        <i/>
        <sz val="10"/>
        <rFont val="Calibri"/>
        <family val="2"/>
        <scheme val="minor"/>
      </rPr>
      <t>Anforderungen</t>
    </r>
    <r>
      <rPr>
        <sz val="10"/>
        <rFont val="Calibri"/>
        <family val="2"/>
        <scheme val="minor"/>
      </rPr>
      <t xml:space="preserve">
Die Steuerungsgruppe stellt die notwendigen Ressourcen (Personal- und Sachkosten, z.B. Budget für externe Studie) für die interne und externe Begleitung des Projektvorhabens nach dem hier vorliegenden Maßnahmenkatalog zur Verfügung und legt die Zuständigkeiten, Funktionen und Ressourcen der für das Thema Nachhaltigkeit relevanten Personen innerhalb der Gruppe fest.
</t>
    </r>
    <r>
      <rPr>
        <b/>
        <i/>
        <sz val="10"/>
        <rFont val="Calibri"/>
        <family val="2"/>
        <scheme val="minor"/>
      </rPr>
      <t>Hintergrundinformationen und Literatur</t>
    </r>
    <r>
      <rPr>
        <sz val="10"/>
        <rFont val="Calibri"/>
        <family val="2"/>
        <scheme val="minor"/>
      </rPr>
      <t xml:space="preserve">
• Quitzau M.B. et al.: Implementation of Energy Strategies in Communities (Annex 63): Application of strategic measures. SIR, Salzburg 2018. Download: https://www.annex63.org/results/volume-3/; Zugriff am 10.09.2018
</t>
    </r>
  </si>
  <si>
    <t>Die Zuständigkeiten, Funktionen und Ressourcen der für das Thema Nachhaltigkeit relevanten Personen innerhalb der Gruppe sind geklärt (= Ansprechperson für Kompetenzpartner:in und Programmmanagement)</t>
  </si>
  <si>
    <t>Die Steuerungsgruppe stellt sicher, dass die internen Ressourcen für die unabhängige Begleitung des Projektvorhabens nach dem hier vorliegenden Maßnahmenkatalog vorhanden sind bzw. hat einen Beratungsauftrag an externe Berater:innen erteilt</t>
  </si>
  <si>
    <t>Qualitätskriterien, welche über Kauf- bzw. Mietverträge von Wohneinheiten überbunden werden können, sind bekannt (z.B. Teilnahme an gemeinschaftlicher PV-Anlage)</t>
  </si>
  <si>
    <t>Konzept für die Erfassung und Auswertung der Zufriedenheit der Mieter:innen, Nutzer:innen und Eigentümer liegt vor bzw. wurde dieses in Auftrag gegeben</t>
  </si>
  <si>
    <r>
      <rPr>
        <b/>
        <i/>
        <sz val="10"/>
        <rFont val="Calibri"/>
        <family val="2"/>
        <scheme val="minor"/>
      </rPr>
      <t>Anforderungen</t>
    </r>
    <r>
      <rPr>
        <sz val="10"/>
        <rFont val="Calibri"/>
        <family val="2"/>
        <scheme val="minor"/>
      </rPr>
      <t xml:space="preserve">
Die Steuerungsgruppe führt auf Basis des aktualisierten Kriterienkatalogs regelmäßig ein Monitoring des Begleitprozesses und eine Aktualisierung des Aktionsplans durch. Methodische Anforderungen: 
• Passender Zeitpunkt (nicht zu früh und nicht zu spät)
• Auf Basis des vorliegenden (aktualisierten) Kriterienkatalogs
• Analyse geplante vs. umgesetzte Maßnahmen
• Dokumentation der Ergebnisse
• Kommunikation der Ergebnisse
</t>
    </r>
    <r>
      <rPr>
        <b/>
        <i/>
        <sz val="10"/>
        <rFont val="Calibri"/>
        <family val="2"/>
        <scheme val="minor"/>
      </rPr>
      <t>Hintergrundinformationen und Literatur</t>
    </r>
    <r>
      <rPr>
        <sz val="10"/>
        <rFont val="Calibri"/>
        <family val="2"/>
        <scheme val="minor"/>
      </rPr>
      <t xml:space="preserve">
Keine spezielle Empfehlung
</t>
    </r>
  </si>
  <si>
    <t>Stichprobenartige interne bzw. externe Kontrolle werden auf Basis der Qualitätsvereinbarung durchgeführt (Planung – Ausführung - Nutzung)</t>
  </si>
  <si>
    <t>Ein Anlagen- und Betriebsbuch für die Erzeugungsanlagen liegt vor; Änderungen werden in ausreichendem Maß dokumentiert</t>
  </si>
  <si>
    <r>
      <t xml:space="preserve">Baum groß (~ 15 m Kronendurchmesser), </t>
    </r>
    <r>
      <rPr>
        <b/>
        <sz val="11"/>
        <color theme="1"/>
        <rFont val="Calibri"/>
        <family val="2"/>
        <scheme val="minor"/>
      </rPr>
      <t>je Baum: 75 m²</t>
    </r>
  </si>
  <si>
    <r>
      <t xml:space="preserve">Baum mittel (~ 10 m Kronendurchmesser), </t>
    </r>
    <r>
      <rPr>
        <b/>
        <sz val="11"/>
        <color theme="1"/>
        <rFont val="Calibri"/>
        <family val="2"/>
        <scheme val="minor"/>
      </rPr>
      <t>je Baum: 20 m²</t>
    </r>
  </si>
  <si>
    <r>
      <t xml:space="preserve">Baum klein (~ 5 m Kronendurchmesser), </t>
    </r>
    <r>
      <rPr>
        <b/>
        <sz val="11"/>
        <color theme="1"/>
        <rFont val="Calibri"/>
        <family val="2"/>
        <scheme val="minor"/>
      </rPr>
      <t>je Baum: 5 m²</t>
    </r>
  </si>
  <si>
    <r>
      <rPr>
        <b/>
        <i/>
        <sz val="10"/>
        <rFont val="Calibri"/>
        <family val="2"/>
        <scheme val="minor"/>
      </rPr>
      <t>Anforderungen</t>
    </r>
    <r>
      <rPr>
        <sz val="10"/>
        <rFont val="Calibri"/>
        <family val="2"/>
        <scheme val="minor"/>
      </rPr>
      <t xml:space="preserve">
Das "Energie-, Wasser- und Abfallmarketing" ist konzeptionell im Konzept verankert (Projektphase Planung, Umsetzung, Betrieb). Nutzer:innen, Betreiber:innen und Dienstleister:innen werden regelmäßig über interne Angebote angemessen, zielgruppenorientiert und zeitnah informiert. Für das externe "Energie-, Wasser- und Abfallmarketing" wird mit verschiedenen Partnern zusammengearbeitet (EVU, Gemeinde, Regionen, Organisationen). Die Finanzierung der Öffentlichkeitsarbeit ist gesichert.
</t>
    </r>
    <r>
      <rPr>
        <b/>
        <i/>
        <sz val="10"/>
        <rFont val="Calibri"/>
        <family val="2"/>
        <scheme val="minor"/>
      </rPr>
      <t>Hintergrundinformationen und Literatur</t>
    </r>
    <r>
      <rPr>
        <sz val="10"/>
        <rFont val="Calibri"/>
        <family val="2"/>
        <scheme val="minor"/>
      </rPr>
      <t xml:space="preserve">
• klimaaktiv topprodukte.at (Kostenrechner). Weitere Infos unter: http://kostenrechner.topprodukte.at/; Zugriff am 03.07.2018
</t>
    </r>
  </si>
  <si>
    <r>
      <rPr>
        <b/>
        <i/>
        <sz val="10"/>
        <rFont val="Calibri"/>
        <family val="2"/>
        <scheme val="minor"/>
      </rPr>
      <t>Anforderungen</t>
    </r>
    <r>
      <rPr>
        <sz val="10"/>
        <rFont val="Calibri"/>
        <family val="2"/>
        <scheme val="minor"/>
      </rPr>
      <t xml:space="preserve">
Das "Mobilitätsmarketing " ist konzeptionell im Konzept verankert (Projektphase Planung, Umsetzung, Betrieb). Nutzer:innen, Betreiber:innen und Dienstleister:innen werden regelmäßig über interne Angebote angemessen, zielgruppenorientiert und zeitnah informiert. Für das "Mobilitätsmarketing" wird mit verschiedenen Partnern zusammengearbeitet (Öffentliche Verkehrsbetriebe, Gemeinde, Regionen, Organisationen). Die Finanzierung der Öffentlichkeitsarbeit ist gesichert.
</t>
    </r>
    <r>
      <rPr>
        <b/>
        <i/>
        <sz val="10"/>
        <rFont val="Calibri"/>
        <family val="2"/>
        <scheme val="minor"/>
      </rPr>
      <t>Hintergrundinformationen und Literatur</t>
    </r>
    <r>
      <rPr>
        <sz val="10"/>
        <rFont val="Calibri"/>
        <family val="2"/>
        <scheme val="minor"/>
      </rPr>
      <t xml:space="preserve">
• klimaaktiv mobil (Mobilitätsmanagement). Weitere Infos unter: https://www.klimaaktiv.at/mobilitaet/mobilitaetsmanagem.html; Zugriff am 13.11.2017.
</t>
    </r>
  </si>
  <si>
    <t>* Punktereduktion möglich</t>
  </si>
  <si>
    <r>
      <rPr>
        <b/>
        <i/>
        <sz val="10"/>
        <color theme="1"/>
        <rFont val="Calibri"/>
        <family val="2"/>
        <scheme val="minor"/>
      </rPr>
      <t>Anforderungen</t>
    </r>
    <r>
      <rPr>
        <sz val="10"/>
        <color theme="1"/>
        <rFont val="Calibri"/>
        <family val="2"/>
        <scheme val="minor"/>
      </rPr>
      <t xml:space="preserve">
</t>
    </r>
    <r>
      <rPr>
        <u/>
        <sz val="10"/>
        <color theme="1"/>
        <rFont val="Calibri"/>
        <family val="2"/>
        <scheme val="minor"/>
      </rPr>
      <t>Angebote Fußwegnetz</t>
    </r>
    <r>
      <rPr>
        <sz val="10"/>
        <color theme="1"/>
        <rFont val="Calibri"/>
        <family val="2"/>
        <scheme val="minor"/>
      </rPr>
      <t xml:space="preserve">: Qualitative Bewertung der Wegverbindungen des Fußwegnetzes auf dem Areal und in einem Umkreis von 300 Meter bezüglich direkter Wegführung und Feinmaschigkeit des Netzes sowie weiterer qualitativer Aspekte (z.B. Belagswahl, etc.). 
</t>
    </r>
    <r>
      <rPr>
        <u/>
        <sz val="10"/>
        <color theme="1"/>
        <rFont val="Calibri"/>
        <family val="2"/>
        <scheme val="minor"/>
      </rPr>
      <t>Angebot Radwegnetz</t>
    </r>
    <r>
      <rPr>
        <sz val="10"/>
        <color theme="1"/>
        <rFont val="Calibri"/>
        <family val="2"/>
        <scheme val="minor"/>
      </rPr>
      <t xml:space="preserve">: Qualitative Bewertung der Wegverbindungen des Radwegnetzes auf dem Areal und in einem Umkreis von 300 Metern bezüglich direkter Wegführung und Feinmaschigkeit des Netzes sowie weiterer qualitativer Aspekte (z.B. Belagswahl, etc.). 
</t>
    </r>
    <r>
      <rPr>
        <b/>
        <i/>
        <sz val="10"/>
        <color theme="1"/>
        <rFont val="Calibri"/>
        <family val="2"/>
        <scheme val="minor"/>
      </rPr>
      <t>Hintergrundinformationen und Literatur</t>
    </r>
    <r>
      <rPr>
        <sz val="10"/>
        <color theme="1"/>
        <rFont val="Calibri"/>
        <family val="2"/>
        <scheme val="minor"/>
      </rPr>
      <t xml:space="preserve">
• FSV: Richtlinien und Vorschriften für das Straßenwesen (RVS) 03.02.12 – Fußgängerverkehr. FSV, Wien 2015.
• FSV: Richtlinien und Vorschriften für das Straßenwesen (RVS) 03.02.13 – Radverkehr. FSV, Wien 2022.
</t>
    </r>
  </si>
  <si>
    <r>
      <rPr>
        <b/>
        <i/>
        <sz val="10"/>
        <color theme="1"/>
        <rFont val="Calibri"/>
        <family val="2"/>
        <scheme val="minor"/>
      </rPr>
      <t>Anforderungen</t>
    </r>
    <r>
      <rPr>
        <sz val="10"/>
        <color theme="1"/>
        <rFont val="Calibri"/>
        <family val="2"/>
        <scheme val="minor"/>
      </rPr>
      <t xml:space="preserve">
</t>
    </r>
    <r>
      <rPr>
        <u/>
        <sz val="10"/>
        <color theme="1"/>
        <rFont val="Calibri"/>
        <family val="2"/>
        <scheme val="minor"/>
      </rPr>
      <t>Anzahl</t>
    </r>
    <r>
      <rPr>
        <sz val="10"/>
        <color theme="1"/>
        <rFont val="Calibri"/>
        <family val="2"/>
        <scheme val="minor"/>
      </rPr>
      <t xml:space="preserve">: Die Zahl der Fahrradabstellplätze wird auf eine hohe Nachfrage ausgerichtet. Die Fahrradabstellplätze sind gut erreichbar und von attraktiver Qualität und Ausgestaltung (witterungsgeschützt, diebstahlsicher/-hemmend, gebrauchsfreundlich). Bei der Anordnung der Fahrradabstellplätze wird auf eine attraktive/leichte Zugänglichkeit geachtet. Es ist ausreichend Platz zum Abstellen von Spezialfahrräder (wie zum Beispiel: Transporträder), sowie sind Serviceangebote für Fahrräder (wie zum Beispiel: Fahrradwerkzeug-Set, Fahrrad-Pumpe, etc.) vorhanden.
</t>
    </r>
    <r>
      <rPr>
        <u/>
        <sz val="10"/>
        <color theme="1"/>
        <rFont val="Calibri"/>
        <family val="2"/>
        <scheme val="minor"/>
      </rPr>
      <t>Qualität und Ausstattung</t>
    </r>
    <r>
      <rPr>
        <sz val="10"/>
        <color theme="1"/>
        <rFont val="Calibri"/>
        <family val="2"/>
        <scheme val="minor"/>
      </rPr>
      <t xml:space="preserve">: Es werden die nachstehenden Merkmale beurteilt:
1) Mindestens 1/3 der Fahrradabstellplätze ist beim Eingang der Gebäude angeordnet.
2) Die Fahrradabstellplätze sind bequem (fahrend, radfahrtauglicher Lift) erreichbar.
3) Die Fahrradabstellanlagen sind witterungsgeschützt und diebstahlsicher (abschließbar; im Idealfall für alle Fahrradtypen); bei Wohngebäuden mind. 90 %.
4) Es besteht Platz für Spezialfahrräder (z.B. Transporträder) und Radanhänger; bei Wohngebäuden zusätzliche Abstellplätze für Kinderwägen, Lauf- und Kinderräder, Scooter, Rollatoren und ähnlich Sonderfahrzeuge.
5) Es bestehen Lademöglichkeiten für E-Fahrräder. 
6) Es bestehen Serviceangebote (Pumpe, Werkzeug, Aufbockgelegenheit, etc.)
</t>
    </r>
    <r>
      <rPr>
        <b/>
        <i/>
        <sz val="10"/>
        <color theme="1"/>
        <rFont val="Calibri"/>
        <family val="2"/>
        <scheme val="minor"/>
      </rPr>
      <t>Hintergrundinformationen und Literatur</t>
    </r>
    <r>
      <rPr>
        <sz val="10"/>
        <color theme="1"/>
        <rFont val="Calibri"/>
        <family val="2"/>
        <scheme val="minor"/>
      </rPr>
      <t xml:space="preserve">
• FSV: Richtlinien und Vorschriften für das Straßenwesen (RVS) 03.07.11 – Organisation und Anzahl der Stellplätze für den Individualverkehr. FSV, Wien 2008.
• klimaaktiv mobil (Radfahren). Weitere Infos unter: https://www.klimaaktiv.at/mobilitaet/radfahren.html; Zugriff am 13.11.2017.
• BMVIT: Statistische Daten zur Verkehrssicherheit von Fußgängerinnen/Fußgänger und Radfahrerinnen/Radfahrer. Weitere Infos unter: https://www.bmvit.gv.at/verkehr/ohnemotor/publikationen/index.html; Zugriff am 10.09.2018
• IGF: Radkompetenz Österreich. Weitere Infos unter: http://radkompetenz.at/; Zugriff am 10.09.2018
</t>
    </r>
  </si>
  <si>
    <t>Die aktuelle Situation des Fuß- und Radwegnetz ist mit gut gestützten Aussagen erfasst (Lücken und Schwachstellen im Areal und angrenzend ans Areal, umfassende Nutzung durch Bewohner:innen)</t>
  </si>
  <si>
    <t>Die RVS-Empfehlung zum Thema „Barrierefreiheit“ ist zumindest für die wichtigsten Kreuzungs-/Aufenthalts-/Querungsbereiche im Areal realisiert; es besteht aber noch Optimierungspotenzial</t>
  </si>
  <si>
    <t>Die RVS-Empfehlung zum Thema „Barrierefreiheit“ ist zumindest für die wichtigsten Kreuzungs-/Aufenthalts-/Querungsbereiche im Areal optimal realisiert</t>
  </si>
  <si>
    <t>Die aktuellen Angebote an öffentlichen Verkehrsmitteln sind mit gut gestützten Aussagen erfasst (Schwachstellen, erfasste Beschwerden z.B. zu Taktung der Busse, Lage und Ausgestaltung der Haltestellen)</t>
  </si>
  <si>
    <r>
      <rPr>
        <b/>
        <i/>
        <sz val="10"/>
        <color theme="1"/>
        <rFont val="Calibri"/>
        <family val="2"/>
        <scheme val="minor"/>
      </rPr>
      <t>Anforderungen</t>
    </r>
    <r>
      <rPr>
        <sz val="10"/>
        <color theme="1"/>
        <rFont val="Calibri"/>
        <family val="2"/>
        <scheme val="minor"/>
      </rPr>
      <t xml:space="preserve">
Carsharing-Angebote: Ein attraktives (Elektro-)Carsharing Angebot bietet einen direkten und einfachen Zugang zu den Fahrzeugen und bietet somit ein nachhaltiges Mobilitätsangebot.
Weitere Mobilitäts-Angebote: Das Areal verfügt über weitere Angebote zur nachhaltigen Mobilität, wie zum Beispiel Taxidienste, Anrufsammeltaxis, Verleihangebote, Mitfahrzentralen, Information und Beratung zur Mobilität, etc. Es steht somit ein bedarfsgerechtes Angebot an ergänzenden Mobilitätsangeboten zur Verfügung. Beispiele:
1) Taxidienste/Anrufsammeltaxis 
2) Verleihangebote Elektro-Fahrräder 
3) Verleihangebote Transporträder (mit/ohne Elektro-Antrieb) 
4) Information und Beratung zur Mobilität (Mobilitätszentrale) 
5) Mitfahrzentrale
6) Rad-Reparaturservice-Einrichtungen 
7) Zustelldienste, etc.
</t>
    </r>
    <r>
      <rPr>
        <b/>
        <i/>
        <sz val="10"/>
        <color theme="1"/>
        <rFont val="Calibri"/>
        <family val="2"/>
        <scheme val="minor"/>
      </rPr>
      <t>Hintergrundinformationen und Literatur</t>
    </r>
    <r>
      <rPr>
        <sz val="10"/>
        <color theme="1"/>
        <rFont val="Calibri"/>
        <family val="2"/>
        <scheme val="minor"/>
      </rPr>
      <t xml:space="preserve">
• Klimafreundlich mobil im Wohnbau: Leitfaden für das Gelingen von zukunftsfähigen Mobilitätsmaßnahmen und Shared-Mobility auf Basis von Erfahrungen aus gemeinschaftlichen Wohnprojekten und von innovativen Bauträgerprojekten. Weitere Infos unter: https://www.klimaaktiv.at/dam/jcr:66672cb6-0e89-4631-affb-55f2f923d12e/KAM_Brosch_Shared%20Mobility_Barr_230220.pdf; Zugriff am 23.02.2023
• klimaaktiv mobil (Mobilitätsmanagement). Weitere Infos unter: https://www.klimaaktiv.at/mobilitaet/mobilitaetsmanagem.html; Zugriff am 13.11.2017.
</t>
    </r>
  </si>
  <si>
    <t>Text für Nutzung</t>
  </si>
  <si>
    <t>Es besteht ein Beschwerdemanagement, das gegenüber den Eigentümer:innen und Mieter:innen kommuniziert ist</t>
  </si>
  <si>
    <r>
      <rPr>
        <b/>
        <sz val="11"/>
        <color theme="1"/>
        <rFont val="Calibri"/>
        <family val="2"/>
        <scheme val="minor"/>
      </rPr>
      <t xml:space="preserve">Eckdaten: </t>
    </r>
    <r>
      <rPr>
        <sz val="11"/>
        <color theme="1"/>
        <rFont val="Calibri"/>
        <family val="2"/>
        <scheme val="minor"/>
      </rPr>
      <t xml:space="preserve">Im Zuge des Erstkontakts werden die </t>
    </r>
    <r>
      <rPr>
        <sz val="11"/>
        <rFont val="Calibri"/>
        <family val="2"/>
        <scheme val="minor"/>
      </rPr>
      <t>Eckdaten</t>
    </r>
    <r>
      <rPr>
        <sz val="11"/>
        <color theme="1"/>
        <rFont val="Calibri"/>
        <family val="2"/>
        <scheme val="minor"/>
      </rPr>
      <t xml:space="preserve"> des Bauvorhaben abgefragt, die Eignung geprüft und die nächsten Schritte eingeleitet (erforderliche Dokumente, Termine) und deren Fortschritt dokumentiert. Diese Informationen werden in einer Datenbank abgelegt.</t>
    </r>
  </si>
  <si>
    <r>
      <rPr>
        <b/>
        <sz val="11"/>
        <color theme="1"/>
        <rFont val="Calibri"/>
        <family val="2"/>
        <scheme val="minor"/>
      </rPr>
      <t xml:space="preserve">Kriterien: </t>
    </r>
    <r>
      <rPr>
        <sz val="11"/>
        <rFont val="Calibri"/>
        <family val="2"/>
        <scheme val="minor"/>
      </rPr>
      <t>Die B</t>
    </r>
    <r>
      <rPr>
        <sz val="11"/>
        <color theme="1"/>
        <rFont val="Calibri"/>
        <family val="2"/>
        <scheme val="minor"/>
      </rPr>
      <t>ewertung der einzelnen Maßnahmen erfolgt auf Basis der verfügbaren Informationen. Hilfestellung bietet die angeführte Literatur. Die Nachweise sind in den entsprechenden Ordnern abzuspeichern (1 Ordner je HF; Dokumentenbezeichnung je nach Maßnahme z.B. A21 für städtebauliches Konzept).</t>
    </r>
  </si>
  <si>
    <r>
      <t xml:space="preserve">Ergebnis: </t>
    </r>
    <r>
      <rPr>
        <sz val="11"/>
        <color theme="1"/>
        <rFont val="Calibri"/>
        <family val="2"/>
        <scheme val="minor"/>
      </rPr>
      <t>In diesem Reiter sind die Ergebnisse aus der Maßnahmenbewertung kompakt zusammengefasst.</t>
    </r>
  </si>
  <si>
    <r>
      <rPr>
        <b/>
        <sz val="11"/>
        <color theme="1"/>
        <rFont val="Calibri"/>
        <family val="2"/>
        <scheme val="minor"/>
      </rPr>
      <t xml:space="preserve">Joker: </t>
    </r>
    <r>
      <rPr>
        <sz val="11"/>
        <color theme="1"/>
        <rFont val="Calibri"/>
        <family val="2"/>
        <scheme val="minor"/>
      </rPr>
      <t xml:space="preserve">Sollten besonders herausragende Maßnahmen in dem bestehenden Katalog nicht angeführt sein, besteht die Möglichkeit diese in diesem Reiter zu beschrieben. Die Bewertung erfolgt durch die Kommission. </t>
    </r>
  </si>
  <si>
    <t>Bauordnung</t>
  </si>
  <si>
    <t>Bestandsanalyse und Sanierung</t>
  </si>
  <si>
    <t>Bestandsanalyse und Transformation</t>
  </si>
  <si>
    <t>Auditumfang (z.B. Baufelder)</t>
  </si>
  <si>
    <t>Phase</t>
  </si>
  <si>
    <t>Zusatzpunkte für Projekte, welche kein neues Bauland verbrauchen</t>
  </si>
  <si>
    <r>
      <rPr>
        <b/>
        <i/>
        <sz val="10"/>
        <color theme="1"/>
        <rFont val="Calibri"/>
        <family val="2"/>
        <scheme val="minor"/>
      </rPr>
      <t>Anforderungen</t>
    </r>
    <r>
      <rPr>
        <sz val="10"/>
        <color theme="1"/>
        <rFont val="Calibri"/>
        <family val="2"/>
        <scheme val="minor"/>
      </rPr>
      <t xml:space="preserve">
Es liegt ein Konzept für die Erfassung und Auswertung des Mobilitätsverhaltens (Verkehrsmittelwahl, Fahrleistungen, etc..) vor. Berücksichtigt wird die Alltagsmobilität der verschiedenen Nutzergruppen. Mindestinhalt: Intervalle, Messumfang, Messpunkte, Verantwortlichkeiten, Budget.
</t>
    </r>
    <r>
      <rPr>
        <b/>
        <i/>
        <sz val="10"/>
        <color theme="1"/>
        <rFont val="Calibri"/>
        <family val="2"/>
        <scheme val="minor"/>
      </rPr>
      <t>Hintergrundinformationen und Literatur</t>
    </r>
    <r>
      <rPr>
        <sz val="10"/>
        <color theme="1"/>
        <rFont val="Calibri"/>
        <family val="2"/>
        <scheme val="minor"/>
      </rPr>
      <t xml:space="preserve">
• Handlungsfeld Mobilität
• klimaaktiv mobil (Mobilitätsmanagement). Weitere Infos unter: https://www.klimaaktiv.at/mobilitaet/mobilitaetsmanagem.html; Zugriff am 13.11.2017.
• Komod: Standardisierung von Erhebungsmethoden und Handbuch. Weitere Infos unter: https://www.bmk.gv.at/themen/verkehrsplanung/statistik/oesterreich_unterwegs/komod.html; Zugriff am 06.04.2023
</t>
    </r>
  </si>
  <si>
    <t>•         Maximal 10 Punkte bei Leistungen mit (inter)nationaler Strahlkraft</t>
  </si>
  <si>
    <t>•         Maximal 7 Punkte bei Leistungen mit überregionaler Strahlkraft</t>
  </si>
  <si>
    <t>•         Maximal 3 Punkte bei Leistungen mit lokaler Strahlkraft</t>
  </si>
  <si>
    <t>Punkte von Kommission*</t>
  </si>
  <si>
    <t>* Regelung für Punktevergabe</t>
  </si>
  <si>
    <t>Konzept an relevante Stakeholder kommuniziert</t>
  </si>
  <si>
    <t>Aktive Beteiligung der Nutzenden am Planungs- und Umsetzungsprozess sowie Gestaltungsmöglichkeiten in der Nutzungsphase sind geplant bzw. erfolgt</t>
  </si>
  <si>
    <t>Bezugsphase</t>
  </si>
  <si>
    <t>Dialog, Austausch - Häufigkeit</t>
  </si>
  <si>
    <t>Nutzung und Bewirtschaftung</t>
  </si>
  <si>
    <t>Gebühren / Mietpreise *</t>
  </si>
  <si>
    <t>Im Reiter "ERGEBNIS" - Spalte H - Priorisierung mit Zahlen angeben</t>
  </si>
  <si>
    <r>
      <rPr>
        <b/>
        <sz val="11"/>
        <color theme="1"/>
        <rFont val="Calibri"/>
        <family val="2"/>
        <scheme val="minor"/>
      </rPr>
      <t xml:space="preserve">Aktionsplan: </t>
    </r>
    <r>
      <rPr>
        <sz val="11"/>
        <color theme="1"/>
        <rFont val="Calibri"/>
        <family val="2"/>
        <scheme val="minor"/>
      </rPr>
      <t>Etwaige</t>
    </r>
    <r>
      <rPr>
        <sz val="11"/>
        <rFont val="Calibri"/>
        <family val="2"/>
        <scheme val="minor"/>
      </rPr>
      <t xml:space="preserve"> Optimierungsmaßnahmen werden in diesem Reiter automatisch zusammengefasst (siehe Spalte J in Reiter "Kriterien" oder Spalte H in Reiter "Ergebnis").</t>
    </r>
  </si>
  <si>
    <t>Protokolle über die Treffen werden verfasst und innerhalb der Gruppe verteilt</t>
  </si>
  <si>
    <r>
      <rPr>
        <b/>
        <i/>
        <sz val="10"/>
        <color theme="1"/>
        <rFont val="Calibri"/>
        <family val="2"/>
        <scheme val="minor"/>
      </rPr>
      <t>Anforderungen</t>
    </r>
    <r>
      <rPr>
        <sz val="10"/>
        <color theme="1"/>
        <rFont val="Calibri"/>
        <family val="2"/>
        <scheme val="minor"/>
      </rPr>
      <t xml:space="preserve">
Die relevanten Stakeholder sind entsprechend der Projektphase zu identifizieren und eine angemessene Einbeziehung in die Entscheidungsprozesse ist vorgesehen (Entwicklungs-, Planungs-, Umsetzungs- und Nutzungsphase). Bei der Bewertung sind sowohl interne wie externe Stakeholder zu berücksichtigen. Die Steuerungsgruppe gilt nicht als Stakeholder, jedoch Eigentümer, potentielle Investoren und Kaufinteressenten, potentielle und bestehende Mieter, Nachbarn aber auch die Behördenstellen. Betroffene und Anspruchsgruppen (Stakeholder) sind identifiziert und werden informiert, wie sie in Entscheidungsprozesse einbezogen und an welchen Entscheidungsfindungen sie beteiligt werden. Die relevanten Stakeholder sind entsprechend der Projektphase (Entwicklung / Planung / Umsetzung / Betrieb) zu berücksichtigen.
</t>
    </r>
    <r>
      <rPr>
        <b/>
        <i/>
        <sz val="10"/>
        <color theme="1"/>
        <rFont val="Calibri"/>
        <family val="2"/>
        <scheme val="minor"/>
      </rPr>
      <t>Hintergrundinformationen und Literatur</t>
    </r>
    <r>
      <rPr>
        <sz val="10"/>
        <color theme="1"/>
        <rFont val="Calibri"/>
        <family val="2"/>
        <scheme val="minor"/>
      </rPr>
      <t xml:space="preserve">
• Kellenberger D. et al.: Implementation of Energy Strategies in Communities (Annex 63): Development of strategic measures (Stakeholder Engagement &amp; Involvement). SIR, Salzburg 2017. Download: https://www.annex63.org/results/volume-2/; Zugriff am 10.09.2018
</t>
    </r>
  </si>
  <si>
    <t>Die Kosten von Erhaltungs- und Verbesserungsarbeiten werden detailliert ausgewiesen</t>
  </si>
  <si>
    <t>Die Betriebskosten werden detailliert ausgewiesen</t>
  </si>
  <si>
    <t>Aus der Analyse der Kosten wurden Optimierungsmaßnahmen erarbeitet und umgesetzt</t>
  </si>
  <si>
    <t xml:space="preserve">Anforderungen
Die Lebenszykluskosten (LZK) werden ermittelt resp. Wirtschaftlichkeitsberechnungen durchgeführt und bei Investitionsentscheiden berücksichtigt.
Hintergrundinformationen und Literatur
• Wirtschaftlichkeits- und Kostenrechner „econ Calc Version 3.0“. Download: https://www.klimaaktiv.at/service/tools/bauen_sanieren/econcalc.html; Zugriff am 10.09.2018
• baubook Amortisations- und Wirtschaftlichkeitsrechner (für den Vergleich einzelner Bauteile). Weitere Infos unter: http://www.baubook.at/awr/; Zugriff am 10.09.2018
• ÖNORM M 7140: Betriebswirtschaftliche Vergleichsrechnung für Energiesysteme nach dynamischen Rechenmethoden. Austrian Standards, Wien 2013.
• Hofer G. et at.: Lebenszykluskosten-Analyse für die Wärme- und Kälteversorgung von Quartieren. BMLFUW, Wien 2017.
• Ploss M. et al.: Analyse des kostenoptimalen Anforderungsniveaus für Wohnungsneubauten in Vorarl-berg. Energieinstitut Vorarlberg und e7 Energie Markt Analyse, Dornbirn 2013.
• Entgeltrichtlinienverordnung
• Wohnungseigentumsgesetz
</t>
  </si>
  <si>
    <t>%Werte für Bezug</t>
  </si>
  <si>
    <t>Städtebauliche Rahmenbedingungen und Nutzungskonzept</t>
  </si>
  <si>
    <t>Qualität der HLK-Planung</t>
  </si>
  <si>
    <t>Versorgungskonzept</t>
  </si>
  <si>
    <t>Schrittweise Umsetzung der Konzepte *</t>
  </si>
  <si>
    <t>Grundeigentümerverbindliche Instrumente *</t>
  </si>
  <si>
    <t>Kauf- bzw. Mietverträge Flächen *</t>
  </si>
  <si>
    <t>Ausschreibungen</t>
  </si>
  <si>
    <t>Kauf- bzw. Mietverträge Wohneinheiten</t>
  </si>
  <si>
    <t>Förderungen</t>
  </si>
  <si>
    <t>Miet- und Eigentümerbefragung</t>
  </si>
  <si>
    <t>Monitoring Betriebsenergie</t>
  </si>
  <si>
    <t>Monitoring Wasserverbrauch</t>
  </si>
  <si>
    <t>Monitoring Abfallmengen</t>
  </si>
  <si>
    <t>Monitoring Mobilität</t>
  </si>
  <si>
    <t>Umweltanalyse</t>
  </si>
  <si>
    <t>Erfolgskontrolle und Planung</t>
  </si>
  <si>
    <t>Qualitätssicherungsverfahren</t>
  </si>
  <si>
    <t>Stakeholderanalyse</t>
  </si>
  <si>
    <t>Dialog, Austausch - Struktur</t>
  </si>
  <si>
    <t>Konzept "Energie-, Wasser- und Abfallmarketing"</t>
  </si>
  <si>
    <t>Konzept "Mobilitätsmarketing"</t>
  </si>
  <si>
    <t>Qualität der Information</t>
  </si>
  <si>
    <t>Umgang mit Dichte</t>
  </si>
  <si>
    <t>Abklärung zu Mikroklima</t>
  </si>
  <si>
    <t>Durchlüftung *</t>
  </si>
  <si>
    <t>Durchmischte Wohnnutzungen</t>
  </si>
  <si>
    <t>Mischnutzung</t>
  </si>
  <si>
    <t>Wirkung auf Umfeld</t>
  </si>
  <si>
    <t>Erdgeschossnutzungen</t>
  </si>
  <si>
    <t>Zugang</t>
  </si>
  <si>
    <t>Raumangebot</t>
  </si>
  <si>
    <t>Dachflächen *</t>
  </si>
  <si>
    <t>Angebote für Erholung und Freiraum</t>
  </si>
  <si>
    <t>Güter und Dienstleistungen des täglichen Bedarfs</t>
  </si>
  <si>
    <t>Lebenszykluskosten und Wirtschaftlichkeitsbewertung</t>
  </si>
  <si>
    <t>Personenfläche</t>
  </si>
  <si>
    <t>Flexibel nutzbare Raumangebote</t>
  </si>
  <si>
    <t>Wärme aus EE und vor Ort produziert</t>
  </si>
  <si>
    <t>Qualität der Wärmeversorgung</t>
  </si>
  <si>
    <t>Strom aus EE und vor Ort produziert</t>
  </si>
  <si>
    <t>Qualität der Stromversorgung</t>
  </si>
  <si>
    <t>Qualität der Elektroplanung</t>
  </si>
  <si>
    <t>Wassernutzung Haushalte</t>
  </si>
  <si>
    <t>Wassernutzung Außenraum *</t>
  </si>
  <si>
    <t>Wassernutzung Dienstleistungsgebäude *</t>
  </si>
  <si>
    <t>Vermeidung von gemischten Siedlungsabfällen</t>
  </si>
  <si>
    <t>Vermeidung von nicht gemischten Siedlungsabfällen</t>
  </si>
  <si>
    <t>Abstellanlagen für Pkw</t>
  </si>
  <si>
    <t>Parkplatzbewirtschaftung *</t>
  </si>
  <si>
    <t>Abstellanlagen für Fahrräder</t>
  </si>
  <si>
    <t>Fuß- und Radwegnetz</t>
  </si>
  <si>
    <t>Gestaltung und Barrierefreiheit</t>
  </si>
  <si>
    <t>Angebote an öffentlichen Verkehrsmittel</t>
  </si>
  <si>
    <t>Alternative Mobilitätsangebote</t>
  </si>
  <si>
    <t>Gebäudekonzept</t>
  </si>
  <si>
    <r>
      <rPr>
        <b/>
        <i/>
        <sz val="10"/>
        <rFont val="Calibri"/>
        <family val="2"/>
        <scheme val="minor"/>
      </rPr>
      <t>Anforderungen</t>
    </r>
    <r>
      <rPr>
        <sz val="10"/>
        <rFont val="Calibri"/>
        <family val="2"/>
        <scheme val="minor"/>
      </rPr>
      <t xml:space="preserve">
Das Bauvorhaben wird in der Planungs-, Umsetzungs- und Nutzungsphase von einer Steuerungsgruppe begleitet. Die zentrale Aufgabe der Steuerungsgruppe ist die Sicherstellung der Zielerreichung bzw. der erfolgreiche Abschluss der Auditierung (vgl. Themenfeld Ziele setzen). 
</t>
    </r>
    <r>
      <rPr>
        <b/>
        <i/>
        <sz val="10"/>
        <rFont val="Calibri"/>
        <family val="2"/>
        <scheme val="minor"/>
      </rPr>
      <t>Hintergrundinformationen und Literatur</t>
    </r>
    <r>
      <rPr>
        <sz val="10"/>
        <rFont val="Calibri"/>
        <family val="2"/>
        <scheme val="minor"/>
      </rPr>
      <t xml:space="preserve">
• Kellenberger D. et al.: Implementation of Energy Strategies in Communities (Annex 63): Development of strategic measures (Implement Effective and Efficient Organisational Processes). SIR, Salzburg 2017. Download: https://www.annex63.org/results/volume-2/; Zugriff am 10.09.2018
</t>
    </r>
  </si>
  <si>
    <t>Die Zusammensetzung der Steuerungsgruppe ist geeignet (abhängig von Projektphase z.B. Grundeigentümer, Vertreter:innen der Gemeinde/Stadt, Bauträger, Projektleiter:in, interdisziplinäres Planer:innenteam, externe Berater:innen, Anrainer:innen, Vertreter:innen der (zukünftigen) Nutzer:innen, (zukünftige) Hausverwalter)</t>
  </si>
  <si>
    <t>Die Inhalte der getroffenen Maßnahmen im Bereich städtebauliche Rahmenbedingungen und Nutzungskonzept wurden in den Vorgabedokumenten (z.B. für Hausverwaltung, Property/Facility Management, Dienstleister) verankert.</t>
  </si>
  <si>
    <t>Die Inhalte der getroffenen Maßnahmen im Gebäudebereich wurden in den Vorgabedokumenten (z.B. für Hausverwaltung, Property/Facility Management, Dienstleister) verankert.</t>
  </si>
  <si>
    <t>Die Inhalte der getroffenen Maßnahmen im Versorgungsbereich wurden in den Vorgabedokumenten (z.B. für Hausverwaltung, Property/Facility Management, Dienstleister) verankert.</t>
  </si>
  <si>
    <t>Die Inhalte der getroffenen Maßnahmen im Mobilitätsbereich wurden in den Vorgabedokumenten (z.B. für Hausverwaltung, Property/Facility Management, Dienstleister) verankert.</t>
  </si>
  <si>
    <t>Areal wird in einem Schritt bebaut und besiedelt</t>
  </si>
  <si>
    <t>Flächenwidmung und Bebauungsplanung sind schon abgeschlossen</t>
  </si>
  <si>
    <t>Verkaufsverhandlungen sind schon abgeschlossen bzw. bei dem Verkäufer handelt es sich nicht um eine Gebietskörperschaft</t>
  </si>
  <si>
    <t>Relevante Bestimmungen/Informationen für die Zielerreichung wurden in allen Miet-, Nutzungs- und Kaufverträgen bzw. in angehängten Dokumenten (z.B. Hausordnung, Wärme- bzw. Energieliefervertrag) berücksichtigt bzw. wurden die entsprechenden Textpassagen vorbereitet</t>
  </si>
  <si>
    <t xml:space="preserve"> Die Beschwerden werden zeitnahe behandelt, Maßnahmen ergriffen und umgesetzt sowie eine Rückantwort über den Status gegeben</t>
  </si>
  <si>
    <t>Bezüglich Parkraumbewirtschaftung inkl. zweckgebundener Einsatz von Erträgen, wurden – trotz vorhandener öffentlich zugänglicher Pkw-Stellplätze – keine Gespräche mit der Kommune geführt</t>
  </si>
  <si>
    <t>Bezüglich Parkraumbewirtschaftung inkl. zweckgebundener Einsatz von Erträgen, wurden Gespräche mit der Kommune geführt – Ergebnis noch offen</t>
  </si>
  <si>
    <t>Bezüglich Parkraumbewirtschaftung inkl. zweckgebundener Einsatz von Erträgen, wurden Gespräche mit der Kommune geführt – Ergebnis liegt vor: PRB wird eingeführt</t>
  </si>
  <si>
    <t>Keine öffentlich zugänglichen Pkw-Stellplätze im Areal vorhanden</t>
  </si>
  <si>
    <t>Maßnahmen zur Optimierung sind identifiziert und geplant (z.B. betrieblich, kommunikativ)</t>
  </si>
  <si>
    <t>Entwicklungsgebiet befindet sich im ländlichen Raum</t>
  </si>
  <si>
    <t>Keine begehbaren Dachflächen vorhanden</t>
  </si>
  <si>
    <t>Nutzung ist aus rechtlichen Gründen nicht möglich</t>
  </si>
  <si>
    <t>Im Innenraum und halböffentlichen Freiraum sind keine Begegnungsorte mit Sitzplätzen vorhanden und zugänglich</t>
  </si>
  <si>
    <t>Im Innenraum und halböffentlichen Freiraum sind mehrere Begegnungsorte mit Sitzplätzen vorhanden und zugänglich</t>
  </si>
  <si>
    <t>Im Innenraum und halböffentlichen Freiraum sind mehrere Angebote unterschiedlicher Funktion für unterschiedliche Altersstufen vorhanden und zumindest teilweise frei zugänglich (wie z.B. Grünanlagen, Kantinen, Bibliotheken, Cafés)</t>
  </si>
  <si>
    <t>Eine Analyse und Bedarfsabschätzung inkl. Schlussfolgerungen liegt vor</t>
  </si>
  <si>
    <t>Maßnahmen zur Optimierung sind identifiziert und geplant (z.B. betrieblich, baulich oder kommunikativ)</t>
  </si>
  <si>
    <t>Erreichbare Punktezahl nach Reduktion bzw. in der Nutzung</t>
  </si>
  <si>
    <t>Erreichbare Punktezahl in der Nutzung</t>
  </si>
  <si>
    <r>
      <rPr>
        <b/>
        <i/>
        <sz val="10"/>
        <color theme="1"/>
        <rFont val="Calibri"/>
        <family val="2"/>
        <scheme val="minor"/>
      </rPr>
      <t>Anforderungen</t>
    </r>
    <r>
      <rPr>
        <sz val="10"/>
        <color theme="1"/>
        <rFont val="Calibri"/>
        <family val="2"/>
        <scheme val="minor"/>
      </rPr>
      <t xml:space="preserve">
Die Gebühren/Mietpreise der nicht an Mieter vergebenen Pkw-Stellplätze werden verkehrswirksam im Hinblick auf eine Minimierung der Pkw-Nutzung ausgestaltet und nach ausgewählten Gruppen differenziert.
</t>
    </r>
    <r>
      <rPr>
        <b/>
        <i/>
        <sz val="10"/>
        <color theme="1"/>
        <rFont val="Calibri"/>
        <family val="2"/>
        <scheme val="minor"/>
      </rPr>
      <t>Punktereduktion</t>
    </r>
    <r>
      <rPr>
        <sz val="10"/>
        <color theme="1"/>
        <rFont val="Calibri"/>
        <family val="2"/>
        <scheme val="minor"/>
      </rPr>
      <t xml:space="preserve">
Eine Reduktion auf 0 Punkte ist möglich, wenn die öffentlich zugänglichen Pkw-Stellplätze nicht an Externe vergeben werden.
</t>
    </r>
    <r>
      <rPr>
        <b/>
        <i/>
        <sz val="10"/>
        <color theme="1"/>
        <rFont val="Calibri"/>
        <family val="2"/>
        <scheme val="minor"/>
      </rPr>
      <t>Hintergrundinformationen und Literatur</t>
    </r>
    <r>
      <rPr>
        <sz val="10"/>
        <color theme="1"/>
        <rFont val="Calibri"/>
        <family val="2"/>
        <scheme val="minor"/>
      </rPr>
      <t xml:space="preserve">
Keine spezifische Empfehlung 
</t>
    </r>
  </si>
  <si>
    <t>Öffentlich zugängliche Pkw-Stellplätze werden nicht an Externe vergeben</t>
  </si>
  <si>
    <t>Die aktuellen Angebote für Erholung und Freiräume sind mit gut gestützten Aussagen erfasst (effektive Nutzung, Beteiligung der Nutzenden, Schwachstellen usw.)</t>
  </si>
  <si>
    <t>Maßnahmen zur Optimierung sind identifiziert und geplant (z.B. weitere Angebote, Umgestaltung, Regelungen, siehe auch C.5.2)</t>
  </si>
  <si>
    <t>Hilfsspalte Red. / Nutzung</t>
  </si>
  <si>
    <t>Die Ziele und Konzepte zu den Themenfeldern „Städtebau, Gebäude, Versorgung und Mobilität“ (vgl. A.2.1-4) wurden regelmäßig auf Ihre Aktualität hin überprüft und ggf. angepasst</t>
  </si>
  <si>
    <t>Die Inhalte der Anpassungen werden in den entsprechenden Konzepten dokumentiert (vgl. A.2.1-4)</t>
  </si>
  <si>
    <t>Die qualitativen und quantitativen Ziele zum Gebäudekonzept wurden 1x überprüft und falls notwendig angepasst.</t>
  </si>
  <si>
    <t>Die qualitativen und quantitativen Ziele zum Versorgungskonzept wurden 1x überprüft und falls notwendig angepasst.</t>
  </si>
  <si>
    <t>Die qualitativen und quantitativen Ziele zum Mobilitätskonzept wurden 1x überprüft und falls notwendig angepasst.</t>
  </si>
  <si>
    <t>Die qualitativen und quantitativen Ziele zu den städtebaulichen Rahmenbedingungen und dem Nutzungskonzept wurden 1x überprüft und falls notwendig angepasst.</t>
  </si>
  <si>
    <t>Lehrende und Studierende</t>
  </si>
  <si>
    <t>Personal Verkaufsstätte</t>
  </si>
  <si>
    <t>Der aktuelle Nutzungsmix ist mit gut gestützten Aussagen erfasst (Veränderungen, Leerstände usw., vgl. auch C.3.4)</t>
  </si>
  <si>
    <t>Die aus der Miet- und Eigentümerbefragung ableitbaren Maßnahmen werden NICHT berücksichtigt</t>
  </si>
  <si>
    <t>Die aus der Miet- und Eigentümerbefragung ableitbaren Maßnahmen werden berücksichtigt</t>
  </si>
  <si>
    <t>Wirkungsanalyse von Angeboten liegt vor</t>
  </si>
  <si>
    <t>Ergebnisse des Monitorings Mobilität (vgl. auch A.4.5) und die daraus abgeleiteten Maßnahmen werden kommuniziert</t>
  </si>
  <si>
    <t>Ergebnisse des Monitorings Betriebsenergie (vgl. auch A.4.2-4) und die daraus abgeleiteten Maßnahmen werden kommuniziert</t>
  </si>
  <si>
    <t>Planung/Umsetzung: Keine Kommunikation vorgesehen</t>
  </si>
  <si>
    <t>Nutzung: Keine Kommunikation vorgesehen</t>
  </si>
  <si>
    <t>Außenraum wird mit Regenwasser versorgt und kein Swimmingpool vorhanden</t>
  </si>
  <si>
    <t>Kein Dienstleistungsgebäude vorhanden</t>
  </si>
  <si>
    <t>Ein Wartungsplan für die HLK-Anlagen liegt vor</t>
  </si>
  <si>
    <r>
      <rPr>
        <b/>
        <i/>
        <sz val="10"/>
        <rFont val="Calibri"/>
        <family val="2"/>
        <scheme val="minor"/>
      </rPr>
      <t>Anforderungen</t>
    </r>
    <r>
      <rPr>
        <sz val="10"/>
        <rFont val="Calibri"/>
        <family val="2"/>
        <scheme val="minor"/>
      </rPr>
      <t xml:space="preserve">
Das Umsetzungskonzept berücksichtigt die Begrünung von Dächern, Fassaden und Freiräumen am gesamten Areal. Bei der Planung wird die Qualität der bereits in der Umgebung befindlichen Maßnahmen zur Reduktion von Aufheizung und Verdunstung bzw. Anforderungen zur Reduktion derselben berücksichtigt. 
</t>
    </r>
    <r>
      <rPr>
        <b/>
        <i/>
        <sz val="10"/>
        <rFont val="Calibri"/>
        <family val="2"/>
        <scheme val="minor"/>
      </rPr>
      <t>Hintergrundinformationen und Literatur</t>
    </r>
    <r>
      <rPr>
        <sz val="10"/>
        <rFont val="Calibri"/>
        <family val="2"/>
        <scheme val="minor"/>
      </rPr>
      <t xml:space="preserve">
• Vorgaben / Informationen der Gemeinde bzgl. Begrünung
• Ergebnisse aus der Stadtklimaanalyse
• GrünStattGrau – Plattform für Bauwerksbegrünung und grüne Bauweisen. Weitere Infos unter: https://gruenstattgrau.at/; Zugriff am 10.09.2018
• Reinwald F.: Klimafaktor Boden – Bedeutung von Bodenverbrauch und Bodenversiegelung für die Klimawandelanpassung. BOKU, Wien 2017.
• Hliwa M.T.: Der Grünflächenfaktor. Masterarbeit an der Universität für Bodenkultur. BOKU, Wien 2015. 
• BBR: Handlungsziele für Stadtgrün und deren empirische Evidenz. Bundesamt für Bauwesen und Raumordnung, Bonn 2017.
• GREENPASS®</t>
    </r>
    <r>
      <rPr>
        <sz val="10"/>
        <rFont val="Trebuchet MS"/>
        <family val="2"/>
      </rPr>
      <t xml:space="preserve"> | enabling livable cities. Weitere Infos unter: https://greenpass.io/; Zugriff am 16.07.2020</t>
    </r>
    <r>
      <rPr>
        <sz val="10"/>
        <rFont val="Calibri"/>
        <family val="2"/>
        <scheme val="minor"/>
      </rPr>
      <t xml:space="preserve">
</t>
    </r>
  </si>
  <si>
    <t>Bezugsfläche [m²]</t>
  </si>
  <si>
    <t>Kriterienkatalog Siedlungen und Quartiere | Planungs-, Umsetzungs- und Nutzungsphase</t>
  </si>
  <si>
    <t>Aufheizung und Verdunstung</t>
  </si>
  <si>
    <t>Zielgruppen</t>
  </si>
  <si>
    <t>Für alle Gebäude in Nutzung liegt eine Beschreibung der Werterhaltungsstrategie vor (Was ist das Ziel der Immobilienstrategie? Mit welchen Maßnahmen wird sie erreicht?). In einem Budgetplan sind die erforderlichen kurz-, mittel- und langfristigen Investitionen dargestellt (Erhaltungs- und Erneuerungsfond u.d.g.)</t>
  </si>
  <si>
    <t>A.1.1 Steuerungsgruppe</t>
  </si>
  <si>
    <t>A.1.2 Ressourcen</t>
  </si>
  <si>
    <t>A.2.1 Städtebauliche Rahmenbedingungen und Nutzungskonzept</t>
  </si>
  <si>
    <t>A.2.2 Gebäudekonzept</t>
  </si>
  <si>
    <t>A.2.3 Versorgungskonzept</t>
  </si>
  <si>
    <t>A.2.4 Mobilitätskonzept</t>
  </si>
  <si>
    <t>A.2.5 Schrittweise Umsetzung der Konzepte *</t>
  </si>
  <si>
    <t>A.3.1 Grundeigentümerverbindliche Instrumente *</t>
  </si>
  <si>
    <t>A.3.2 Kauf- bzw. Mietverträge Flächen *</t>
  </si>
  <si>
    <t>A.3.3 Auswahl- bzw. Planungsverfahren</t>
  </si>
  <si>
    <t>A.3.4 Ausschreibungen</t>
  </si>
  <si>
    <t>A.3.5 Kauf- bzw. Mietverträge Wohneinheiten</t>
  </si>
  <si>
    <t>A.3.6 Förderungen</t>
  </si>
  <si>
    <t>A.4.1 Miet- und Eigentümerbefragung</t>
  </si>
  <si>
    <t>A.4.2 Monitoring Betriebsenergie</t>
  </si>
  <si>
    <t>A.4.3 Monitoring Wasserverbrauch</t>
  </si>
  <si>
    <t>A.4.4 Monitoring Abfallmengen</t>
  </si>
  <si>
    <t>A.4.5 Monitoring Mobilität</t>
  </si>
  <si>
    <t>A.5 Projektcontrolling durchführen</t>
  </si>
  <si>
    <t>A.5.1 Umweltanalyse</t>
  </si>
  <si>
    <t>A.5.2 Erfolgskontrolle und Planung</t>
  </si>
  <si>
    <t>A.5.3 Qualitätssicherungsverfahren</t>
  </si>
  <si>
    <t>B.1.1 Stakeholderanalyse</t>
  </si>
  <si>
    <t>B.1.2 Dialog, Austausch - Struktur</t>
  </si>
  <si>
    <t>B.1.3 Dialog, Austausch - Häufigkeit</t>
  </si>
  <si>
    <t>B.1.4 Mitbestimmung - Beteiligungsformat</t>
  </si>
  <si>
    <t>B.1.5 Mitbestimmung - Relevante Auswirkung</t>
  </si>
  <si>
    <t>B.2 Sensibilisierung zu Energie- und Mobilitätsthemen</t>
  </si>
  <si>
    <t>B.2.1 Konzept "Energie-, Wasser- und Abfallmarketing"</t>
  </si>
  <si>
    <t>B.2.2 Konzept "Mobilitätsmarketing"</t>
  </si>
  <si>
    <t>B.3.1 Qualität der Information</t>
  </si>
  <si>
    <t>B.3.2 Häufigkeit der Kommunikation</t>
  </si>
  <si>
    <t>C.1.1 Umgang mit Dichte</t>
  </si>
  <si>
    <t>C.2 Mikroklima</t>
  </si>
  <si>
    <t>C.2.1 Abklärung zu Mikroklima</t>
  </si>
  <si>
    <t>C.2.2 Durchlüftung *</t>
  </si>
  <si>
    <t>C.3.1 Zielgruppen</t>
  </si>
  <si>
    <t>C.3.2 Durchmischte Wohnnutzungen</t>
  </si>
  <si>
    <t>C.3.3 Mischnutzung</t>
  </si>
  <si>
    <t>C.3.4 Wirkung auf Umfeld</t>
  </si>
  <si>
    <t>C.4.2 Zugang</t>
  </si>
  <si>
    <t>C.4.3 Raumangebot</t>
  </si>
  <si>
    <t>C.4.4 Dachflächen *</t>
  </si>
  <si>
    <t>C.5.1 Angebote für Erholung und Freiraum</t>
  </si>
  <si>
    <t>C.5.2 Nutzung und Bewirtschaftung</t>
  </si>
  <si>
    <t>C.6 Angebote für den täglichen Bedarf</t>
  </si>
  <si>
    <t>D.1.1 Lebenszykluskosten und Wirtschaftlichkeitsbewertung</t>
  </si>
  <si>
    <t>D.2.1 Gebäudestandards</t>
  </si>
  <si>
    <t>D.3.1 Personenfläche</t>
  </si>
  <si>
    <t>D.3.2 Flexibel nutzbare Raumangebote</t>
  </si>
  <si>
    <t>E.1.1 Wärme aus EE und vor Ort produziert</t>
  </si>
  <si>
    <t>E.1.2 Qualität der Wärmeversorgung</t>
  </si>
  <si>
    <t>E.1.3 Qualität der HLK-Planung</t>
  </si>
  <si>
    <t>E.2 Stromversorgung</t>
  </si>
  <si>
    <t>E.2.1 Strom aus EE und vor Ort produziert</t>
  </si>
  <si>
    <t>E.2.2 Qualität der Stromversorgung</t>
  </si>
  <si>
    <t>E.2.3 Qualität der Elektroplanung</t>
  </si>
  <si>
    <t>E.3.1 Wassernutzung Haushalte</t>
  </si>
  <si>
    <t>E.3.2 Wassernutzung Außenraum *</t>
  </si>
  <si>
    <t>E.3.3 Wassernutzung Dienstleistungsgebäude *</t>
  </si>
  <si>
    <t>E.4.1 Vermeidung von gemischten Siedlungsabfällen</t>
  </si>
  <si>
    <t>E.4.2 Vermeidung von nicht gemischten Siedlungsabfällen</t>
  </si>
  <si>
    <t>F.1.2 Parkplatzbewirtschaftung *</t>
  </si>
  <si>
    <t>F.1.3 Gebühren / Mietpreise *</t>
  </si>
  <si>
    <t>F.2.2 Fuß- und Radwegnetz</t>
  </si>
  <si>
    <t>F.2.3 Gestaltung und Barrierefreiheit</t>
  </si>
  <si>
    <t>F.3 ÖV-Angebote und alternative Angebote</t>
  </si>
  <si>
    <t>F.3.1 Angebote an öffentlichen Verkehrsmittel</t>
  </si>
  <si>
    <t>F.3.2 Alternative Mobilitätsangebote</t>
  </si>
  <si>
    <t>Im Areal steht eine Ansprechperson des Hausverwalters bzw. des Property/Facility Managers für die Nutzer:innen für organisatorische / technische Fragen zur Verfügung</t>
  </si>
  <si>
    <t>Im Areal oder in unmittelbarer Umgebung steht eine Ansprechstelle der Gemeinde/Stadt für die Nutzer:innen für soziale Fragen zur Verfügung (z.B. Wohnkoordinator:in, Wohnservice)</t>
  </si>
  <si>
    <t>Auswahl- bzw. Planungsverfahren | Werterhaltungsstrategie</t>
  </si>
  <si>
    <t>Die aktuelle Situation zur Wohnnutzung ist mit gut gestützten Aussagen erfasst (Veränderungen, Leerstände)</t>
  </si>
  <si>
    <t>Alle Miet-, Nutzungs- und Kaufverträge (inkl. Qualitätskriterien) sind abgeschlossen oder die entsprechenden Anhänge unterschrieben. Diese werden auch bei Mieter- und Nutzer:innenwechsel, Untervermietung, Verkauf usw. angewendet.</t>
  </si>
  <si>
    <t>Medien-Mix ist nutzerorientiert (z.B. Link auf Website, Broschüre, Beratungsangebote, Aushänge, Flyer, Apps, Twitter, Facebook)</t>
  </si>
  <si>
    <t>Corporate Identity: Eigenes Logo, Spruch usw., die klimarelevante Inhalte transportieren</t>
  </si>
  <si>
    <t>Die aktuelle Situation zu Raumangeboten bzw. Aufenthalts-/ Begegnungsorten ist mit gut abgestützten Aussagen erfasst (Lage, Nutzung der Angebote, Angebotslücken, Nutzung durch Gemeinschaft und/oder eigene Interessen oder Externe)</t>
  </si>
  <si>
    <t>Die aktuelle Situation bzw. Dachflächen ist mit gut abgestützten Aussagen erfasst (Lage, Nutzung der Angebote, Angebotslücken, Nutzung durch Gemeinschaft und/oder eigene Interessen oder Externe)</t>
  </si>
  <si>
    <t>Bezüglich Parkraumbewirtschaftung inkl. zweckgebundener Einsatz von Erträgen, wurden Gespräche mit der Kommune geführt – Ergebnis liegt vor: PRB wird begründet nicht eingeführt</t>
  </si>
  <si>
    <t>Die aktuelle Situation im Bereich Parkplatzbewirtschaftung ist mit gut gestützten Aussagen erfasst (z.B. Darlegung des Kostendeckungsgrades zur Vermeidung Quersubventionierung, Umfang und Verwendung der Erträge oder anderer Quellen für finanzielle Anreize)</t>
  </si>
  <si>
    <t>Anforderungen EU-Taxonomie beachten!</t>
  </si>
  <si>
    <t>Die aktuelle Situation im Bereich Aufheizung und Verdunstung ist mit gut gestützten Aussagen erfasst (Bewirtschaftung der naturnahen Flächen, Einsatz von geschultem Personal)</t>
  </si>
  <si>
    <t>A.3.3 Auswahl- bzw. Planungsverfahren | Werterhaltungsstrategie</t>
  </si>
  <si>
    <t>10% der Dachflächen sind für die Arealbewohner:innen (halböffentlich) zugänglich</t>
  </si>
  <si>
    <t>Die gewählten Hauptkomponenten erfüllen die Anforderungen an die örtliche Schnee- und Windlast und das Montagesystem entspricht gängigen Normen. Die PV-Module sind gemäß EN IEC 61215 bzw. 61646 (für Dünnschichtmodule) zertifiziert.</t>
  </si>
  <si>
    <t>Hausverwaltung</t>
  </si>
  <si>
    <t>Größe Restmüll-Tonnen [l]</t>
  </si>
  <si>
    <t>Anzahl Restmüll-Tonnen [ ]</t>
  </si>
  <si>
    <t>Durchschnittlicher Füllstand [%]</t>
  </si>
  <si>
    <t>Abholintervall [Tage pro Jahr]</t>
  </si>
  <si>
    <t>Umrechnungsfaktor [kg/l]</t>
  </si>
  <si>
    <t>Anzahl Personen</t>
  </si>
  <si>
    <t>Größe Tonnen [l]</t>
  </si>
  <si>
    <t>Anzahl Tonnen [ ]</t>
  </si>
  <si>
    <t>Hausmeister/Wohnkoordination</t>
  </si>
  <si>
    <t>Erforderliche Unterlagen</t>
  </si>
  <si>
    <t>Protokolle Hausversammlungen</t>
  </si>
  <si>
    <t>Muster Mietvertrag</t>
  </si>
  <si>
    <t>Muster Betriebskostenabrechnung</t>
  </si>
  <si>
    <t>Heizungsschema</t>
  </si>
  <si>
    <t>Photovoltaikschema</t>
  </si>
  <si>
    <t>Qualität Fußgängerinfrastruktur</t>
  </si>
  <si>
    <t>Beschreibung sonstige Mobilitätsangebote</t>
  </si>
  <si>
    <t>Ergebnisse Bewohner:innenbefragung</t>
  </si>
  <si>
    <t>Frei 1</t>
  </si>
  <si>
    <t>Frei 2</t>
  </si>
  <si>
    <r>
      <t>Stellplatz</t>
    </r>
    <r>
      <rPr>
        <b/>
        <sz val="11"/>
        <color rgb="FFFF0000"/>
        <rFont val="Calibri"/>
        <family val="2"/>
        <scheme val="minor"/>
      </rPr>
      <t>ober</t>
    </r>
    <r>
      <rPr>
        <b/>
        <sz val="11"/>
        <color theme="1"/>
        <rFont val="Calibri"/>
        <family val="2"/>
        <scheme val="minor"/>
      </rPr>
      <t>grenze für Modal-Split</t>
    </r>
  </si>
  <si>
    <r>
      <t>Stellplatz</t>
    </r>
    <r>
      <rPr>
        <b/>
        <sz val="11"/>
        <color rgb="FFFF0000"/>
        <rFont val="Calibri"/>
        <family val="2"/>
        <scheme val="minor"/>
      </rPr>
      <t>unter</t>
    </r>
    <r>
      <rPr>
        <b/>
        <sz val="11"/>
        <rFont val="Calibri"/>
        <family val="2"/>
        <scheme val="minor"/>
      </rPr>
      <t>grenze für 20%</t>
    </r>
  </si>
  <si>
    <t>Ansprechperson für Audit</t>
  </si>
  <si>
    <t>Projektname / Standort / Adresse</t>
  </si>
  <si>
    <t>Allgemeine Beschreibung / Fotos / Visionen / Zielsetzungen</t>
  </si>
  <si>
    <t>Städtebaulicher Entwurf / Pläne</t>
  </si>
  <si>
    <t>Flächenspiegel (Nutzungen, m², Anzahl)</t>
  </si>
  <si>
    <t>Liste wesentlicher Ansprechpersonen (Planende, Beratende, Hausverwaltung, Hausmeister, …)</t>
  </si>
  <si>
    <t>Anzahl / Lage / Qualität Pkw Stellplätze</t>
  </si>
  <si>
    <t>Anzahl / Lage / Qualität Fahrradstellpläte</t>
  </si>
  <si>
    <t>Anzahl / Lage / Qualität ÖV-Haltestelle</t>
  </si>
  <si>
    <t>Energiebilanzen / Messdaten</t>
  </si>
  <si>
    <r>
      <rPr>
        <b/>
        <sz val="11"/>
        <color theme="1"/>
        <rFont val="Calibri"/>
        <family val="2"/>
        <scheme val="minor"/>
      </rPr>
      <t xml:space="preserve">Abfall: </t>
    </r>
    <r>
      <rPr>
        <sz val="11"/>
        <color theme="1"/>
        <rFont val="Calibri"/>
        <family val="2"/>
        <scheme val="minor"/>
      </rPr>
      <t>Anzahl / Lage / Qualität Sammelcontainer</t>
    </r>
  </si>
  <si>
    <t>Miete</t>
  </si>
  <si>
    <t>Mietkauf</t>
  </si>
  <si>
    <t>Eigentum</t>
  </si>
  <si>
    <t>Rechtsform</t>
  </si>
  <si>
    <t>Errichtungsjahr</t>
  </si>
  <si>
    <r>
      <t xml:space="preserve">F.2.2 Qualität </t>
    </r>
    <r>
      <rPr>
        <b/>
        <sz val="11"/>
        <color rgb="FFFF0000"/>
        <rFont val="Calibri"/>
        <family val="2"/>
        <scheme val="minor"/>
      </rPr>
      <t>FUSS</t>
    </r>
    <r>
      <rPr>
        <b/>
        <sz val="11"/>
        <color theme="1"/>
        <rFont val="Calibri"/>
        <family val="2"/>
        <scheme val="minor"/>
      </rPr>
      <t>wegnetz (überhaupt vorhanden, direkte Wegführung, Feinmaschigkeit, Belagswahl, usw.)</t>
    </r>
  </si>
  <si>
    <r>
      <t xml:space="preserve">F.2.2 Qualität </t>
    </r>
    <r>
      <rPr>
        <b/>
        <sz val="11"/>
        <color rgb="FFFF0000"/>
        <rFont val="Calibri"/>
        <family val="2"/>
        <scheme val="minor"/>
      </rPr>
      <t>RAD</t>
    </r>
    <r>
      <rPr>
        <b/>
        <sz val="11"/>
        <color theme="1"/>
        <rFont val="Calibri"/>
        <family val="2"/>
        <scheme val="minor"/>
      </rPr>
      <t>wegnetz (überhaupt vorhanden, direkte Wegführung, Feinmaschigkeit, Belagswahl, usw.)</t>
    </r>
  </si>
  <si>
    <r>
      <rPr>
        <b/>
        <i/>
        <sz val="9"/>
        <color theme="1"/>
        <rFont val="Calibri"/>
        <family val="2"/>
        <scheme val="minor"/>
      </rPr>
      <t>Rechenhilfe:</t>
    </r>
    <r>
      <rPr>
        <sz val="9"/>
        <color theme="1"/>
        <rFont val="Calibri"/>
        <family val="2"/>
        <scheme val="minor"/>
      </rPr>
      <t xml:space="preserve"> (Anteil gut erschlossener Flächen mit </t>
    </r>
    <r>
      <rPr>
        <b/>
        <sz val="9"/>
        <color rgb="FFFF0000"/>
        <rFont val="Calibri"/>
        <family val="2"/>
        <scheme val="minor"/>
      </rPr>
      <t>RAD</t>
    </r>
    <r>
      <rPr>
        <sz val="9"/>
        <color theme="1"/>
        <rFont val="Calibri"/>
        <family val="2"/>
        <scheme val="minor"/>
      </rPr>
      <t>wegen am Areal / Fläche des gesamten Areals) * 0,75 + (Anteil gut erschlossener Flächen mit Radwegen 300 Meter außerhalb des Areals / Fläche des gesamten Areals 300 Meter außerhalb) * 0,25</t>
    </r>
  </si>
  <si>
    <r>
      <rPr>
        <b/>
        <i/>
        <sz val="9"/>
        <color theme="1"/>
        <rFont val="Calibri"/>
        <family val="2"/>
        <scheme val="minor"/>
      </rPr>
      <t xml:space="preserve">Rechenhilfe: </t>
    </r>
    <r>
      <rPr>
        <sz val="9"/>
        <color theme="1"/>
        <rFont val="Calibri"/>
        <family val="2"/>
        <scheme val="minor"/>
      </rPr>
      <t xml:space="preserve">(Anteil gut erschlossener Flächen mit </t>
    </r>
    <r>
      <rPr>
        <b/>
        <sz val="9"/>
        <color rgb="FFFF0000"/>
        <rFont val="Calibri"/>
        <family val="2"/>
        <scheme val="minor"/>
      </rPr>
      <t>FUSS</t>
    </r>
    <r>
      <rPr>
        <sz val="9"/>
        <color theme="1"/>
        <rFont val="Calibri"/>
        <family val="2"/>
        <scheme val="minor"/>
      </rPr>
      <t>wegen am Areal / Fläche des gesamten Areals) * 0,75 + (Anteil gut erschlossener Flächen mit Fußwegen 300 Meter außerhalb des Areals / Fläche des gesamten Areals 300 Meter außerhalb) * 0,25</t>
    </r>
  </si>
  <si>
    <t>Zusammenfassung Strom</t>
  </si>
  <si>
    <t>Stromversorgung (Werte aus Energieausweis; Werte im doppelten Rahmen übertragen in das Tool "Nachweis Klimaneutralität")</t>
  </si>
  <si>
    <t>Verkehrsträger</t>
  </si>
  <si>
    <t>Typ - Verkehrsträger</t>
  </si>
  <si>
    <t>Pkm Wohngebäude</t>
  </si>
  <si>
    <t>Pkm Arbeitsstätten</t>
  </si>
  <si>
    <t>Pkm Ausbildungsstätten</t>
  </si>
  <si>
    <t>Pkm Verkaufsstätten</t>
  </si>
  <si>
    <t>Pkm Übrige Nutzungen</t>
  </si>
  <si>
    <t>Pkm Büro</t>
  </si>
  <si>
    <t>zu Fuß</t>
  </si>
  <si>
    <t>Fahrrad</t>
  </si>
  <si>
    <t>Moped/Motorrad</t>
  </si>
  <si>
    <t>PKW LenkerIn</t>
  </si>
  <si>
    <t>PKW MitfahrerIn</t>
  </si>
  <si>
    <t>Stadt-Regionalbus</t>
  </si>
  <si>
    <t>Straßenbahn/Ubahn</t>
  </si>
  <si>
    <t>Eisen-/Schnellbahn oder Fernzug</t>
  </si>
  <si>
    <t>Reisebus</t>
  </si>
  <si>
    <t>PKW (Erdgas)</t>
  </si>
  <si>
    <t>PKW (Elektro)</t>
  </si>
  <si>
    <t>PKW (Elektro-UZ46)</t>
  </si>
  <si>
    <t>Nein</t>
  </si>
  <si>
    <t>Strommix</t>
  </si>
  <si>
    <t>Ökostrom</t>
  </si>
  <si>
    <t>Standort und Eckdaten des Bauvorhabens</t>
  </si>
  <si>
    <t>Energie-bezugsfläche 
[m²EBF]</t>
  </si>
  <si>
    <t>Anzahl 
Mobilitätswirksame
Nutzer:innen</t>
  </si>
  <si>
    <t>Anzahl 
Nutzer:innen</t>
  </si>
  <si>
    <t>Flächenanteil</t>
  </si>
  <si>
    <t>Spezifische Fläche pro Nutzer:in
[m²EBF/N]</t>
  </si>
  <si>
    <r>
      <rPr>
        <b/>
        <sz val="11"/>
        <color theme="0" tint="-0.499984740745262"/>
        <rFont val="Symbol"/>
        <family val="1"/>
        <charset val="2"/>
      </rPr>
      <t>Æ</t>
    </r>
    <r>
      <rPr>
        <b/>
        <sz val="11"/>
        <color theme="0" tint="-0.499984740745262"/>
        <rFont val="Calibri"/>
        <family val="2"/>
      </rPr>
      <t xml:space="preserve"> </t>
    </r>
    <r>
      <rPr>
        <b/>
        <sz val="11"/>
        <color theme="0" tint="-0.499984740745262"/>
        <rFont val="Calibri"/>
        <family val="2"/>
        <scheme val="minor"/>
      </rPr>
      <t>Spezifische Fläche pro Nutzer:in
[m²EBF/N]</t>
    </r>
  </si>
  <si>
    <t>Qualität Mobilitätskonzept (siehe Kriterienkatalog Reiter "3_Ergebnis")</t>
  </si>
  <si>
    <t>Kriterien</t>
  </si>
  <si>
    <t>Ergebnisse</t>
  </si>
  <si>
    <t>PKW</t>
  </si>
  <si>
    <t>ÖV</t>
  </si>
  <si>
    <t>Bewertungsgrundlage F.1</t>
  </si>
  <si>
    <t>Bewertungsgrundlage F.2</t>
  </si>
  <si>
    <t>Bewertungsgrundlage F.3.1</t>
  </si>
  <si>
    <t>Bewertungsgrundlage F.3.2</t>
  </si>
  <si>
    <t>F.1.2 Parkplatzbewirtschaftung</t>
  </si>
  <si>
    <t>F.1.3 Gebühren / Mietpreise</t>
  </si>
  <si>
    <t>SUMME GEWICHTET</t>
  </si>
  <si>
    <t>Straßenbahn/Ubahn vorhanden?</t>
  </si>
  <si>
    <t xml:space="preserve">Erwarteter Anteil [%] </t>
  </si>
  <si>
    <t>Im Jahr 2020</t>
  </si>
  <si>
    <t>Im Jahr 2050</t>
  </si>
  <si>
    <t>Anteil Elektro Fahrzeuge</t>
  </si>
  <si>
    <t>Qualität F.1.1 &amp; F.3.2</t>
  </si>
  <si>
    <t>Stromprodukt für Ladung der Elektro Fahrzeuge</t>
  </si>
  <si>
    <t>Topografie</t>
  </si>
  <si>
    <t>Nähe zu Arbeitsplatzzentren</t>
  </si>
  <si>
    <t>Entfernung soziale Infrastruktur</t>
  </si>
  <si>
    <t>Distanz zu Grünräumen, Spielplatz und Sporteinrichtungen</t>
  </si>
  <si>
    <t>Kleinräumige Siedlungsdichte</t>
  </si>
  <si>
    <t>E-Car-Sharing und PKW Abstellplätze</t>
  </si>
  <si>
    <t>E-Bike Sharing und Fahrradabstellplätze</t>
  </si>
  <si>
    <t>Entfernung zur Haltestelle</t>
  </si>
  <si>
    <t>Zugänglichkeit zur Haltestelle</t>
  </si>
  <si>
    <t>Bauliche / organisatorische Qualitäten</t>
  </si>
  <si>
    <t>SUMME NORMIERT</t>
  </si>
  <si>
    <t>Erwarteter Anteil [%] von …</t>
  </si>
  <si>
    <t>im Jahr 2020</t>
  </si>
  <si>
    <t>… im Jahr 2050</t>
  </si>
  <si>
    <t>Wohngebäude 
[Pkm/(P*a)]</t>
  </si>
  <si>
    <t>Bürogebäude
[Pkm/(P*a)]</t>
  </si>
  <si>
    <t>Bildungseinrichtungen 
[Pkm/(P*a)]</t>
  </si>
  <si>
    <t>Verkaufsstätten 
[Pkm/(P*a)]</t>
  </si>
  <si>
    <t>Erdgas Fahrzeugen</t>
  </si>
  <si>
    <t>Elektro Fahrzeugen</t>
  </si>
  <si>
    <t>Elektro Fahrzeugen (Ladung mit Ökostrom)</t>
  </si>
  <si>
    <t>PKW Summe</t>
  </si>
  <si>
    <t>Rest: Diesel/Benzin</t>
  </si>
  <si>
    <t>Mobilität auf Gemeindeebene</t>
  </si>
  <si>
    <t>Spezifischen THG-E 
[g/Pkm]</t>
  </si>
  <si>
    <t>Spezifischen PEB 
[kWh/Pkm]</t>
  </si>
  <si>
    <t>THG-E Gesamt
[kg CO2-eq./a]</t>
  </si>
  <si>
    <t>PEB Gesamt
[kWh/a]</t>
  </si>
  <si>
    <t>Alle Nutzungen
Aufteilung Pkm PKW</t>
  </si>
  <si>
    <t>Alle Nutzungen
Aufteilung Pkm ÖV</t>
  </si>
  <si>
    <t>Alle Nutzungen 
[Pkm/P*a]</t>
  </si>
  <si>
    <t>Alle Nutzungen 
Modal-Split</t>
  </si>
  <si>
    <t>Ergebnis pro m²</t>
  </si>
  <si>
    <t>Ergebnis pro Person</t>
  </si>
  <si>
    <t>Mobilität am Standort 2020</t>
  </si>
  <si>
    <t>PWK Erdgas</t>
  </si>
  <si>
    <t>PKW Elektro</t>
  </si>
  <si>
    <t>PKW Elektro UZ 46</t>
  </si>
  <si>
    <t>Mobilität am Standort 2030</t>
  </si>
  <si>
    <t>Zusammenfassung</t>
  </si>
  <si>
    <t>Standort 2020</t>
  </si>
  <si>
    <t>Standort 2030</t>
  </si>
  <si>
    <t>THG-E Gesamt [kg CO2-eq./(m²*a)]</t>
  </si>
  <si>
    <t>In Tool "Nachweis Klimaneutralität" übertragen.</t>
  </si>
  <si>
    <t>PEB Gesamt [kWh/(m²*a)]</t>
  </si>
  <si>
    <t>THG-E Gesamt [kg CO2-eq./(N*a)]</t>
  </si>
  <si>
    <t>PEB Gesamt [W/(N*a)]</t>
  </si>
  <si>
    <t>Rad</t>
  </si>
  <si>
    <t>Öffentlicher Verkehr</t>
  </si>
  <si>
    <t>MIV elektrisch</t>
  </si>
  <si>
    <t>MIV fossil</t>
  </si>
  <si>
    <t>Modal Split</t>
  </si>
  <si>
    <t>Benchmark Werte</t>
  </si>
  <si>
    <t>eco2soft</t>
  </si>
  <si>
    <t>Energieausweis</t>
  </si>
  <si>
    <t>PHPP</t>
  </si>
  <si>
    <t>Abschätzung auf Basis von Benchmark Werten</t>
  </si>
  <si>
    <t>Beschreibung der Kurzzeichen</t>
  </si>
  <si>
    <r>
      <t xml:space="preserve">Bauweise
</t>
    </r>
    <r>
      <rPr>
        <sz val="11"/>
        <color theme="1"/>
        <rFont val="Calibri"/>
        <family val="2"/>
        <scheme val="minor"/>
      </rPr>
      <t>Erklärung siehe rechts</t>
    </r>
  </si>
  <si>
    <t>GWP total Baustoffe 
[kg CO2-eq./a]</t>
  </si>
  <si>
    <t>PEE Baustoffe 
[kWh/a]</t>
  </si>
  <si>
    <t>Summe absolut</t>
  </si>
  <si>
    <t>Summe spezifisch</t>
  </si>
  <si>
    <t>Richtwerte</t>
  </si>
  <si>
    <t>GWP total 
[kg CO2-eq./(a*m²EBF)]</t>
  </si>
  <si>
    <t>PEE 
[kWh/(a*m²EBF)]</t>
  </si>
  <si>
    <t>EFH 1 Holz leicht g</t>
  </si>
  <si>
    <t>EFH 1 Holz leicht a</t>
  </si>
  <si>
    <t>EFH 1 Holz massiv g</t>
  </si>
  <si>
    <t>EFH 1 Holz massiv a</t>
  </si>
  <si>
    <t>EFH 1 Beton g</t>
  </si>
  <si>
    <t>EFH 1 Beton a</t>
  </si>
  <si>
    <t>EFH 1 Ziegel g</t>
  </si>
  <si>
    <t>EFH 1 Ziegel a</t>
  </si>
  <si>
    <t>EFH 1 optimiert</t>
  </si>
  <si>
    <t>EFH 2 Stroh</t>
  </si>
  <si>
    <t>WHA 1 Ziegel+EPS</t>
  </si>
  <si>
    <t>WHA 1 Holzmassiv</t>
  </si>
  <si>
    <t>WHA 1 Ziegel Wi</t>
  </si>
  <si>
    <t>WHA 1 Holzleicht</t>
  </si>
  <si>
    <t>WHA 1 BW 1 HT 2</t>
  </si>
  <si>
    <t>WHA 1 BW 1 HT 3</t>
  </si>
  <si>
    <t>Büro 1 STB+EPS</t>
  </si>
  <si>
    <t>Büro 2 Holzverbund</t>
  </si>
  <si>
    <t>Büro 3 Holzverbund</t>
  </si>
  <si>
    <t>KiGa 1</t>
  </si>
  <si>
    <t>Schule 1</t>
  </si>
  <si>
    <t>Handelt es sich um ein Sanierungsprojekt?</t>
  </si>
  <si>
    <t>Vorgehen/Annahmen eco2soft Berechnung</t>
  </si>
  <si>
    <t>Kurze Beschreibung</t>
  </si>
  <si>
    <t>Checkliste</t>
  </si>
  <si>
    <t>Phasen A1-A3, B4, C1-C4 berücksichtigt</t>
  </si>
  <si>
    <t>Bilanzgrenze (BG) 3 inkl. aufwändige Haustechnik und Nebengebäude berücksichtigt</t>
  </si>
  <si>
    <t>Graue Energie Photovoltaik separat bewertet</t>
  </si>
  <si>
    <t>Betrachtungszeitraum 100 Jahre</t>
  </si>
  <si>
    <t>Hier geht’s zu eco2soft</t>
  </si>
  <si>
    <t>Hier geht’s zu GREGOR</t>
  </si>
  <si>
    <t>Ergebnisse aus eco2soft</t>
  </si>
  <si>
    <t>SUMME absolut</t>
  </si>
  <si>
    <t>SUMME spezifisch</t>
  </si>
  <si>
    <t>Vorgehen/Annahmen Energieausweisberechnung</t>
  </si>
  <si>
    <t>Energieausweiswerte im Kriterienkatalog sind aktuell</t>
  </si>
  <si>
    <t>Angaben zu Effizienz der elektrischen Geräte sind abgeklärt</t>
  </si>
  <si>
    <t>Zwischenwerte sind plausibel (vgl. Richtwerte rechts)</t>
  </si>
  <si>
    <t>Aus Kriterienkatalog | Reiter "Wärme-Strom"</t>
  </si>
  <si>
    <t>Anteil Heizwärmebedarf</t>
  </si>
  <si>
    <t>Anteil Warmwasserwärmebedarf</t>
  </si>
  <si>
    <t>Anteil Prozesswärmebedarf</t>
  </si>
  <si>
    <t>Art der Lüftungsanlage</t>
  </si>
  <si>
    <t>Abluftanlage</t>
  </si>
  <si>
    <t>siehe Energieausweis</t>
  </si>
  <si>
    <t>Bedarf</t>
  </si>
  <si>
    <t>Winter</t>
  </si>
  <si>
    <t>Jahr</t>
  </si>
  <si>
    <t>Optional: Zeitlicher Bedarf Prozesswärme</t>
  </si>
  <si>
    <t>Ganzjährig</t>
  </si>
  <si>
    <t>Wärmebedarf Winterhalbjahr</t>
  </si>
  <si>
    <t>Vorwiegend Sommer</t>
  </si>
  <si>
    <t>Wärmebedarf Ganzjährig</t>
  </si>
  <si>
    <t>Vorwiegend Winter</t>
  </si>
  <si>
    <t>Anteil Haushaltsstrombedarf</t>
  </si>
  <si>
    <t>Anteil Betriebsstrombedarf NiWo</t>
  </si>
  <si>
    <t>Anteil Beleuchtungsenergiebedarf NiWo</t>
  </si>
  <si>
    <t>Ökostrom / erneuerbarer Überschussstrom [kWh/a]</t>
  </si>
  <si>
    <t>Hier ist die Menge an elektrischer Energie einzutragen, welche aus dem öffentlichen Stromnetz bezogen wird und nachweislich als Ökostromprodukt (z.B. UZ 46) oder als erneuerbarer Überschussstrom gekennzeichnet ist, welcher einen Netzdienlichen Betrieb ermöglicht.</t>
  </si>
  <si>
    <t>Auswahl</t>
  </si>
  <si>
    <t>Standard-Geräte</t>
  </si>
  <si>
    <t>Effizienz der elektrischen Geräte</t>
  </si>
  <si>
    <t>topprodukte.at - Alles für Ihren Haushalt</t>
  </si>
  <si>
    <t>Effiziente Geräte</t>
  </si>
  <si>
    <t>Abschlagsfaktor</t>
  </si>
  <si>
    <t>Sehr effiziente Geräte</t>
  </si>
  <si>
    <t>Bezeichnung im Energieausweis</t>
  </si>
  <si>
    <t>Einheit [EBF]</t>
  </si>
  <si>
    <t>Richtwerte 
Wohngebäude</t>
  </si>
  <si>
    <t>Richtwerte 
Bürogebäude</t>
  </si>
  <si>
    <t>Richtwerte 
Bildungseinrichtungen</t>
  </si>
  <si>
    <t>Energiebezugsfläche</t>
  </si>
  <si>
    <t>m²</t>
  </si>
  <si>
    <t>Beleuchtung - Strombedarf</t>
  </si>
  <si>
    <t>kWh/a</t>
  </si>
  <si>
    <t>Beleuchtung - Strombedarf NiWo</t>
  </si>
  <si>
    <t>Strombedarf Beleuchtung</t>
  </si>
  <si>
    <t>kWh/(m²*a)</t>
  </si>
  <si>
    <t>Strom (Haushalt bzw. NiWo Beleuchtung etc.)</t>
  </si>
  <si>
    <t>Strombedarf Betriebseinrichtungen</t>
  </si>
  <si>
    <t>Hilfsstrom (Heizung, Lüftung Winter)</t>
  </si>
  <si>
    <t>Hilfsstrom Kühlung, Lüftung Sommer</t>
  </si>
  <si>
    <t>Hilfsstrom (Entfeuchtung)</t>
  </si>
  <si>
    <t>Hilfsstrom (WW + solar)</t>
  </si>
  <si>
    <t>Hilfsstrom (sonstige)</t>
  </si>
  <si>
    <t>Strombedarf Hilfsenergie</t>
  </si>
  <si>
    <t>Lüftung im Winter - Strombedarf (kWh/a)</t>
  </si>
  <si>
    <t>Enteisung WT - Strombedarf (kWh/a)</t>
  </si>
  <si>
    <t>Lüftung im Sommer - Strombedarf (kWh/a)</t>
  </si>
  <si>
    <t>Keine Lüftung</t>
  </si>
  <si>
    <t>Zusatzlüftung Sommer - Strombedarf (kWh/a)</t>
  </si>
  <si>
    <t>Strombedarf Lüftung</t>
  </si>
  <si>
    <t>Kontrollierte Wohnraumlüftung</t>
  </si>
  <si>
    <t>Strom Kühlung (Wärmepumpe)</t>
  </si>
  <si>
    <t>Strom Entfeuchtung (Wärmepumpe)</t>
  </si>
  <si>
    <t>Strombedarf Kühlung</t>
  </si>
  <si>
    <t>Strom (WP Kompaktgerät)</t>
  </si>
  <si>
    <t>Strom (Wärmepumpe)</t>
  </si>
  <si>
    <t>Nutzungsgrad</t>
  </si>
  <si>
    <t>Wassererwärmung</t>
  </si>
  <si>
    <t>Nah-/ Fernwärme</t>
  </si>
  <si>
    <t>Holz und andere Biomasse</t>
  </si>
  <si>
    <t>Erdgas / EE-Gas</t>
  </si>
  <si>
    <t>Strom (direkt)</t>
  </si>
  <si>
    <t>Endenergiebedarf HEIZUNG</t>
  </si>
  <si>
    <t>Endenergiebedarf WARMWASSER</t>
  </si>
  <si>
    <t>Fernwärme</t>
  </si>
  <si>
    <t>Pellets</t>
  </si>
  <si>
    <t>Erdgas</t>
  </si>
  <si>
    <t>Strom (Jahresdurchschnitt)</t>
  </si>
  <si>
    <t>Strom (Winter)</t>
  </si>
  <si>
    <t>Strom (Sommer)</t>
  </si>
  <si>
    <t>THG-Emissionen 2020</t>
  </si>
  <si>
    <r>
      <t>kg CO</t>
    </r>
    <r>
      <rPr>
        <b/>
        <vertAlign val="subscript"/>
        <sz val="11"/>
        <color theme="1"/>
        <rFont val="Calibri"/>
        <family val="2"/>
        <scheme val="minor"/>
      </rPr>
      <t>2-equ.</t>
    </r>
    <r>
      <rPr>
        <b/>
        <sz val="11"/>
        <color theme="1"/>
        <rFont val="Calibri"/>
        <family val="2"/>
        <scheme val="minor"/>
      </rPr>
      <t>/(m²*a)</t>
    </r>
  </si>
  <si>
    <t>Primärenergiebedarf 2020</t>
  </si>
  <si>
    <t>Primärenergiebedarf 2030</t>
  </si>
  <si>
    <t>Indikatoren</t>
  </si>
  <si>
    <t>THG-Emissionen</t>
  </si>
  <si>
    <r>
      <t>kgCO</t>
    </r>
    <r>
      <rPr>
        <b/>
        <vertAlign val="subscript"/>
        <sz val="11"/>
        <color theme="1"/>
        <rFont val="Calibri"/>
        <family val="2"/>
        <scheme val="minor"/>
      </rPr>
      <t>2-eq.</t>
    </r>
    <r>
      <rPr>
        <b/>
        <sz val="11"/>
        <color theme="1"/>
        <rFont val="Calibri"/>
        <family val="2"/>
        <scheme val="minor"/>
      </rPr>
      <t>/(m²*a)</t>
    </r>
  </si>
  <si>
    <t>Primärenergiebedarf</t>
  </si>
  <si>
    <t>Energieträger 2020</t>
  </si>
  <si>
    <r>
      <t>f</t>
    </r>
    <r>
      <rPr>
        <b/>
        <vertAlign val="subscript"/>
        <sz val="11"/>
        <color theme="0" tint="-0.499984740745262"/>
        <rFont val="Calibri"/>
        <family val="2"/>
        <scheme val="minor"/>
      </rPr>
      <t>CO2-equ.</t>
    </r>
  </si>
  <si>
    <r>
      <t>f</t>
    </r>
    <r>
      <rPr>
        <b/>
        <vertAlign val="subscript"/>
        <sz val="11"/>
        <color theme="0" tint="-0.499984740745262"/>
        <rFont val="Calibri"/>
        <family val="2"/>
        <scheme val="minor"/>
      </rPr>
      <t>PE</t>
    </r>
  </si>
  <si>
    <t>kg/kWh</t>
  </si>
  <si>
    <t>kWh/kWh</t>
  </si>
  <si>
    <t>Fernwärme (50% Gas / 50% Biomasse)</t>
  </si>
  <si>
    <t>Pellets (15 kW)</t>
  </si>
  <si>
    <t>Strom (Jahresdurchschnitt 2020)</t>
  </si>
  <si>
    <t>Strom (Winter 2020)</t>
  </si>
  <si>
    <t>Strom (Sommer 2020)</t>
  </si>
  <si>
    <t>Energieträger 2030</t>
  </si>
  <si>
    <t>Fernwärme (100% Biomasse)</t>
  </si>
  <si>
    <t>Strom (Jahresdurchschnitt 2030)</t>
  </si>
  <si>
    <t>Strom (Winter 2030)</t>
  </si>
  <si>
    <t>Strom (Sommer 2030)</t>
  </si>
  <si>
    <t>Vorgehen/Annahmen PHPP-Berechnung</t>
  </si>
  <si>
    <t>PHPP-Berechnungen sind aktuell</t>
  </si>
  <si>
    <t>Energiebezugsfläche im PHPP ident mit Fläche im Kriterienkatalog (automatisch übernommen)</t>
  </si>
  <si>
    <t>Ergebnisse aus PHPP</t>
  </si>
  <si>
    <t>Bezeichnung im PHPP</t>
  </si>
  <si>
    <t>Blatt</t>
  </si>
  <si>
    <t>Zelle</t>
  </si>
  <si>
    <t>Nachweis</t>
  </si>
  <si>
    <t>I34</t>
  </si>
  <si>
    <t>AA26</t>
  </si>
  <si>
    <t>Strombedarf</t>
  </si>
  <si>
    <t>Strom NiWo</t>
  </si>
  <si>
    <t>Summe AE19 - AE40</t>
  </si>
  <si>
    <t>PER</t>
  </si>
  <si>
    <t>T51</t>
  </si>
  <si>
    <t>T30</t>
  </si>
  <si>
    <t>T34</t>
  </si>
  <si>
    <t>T36</t>
  </si>
  <si>
    <t>T48</t>
  </si>
  <si>
    <t>T52</t>
  </si>
  <si>
    <t>Hilfsstrom</t>
  </si>
  <si>
    <t>V16</t>
  </si>
  <si>
    <t>V17</t>
  </si>
  <si>
    <t>V18</t>
  </si>
  <si>
    <t>V20</t>
  </si>
  <si>
    <t>T33</t>
  </si>
  <si>
    <t>T35</t>
  </si>
  <si>
    <t>T21</t>
  </si>
  <si>
    <t>T22</t>
  </si>
  <si>
    <t>T23</t>
  </si>
  <si>
    <t>T24</t>
  </si>
  <si>
    <t>T25</t>
  </si>
  <si>
    <t>T28</t>
  </si>
  <si>
    <t>T39</t>
  </si>
  <si>
    <t>T40</t>
  </si>
  <si>
    <t>T41</t>
  </si>
  <si>
    <t>T42</t>
  </si>
  <si>
    <t>T43</t>
  </si>
  <si>
    <t>T46</t>
  </si>
  <si>
    <r>
      <t>THG</t>
    </r>
    <r>
      <rPr>
        <b/>
        <sz val="11"/>
        <color theme="1"/>
        <rFont val="Calibri"/>
        <family val="2"/>
        <scheme val="minor"/>
      </rPr>
      <t>-Emissionen 2030</t>
    </r>
  </si>
  <si>
    <r>
      <t>Ökostrom / erneuerbarer Überschussstrom [kWh/(m²</t>
    </r>
    <r>
      <rPr>
        <sz val="11"/>
        <color theme="1"/>
        <rFont val="Symbol"/>
        <family val="1"/>
        <charset val="2"/>
      </rPr>
      <t>×</t>
    </r>
    <r>
      <rPr>
        <sz val="11"/>
        <color theme="1"/>
        <rFont val="Calibri"/>
        <family val="2"/>
        <scheme val="minor"/>
      </rPr>
      <t>a)]</t>
    </r>
  </si>
  <si>
    <t>Strom (Jahresdurchschnitt 2014/2015)</t>
  </si>
  <si>
    <t>Vorgehen/Annahmen PV-Berechnung</t>
  </si>
  <si>
    <t>PV-Ertrag ident mit Energieausweis, PHPP oder sonstigen Angaben</t>
  </si>
  <si>
    <t>Hier geht’s zum klimaaktiv Photovoltaik-Rechner</t>
  </si>
  <si>
    <t>PV-Fläche ident mit Energieausweis, PHPP oder sonstigen Angaben; ggf. überschreiben</t>
  </si>
  <si>
    <t>Ergebnisse aus Kriterienkatalog (Reiter RH Wärme-Strom) bzw. PV-Tool</t>
  </si>
  <si>
    <t>Jahresstromertrag 
[kWh/a]</t>
  </si>
  <si>
    <t>Größe PV-Anlage
[m²]</t>
  </si>
  <si>
    <t>PV-Paneel</t>
  </si>
  <si>
    <t>GWP total 
PV-Module
[kg CO2-eq./a]</t>
  </si>
  <si>
    <t>PEE 
PV-Module 
[kWh/a]</t>
  </si>
  <si>
    <t>THG-Emissionen PV-Ertrag</t>
  </si>
  <si>
    <r>
      <t>kg CO</t>
    </r>
    <r>
      <rPr>
        <vertAlign val="subscript"/>
        <sz val="11"/>
        <color theme="1"/>
        <rFont val="Calibri"/>
        <family val="2"/>
        <scheme val="minor"/>
      </rPr>
      <t>2-eq.</t>
    </r>
    <r>
      <rPr>
        <sz val="11"/>
        <color theme="1"/>
        <rFont val="Calibri"/>
        <family val="2"/>
        <scheme val="minor"/>
      </rPr>
      <t>/(m²*a)</t>
    </r>
  </si>
  <si>
    <t>THG-Emissionen Herstellung Modul</t>
  </si>
  <si>
    <r>
      <t>THG</t>
    </r>
    <r>
      <rPr>
        <b/>
        <sz val="11"/>
        <color theme="1"/>
        <rFont val="Calibri"/>
        <family val="2"/>
        <scheme val="minor"/>
      </rPr>
      <t>-Emissionen</t>
    </r>
  </si>
  <si>
    <r>
      <t>kg CO</t>
    </r>
    <r>
      <rPr>
        <b/>
        <vertAlign val="subscript"/>
        <sz val="11"/>
        <color theme="1"/>
        <rFont val="Calibri"/>
        <family val="2"/>
        <scheme val="minor"/>
      </rPr>
      <t>2-eq.</t>
    </r>
    <r>
      <rPr>
        <b/>
        <sz val="11"/>
        <color theme="1"/>
        <rFont val="Calibri"/>
        <family val="2"/>
        <scheme val="minor"/>
      </rPr>
      <t>/(m²*a)</t>
    </r>
  </si>
  <si>
    <t>Primärenergiebedarf PV-Gutschrift</t>
  </si>
  <si>
    <t>Primärenergiebedarf Herstellung Paneel</t>
  </si>
  <si>
    <t>GWP total, 20 Jahre 
[kg CO2-eq./m²]</t>
  </si>
  <si>
    <t>PEE 20 Jahre
[kWh/m²]</t>
  </si>
  <si>
    <t>Spezifische Fläche
[m²/kWp]</t>
  </si>
  <si>
    <t>a-Si</t>
  </si>
  <si>
    <t>CIS</t>
  </si>
  <si>
    <t>mono-Si</t>
  </si>
  <si>
    <t>multi-Si</t>
  </si>
  <si>
    <t>Ribbon-Si</t>
  </si>
  <si>
    <t>Grundlagen für Nachweisführung</t>
  </si>
  <si>
    <t>Nachweis für</t>
  </si>
  <si>
    <t>Geplantes Bauende (Jahr)</t>
  </si>
  <si>
    <t>Graue Energie</t>
  </si>
  <si>
    <t>Betriebsenergie</t>
  </si>
  <si>
    <t>Energie-
bezugsfläche 
[m² EBF]</t>
  </si>
  <si>
    <t>Aufteilung</t>
  </si>
  <si>
    <t>Spezifische Fläche pro Nutzer:in 
(Projekt)
[m²EBF/N]</t>
  </si>
  <si>
    <r>
      <rPr>
        <b/>
        <sz val="11"/>
        <color theme="0" tint="-0.499984740745262"/>
        <rFont val="Symbol"/>
        <family val="1"/>
        <charset val="2"/>
      </rPr>
      <t>Æ</t>
    </r>
    <r>
      <rPr>
        <b/>
        <sz val="11"/>
        <color theme="0" tint="-0.499984740745262"/>
        <rFont val="Calibri"/>
        <family val="2"/>
      </rPr>
      <t xml:space="preserve"> </t>
    </r>
    <r>
      <rPr>
        <b/>
        <sz val="11"/>
        <color theme="0" tint="-0.499984740745262"/>
        <rFont val="Calibri"/>
        <family val="2"/>
        <scheme val="minor"/>
      </rPr>
      <t>Spezifische Fläche pro Nutzer:in (AT)
[m²EBF/N]</t>
    </r>
  </si>
  <si>
    <t>Spezifische Fläche pro Person (Projekt)
[m²EBF/P]</t>
  </si>
  <si>
    <r>
      <rPr>
        <b/>
        <sz val="11"/>
        <color theme="0" tint="-0.499984740745262"/>
        <rFont val="Symbol"/>
        <family val="1"/>
        <charset val="2"/>
      </rPr>
      <t>Æ</t>
    </r>
    <r>
      <rPr>
        <b/>
        <sz val="11"/>
        <color theme="0" tint="-0.499984740745262"/>
        <rFont val="Calibri"/>
        <family val="2"/>
      </rPr>
      <t xml:space="preserve"> </t>
    </r>
    <r>
      <rPr>
        <b/>
        <sz val="11"/>
        <color theme="0" tint="-0.499984740745262"/>
        <rFont val="Calibri"/>
        <family val="2"/>
        <scheme val="minor"/>
      </rPr>
      <t>Spezifische Fläche pro Person 
(AT)
[m²EBF/P]</t>
    </r>
  </si>
  <si>
    <t>Zulässige Abweichung Standort</t>
  </si>
  <si>
    <t>Ergebnis je Berechnungstool</t>
  </si>
  <si>
    <t>THG-E 2020</t>
  </si>
  <si>
    <t>THG-E 2030</t>
  </si>
  <si>
    <t>PEB 2020</t>
  </si>
  <si>
    <t>Mobilität</t>
  </si>
  <si>
    <t>Vergleich THG-Emissionen</t>
  </si>
  <si>
    <t>Min</t>
  </si>
  <si>
    <t>GRENZWERT</t>
  </si>
  <si>
    <t>PROJEKTWERTE</t>
  </si>
  <si>
    <t>THG-E [kg CO2-eq./m²a]</t>
  </si>
  <si>
    <t>PEB ges. [kWh/m²a]</t>
  </si>
  <si>
    <t>2030 adaptiert</t>
  </si>
  <si>
    <t>Abweichung 2030</t>
  </si>
  <si>
    <t>Wohngebäude Graue Energie</t>
  </si>
  <si>
    <r>
      <t>Summe [kg CO</t>
    </r>
    <r>
      <rPr>
        <b/>
        <vertAlign val="subscript"/>
        <sz val="11"/>
        <rFont val="Calibri"/>
        <family val="2"/>
        <scheme val="minor"/>
      </rPr>
      <t>2-eq.</t>
    </r>
    <r>
      <rPr>
        <b/>
        <sz val="11"/>
        <rFont val="Calibri"/>
        <family val="2"/>
        <scheme val="minor"/>
      </rPr>
      <t>/(P*a)]</t>
    </r>
  </si>
  <si>
    <t>Wohngebäude Betriebsenergie</t>
  </si>
  <si>
    <r>
      <t>Summe [kg CO</t>
    </r>
    <r>
      <rPr>
        <b/>
        <vertAlign val="subscript"/>
        <sz val="11"/>
        <color theme="1"/>
        <rFont val="Calibri"/>
        <family val="2"/>
        <scheme val="minor"/>
      </rPr>
      <t>2-eq.</t>
    </r>
    <r>
      <rPr>
        <b/>
        <sz val="11"/>
        <color theme="1"/>
        <rFont val="Calibri"/>
        <family val="2"/>
        <scheme val="minor"/>
      </rPr>
      <t>/(m²</t>
    </r>
    <r>
      <rPr>
        <b/>
        <vertAlign val="subscript"/>
        <sz val="11"/>
        <color theme="1"/>
        <rFont val="Calibri"/>
        <family val="2"/>
        <scheme val="minor"/>
      </rPr>
      <t>EBF</t>
    </r>
    <r>
      <rPr>
        <b/>
        <sz val="11"/>
        <color theme="1"/>
        <rFont val="Calibri"/>
        <family val="2"/>
        <scheme val="minor"/>
      </rPr>
      <t>*a)]</t>
    </r>
  </si>
  <si>
    <t>Wohngebäude Alltagsmobilität</t>
  </si>
  <si>
    <t>Bürogebäude Graue Energie</t>
  </si>
  <si>
    <t>Bürogebäude Betriebsenergie</t>
  </si>
  <si>
    <t>Alltagsmobilität</t>
  </si>
  <si>
    <t>Bürogebäude Alltagsmobilität</t>
  </si>
  <si>
    <t>Min     RICHTWERTE     Max</t>
  </si>
  <si>
    <t>Bildungseinrichtungen Graue Energie</t>
  </si>
  <si>
    <t>Bildungseinrichtungen Betriebsenergie</t>
  </si>
  <si>
    <t>Vergleich Primärenergiebedarf gesamt</t>
  </si>
  <si>
    <t>Bildungseinrichtungen Alltagsmobilität</t>
  </si>
  <si>
    <t>Verkaufsstätten Graue Energie</t>
  </si>
  <si>
    <t>Verkaufsstätten Betriebsenergie</t>
  </si>
  <si>
    <t>Verkaufsstätten Alltagsmobilität</t>
  </si>
  <si>
    <t>Summe [W/(P*a)]</t>
  </si>
  <si>
    <t>Grenzwerte</t>
  </si>
  <si>
    <t>THG-E [kg CO2-eq./P*a]</t>
  </si>
  <si>
    <t>PEB ges. [W/P*a]</t>
  </si>
  <si>
    <r>
      <t>Summe [kWh/(m²</t>
    </r>
    <r>
      <rPr>
        <b/>
        <vertAlign val="subscript"/>
        <sz val="11"/>
        <color theme="1"/>
        <rFont val="Calibri"/>
        <family val="2"/>
        <scheme val="minor"/>
      </rPr>
      <t>EBF</t>
    </r>
    <r>
      <rPr>
        <b/>
        <sz val="11"/>
        <color theme="1"/>
        <rFont val="Calibri"/>
        <family val="2"/>
        <scheme val="minor"/>
      </rPr>
      <t>*a)]</t>
    </r>
  </si>
  <si>
    <t>GRENZWERT-THG [kg CO2-eq./(P*a)]</t>
  </si>
  <si>
    <t>PROJEKTWERT-THG</t>
  </si>
  <si>
    <t>Graue Energie-THG</t>
  </si>
  <si>
    <t>Betriebsenergie-THG</t>
  </si>
  <si>
    <t>Alltagsmobilität-THG</t>
  </si>
  <si>
    <t>PROJEKTWERT-THG-2030</t>
  </si>
  <si>
    <t>Graue Energie-THG-2030</t>
  </si>
  <si>
    <t>Betriebsenergie-THG-2030</t>
  </si>
  <si>
    <t>Alltagsmobilität-THG-2030</t>
  </si>
  <si>
    <t>GRENZWERT-PEB [W/(P*a)]</t>
  </si>
  <si>
    <t>PROJEKTWERT-PEB</t>
  </si>
  <si>
    <t>Graue Energie-PEB</t>
  </si>
  <si>
    <t>Betriebsenergie-PEB</t>
  </si>
  <si>
    <t>Alltagsmobilität-PEB</t>
  </si>
  <si>
    <t>PROJEKTWERT-PEB-2030</t>
  </si>
  <si>
    <t>Graue Energie-PEB-2030</t>
  </si>
  <si>
    <t>Betriebsenergie-PEB-2030</t>
  </si>
  <si>
    <t>Alltagsmobilität-PEB-2030</t>
  </si>
  <si>
    <t>Abweichung THG</t>
  </si>
  <si>
    <t>Abweichung PEB</t>
  </si>
  <si>
    <t>Einsparung</t>
  </si>
  <si>
    <t>THG</t>
  </si>
  <si>
    <t>SUMME [t CO2-eq.]</t>
  </si>
  <si>
    <t>THG-Emissionen [kg CO2-eq./(P*a)]</t>
  </si>
  <si>
    <t>PEB</t>
  </si>
  <si>
    <t>BO</t>
  </si>
  <si>
    <t>Projektwert</t>
  </si>
  <si>
    <t>Grenzwert</t>
  </si>
  <si>
    <t>PEB ges [W/(P*a)]</t>
  </si>
  <si>
    <t>SUMME [MWh]</t>
  </si>
  <si>
    <t>Einsparung THG 
[t CO2-eq./a]</t>
  </si>
  <si>
    <t>Einsparung PEB
[MWh/a]</t>
  </si>
  <si>
    <t>Kriterien Gebäude</t>
  </si>
  <si>
    <t>Maximal mögliche Punkte</t>
  </si>
  <si>
    <t>Schnittstelle Siedlung/Quartier</t>
  </si>
  <si>
    <t>Schnelleinschätzung</t>
  </si>
  <si>
    <t>Einschätzung</t>
  </si>
  <si>
    <t>Produkte und Komponenten haben Umweltzeichen</t>
  </si>
  <si>
    <t>Kältemittel mit GWP kleiner 1.500 kg CO2eq</t>
  </si>
  <si>
    <t>PVC Freiheit für weitere Produktgruppen ist gegeben</t>
  </si>
  <si>
    <t>Ausschluss von besonders besorgniserregenden Substanzen ist gegeben</t>
  </si>
  <si>
    <t>Berechnung in C.6.1</t>
  </si>
  <si>
    <t>Berechnung in Handlungsfeld F</t>
  </si>
  <si>
    <t>Berechnung in A.4.2</t>
  </si>
  <si>
    <t>Berechnung in C.2.3</t>
  </si>
  <si>
    <t>Berechnung in Handlungsfeld E</t>
  </si>
  <si>
    <t>Berechnung in A.5.3</t>
  </si>
  <si>
    <t>A Standort</t>
  </si>
  <si>
    <t>B Energie und Versorgung</t>
  </si>
  <si>
    <t>C Baustoffe und Konstruktion</t>
  </si>
  <si>
    <t>D Komfort und Gesundheit</t>
  </si>
  <si>
    <t>Erreichte Punkte (CIRCA!)</t>
  </si>
  <si>
    <t>Qualitätssicherung und Verbrauchsprognose</t>
  </si>
  <si>
    <t>Berechnung in D.1.1</t>
  </si>
  <si>
    <t>Wirtschaftlichkeitsberechnung</t>
  </si>
  <si>
    <t>Berechnung in Graue Energie</t>
  </si>
  <si>
    <t>Tageslichtquotient ist größer 2%</t>
  </si>
  <si>
    <r>
      <t xml:space="preserve">Angebote des täglichen Bedarfs </t>
    </r>
    <r>
      <rPr>
        <sz val="11"/>
        <color rgb="FFFF0000"/>
        <rFont val="Calibri"/>
        <family val="2"/>
        <scheme val="minor"/>
      </rPr>
      <t>(M)</t>
    </r>
  </si>
  <si>
    <r>
      <t xml:space="preserve">ÖPNV </t>
    </r>
    <r>
      <rPr>
        <sz val="11"/>
        <color rgb="FFFF0000"/>
        <rFont val="Calibri"/>
        <family val="2"/>
        <scheme val="minor"/>
      </rPr>
      <t>(M)</t>
    </r>
    <r>
      <rPr>
        <sz val="11"/>
        <color theme="1"/>
        <rFont val="Calibri"/>
        <family val="2"/>
        <scheme val="minor"/>
      </rPr>
      <t>, Radverkehr, Elektromobilität</t>
    </r>
  </si>
  <si>
    <r>
      <t xml:space="preserve">Wärmeversorgung </t>
    </r>
    <r>
      <rPr>
        <sz val="11"/>
        <color rgb="FFFF0000"/>
        <rFont val="Calibri"/>
        <family val="2"/>
        <scheme val="minor"/>
      </rPr>
      <t>(M)</t>
    </r>
  </si>
  <si>
    <r>
      <t xml:space="preserve">Energieverbrauchsmonitoring </t>
    </r>
    <r>
      <rPr>
        <sz val="11"/>
        <color rgb="FFFF0000"/>
        <rFont val="Calibri"/>
        <family val="2"/>
        <scheme val="minor"/>
      </rPr>
      <t>(M)</t>
    </r>
  </si>
  <si>
    <r>
      <t xml:space="preserve">Gebäudehülle wird luftdicht ausgeführt </t>
    </r>
    <r>
      <rPr>
        <sz val="11"/>
        <color rgb="FFFF0000"/>
        <rFont val="Calibri"/>
        <family val="2"/>
        <scheme val="minor"/>
      </rPr>
      <t>(M)</t>
    </r>
  </si>
  <si>
    <r>
      <t xml:space="preserve">Klimaschädliche Substanzen werden ausgeschlossen </t>
    </r>
    <r>
      <rPr>
        <sz val="11"/>
        <color rgb="FFFF0000"/>
        <rFont val="Calibri"/>
        <family val="2"/>
        <scheme val="minor"/>
      </rPr>
      <t>(M)</t>
    </r>
  </si>
  <si>
    <r>
      <t xml:space="preserve">PVC für Boden und Wandbeläge wird ausgeschlossen </t>
    </r>
    <r>
      <rPr>
        <sz val="11"/>
        <color rgb="FFFF0000"/>
        <rFont val="Calibri"/>
        <family val="2"/>
        <scheme val="minor"/>
      </rPr>
      <t>(M)</t>
    </r>
  </si>
  <si>
    <r>
      <t xml:space="preserve">Ökoindex OI3 </t>
    </r>
    <r>
      <rPr>
        <sz val="11"/>
        <color rgb="FFFF0000"/>
        <rFont val="Calibri"/>
        <family val="2"/>
        <scheme val="minor"/>
      </rPr>
      <t>(M)</t>
    </r>
    <r>
      <rPr>
        <sz val="11"/>
        <color theme="1"/>
        <rFont val="Calibri"/>
        <family val="2"/>
        <scheme val="minor"/>
      </rPr>
      <t>, Entsorgungsindikator, Kreislauffähigkeit und Rückbaukonzept</t>
    </r>
  </si>
  <si>
    <r>
      <t xml:space="preserve">Thermischer Komfort im Sommer ist gegeben </t>
    </r>
    <r>
      <rPr>
        <sz val="11"/>
        <color rgb="FFFF0000"/>
        <rFont val="Calibri"/>
        <family val="2"/>
        <scheme val="minor"/>
      </rPr>
      <t>(M)</t>
    </r>
  </si>
  <si>
    <r>
      <t xml:space="preserve">Eine hohe Raumluftqualität wird sichergestellt (Lüftung </t>
    </r>
    <r>
      <rPr>
        <sz val="11"/>
        <color rgb="FFFF0000"/>
        <rFont val="Calibri"/>
        <family val="2"/>
        <scheme val="minor"/>
      </rPr>
      <t>(M)</t>
    </r>
    <r>
      <rPr>
        <sz val="11"/>
        <color theme="1"/>
        <rFont val="Calibri"/>
        <family val="2"/>
        <scheme val="minor"/>
      </rPr>
      <t>, Produktmanagement, Messung Formaldehyd und VOC)</t>
    </r>
  </si>
  <si>
    <t>Im Reiter "Qualitätsprüfung" - Spalte J - Kategorie aus Pull-Down auswählen</t>
  </si>
  <si>
    <t>Siedlungscheck</t>
  </si>
  <si>
    <t>Alternative Variante schnell berechnen</t>
  </si>
  <si>
    <t>Detailergebisse alternativer Varianten</t>
  </si>
  <si>
    <t>Detailergebnisse alternativer Variantenberechnungen</t>
  </si>
  <si>
    <t>Portfolio</t>
  </si>
  <si>
    <t>Bezeichnung Projekt</t>
  </si>
  <si>
    <t>Projekt 1</t>
  </si>
  <si>
    <t>Projekt 2</t>
  </si>
  <si>
    <t>Projekt 3</t>
  </si>
  <si>
    <t>Projekt 4</t>
  </si>
  <si>
    <t>Projekt 5</t>
  </si>
  <si>
    <t>Porfolio</t>
  </si>
  <si>
    <t>Anteil Bezugsfäche [%]</t>
  </si>
  <si>
    <t>Detailergebnisse der einzelnen Projekte</t>
  </si>
  <si>
    <t>Gesamtergebnis</t>
  </si>
  <si>
    <t>Projekt 6</t>
  </si>
  <si>
    <t>Projekt 7</t>
  </si>
  <si>
    <t>Projekt 8</t>
  </si>
  <si>
    <t>Projekt 9</t>
  </si>
  <si>
    <t>Projekt 10</t>
  </si>
  <si>
    <t>Heizwärmebedarf lt. Energieausweis [kWh/(m²a)]</t>
  </si>
  <si>
    <t>Schutzstatus des Gebäudes</t>
  </si>
  <si>
    <t>Durchgeführte/geplante thermische Sanierung, Instandhaltungs- oder Ausbaumaßnahme</t>
  </si>
  <si>
    <t>Zustand der Bauteile sowie Sanierungspotential</t>
  </si>
  <si>
    <t>Soziale Besonderheiten</t>
  </si>
  <si>
    <t>Einschätzung zu Vermietdauer, Nutzung und Leerstand</t>
  </si>
  <si>
    <t>Verwertungsabsicht</t>
  </si>
  <si>
    <t xml:space="preserve">Optional für Portfolioanalyse </t>
  </si>
  <si>
    <t>Bestand</t>
  </si>
  <si>
    <t>Bestandsanalyse</t>
  </si>
  <si>
    <r>
      <t xml:space="preserve">Name Fußweg </t>
    </r>
    <r>
      <rPr>
        <b/>
        <sz val="11"/>
        <color theme="1"/>
        <rFont val="Calibri"/>
        <family val="2"/>
        <scheme val="minor"/>
      </rPr>
      <t>innerhalb</t>
    </r>
    <r>
      <rPr>
        <sz val="11"/>
        <color theme="1"/>
        <rFont val="Calibri"/>
        <family val="2"/>
        <scheme val="minor"/>
      </rPr>
      <t xml:space="preserve"> des Areals</t>
    </r>
  </si>
  <si>
    <r>
      <t xml:space="preserve">Name Fußweg </t>
    </r>
    <r>
      <rPr>
        <b/>
        <sz val="11"/>
        <color theme="1"/>
        <rFont val="Calibri"/>
        <family val="2"/>
        <scheme val="minor"/>
      </rPr>
      <t>außerhalb</t>
    </r>
    <r>
      <rPr>
        <sz val="11"/>
        <color theme="1"/>
        <rFont val="Calibri"/>
        <family val="2"/>
        <scheme val="minor"/>
      </rPr>
      <t xml:space="preserve"> des Areals</t>
    </r>
  </si>
  <si>
    <r>
      <t xml:space="preserve">Name Radweg </t>
    </r>
    <r>
      <rPr>
        <b/>
        <sz val="11"/>
        <color theme="1"/>
        <rFont val="Calibri"/>
        <family val="2"/>
        <scheme val="minor"/>
      </rPr>
      <t>innerhalb</t>
    </r>
    <r>
      <rPr>
        <sz val="11"/>
        <color theme="1"/>
        <rFont val="Calibri"/>
        <family val="2"/>
        <scheme val="minor"/>
      </rPr>
      <t xml:space="preserve"> des Areals</t>
    </r>
  </si>
  <si>
    <r>
      <t xml:space="preserve">Name Radweg </t>
    </r>
    <r>
      <rPr>
        <b/>
        <sz val="11"/>
        <color theme="1"/>
        <rFont val="Calibri"/>
        <family val="2"/>
        <scheme val="minor"/>
      </rPr>
      <t>außerhalb</t>
    </r>
    <r>
      <rPr>
        <sz val="11"/>
        <color theme="1"/>
        <rFont val="Calibri"/>
        <family val="2"/>
        <scheme val="minor"/>
      </rPr>
      <t xml:space="preserve"> des Areals</t>
    </r>
  </si>
  <si>
    <t>Anteil älter 6J</t>
  </si>
  <si>
    <t>Qualität durch Bauträger beinflussbar</t>
  </si>
  <si>
    <t>Qualität durch Gemeinde beinflussbar</t>
  </si>
  <si>
    <t>Qualität durch StGr. beeinflussbar</t>
  </si>
  <si>
    <t>Potential/Qualität Standort</t>
  </si>
  <si>
    <t>Kleinere Fehler ausgebessert</t>
  </si>
  <si>
    <t>Integration Zielgruppenauswertung (ZG)</t>
  </si>
  <si>
    <t>Gebäudebezeichnung</t>
  </si>
  <si>
    <t>Version 11/2024</t>
  </si>
  <si>
    <t>Änderungen gegenüber der Version 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</si>
</sst>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 #,##0;[Red]\-&quot;€&quot;\ #,##0"/>
    <numFmt numFmtId="44" formatCode="_-&quot;€&quot;\ * #,##0.00_-;\-&quot;€&quot;\ * #,##0.00_-;_-&quot;€&quot;\ * &quot;-&quot;??_-;_-@_-"/>
    <numFmt numFmtId="164" formatCode="0.0"/>
    <numFmt numFmtId="165" formatCode="_-&quot;€&quot;\ * #,##0_-;\-&quot;€&quot;\ * #,##0_-;_-&quot;€&quot;\ * &quot;-&quot;??_-;_-@_-"/>
    <numFmt numFmtId="166" formatCode="#,##0.0"/>
    <numFmt numFmtId="167" formatCode="0.000"/>
    <numFmt numFmtId="168" formatCode="0.0%"/>
  </numFmts>
  <fonts count="101" x14ac:knownFonts="1">
    <font>
      <sz val="11"/>
      <color theme="1"/>
      <name val="Trebuchet MS"/>
      <family val="2"/>
    </font>
    <font>
      <sz val="11"/>
      <color theme="1"/>
      <name val="Calibri"/>
      <family val="2"/>
      <scheme val="minor"/>
    </font>
    <font>
      <sz val="11"/>
      <color theme="1"/>
      <name val="Trebuchet MS"/>
      <family val="2"/>
    </font>
    <font>
      <u/>
      <sz val="11"/>
      <color theme="10"/>
      <name val="Trebuchet MS"/>
      <family val="2"/>
    </font>
    <font>
      <sz val="11"/>
      <name val="Arial"/>
      <family val="2"/>
    </font>
    <font>
      <sz val="10"/>
      <name val="Arial"/>
      <family val="2"/>
    </font>
    <font>
      <sz val="11"/>
      <color theme="1"/>
      <name val="Calibri"/>
      <family val="2"/>
      <scheme val="minor"/>
    </font>
    <font>
      <b/>
      <sz val="16"/>
      <name val="Calibri"/>
      <family val="2"/>
      <scheme val="minor"/>
    </font>
    <font>
      <sz val="11"/>
      <name val="Calibri"/>
      <family val="2"/>
      <scheme val="minor"/>
    </font>
    <font>
      <b/>
      <sz val="11"/>
      <color theme="1"/>
      <name val="Calibri"/>
      <family val="2"/>
      <scheme val="minor"/>
    </font>
    <font>
      <sz val="11"/>
      <color theme="0" tint="-0.249977111117893"/>
      <name val="Calibri"/>
      <family val="2"/>
      <scheme val="minor"/>
    </font>
    <font>
      <sz val="11"/>
      <color rgb="FF135F8E"/>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i/>
      <sz val="11"/>
      <color theme="1"/>
      <name val="Calibri"/>
      <family val="2"/>
      <scheme val="minor"/>
    </font>
    <font>
      <sz val="11"/>
      <color theme="0"/>
      <name val="Calibri"/>
      <family val="2"/>
      <scheme val="minor"/>
    </font>
    <font>
      <sz val="16"/>
      <color theme="10"/>
      <name val="Calibri"/>
      <family val="2"/>
      <scheme val="minor"/>
    </font>
    <font>
      <sz val="16"/>
      <name val="Calibri"/>
      <family val="2"/>
      <scheme val="minor"/>
    </font>
    <font>
      <sz val="16"/>
      <color theme="1"/>
      <name val="Calibri"/>
      <family val="2"/>
      <scheme val="minor"/>
    </font>
    <font>
      <sz val="14"/>
      <name val="Calibri"/>
      <family val="2"/>
      <scheme val="minor"/>
    </font>
    <font>
      <b/>
      <sz val="14"/>
      <name val="Calibri"/>
      <family val="2"/>
      <scheme val="minor"/>
    </font>
    <font>
      <sz val="14"/>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sz val="12"/>
      <color theme="10"/>
      <name val="Calibri"/>
      <family val="2"/>
      <scheme val="minor"/>
    </font>
    <font>
      <b/>
      <u/>
      <sz val="11"/>
      <color theme="1"/>
      <name val="Calibri"/>
      <family val="2"/>
      <scheme val="minor"/>
    </font>
    <font>
      <b/>
      <u/>
      <sz val="10"/>
      <color theme="1"/>
      <name val="Calibri"/>
      <family val="2"/>
      <scheme val="minor"/>
    </font>
    <font>
      <b/>
      <u/>
      <sz val="11"/>
      <name val="Calibri"/>
      <family val="2"/>
      <scheme val="minor"/>
    </font>
    <font>
      <u/>
      <sz val="11"/>
      <color theme="10"/>
      <name val="Calibri"/>
      <family val="2"/>
      <scheme val="minor"/>
    </font>
    <font>
      <b/>
      <sz val="9"/>
      <color theme="1"/>
      <name val="Calibri"/>
      <family val="2"/>
      <scheme val="minor"/>
    </font>
    <font>
      <sz val="9"/>
      <color theme="1"/>
      <name val="Calibri"/>
      <family val="2"/>
      <scheme val="minor"/>
    </font>
    <font>
      <b/>
      <i/>
      <sz val="10"/>
      <color theme="1"/>
      <name val="Calibri"/>
      <family val="2"/>
      <scheme val="minor"/>
    </font>
    <font>
      <b/>
      <sz val="11"/>
      <color rgb="FFFF0000"/>
      <name val="Calibri"/>
      <family val="2"/>
      <scheme val="minor"/>
    </font>
    <font>
      <sz val="10"/>
      <color theme="0" tint="-0.249977111117893"/>
      <name val="Calibri"/>
      <family val="2"/>
      <scheme val="minor"/>
    </font>
    <font>
      <sz val="10"/>
      <name val="Calibri"/>
      <family val="2"/>
      <scheme val="minor"/>
    </font>
    <font>
      <b/>
      <i/>
      <sz val="10"/>
      <name val="Calibri"/>
      <family val="2"/>
      <scheme val="minor"/>
    </font>
    <font>
      <u/>
      <sz val="10"/>
      <color theme="1"/>
      <name val="Calibri"/>
      <family val="2"/>
      <scheme val="minor"/>
    </font>
    <font>
      <i/>
      <sz val="10"/>
      <color theme="1"/>
      <name val="Calibri"/>
      <family val="2"/>
      <scheme val="minor"/>
    </font>
    <font>
      <b/>
      <sz val="11"/>
      <name val="Calibri"/>
      <family val="2"/>
      <scheme val="minor"/>
    </font>
    <font>
      <sz val="9"/>
      <name val="Calibri"/>
      <family val="2"/>
      <scheme val="minor"/>
    </font>
    <font>
      <b/>
      <i/>
      <sz val="9"/>
      <color theme="1"/>
      <name val="Calibri"/>
      <family val="2"/>
      <scheme val="minor"/>
    </font>
    <font>
      <i/>
      <sz val="9"/>
      <color theme="1"/>
      <name val="Calibri"/>
      <family val="2"/>
      <scheme val="minor"/>
    </font>
    <font>
      <b/>
      <sz val="11"/>
      <color theme="0" tint="-0.249977111117893"/>
      <name val="Calibri"/>
      <family val="2"/>
      <scheme val="minor"/>
    </font>
    <font>
      <b/>
      <sz val="10"/>
      <color theme="0" tint="-0.249977111117893"/>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b/>
      <sz val="10"/>
      <color theme="0" tint="-4.9989318521683403E-2"/>
      <name val="Calibri"/>
      <family val="2"/>
      <scheme val="minor"/>
    </font>
    <font>
      <sz val="18"/>
      <name val="Calibri"/>
      <family val="2"/>
      <scheme val="minor"/>
    </font>
    <font>
      <sz val="11"/>
      <color theme="0" tint="-4.9989318521683403E-2"/>
      <name val="Calibri"/>
      <family val="2"/>
      <scheme val="minor"/>
    </font>
    <font>
      <b/>
      <sz val="16"/>
      <color theme="0"/>
      <name val="Calibri"/>
      <family val="2"/>
      <scheme val="minor"/>
    </font>
    <font>
      <b/>
      <sz val="10"/>
      <name val="Calibri"/>
      <family val="2"/>
      <scheme val="minor"/>
    </font>
    <font>
      <i/>
      <sz val="10"/>
      <name val="Calibri"/>
      <family val="2"/>
      <scheme val="minor"/>
    </font>
    <font>
      <b/>
      <sz val="11"/>
      <color theme="1" tint="4.9989318521683403E-2"/>
      <name val="Calibri"/>
      <family val="2"/>
      <scheme val="minor"/>
    </font>
    <font>
      <b/>
      <sz val="16"/>
      <name val="Wingdings"/>
      <charset val="2"/>
    </font>
    <font>
      <sz val="11"/>
      <name val="Wingdings"/>
      <charset val="2"/>
    </font>
    <font>
      <sz val="12"/>
      <color theme="0" tint="-0.34998626667073579"/>
      <name val="Wingdings"/>
      <charset val="2"/>
    </font>
    <font>
      <sz val="9"/>
      <color theme="1"/>
      <name val="Trebuchet MS"/>
      <family val="2"/>
    </font>
    <font>
      <sz val="9"/>
      <color theme="0" tint="-0.499984740745262"/>
      <name val="Calibri"/>
      <family val="2"/>
      <scheme val="minor"/>
    </font>
    <font>
      <sz val="9"/>
      <color indexed="81"/>
      <name val="Segoe UI"/>
      <family val="2"/>
    </font>
    <font>
      <sz val="11"/>
      <color rgb="FFFF0000"/>
      <name val="Calibri"/>
      <family val="2"/>
      <scheme val="minor"/>
    </font>
    <font>
      <b/>
      <sz val="10"/>
      <color rgb="FFFF0000"/>
      <name val="Calibri"/>
      <family val="2"/>
      <scheme val="minor"/>
    </font>
    <font>
      <b/>
      <sz val="12"/>
      <name val="Calibri"/>
      <family val="2"/>
      <scheme val="minor"/>
    </font>
    <font>
      <sz val="11"/>
      <color theme="1"/>
      <name val="Symbol"/>
      <family val="1"/>
      <charset val="2"/>
    </font>
    <font>
      <sz val="11"/>
      <color theme="1"/>
      <name val="Calibri"/>
      <family val="2"/>
    </font>
    <font>
      <b/>
      <sz val="11"/>
      <color theme="1"/>
      <name val="Symbol"/>
      <family val="1"/>
      <charset val="2"/>
    </font>
    <font>
      <b/>
      <sz val="11"/>
      <color theme="1"/>
      <name val="Calibri"/>
      <family val="2"/>
    </font>
    <font>
      <sz val="11"/>
      <color theme="0" tint="-0.499984740745262"/>
      <name val="Symbol"/>
      <family val="1"/>
      <charset val="2"/>
    </font>
    <font>
      <b/>
      <i/>
      <sz val="11"/>
      <color theme="1"/>
      <name val="Calibri"/>
      <family val="2"/>
      <scheme val="minor"/>
    </font>
    <font>
      <b/>
      <sz val="14"/>
      <color theme="0"/>
      <name val="Calibri"/>
      <family val="2"/>
      <scheme val="minor"/>
    </font>
    <font>
      <b/>
      <sz val="12"/>
      <color theme="0"/>
      <name val="Calibri"/>
      <family val="2"/>
      <scheme val="minor"/>
    </font>
    <font>
      <b/>
      <sz val="16"/>
      <color theme="0"/>
      <name val="Wingdings"/>
      <charset val="2"/>
    </font>
    <font>
      <b/>
      <sz val="16"/>
      <color rgb="FFFF0000"/>
      <name val="Calibri"/>
      <family val="2"/>
      <scheme val="minor"/>
    </font>
    <font>
      <b/>
      <u/>
      <sz val="11"/>
      <color rgb="FFFF0000"/>
      <name val="Calibri"/>
      <family val="2"/>
      <scheme val="minor"/>
    </font>
    <font>
      <sz val="10"/>
      <color theme="0" tint="-0.499984740745262"/>
      <name val="Calibri"/>
      <family val="2"/>
      <scheme val="minor"/>
    </font>
    <font>
      <b/>
      <sz val="12"/>
      <color rgb="FFCA0237"/>
      <name val="Calibri"/>
      <family val="2"/>
      <scheme val="minor"/>
    </font>
    <font>
      <sz val="10"/>
      <color rgb="FFFF0000"/>
      <name val="Calibri"/>
      <family val="2"/>
      <scheme val="minor"/>
    </font>
    <font>
      <sz val="10"/>
      <name val="Trebuchet MS"/>
      <family val="2"/>
    </font>
    <font>
      <b/>
      <sz val="9"/>
      <color rgb="FFFF0000"/>
      <name val="Calibri"/>
      <family val="2"/>
      <scheme val="minor"/>
    </font>
    <font>
      <sz val="11"/>
      <color theme="0" tint="-0.14999847407452621"/>
      <name val="Calibri"/>
      <family val="2"/>
      <scheme val="minor"/>
    </font>
    <font>
      <b/>
      <sz val="11"/>
      <color theme="0" tint="-0.499984740745262"/>
      <name val="Symbol"/>
      <family val="1"/>
      <charset val="2"/>
    </font>
    <font>
      <b/>
      <sz val="11"/>
      <color theme="0" tint="-0.499984740745262"/>
      <name val="Calibri"/>
      <family val="2"/>
    </font>
    <font>
      <b/>
      <sz val="11"/>
      <color theme="0" tint="-0.14999847407452621"/>
      <name val="Calibri"/>
      <family val="2"/>
      <scheme val="minor"/>
    </font>
    <font>
      <sz val="14"/>
      <color theme="0" tint="-0.499984740745262"/>
      <name val="Calibri"/>
      <family val="2"/>
      <scheme val="minor"/>
    </font>
    <font>
      <b/>
      <sz val="14"/>
      <color theme="0" tint="-0.499984740745262"/>
      <name val="Calibri"/>
      <family val="2"/>
      <scheme val="minor"/>
    </font>
    <font>
      <b/>
      <u/>
      <sz val="11"/>
      <color rgb="FFE6320F"/>
      <name val="Calibri"/>
      <family val="2"/>
      <scheme val="minor"/>
    </font>
    <font>
      <b/>
      <sz val="9"/>
      <color indexed="81"/>
      <name val="Segoe UI"/>
      <family val="2"/>
    </font>
    <font>
      <sz val="18"/>
      <color theme="1"/>
      <name val="Calibri"/>
      <family val="2"/>
      <scheme val="minor"/>
    </font>
    <font>
      <b/>
      <vertAlign val="subscript"/>
      <sz val="11"/>
      <color theme="1"/>
      <name val="Calibri"/>
      <family val="2"/>
      <scheme val="minor"/>
    </font>
    <font>
      <b/>
      <vertAlign val="subscript"/>
      <sz val="11"/>
      <color theme="0" tint="-0.499984740745262"/>
      <name val="Calibri"/>
      <family val="2"/>
      <scheme val="minor"/>
    </font>
    <font>
      <vertAlign val="subscript"/>
      <sz val="11"/>
      <color theme="1"/>
      <name val="Calibri"/>
      <family val="2"/>
      <scheme val="minor"/>
    </font>
    <font>
      <i/>
      <sz val="11"/>
      <color theme="0" tint="-0.499984740745262"/>
      <name val="Calibri"/>
      <family val="2"/>
      <scheme val="minor"/>
    </font>
    <font>
      <sz val="14"/>
      <color theme="0"/>
      <name val="Calibri"/>
      <family val="2"/>
      <scheme val="minor"/>
    </font>
    <font>
      <b/>
      <vertAlign val="subscript"/>
      <sz val="11"/>
      <name val="Calibri"/>
      <family val="2"/>
      <scheme val="minor"/>
    </font>
    <font>
      <b/>
      <u/>
      <sz val="16"/>
      <color theme="10"/>
      <name val="Calibri"/>
      <family val="2"/>
      <scheme val="minor"/>
    </font>
    <font>
      <sz val="11"/>
      <color rgb="FF00B0F0"/>
      <name val="Calibri"/>
      <family val="2"/>
      <scheme val="minor"/>
    </font>
    <font>
      <sz val="11"/>
      <color rgb="FFF59C00"/>
      <name val="Calibri"/>
      <family val="2"/>
      <scheme val="minor"/>
    </font>
    <font>
      <sz val="11"/>
      <color rgb="FF471D7A"/>
      <name val="Calibri"/>
      <family val="2"/>
      <scheme val="minor"/>
    </font>
  </fonts>
  <fills count="5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rgb="FFFFFF99"/>
        <bgColor indexed="64"/>
      </patternFill>
    </fill>
    <fill>
      <patternFill patternType="solid">
        <fgColor rgb="FFCCFF99"/>
        <bgColor indexed="64"/>
      </patternFill>
    </fill>
    <fill>
      <patternFill patternType="solid">
        <fgColor rgb="FF66FF66"/>
        <bgColor indexed="64"/>
      </patternFill>
    </fill>
    <fill>
      <patternFill patternType="solid">
        <fgColor rgb="FFCCFFFF"/>
        <bgColor indexed="64"/>
      </patternFill>
    </fill>
    <fill>
      <patternFill patternType="solid">
        <fgColor rgb="FFFFCCFF"/>
        <bgColor indexed="64"/>
      </patternFill>
    </fill>
    <fill>
      <patternFill patternType="solid">
        <fgColor theme="5" tint="0.79998168889431442"/>
        <bgColor indexed="64"/>
      </patternFill>
    </fill>
    <fill>
      <patternFill patternType="solid">
        <fgColor indexed="22"/>
      </patternFill>
    </fill>
    <fill>
      <patternFill patternType="solid">
        <fgColor rgb="FFFFFFCC"/>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8C00"/>
        <bgColor indexed="64"/>
      </patternFill>
    </fill>
    <fill>
      <patternFill patternType="solid">
        <fgColor rgb="FF1F00CC"/>
        <bgColor indexed="64"/>
      </patternFill>
    </fill>
    <fill>
      <patternFill patternType="solid">
        <fgColor rgb="FFA6FF00"/>
        <bgColor indexed="64"/>
      </patternFill>
    </fill>
    <fill>
      <patternFill patternType="solid">
        <fgColor rgb="FFFFD900"/>
        <bgColor indexed="64"/>
      </patternFill>
    </fill>
    <fill>
      <patternFill patternType="solid">
        <fgColor rgb="FF59FF40"/>
        <bgColor indexed="64"/>
      </patternFill>
    </fill>
    <fill>
      <patternFill patternType="solid">
        <fgColor rgb="FF4DA6FF"/>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rgb="FFFF0000"/>
        <bgColor indexed="64"/>
      </patternFill>
    </fill>
    <fill>
      <patternFill patternType="solid">
        <fgColor rgb="FF009999"/>
        <bgColor indexed="64"/>
      </patternFill>
    </fill>
    <fill>
      <patternFill patternType="solid">
        <fgColor rgb="FF99CCFF"/>
        <bgColor indexed="64"/>
      </patternFill>
    </fill>
    <fill>
      <patternFill patternType="solid">
        <fgColor theme="9" tint="-0.499984740745262"/>
        <bgColor indexed="64"/>
      </patternFill>
    </fill>
    <fill>
      <patternFill patternType="solid">
        <fgColor theme="8" tint="0.79998168889431442"/>
        <bgColor indexed="64"/>
      </patternFill>
    </fill>
    <fill>
      <patternFill patternType="solid">
        <fgColor theme="6" tint="0.59999389629810485"/>
        <bgColor indexed="64"/>
      </patternFill>
    </fill>
    <fill>
      <patternFill patternType="lightUp">
        <fgColor rgb="FF0070C0"/>
      </patternFill>
    </fill>
    <fill>
      <patternFill patternType="lightUp">
        <fgColor rgb="FF00B0F0"/>
      </patternFill>
    </fill>
    <fill>
      <patternFill patternType="lightUp">
        <fgColor rgb="FF7030A0"/>
        <bgColor auto="1"/>
      </patternFill>
    </fill>
    <fill>
      <patternFill patternType="lightUp">
        <fgColor rgb="FF00B050"/>
      </patternFill>
    </fill>
    <fill>
      <patternFill patternType="lightUp">
        <fgColor rgb="FF92D050"/>
      </patternFill>
    </fill>
    <fill>
      <patternFill patternType="lightUp">
        <fgColor rgb="FFFFFF00"/>
      </patternFill>
    </fill>
    <fill>
      <patternFill patternType="lightUp">
        <fgColor rgb="FFFFC000"/>
        <bgColor auto="1"/>
      </patternFill>
    </fill>
    <fill>
      <patternFill patternType="lightUp">
        <fgColor rgb="FFFF0000"/>
        <bgColor auto="1"/>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bgColor indexed="64"/>
      </patternFill>
    </fill>
    <fill>
      <patternFill patternType="solid">
        <fgColor rgb="FFCA0237"/>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theme="1"/>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xf numFmtId="44" fontId="2" fillId="0" borderId="0" applyFont="0" applyFill="0" applyBorder="0" applyAlignment="0" applyProtection="0"/>
    <xf numFmtId="0" fontId="5" fillId="0" borderId="0"/>
  </cellStyleXfs>
  <cellXfs count="1778">
    <xf numFmtId="0" fontId="0" fillId="0" borderId="0" xfId="0"/>
    <xf numFmtId="0" fontId="6" fillId="2" borderId="0" xfId="0" applyFont="1" applyFill="1"/>
    <xf numFmtId="0" fontId="6" fillId="2" borderId="0" xfId="0" applyFont="1" applyFill="1" applyAlignment="1">
      <alignment vertical="top"/>
    </xf>
    <xf numFmtId="0" fontId="6" fillId="0" borderId="0" xfId="0" applyFont="1" applyAlignment="1">
      <alignment vertical="top"/>
    </xf>
    <xf numFmtId="0" fontId="7" fillId="2" borderId="0" xfId="0" applyFont="1" applyFill="1" applyAlignment="1">
      <alignment vertical="top" wrapText="1"/>
    </xf>
    <xf numFmtId="0" fontId="8" fillId="2" borderId="0" xfId="0" applyFont="1" applyFill="1" applyAlignment="1">
      <alignment vertical="top" wrapText="1"/>
    </xf>
    <xf numFmtId="0" fontId="6" fillId="2" borderId="0" xfId="0" applyFont="1" applyFill="1" applyAlignment="1">
      <alignment vertical="top" wrapText="1"/>
    </xf>
    <xf numFmtId="0" fontId="10" fillId="2" borderId="0" xfId="0" applyFont="1" applyFill="1" applyAlignment="1">
      <alignment vertical="top" wrapText="1"/>
    </xf>
    <xf numFmtId="0" fontId="11" fillId="2" borderId="0" xfId="0" applyFont="1" applyFill="1" applyAlignment="1">
      <alignment vertical="top"/>
    </xf>
    <xf numFmtId="0" fontId="6" fillId="0" borderId="0" xfId="0" applyFont="1"/>
    <xf numFmtId="0" fontId="12" fillId="2" borderId="9" xfId="0" applyFont="1" applyFill="1" applyBorder="1" applyAlignment="1">
      <alignment vertical="top" wrapText="1"/>
    </xf>
    <xf numFmtId="0" fontId="6" fillId="2" borderId="0" xfId="0" applyFont="1" applyFill="1" applyBorder="1" applyAlignment="1">
      <alignment vertical="top" wrapText="1"/>
    </xf>
    <xf numFmtId="0" fontId="9" fillId="2" borderId="0" xfId="0" applyFont="1" applyFill="1" applyBorder="1" applyAlignment="1">
      <alignment vertical="top" wrapText="1"/>
    </xf>
    <xf numFmtId="0" fontId="6" fillId="6" borderId="0" xfId="0" applyFont="1" applyFill="1" applyAlignment="1">
      <alignment vertical="top" wrapText="1"/>
    </xf>
    <xf numFmtId="0" fontId="6" fillId="22" borderId="0" xfId="0" applyFont="1" applyFill="1" applyAlignment="1">
      <alignment vertical="top" wrapText="1"/>
    </xf>
    <xf numFmtId="0" fontId="6" fillId="18" borderId="0" xfId="0" applyFont="1" applyFill="1" applyAlignment="1">
      <alignment vertical="top" wrapText="1"/>
    </xf>
    <xf numFmtId="0" fontId="12" fillId="2" borderId="0" xfId="0" applyFont="1" applyFill="1"/>
    <xf numFmtId="0" fontId="6" fillId="2" borderId="0" xfId="0" applyFont="1" applyFill="1" applyAlignment="1">
      <alignment horizontal="left" vertical="top"/>
    </xf>
    <xf numFmtId="0" fontId="6" fillId="2" borderId="0" xfId="0" applyFont="1" applyFill="1" applyAlignment="1">
      <alignment horizontal="center" vertical="center"/>
    </xf>
    <xf numFmtId="0" fontId="6" fillId="2" borderId="0" xfId="0" applyFont="1" applyFill="1" applyAlignment="1">
      <alignment wrapText="1"/>
    </xf>
    <xf numFmtId="0" fontId="6" fillId="2" borderId="1" xfId="0" applyFont="1" applyFill="1" applyBorder="1"/>
    <xf numFmtId="0" fontId="6" fillId="6" borderId="1" xfId="0" applyFont="1" applyFill="1" applyBorder="1" applyAlignment="1">
      <alignment horizontal="left" vertical="top"/>
    </xf>
    <xf numFmtId="0" fontId="6" fillId="22" borderId="1" xfId="0" applyFont="1" applyFill="1" applyBorder="1" applyAlignment="1">
      <alignment horizontal="left" vertical="top"/>
    </xf>
    <xf numFmtId="0" fontId="6" fillId="2" borderId="0" xfId="0" applyFont="1" applyFill="1" applyBorder="1" applyAlignment="1">
      <alignment horizontal="center" vertical="center"/>
    </xf>
    <xf numFmtId="0" fontId="9" fillId="2" borderId="0" xfId="0" applyFont="1" applyFill="1" applyBorder="1" applyAlignment="1">
      <alignment wrapText="1"/>
    </xf>
    <xf numFmtId="0" fontId="6" fillId="2" borderId="0" xfId="0" applyFont="1" applyFill="1" applyBorder="1" applyAlignment="1">
      <alignment horizontal="left" vertical="top"/>
    </xf>
    <xf numFmtId="0" fontId="6" fillId="2" borderId="0" xfId="0" applyFont="1" applyFill="1" applyBorder="1"/>
    <xf numFmtId="0" fontId="6" fillId="2" borderId="23" xfId="0" applyFont="1" applyFill="1" applyBorder="1"/>
    <xf numFmtId="0" fontId="6" fillId="2" borderId="8" xfId="0" applyFont="1" applyFill="1" applyBorder="1"/>
    <xf numFmtId="0" fontId="6" fillId="6" borderId="1" xfId="0" applyFont="1" applyFill="1" applyBorder="1" applyAlignment="1">
      <alignment horizontal="left" vertical="top" wrapText="1"/>
    </xf>
    <xf numFmtId="0" fontId="6" fillId="2" borderId="0" xfId="0" applyFont="1" applyFill="1" applyAlignment="1">
      <alignment horizontal="center" vertical="top"/>
    </xf>
    <xf numFmtId="9" fontId="6" fillId="2" borderId="0" xfId="1" applyFont="1" applyFill="1" applyAlignment="1">
      <alignment horizontal="center" vertical="center"/>
    </xf>
    <xf numFmtId="0" fontId="13" fillId="2" borderId="0" xfId="0" applyFont="1" applyFill="1"/>
    <xf numFmtId="0" fontId="6" fillId="2" borderId="1" xfId="0" applyFont="1" applyFill="1" applyBorder="1" applyAlignment="1">
      <alignment vertical="top" wrapText="1"/>
    </xf>
    <xf numFmtId="49" fontId="6" fillId="2" borderId="0" xfId="0" applyNumberFormat="1" applyFont="1" applyFill="1" applyAlignment="1">
      <alignment horizontal="left"/>
    </xf>
    <xf numFmtId="49" fontId="6" fillId="2" borderId="0" xfId="0" applyNumberFormat="1" applyFont="1" applyFill="1"/>
    <xf numFmtId="0" fontId="6" fillId="2" borderId="0" xfId="0" applyFont="1" applyFill="1" applyAlignment="1">
      <alignment horizontal="left" wrapText="1"/>
    </xf>
    <xf numFmtId="0" fontId="6" fillId="2" borderId="0" xfId="0" applyFont="1" applyFill="1" applyAlignment="1">
      <alignment horizontal="left"/>
    </xf>
    <xf numFmtId="0" fontId="6" fillId="2" borderId="0" xfId="0" applyFont="1" applyFill="1" applyAlignment="1">
      <alignment horizontal="center"/>
    </xf>
    <xf numFmtId="0" fontId="6" fillId="2" borderId="0" xfId="0" applyFont="1" applyFill="1" applyAlignment="1">
      <alignment vertical="center"/>
    </xf>
    <xf numFmtId="49" fontId="14" fillId="2" borderId="15" xfId="0" applyNumberFormat="1" applyFont="1" applyFill="1" applyBorder="1"/>
    <xf numFmtId="49" fontId="15" fillId="2" borderId="15" xfId="0" applyNumberFormat="1" applyFont="1" applyFill="1" applyBorder="1"/>
    <xf numFmtId="0" fontId="6" fillId="2" borderId="16" xfId="0" applyFont="1" applyFill="1" applyBorder="1"/>
    <xf numFmtId="0" fontId="6" fillId="2" borderId="16" xfId="0" applyFont="1" applyFill="1" applyBorder="1" applyAlignment="1">
      <alignment horizontal="center" vertical="center"/>
    </xf>
    <xf numFmtId="0" fontId="6" fillId="2" borderId="16" xfId="0" applyFont="1" applyFill="1" applyBorder="1" applyAlignment="1">
      <alignment horizontal="left" wrapText="1"/>
    </xf>
    <xf numFmtId="0" fontId="6" fillId="2" borderId="17" xfId="0" applyFont="1" applyFill="1" applyBorder="1" applyAlignment="1">
      <alignment horizontal="left"/>
    </xf>
    <xf numFmtId="49" fontId="16" fillId="2" borderId="18" xfId="0" applyNumberFormat="1" applyFont="1" applyFill="1" applyBorder="1" applyAlignment="1">
      <alignment horizontal="left" vertical="center"/>
    </xf>
    <xf numFmtId="49" fontId="6" fillId="2" borderId="18" xfId="0" applyNumberFormat="1" applyFont="1" applyFill="1" applyBorder="1"/>
    <xf numFmtId="0" fontId="17" fillId="2" borderId="0" xfId="0" applyFont="1" applyFill="1" applyBorder="1" applyAlignment="1">
      <alignment horizontal="left"/>
    </xf>
    <xf numFmtId="49" fontId="17" fillId="2" borderId="0" xfId="0" applyNumberFormat="1" applyFont="1" applyFill="1" applyBorder="1"/>
    <xf numFmtId="0" fontId="6" fillId="2" borderId="0" xfId="0" applyFont="1" applyFill="1" applyBorder="1" applyAlignment="1">
      <alignment horizontal="left" wrapText="1"/>
    </xf>
    <xf numFmtId="0" fontId="6" fillId="2" borderId="19" xfId="0" applyFont="1" applyFill="1" applyBorder="1" applyAlignment="1">
      <alignment horizontal="left"/>
    </xf>
    <xf numFmtId="0" fontId="19" fillId="2" borderId="0" xfId="0" applyFont="1" applyFill="1" applyAlignment="1">
      <alignment horizontal="center"/>
    </xf>
    <xf numFmtId="0" fontId="20" fillId="2" borderId="0" xfId="0" applyFont="1" applyFill="1"/>
    <xf numFmtId="0" fontId="20" fillId="2" borderId="0" xfId="0" applyFont="1" applyFill="1" applyAlignment="1">
      <alignment vertical="center"/>
    </xf>
    <xf numFmtId="0" fontId="21" fillId="13" borderId="18" xfId="0" applyFont="1" applyFill="1" applyBorder="1"/>
    <xf numFmtId="49" fontId="22" fillId="13" borderId="18" xfId="2" applyNumberFormat="1" applyFont="1" applyFill="1" applyBorder="1" applyAlignment="1">
      <alignment vertical="center"/>
    </xf>
    <xf numFmtId="0" fontId="23" fillId="13" borderId="0" xfId="0" applyFont="1" applyFill="1" applyBorder="1"/>
    <xf numFmtId="0" fontId="22" fillId="13" borderId="0" xfId="2" applyFont="1" applyFill="1" applyBorder="1" applyAlignment="1">
      <alignment vertical="center"/>
    </xf>
    <xf numFmtId="0" fontId="21" fillId="13" borderId="0" xfId="0" applyFont="1" applyFill="1" applyBorder="1"/>
    <xf numFmtId="0" fontId="21" fillId="13" borderId="19" xfId="0" applyFont="1" applyFill="1" applyBorder="1" applyAlignment="1">
      <alignment horizontal="left"/>
    </xf>
    <xf numFmtId="0" fontId="21" fillId="2" borderId="0" xfId="0" applyFont="1" applyFill="1" applyAlignment="1">
      <alignment horizontal="center"/>
    </xf>
    <xf numFmtId="0" fontId="23" fillId="2" borderId="0" xfId="0" applyFont="1" applyFill="1"/>
    <xf numFmtId="0" fontId="23" fillId="2" borderId="0" xfId="0" applyFont="1" applyFill="1" applyAlignment="1">
      <alignment vertical="center"/>
    </xf>
    <xf numFmtId="0" fontId="21" fillId="13" borderId="0" xfId="0" applyFont="1" applyFill="1" applyBorder="1" applyAlignment="1">
      <alignment horizontal="center" vertical="center"/>
    </xf>
    <xf numFmtId="0" fontId="21" fillId="14" borderId="18" xfId="0" applyFont="1" applyFill="1" applyBorder="1"/>
    <xf numFmtId="49" fontId="22" fillId="14" borderId="18" xfId="2" applyNumberFormat="1" applyFont="1" applyFill="1" applyBorder="1" applyAlignment="1">
      <alignment vertical="center"/>
    </xf>
    <xf numFmtId="0" fontId="23" fillId="14" borderId="0" xfId="0" applyFont="1" applyFill="1" applyBorder="1"/>
    <xf numFmtId="0" fontId="22" fillId="14" borderId="0" xfId="2" applyFont="1" applyFill="1" applyBorder="1" applyAlignment="1">
      <alignment vertical="center"/>
    </xf>
    <xf numFmtId="0" fontId="21" fillId="14" borderId="0" xfId="0" applyFont="1" applyFill="1" applyBorder="1"/>
    <xf numFmtId="0" fontId="21" fillId="14" borderId="19" xfId="0" applyFont="1" applyFill="1" applyBorder="1" applyAlignment="1">
      <alignment horizontal="left"/>
    </xf>
    <xf numFmtId="0" fontId="21" fillId="15" borderId="18" xfId="0" applyFont="1" applyFill="1" applyBorder="1"/>
    <xf numFmtId="49" fontId="22" fillId="15" borderId="18" xfId="2" applyNumberFormat="1" applyFont="1" applyFill="1" applyBorder="1" applyAlignment="1">
      <alignment vertical="center"/>
    </xf>
    <xf numFmtId="0" fontId="23" fillId="15" borderId="0" xfId="0" applyFont="1" applyFill="1" applyBorder="1"/>
    <xf numFmtId="0" fontId="22" fillId="15" borderId="0" xfId="2" applyFont="1" applyFill="1" applyBorder="1" applyAlignment="1">
      <alignment vertical="center"/>
    </xf>
    <xf numFmtId="0" fontId="21" fillId="15" borderId="0" xfId="0" applyFont="1" applyFill="1" applyBorder="1"/>
    <xf numFmtId="0" fontId="21" fillId="15" borderId="19" xfId="0" applyFont="1" applyFill="1" applyBorder="1" applyAlignment="1">
      <alignment horizontal="left"/>
    </xf>
    <xf numFmtId="0" fontId="21" fillId="16" borderId="18" xfId="0" applyFont="1" applyFill="1" applyBorder="1"/>
    <xf numFmtId="49" fontId="22" fillId="16" borderId="18" xfId="2" applyNumberFormat="1" applyFont="1" applyFill="1" applyBorder="1" applyAlignment="1">
      <alignment horizontal="left" vertical="center"/>
    </xf>
    <xf numFmtId="0" fontId="23" fillId="16" borderId="0" xfId="0" applyFont="1" applyFill="1" applyBorder="1"/>
    <xf numFmtId="0" fontId="22" fillId="16" borderId="0" xfId="2" applyFont="1" applyFill="1" applyBorder="1" applyAlignment="1">
      <alignment vertical="center"/>
    </xf>
    <xf numFmtId="0" fontId="21" fillId="16" borderId="0" xfId="0" applyFont="1" applyFill="1" applyBorder="1"/>
    <xf numFmtId="0" fontId="21" fillId="16" borderId="19" xfId="0" applyFont="1" applyFill="1" applyBorder="1" applyAlignment="1">
      <alignment horizontal="left"/>
    </xf>
    <xf numFmtId="0" fontId="8" fillId="2" borderId="0" xfId="0" applyFont="1" applyFill="1" applyAlignment="1">
      <alignment horizontal="center"/>
    </xf>
    <xf numFmtId="0" fontId="21" fillId="17" borderId="18" xfId="0" applyFont="1" applyFill="1" applyBorder="1"/>
    <xf numFmtId="49" fontId="22" fillId="17" borderId="18" xfId="2" applyNumberFormat="1" applyFont="1" applyFill="1" applyBorder="1"/>
    <xf numFmtId="0" fontId="23" fillId="17" borderId="0" xfId="0" applyFont="1" applyFill="1" applyBorder="1"/>
    <xf numFmtId="0" fontId="21" fillId="17" borderId="0" xfId="0" applyFont="1" applyFill="1" applyBorder="1" applyAlignment="1">
      <alignment horizontal="center" vertical="center"/>
    </xf>
    <xf numFmtId="0" fontId="21" fillId="17" borderId="0" xfId="0" applyFont="1" applyFill="1" applyBorder="1"/>
    <xf numFmtId="0" fontId="21" fillId="17" borderId="19" xfId="0" applyFont="1" applyFill="1" applyBorder="1" applyAlignment="1">
      <alignment horizontal="left"/>
    </xf>
    <xf numFmtId="0" fontId="23" fillId="20" borderId="18" xfId="0" applyFont="1" applyFill="1" applyBorder="1"/>
    <xf numFmtId="49" fontId="22" fillId="20" borderId="18" xfId="2" applyNumberFormat="1" applyFont="1" applyFill="1" applyBorder="1"/>
    <xf numFmtId="0" fontId="23" fillId="20" borderId="0" xfId="0" applyFont="1" applyFill="1" applyBorder="1"/>
    <xf numFmtId="0" fontId="21" fillId="20" borderId="0" xfId="0" applyFont="1" applyFill="1" applyBorder="1" applyAlignment="1">
      <alignment horizontal="center" vertical="center"/>
    </xf>
    <xf numFmtId="0" fontId="21" fillId="20" borderId="0" xfId="0" applyFont="1" applyFill="1" applyBorder="1"/>
    <xf numFmtId="0" fontId="21" fillId="20" borderId="19" xfId="0" applyFont="1" applyFill="1" applyBorder="1" applyAlignment="1">
      <alignment horizontal="left"/>
    </xf>
    <xf numFmtId="0" fontId="23" fillId="20" borderId="20" xfId="0" applyFont="1" applyFill="1" applyBorder="1"/>
    <xf numFmtId="49" fontId="22" fillId="20" borderId="20" xfId="2" applyNumberFormat="1" applyFont="1" applyFill="1" applyBorder="1"/>
    <xf numFmtId="0" fontId="23" fillId="20" borderId="21" xfId="0" applyFont="1" applyFill="1" applyBorder="1"/>
    <xf numFmtId="0" fontId="21" fillId="20" borderId="21" xfId="0" applyFont="1" applyFill="1" applyBorder="1" applyAlignment="1">
      <alignment horizontal="center" vertical="center"/>
    </xf>
    <xf numFmtId="0" fontId="21" fillId="20" borderId="21" xfId="0" applyFont="1" applyFill="1" applyBorder="1"/>
    <xf numFmtId="0" fontId="21" fillId="20" borderId="22" xfId="0" applyFont="1" applyFill="1" applyBorder="1" applyAlignment="1">
      <alignment horizontal="left"/>
    </xf>
    <xf numFmtId="49" fontId="15" fillId="2" borderId="0" xfId="0" applyNumberFormat="1" applyFont="1" applyFill="1"/>
    <xf numFmtId="0" fontId="15"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24" fillId="2" borderId="0" xfId="0" applyFont="1" applyFill="1" applyAlignment="1">
      <alignment horizontal="left" vertical="center"/>
    </xf>
    <xf numFmtId="49" fontId="12" fillId="2" borderId="0" xfId="0" applyNumberFormat="1" applyFont="1" applyFill="1" applyAlignment="1">
      <alignment horizontal="left" vertical="center"/>
    </xf>
    <xf numFmtId="49" fontId="25" fillId="2" borderId="0" xfId="0" applyNumberFormat="1" applyFont="1" applyFill="1" applyAlignment="1">
      <alignment horizontal="left" vertical="center"/>
    </xf>
    <xf numFmtId="49" fontId="12" fillId="2" borderId="0" xfId="0" applyNumberFormat="1" applyFont="1" applyFill="1" applyAlignment="1">
      <alignment horizontal="left" vertical="center" wrapText="1"/>
    </xf>
    <xf numFmtId="0" fontId="12" fillId="2" borderId="0" xfId="0" applyFont="1" applyFill="1" applyAlignment="1">
      <alignment horizontal="left" vertical="center" wrapText="1"/>
    </xf>
    <xf numFmtId="49" fontId="12" fillId="13" borderId="0" xfId="0" applyNumberFormat="1" applyFont="1" applyFill="1"/>
    <xf numFmtId="0" fontId="12" fillId="13" borderId="0" xfId="0" applyFont="1" applyFill="1"/>
    <xf numFmtId="0" fontId="12" fillId="13" borderId="0" xfId="0" applyFont="1" applyFill="1" applyAlignment="1">
      <alignment horizontal="left" wrapText="1"/>
    </xf>
    <xf numFmtId="0" fontId="12" fillId="13" borderId="0" xfId="0" applyFont="1" applyFill="1" applyAlignment="1">
      <alignment horizontal="left"/>
    </xf>
    <xf numFmtId="0" fontId="9" fillId="2" borderId="0" xfId="0" applyFont="1" applyFill="1" applyBorder="1" applyAlignment="1">
      <alignment horizontal="center"/>
    </xf>
    <xf numFmtId="0" fontId="25" fillId="2" borderId="0" xfId="0" applyFont="1" applyFill="1"/>
    <xf numFmtId="49" fontId="25" fillId="2" borderId="0" xfId="0" applyNumberFormat="1" applyFont="1" applyFill="1"/>
    <xf numFmtId="49" fontId="25" fillId="2" borderId="0" xfId="0" applyNumberFormat="1" applyFont="1" applyFill="1" applyAlignment="1">
      <alignment wrapText="1"/>
    </xf>
    <xf numFmtId="0" fontId="25" fillId="2" borderId="0" xfId="0" applyFont="1" applyFill="1" applyAlignment="1">
      <alignment horizontal="center" vertical="center"/>
    </xf>
    <xf numFmtId="0" fontId="25" fillId="2" borderId="0" xfId="0" applyFont="1" applyFill="1" applyAlignment="1">
      <alignment horizontal="left" wrapText="1"/>
    </xf>
    <xf numFmtId="0" fontId="25" fillId="2" borderId="0" xfId="0" applyFont="1" applyFill="1" applyAlignment="1">
      <alignment horizontal="left"/>
    </xf>
    <xf numFmtId="0" fontId="25" fillId="2" borderId="0" xfId="0" applyFont="1" applyFill="1" applyAlignment="1">
      <alignment horizontal="center"/>
    </xf>
    <xf numFmtId="0" fontId="25" fillId="2" borderId="0" xfId="0" applyFont="1" applyFill="1" applyAlignment="1">
      <alignment vertical="center"/>
    </xf>
    <xf numFmtId="0" fontId="26" fillId="2" borderId="0" xfId="0" applyFont="1" applyFill="1"/>
    <xf numFmtId="49" fontId="27" fillId="2" borderId="0" xfId="2" applyNumberFormat="1" applyFont="1" applyFill="1" applyAlignment="1">
      <alignment horizontal="center" vertical="center"/>
    </xf>
    <xf numFmtId="49" fontId="28" fillId="4" borderId="0" xfId="0" applyNumberFormat="1" applyFont="1" applyFill="1"/>
    <xf numFmtId="0" fontId="28" fillId="4" borderId="0" xfId="0" applyFont="1" applyFill="1"/>
    <xf numFmtId="0" fontId="29" fillId="4" borderId="0" xfId="0" applyFont="1" applyFill="1"/>
    <xf numFmtId="0" fontId="30" fillId="4" borderId="0" xfId="0" applyFont="1" applyFill="1"/>
    <xf numFmtId="0" fontId="31" fillId="4" borderId="0" xfId="2" applyFont="1" applyFill="1" applyAlignment="1">
      <alignment horizontal="left"/>
    </xf>
    <xf numFmtId="0" fontId="6" fillId="4" borderId="0" xfId="0" applyFont="1" applyFill="1" applyAlignment="1">
      <alignment vertical="center"/>
    </xf>
    <xf numFmtId="0" fontId="31" fillId="4" borderId="0" xfId="2" applyFont="1" applyFill="1" applyAlignment="1">
      <alignment horizontal="left" vertical="center"/>
    </xf>
    <xf numFmtId="0" fontId="31" fillId="2" borderId="0" xfId="2" applyFont="1" applyFill="1" applyAlignment="1">
      <alignment horizontal="center"/>
    </xf>
    <xf numFmtId="49" fontId="26" fillId="2" borderId="0" xfId="0" applyNumberFormat="1" applyFont="1" applyFill="1"/>
    <xf numFmtId="49" fontId="29" fillId="2" borderId="0" xfId="0" applyNumberFormat="1" applyFont="1" applyFill="1"/>
    <xf numFmtId="0" fontId="29" fillId="2" borderId="0" xfId="0" applyFont="1" applyFill="1"/>
    <xf numFmtId="49" fontId="26" fillId="2" borderId="0" xfId="0" applyNumberFormat="1" applyFont="1" applyFill="1" applyAlignment="1">
      <alignment wrapText="1"/>
    </xf>
    <xf numFmtId="0" fontId="26" fillId="2" borderId="0" xfId="0" applyFont="1" applyFill="1" applyAlignment="1">
      <alignment horizontal="center" vertical="center"/>
    </xf>
    <xf numFmtId="0" fontId="26" fillId="2" borderId="0" xfId="0" applyFont="1" applyFill="1" applyAlignment="1">
      <alignment horizontal="left" wrapText="1"/>
    </xf>
    <xf numFmtId="0" fontId="26" fillId="2" borderId="0" xfId="0" applyFont="1" applyFill="1" applyAlignment="1">
      <alignment horizontal="left"/>
    </xf>
    <xf numFmtId="0" fontId="6" fillId="2" borderId="1" xfId="0" applyFont="1" applyFill="1" applyBorder="1" applyAlignment="1">
      <alignment horizontal="center"/>
    </xf>
    <xf numFmtId="0" fontId="32" fillId="2" borderId="0" xfId="0" applyFont="1" applyFill="1" applyAlignment="1">
      <alignment horizontal="left" vertical="center" wrapText="1"/>
    </xf>
    <xf numFmtId="49" fontId="32" fillId="2" borderId="0" xfId="0" applyNumberFormat="1" applyFont="1" applyFill="1" applyAlignment="1">
      <alignment horizontal="left" vertical="center" wrapText="1"/>
    </xf>
    <xf numFmtId="0" fontId="26" fillId="2" borderId="2" xfId="0" applyFont="1" applyFill="1" applyBorder="1" applyAlignment="1">
      <alignment vertical="center" wrapText="1"/>
    </xf>
    <xf numFmtId="0" fontId="26" fillId="2" borderId="10" xfId="0" applyFont="1" applyFill="1" applyBorder="1" applyAlignment="1">
      <alignment vertical="center" wrapText="1"/>
    </xf>
    <xf numFmtId="0" fontId="26" fillId="2" borderId="1" xfId="0" applyFont="1" applyFill="1" applyBorder="1" applyAlignment="1">
      <alignment horizontal="center" vertical="center" wrapText="1"/>
    </xf>
    <xf numFmtId="0" fontId="26" fillId="2" borderId="1" xfId="0" applyFont="1" applyFill="1" applyBorder="1" applyAlignment="1">
      <alignment horizontal="left" vertical="center" wrapText="1"/>
    </xf>
    <xf numFmtId="0" fontId="32" fillId="2" borderId="1" xfId="0" applyFont="1" applyFill="1" applyBorder="1" applyAlignment="1">
      <alignment horizontal="center" vertical="center" wrapText="1"/>
    </xf>
    <xf numFmtId="3" fontId="32" fillId="2" borderId="1" xfId="0" applyNumberFormat="1" applyFont="1" applyFill="1" applyBorder="1" applyAlignment="1">
      <alignment horizontal="center" vertical="center" wrapText="1"/>
    </xf>
    <xf numFmtId="0" fontId="32" fillId="2" borderId="1" xfId="0" applyFont="1" applyFill="1" applyBorder="1" applyAlignment="1">
      <alignment horizontal="center"/>
    </xf>
    <xf numFmtId="49" fontId="25" fillId="2" borderId="0" xfId="0" applyNumberFormat="1" applyFont="1" applyFill="1" applyAlignment="1">
      <alignment vertical="center"/>
    </xf>
    <xf numFmtId="49" fontId="33" fillId="2" borderId="2" xfId="0" applyNumberFormat="1" applyFont="1" applyFill="1" applyBorder="1" applyAlignment="1">
      <alignment vertical="center" wrapText="1"/>
    </xf>
    <xf numFmtId="9" fontId="25" fillId="2" borderId="10" xfId="0" applyNumberFormat="1" applyFont="1" applyFill="1" applyBorder="1" applyAlignment="1">
      <alignment horizontal="center" vertical="center"/>
    </xf>
    <xf numFmtId="9" fontId="25" fillId="6" borderId="1" xfId="0" applyNumberFormat="1" applyFont="1" applyFill="1" applyBorder="1" applyAlignment="1">
      <alignment horizontal="center" vertical="center"/>
    </xf>
    <xf numFmtId="49" fontId="33" fillId="6" borderId="1" xfId="0" applyNumberFormat="1" applyFont="1" applyFill="1" applyBorder="1" applyAlignment="1">
      <alignment horizontal="left" vertical="center" wrapText="1"/>
    </xf>
    <xf numFmtId="49" fontId="33" fillId="22" borderId="1" xfId="0" applyNumberFormat="1" applyFont="1" applyFill="1" applyBorder="1" applyAlignment="1">
      <alignment horizontal="left" vertical="center" wrapText="1"/>
    </xf>
    <xf numFmtId="3" fontId="33" fillId="2" borderId="1" xfId="0" applyNumberFormat="1" applyFont="1" applyFill="1" applyBorder="1" applyAlignment="1">
      <alignment horizontal="center" vertical="top"/>
    </xf>
    <xf numFmtId="0" fontId="33" fillId="6" borderId="1" xfId="0" applyFont="1" applyFill="1" applyBorder="1" applyAlignment="1">
      <alignment horizontal="left" vertical="center" wrapText="1"/>
    </xf>
    <xf numFmtId="49" fontId="33" fillId="2" borderId="4" xfId="0" applyNumberFormat="1" applyFont="1" applyFill="1" applyBorder="1" applyAlignment="1">
      <alignment vertical="center" wrapText="1"/>
    </xf>
    <xf numFmtId="9" fontId="25" fillId="2" borderId="0" xfId="0" applyNumberFormat="1" applyFont="1" applyFill="1" applyBorder="1" applyAlignment="1">
      <alignment horizontal="center" vertical="center"/>
    </xf>
    <xf numFmtId="9" fontId="25" fillId="2" borderId="11" xfId="0" applyNumberFormat="1" applyFont="1" applyFill="1" applyBorder="1" applyAlignment="1">
      <alignment horizontal="center" vertical="center"/>
    </xf>
    <xf numFmtId="0" fontId="33" fillId="2" borderId="11" xfId="0" applyFont="1" applyFill="1" applyBorder="1" applyAlignment="1">
      <alignment horizontal="left" wrapText="1"/>
    </xf>
    <xf numFmtId="0" fontId="33" fillId="2" borderId="12" xfId="0" applyFont="1" applyFill="1" applyBorder="1" applyAlignment="1">
      <alignment horizontal="left"/>
    </xf>
    <xf numFmtId="0" fontId="33" fillId="2" borderId="11" xfId="0" applyFont="1" applyFill="1" applyBorder="1" applyAlignment="1">
      <alignment horizontal="left"/>
    </xf>
    <xf numFmtId="49" fontId="34" fillId="2" borderId="4" xfId="0" applyNumberFormat="1" applyFont="1" applyFill="1" applyBorder="1" applyAlignment="1">
      <alignment wrapText="1"/>
    </xf>
    <xf numFmtId="0" fontId="33" fillId="2" borderId="11" xfId="0" applyFont="1" applyFill="1" applyBorder="1" applyAlignment="1">
      <alignment horizontal="left" vertical="center" wrapText="1"/>
    </xf>
    <xf numFmtId="0" fontId="33" fillId="2" borderId="11" xfId="0" applyFont="1" applyFill="1" applyBorder="1" applyAlignment="1">
      <alignment horizontal="left" vertical="center"/>
    </xf>
    <xf numFmtId="9" fontId="25" fillId="2" borderId="11" xfId="0" applyNumberFormat="1" applyFont="1" applyFill="1" applyBorder="1" applyAlignment="1">
      <alignment vertical="center"/>
    </xf>
    <xf numFmtId="49" fontId="33" fillId="2" borderId="5" xfId="0" applyNumberFormat="1" applyFont="1" applyFill="1" applyBorder="1" applyAlignment="1">
      <alignment vertical="center" wrapText="1"/>
    </xf>
    <xf numFmtId="9" fontId="25" fillId="2" borderId="9" xfId="0" applyNumberFormat="1" applyFont="1" applyFill="1" applyBorder="1" applyAlignment="1">
      <alignment horizontal="center" vertical="center"/>
    </xf>
    <xf numFmtId="9" fontId="25" fillId="2" borderId="8" xfId="0" applyNumberFormat="1" applyFont="1" applyFill="1" applyBorder="1" applyAlignment="1">
      <alignment vertical="center"/>
    </xf>
    <xf numFmtId="0" fontId="33" fillId="2" borderId="8" xfId="0" applyFont="1" applyFill="1" applyBorder="1" applyAlignment="1">
      <alignment horizontal="left" wrapText="1"/>
    </xf>
    <xf numFmtId="0" fontId="33" fillId="2" borderId="8" xfId="0" applyFont="1" applyFill="1" applyBorder="1" applyAlignment="1">
      <alignment horizontal="left"/>
    </xf>
    <xf numFmtId="49" fontId="9" fillId="2" borderId="0" xfId="0" applyNumberFormat="1" applyFont="1" applyFill="1" applyBorder="1" applyAlignment="1">
      <alignment vertical="center" wrapText="1"/>
    </xf>
    <xf numFmtId="0" fontId="9" fillId="2" borderId="0" xfId="0" applyFont="1" applyFill="1" applyBorder="1" applyAlignment="1">
      <alignment horizontal="center" vertical="center"/>
    </xf>
    <xf numFmtId="9" fontId="26" fillId="2" borderId="10" xfId="0" applyNumberFormat="1" applyFont="1" applyFill="1" applyBorder="1" applyAlignment="1">
      <alignment horizontal="center" vertical="center" wrapText="1"/>
    </xf>
    <xf numFmtId="0" fontId="25" fillId="2" borderId="0" xfId="0" applyFont="1" applyFill="1" applyBorder="1" applyAlignment="1">
      <alignment horizontal="left" vertical="center" wrapText="1"/>
    </xf>
    <xf numFmtId="0" fontId="25" fillId="2" borderId="0" xfId="0" applyFont="1" applyFill="1" applyBorder="1" applyAlignment="1">
      <alignment horizontal="left" vertical="center"/>
    </xf>
    <xf numFmtId="49" fontId="35" fillId="2" borderId="0" xfId="0" applyNumberFormat="1" applyFont="1" applyFill="1" applyBorder="1" applyAlignment="1">
      <alignment vertical="center" wrapText="1"/>
    </xf>
    <xf numFmtId="0" fontId="35" fillId="2" borderId="0" xfId="0" applyFont="1" applyFill="1" applyBorder="1" applyAlignment="1">
      <alignment horizontal="center" vertical="center"/>
    </xf>
    <xf numFmtId="164" fontId="9" fillId="2" borderId="3" xfId="0" applyNumberFormat="1"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0" fontId="36" fillId="2" borderId="0" xfId="0" applyFont="1" applyFill="1" applyBorder="1" applyAlignment="1">
      <alignment horizontal="left" vertical="center" wrapText="1"/>
    </xf>
    <xf numFmtId="0" fontId="25" fillId="2" borderId="0" xfId="0" applyFont="1" applyFill="1" applyBorder="1"/>
    <xf numFmtId="49" fontId="25" fillId="2" borderId="0" xfId="0" applyNumberFormat="1" applyFont="1" applyFill="1" applyBorder="1"/>
    <xf numFmtId="49" fontId="25" fillId="2" borderId="0" xfId="0" applyNumberFormat="1" applyFont="1" applyFill="1" applyBorder="1" applyAlignment="1">
      <alignment horizontal="right" vertical="center" wrapText="1"/>
    </xf>
    <xf numFmtId="164" fontId="25" fillId="2" borderId="0" xfId="0" applyNumberFormat="1" applyFont="1" applyFill="1" applyBorder="1" applyAlignment="1">
      <alignment horizontal="center" vertical="center"/>
    </xf>
    <xf numFmtId="0" fontId="6" fillId="13" borderId="10" xfId="0" applyFont="1" applyFill="1" applyBorder="1" applyAlignment="1">
      <alignment vertical="top"/>
    </xf>
    <xf numFmtId="164" fontId="12" fillId="13" borderId="10" xfId="0" applyNumberFormat="1" applyFont="1" applyFill="1" applyBorder="1" applyAlignment="1">
      <alignment horizontal="center" vertical="center"/>
    </xf>
    <xf numFmtId="0" fontId="25" fillId="13" borderId="10" xfId="0" applyFont="1" applyFill="1" applyBorder="1" applyAlignment="1">
      <alignment horizontal="left" vertical="center" wrapText="1"/>
    </xf>
    <xf numFmtId="0" fontId="25" fillId="13" borderId="3" xfId="0" applyFont="1" applyFill="1" applyBorder="1" applyAlignment="1">
      <alignment horizontal="left" vertical="center"/>
    </xf>
    <xf numFmtId="0" fontId="6" fillId="13" borderId="0" xfId="0" applyFont="1" applyFill="1"/>
    <xf numFmtId="0" fontId="6" fillId="13" borderId="0" xfId="0" applyFont="1" applyFill="1" applyAlignment="1">
      <alignment horizontal="left" wrapText="1"/>
    </xf>
    <xf numFmtId="0" fontId="6" fillId="13" borderId="0" xfId="0" applyFont="1" applyFill="1" applyAlignment="1">
      <alignment horizontal="left"/>
    </xf>
    <xf numFmtId="49" fontId="27" fillId="4" borderId="0" xfId="2" applyNumberFormat="1" applyFont="1" applyFill="1" applyAlignment="1">
      <alignment horizontal="center" vertical="center"/>
    </xf>
    <xf numFmtId="0" fontId="26" fillId="2" borderId="6" xfId="0" applyFont="1" applyFill="1" applyBorder="1" applyAlignment="1">
      <alignment vertical="center" wrapText="1"/>
    </xf>
    <xf numFmtId="0" fontId="26" fillId="2" borderId="7" xfId="0" applyFont="1" applyFill="1" applyBorder="1" applyAlignment="1">
      <alignment vertical="center" wrapText="1"/>
    </xf>
    <xf numFmtId="9" fontId="25" fillId="2" borderId="3" xfId="0" applyNumberFormat="1" applyFont="1" applyFill="1" applyBorder="1" applyAlignment="1">
      <alignment horizontal="center" vertical="center"/>
    </xf>
    <xf numFmtId="49" fontId="25" fillId="2" borderId="0" xfId="0" applyNumberFormat="1" applyFont="1" applyFill="1" applyBorder="1" applyAlignment="1">
      <alignment horizontal="center"/>
    </xf>
    <xf numFmtId="0" fontId="25" fillId="2" borderId="0" xfId="0" applyFont="1" applyFill="1" applyBorder="1" applyAlignment="1">
      <alignment horizontal="center"/>
    </xf>
    <xf numFmtId="0" fontId="6" fillId="2" borderId="0" xfId="0" applyFont="1" applyFill="1" applyBorder="1" applyAlignment="1">
      <alignment vertical="top"/>
    </xf>
    <xf numFmtId="49" fontId="12" fillId="2" borderId="0" xfId="0" applyNumberFormat="1" applyFont="1" applyFill="1" applyBorder="1" applyAlignment="1">
      <alignment horizontal="right" vertical="center" wrapText="1"/>
    </xf>
    <xf numFmtId="164" fontId="12" fillId="2" borderId="0" xfId="0" applyNumberFormat="1" applyFont="1" applyFill="1" applyBorder="1" applyAlignment="1">
      <alignment horizontal="center" vertical="center"/>
    </xf>
    <xf numFmtId="0" fontId="26" fillId="4" borderId="0" xfId="0" applyFont="1" applyFill="1" applyBorder="1" applyAlignment="1">
      <alignment horizontal="center" vertical="center"/>
    </xf>
    <xf numFmtId="0" fontId="26" fillId="4" borderId="0" xfId="0" applyFont="1" applyFill="1" applyAlignment="1">
      <alignment horizontal="center"/>
    </xf>
    <xf numFmtId="0" fontId="25" fillId="6" borderId="1" xfId="0" applyFont="1" applyFill="1" applyBorder="1" applyAlignment="1">
      <alignment horizontal="left" vertical="center" wrapText="1"/>
    </xf>
    <xf numFmtId="0" fontId="25" fillId="2" borderId="7" xfId="0" applyFont="1" applyFill="1" applyBorder="1" applyAlignment="1">
      <alignment horizontal="left" vertical="center"/>
    </xf>
    <xf numFmtId="0" fontId="9" fillId="2" borderId="0" xfId="0" applyFont="1" applyFill="1"/>
    <xf numFmtId="49" fontId="12" fillId="14" borderId="0" xfId="0" applyNumberFormat="1" applyFont="1" applyFill="1"/>
    <xf numFmtId="0" fontId="9" fillId="14" borderId="0" xfId="0" applyFont="1" applyFill="1"/>
    <xf numFmtId="0" fontId="12" fillId="14" borderId="0" xfId="0" applyFont="1" applyFill="1"/>
    <xf numFmtId="0" fontId="9" fillId="14" borderId="0" xfId="0" applyFont="1" applyFill="1" applyAlignment="1">
      <alignment horizontal="center" vertical="center"/>
    </xf>
    <xf numFmtId="0" fontId="9" fillId="14" borderId="0" xfId="0" applyFont="1" applyFill="1" applyAlignment="1">
      <alignment horizontal="center"/>
    </xf>
    <xf numFmtId="0" fontId="9" fillId="14" borderId="0" xfId="0" applyFont="1" applyFill="1" applyAlignment="1">
      <alignment horizontal="left" wrapText="1"/>
    </xf>
    <xf numFmtId="0" fontId="9" fillId="14" borderId="0" xfId="0" applyFont="1" applyFill="1" applyAlignment="1">
      <alignment horizontal="left"/>
    </xf>
    <xf numFmtId="49" fontId="12" fillId="2" borderId="0" xfId="0" applyNumberFormat="1" applyFont="1" applyFill="1"/>
    <xf numFmtId="0" fontId="9" fillId="2" borderId="0" xfId="0" applyFont="1" applyFill="1" applyAlignment="1">
      <alignment horizontal="center" vertical="center"/>
    </xf>
    <xf numFmtId="0" fontId="9" fillId="2" borderId="0" xfId="0" applyFont="1" applyFill="1" applyAlignment="1">
      <alignment horizontal="center"/>
    </xf>
    <xf numFmtId="0" fontId="9" fillId="2" borderId="0" xfId="0" applyFont="1" applyFill="1" applyAlignment="1">
      <alignment horizontal="left" wrapText="1"/>
    </xf>
    <xf numFmtId="0" fontId="9" fillId="2" borderId="0" xfId="0" applyFont="1" applyFill="1" applyAlignment="1">
      <alignment horizontal="left"/>
    </xf>
    <xf numFmtId="0" fontId="6" fillId="14" borderId="10" xfId="0" applyFont="1" applyFill="1" applyBorder="1" applyAlignment="1">
      <alignment vertical="top"/>
    </xf>
    <xf numFmtId="164" fontId="12" fillId="14" borderId="10" xfId="0" applyNumberFormat="1" applyFont="1" applyFill="1" applyBorder="1" applyAlignment="1">
      <alignment horizontal="center" vertical="center"/>
    </xf>
    <xf numFmtId="0" fontId="25" fillId="14" borderId="10" xfId="0" applyFont="1" applyFill="1" applyBorder="1" applyAlignment="1">
      <alignment horizontal="left" vertical="center" wrapText="1"/>
    </xf>
    <xf numFmtId="0" fontId="25" fillId="14" borderId="3" xfId="0" applyFont="1" applyFill="1" applyBorder="1" applyAlignment="1">
      <alignment horizontal="left" vertical="center"/>
    </xf>
    <xf numFmtId="49" fontId="42" fillId="22" borderId="2" xfId="0" applyNumberFormat="1" applyFont="1" applyFill="1" applyBorder="1" applyAlignment="1">
      <alignment vertical="center" wrapText="1"/>
    </xf>
    <xf numFmtId="9" fontId="25" fillId="18" borderId="1" xfId="0" applyNumberFormat="1" applyFont="1" applyFill="1" applyBorder="1" applyAlignment="1">
      <alignment horizontal="center" vertical="center"/>
    </xf>
    <xf numFmtId="49" fontId="12" fillId="15" borderId="0" xfId="0" applyNumberFormat="1" applyFont="1" applyFill="1"/>
    <xf numFmtId="0" fontId="9" fillId="15" borderId="0" xfId="0" applyFont="1" applyFill="1"/>
    <xf numFmtId="0" fontId="12" fillId="15" borderId="0" xfId="0" applyFont="1" applyFill="1"/>
    <xf numFmtId="0" fontId="9" fillId="15" borderId="0" xfId="0" applyFont="1" applyFill="1" applyAlignment="1">
      <alignment horizontal="center" vertical="center"/>
    </xf>
    <xf numFmtId="0" fontId="9" fillId="15" borderId="0" xfId="0" applyFont="1" applyFill="1" applyAlignment="1">
      <alignment horizontal="center"/>
    </xf>
    <xf numFmtId="0" fontId="9" fillId="15" borderId="0" xfId="0" applyFont="1" applyFill="1" applyAlignment="1">
      <alignment horizontal="left" wrapText="1"/>
    </xf>
    <xf numFmtId="0" fontId="9" fillId="15" borderId="0" xfId="0" applyFont="1" applyFill="1" applyAlignment="1">
      <alignment horizontal="left"/>
    </xf>
    <xf numFmtId="0" fontId="6" fillId="15" borderId="10" xfId="0" applyFont="1" applyFill="1" applyBorder="1" applyAlignment="1">
      <alignment vertical="top"/>
    </xf>
    <xf numFmtId="164" fontId="12" fillId="15" borderId="10" xfId="0" applyNumberFormat="1" applyFont="1" applyFill="1" applyBorder="1" applyAlignment="1">
      <alignment horizontal="center" vertical="center"/>
    </xf>
    <xf numFmtId="0" fontId="25" fillId="15" borderId="10" xfId="0" applyFont="1" applyFill="1" applyBorder="1" applyAlignment="1">
      <alignment horizontal="left" vertical="center" wrapText="1"/>
    </xf>
    <xf numFmtId="0" fontId="25" fillId="15" borderId="3" xfId="0" applyFont="1" applyFill="1" applyBorder="1" applyAlignment="1">
      <alignment horizontal="left" vertical="center"/>
    </xf>
    <xf numFmtId="0" fontId="25" fillId="15" borderId="3" xfId="0" applyFont="1" applyFill="1" applyBorder="1" applyAlignment="1">
      <alignment horizontal="left" vertical="center" wrapText="1"/>
    </xf>
    <xf numFmtId="49" fontId="33" fillId="22" borderId="2" xfId="0" applyNumberFormat="1" applyFont="1" applyFill="1" applyBorder="1" applyAlignment="1">
      <alignment vertical="center" wrapText="1"/>
    </xf>
    <xf numFmtId="49" fontId="30" fillId="4" borderId="0" xfId="0" applyNumberFormat="1" applyFont="1" applyFill="1"/>
    <xf numFmtId="49" fontId="12" fillId="16" borderId="0" xfId="0" applyNumberFormat="1" applyFont="1" applyFill="1"/>
    <xf numFmtId="0" fontId="9" fillId="16" borderId="0" xfId="0" applyFont="1" applyFill="1"/>
    <xf numFmtId="0" fontId="12" fillId="16" borderId="0" xfId="0" applyFont="1" applyFill="1"/>
    <xf numFmtId="0" fontId="9" fillId="16" borderId="0" xfId="0" applyFont="1" applyFill="1" applyAlignment="1">
      <alignment horizontal="center" vertical="center"/>
    </xf>
    <xf numFmtId="0" fontId="9" fillId="16" borderId="0" xfId="0" applyFont="1" applyFill="1" applyAlignment="1">
      <alignment horizontal="center"/>
    </xf>
    <xf numFmtId="0" fontId="9" fillId="16" borderId="0" xfId="0" applyFont="1" applyFill="1" applyAlignment="1">
      <alignment horizontal="left" wrapText="1"/>
    </xf>
    <xf numFmtId="0" fontId="9" fillId="16" borderId="0" xfId="0" applyFont="1" applyFill="1" applyAlignment="1">
      <alignment horizontal="left"/>
    </xf>
    <xf numFmtId="0" fontId="6" fillId="16" borderId="10" xfId="0" applyFont="1" applyFill="1" applyBorder="1" applyAlignment="1">
      <alignment vertical="top"/>
    </xf>
    <xf numFmtId="164" fontId="12" fillId="16" borderId="10" xfId="0" applyNumberFormat="1" applyFont="1" applyFill="1" applyBorder="1" applyAlignment="1">
      <alignment horizontal="center" vertical="center"/>
    </xf>
    <xf numFmtId="0" fontId="25" fillId="16" borderId="10" xfId="0" applyFont="1" applyFill="1" applyBorder="1" applyAlignment="1">
      <alignment horizontal="left" vertical="center" wrapText="1"/>
    </xf>
    <xf numFmtId="0" fontId="25" fillId="16" borderId="24" xfId="0" applyFont="1" applyFill="1" applyBorder="1" applyAlignment="1">
      <alignment horizontal="left" vertical="center"/>
    </xf>
    <xf numFmtId="0" fontId="12" fillId="2" borderId="7" xfId="0" applyFont="1" applyFill="1" applyBorder="1" applyAlignment="1">
      <alignment horizontal="left" vertical="center"/>
    </xf>
    <xf numFmtId="49" fontId="9" fillId="2" borderId="0" xfId="0" applyNumberFormat="1" applyFont="1" applyFill="1" applyAlignment="1">
      <alignment wrapText="1"/>
    </xf>
    <xf numFmtId="49" fontId="33" fillId="2" borderId="2" xfId="0" applyNumberFormat="1" applyFont="1" applyFill="1" applyBorder="1" applyAlignment="1">
      <alignment vertical="top" wrapText="1"/>
    </xf>
    <xf numFmtId="0" fontId="25" fillId="16" borderId="3" xfId="0" applyFont="1" applyFill="1" applyBorder="1" applyAlignment="1">
      <alignment horizontal="left" vertical="center"/>
    </xf>
    <xf numFmtId="49" fontId="12" fillId="17" borderId="0" xfId="0" applyNumberFormat="1" applyFont="1" applyFill="1"/>
    <xf numFmtId="0" fontId="9" fillId="17" borderId="0" xfId="0" applyFont="1" applyFill="1"/>
    <xf numFmtId="0" fontId="12" fillId="17" borderId="0" xfId="0" applyFont="1" applyFill="1"/>
    <xf numFmtId="0" fontId="9" fillId="17" borderId="0" xfId="0" applyFont="1" applyFill="1" applyAlignment="1">
      <alignment horizontal="center" vertical="center"/>
    </xf>
    <xf numFmtId="0" fontId="9" fillId="17" borderId="0" xfId="0" applyFont="1" applyFill="1" applyAlignment="1">
      <alignment horizontal="center"/>
    </xf>
    <xf numFmtId="0" fontId="9" fillId="17" borderId="0" xfId="0" applyFont="1" applyFill="1" applyAlignment="1">
      <alignment horizontal="left" wrapText="1"/>
    </xf>
    <xf numFmtId="0" fontId="9" fillId="17" borderId="0" xfId="0" applyFont="1" applyFill="1" applyAlignment="1">
      <alignment horizontal="left"/>
    </xf>
    <xf numFmtId="0" fontId="6" fillId="17" borderId="10" xfId="0" applyFont="1" applyFill="1" applyBorder="1" applyAlignment="1">
      <alignment vertical="top"/>
    </xf>
    <xf numFmtId="164" fontId="12" fillId="17" borderId="10" xfId="0" applyNumberFormat="1" applyFont="1" applyFill="1" applyBorder="1" applyAlignment="1">
      <alignment horizontal="center" vertical="center"/>
    </xf>
    <xf numFmtId="0" fontId="25" fillId="17" borderId="10" xfId="0" applyFont="1" applyFill="1" applyBorder="1" applyAlignment="1">
      <alignment horizontal="left" vertical="center" wrapText="1"/>
    </xf>
    <xf numFmtId="0" fontId="25" fillId="17" borderId="3" xfId="0" applyFont="1" applyFill="1" applyBorder="1" applyAlignment="1">
      <alignment horizontal="left" vertical="center"/>
    </xf>
    <xf numFmtId="49" fontId="6" fillId="6" borderId="1" xfId="2" applyNumberFormat="1" applyFont="1" applyFill="1" applyBorder="1" applyAlignment="1">
      <alignment horizontal="left" vertical="center" wrapText="1"/>
    </xf>
    <xf numFmtId="9" fontId="25" fillId="2" borderId="13" xfId="0" applyNumberFormat="1" applyFont="1" applyFill="1" applyBorder="1" applyAlignment="1">
      <alignment horizontal="center" vertical="center"/>
    </xf>
    <xf numFmtId="49" fontId="33" fillId="22" borderId="4" xfId="0" applyNumberFormat="1" applyFont="1" applyFill="1" applyBorder="1" applyAlignment="1">
      <alignment vertical="center" wrapText="1"/>
    </xf>
    <xf numFmtId="9" fontId="25" fillId="2" borderId="0" xfId="0" applyNumberFormat="1" applyFont="1" applyFill="1" applyBorder="1" applyAlignment="1">
      <alignment vertical="center"/>
    </xf>
    <xf numFmtId="9" fontId="25" fillId="2" borderId="14" xfId="0" applyNumberFormat="1" applyFont="1" applyFill="1" applyBorder="1" applyAlignment="1">
      <alignment horizontal="center" vertical="center"/>
    </xf>
    <xf numFmtId="9" fontId="25" fillId="2" borderId="9" xfId="0" applyNumberFormat="1" applyFont="1" applyFill="1" applyBorder="1" applyAlignment="1">
      <alignment vertical="center"/>
    </xf>
    <xf numFmtId="9" fontId="25" fillId="18" borderId="8" xfId="0" applyNumberFormat="1" applyFont="1" applyFill="1" applyBorder="1" applyAlignment="1">
      <alignment horizontal="center" vertical="center"/>
    </xf>
    <xf numFmtId="49" fontId="31" fillId="6" borderId="1" xfId="2" applyNumberFormat="1" applyFont="1" applyFill="1" applyBorder="1" applyAlignment="1">
      <alignment horizontal="left" vertical="center" wrapText="1"/>
    </xf>
    <xf numFmtId="164" fontId="45" fillId="2" borderId="3" xfId="0" applyNumberFormat="1" applyFont="1" applyFill="1" applyBorder="1" applyAlignment="1">
      <alignment horizontal="center" vertical="center" wrapText="1"/>
    </xf>
    <xf numFmtId="0" fontId="46" fillId="2" borderId="0" xfId="0" applyFont="1" applyFill="1" applyBorder="1" applyAlignment="1">
      <alignment horizontal="left" vertical="center" wrapText="1"/>
    </xf>
    <xf numFmtId="0" fontId="25" fillId="17" borderId="24" xfId="0" applyFont="1" applyFill="1" applyBorder="1" applyAlignment="1">
      <alignment horizontal="left" vertical="center"/>
    </xf>
    <xf numFmtId="0" fontId="6" fillId="2" borderId="7" xfId="0" applyFont="1" applyFill="1" applyBorder="1" applyAlignment="1">
      <alignment horizontal="left"/>
    </xf>
    <xf numFmtId="49" fontId="12" fillId="5" borderId="0" xfId="0" applyNumberFormat="1" applyFont="1" applyFill="1"/>
    <xf numFmtId="0" fontId="9" fillId="5" borderId="0" xfId="0" applyFont="1" applyFill="1"/>
    <xf numFmtId="0" fontId="12" fillId="5" borderId="0" xfId="0" applyFont="1" applyFill="1"/>
    <xf numFmtId="0" fontId="9" fillId="5" borderId="0" xfId="0" applyFont="1" applyFill="1" applyAlignment="1">
      <alignment horizontal="center" vertical="center"/>
    </xf>
    <xf numFmtId="0" fontId="9" fillId="5" borderId="0" xfId="0" applyFont="1" applyFill="1" applyAlignment="1">
      <alignment horizontal="center"/>
    </xf>
    <xf numFmtId="0" fontId="9" fillId="5" borderId="0" xfId="0" applyFont="1" applyFill="1" applyAlignment="1">
      <alignment horizontal="left" wrapText="1"/>
    </xf>
    <xf numFmtId="0" fontId="9" fillId="5" borderId="0" xfId="0" applyFont="1" applyFill="1" applyAlignment="1">
      <alignment horizontal="left"/>
    </xf>
    <xf numFmtId="0" fontId="6" fillId="5" borderId="10" xfId="0" applyFont="1" applyFill="1" applyBorder="1" applyAlignment="1">
      <alignment vertical="top"/>
    </xf>
    <xf numFmtId="164" fontId="12" fillId="5" borderId="10" xfId="0" applyNumberFormat="1" applyFont="1" applyFill="1" applyBorder="1" applyAlignment="1">
      <alignment horizontal="center" vertical="center"/>
    </xf>
    <xf numFmtId="0" fontId="25" fillId="5" borderId="10" xfId="0" applyFont="1" applyFill="1" applyBorder="1" applyAlignment="1">
      <alignment horizontal="left" vertical="center" wrapText="1"/>
    </xf>
    <xf numFmtId="0" fontId="25" fillId="5" borderId="3" xfId="0" applyFont="1" applyFill="1" applyBorder="1" applyAlignment="1">
      <alignment horizontal="left" vertical="center"/>
    </xf>
    <xf numFmtId="49" fontId="27" fillId="2" borderId="0" xfId="2" applyNumberFormat="1" applyFont="1" applyFill="1" applyAlignment="1">
      <alignment horizontal="left" vertical="center"/>
    </xf>
    <xf numFmtId="0" fontId="25" fillId="5" borderId="24" xfId="0" applyFont="1" applyFill="1" applyBorder="1" applyAlignment="1">
      <alignment horizontal="left" vertical="center"/>
    </xf>
    <xf numFmtId="0" fontId="9" fillId="2" borderId="1" xfId="0" applyFont="1" applyFill="1" applyBorder="1"/>
    <xf numFmtId="0" fontId="47" fillId="2" borderId="0" xfId="0" applyFont="1" applyFill="1" applyAlignment="1">
      <alignment horizontal="center"/>
    </xf>
    <xf numFmtId="3" fontId="6" fillId="6" borderId="1" xfId="0" applyNumberFormat="1" applyFont="1" applyFill="1" applyBorder="1" applyAlignment="1">
      <alignment horizontal="center" vertical="top"/>
    </xf>
    <xf numFmtId="9" fontId="47" fillId="2" borderId="0" xfId="1" applyFont="1" applyFill="1" applyAlignment="1">
      <alignment horizontal="center" vertical="top"/>
    </xf>
    <xf numFmtId="0" fontId="8" fillId="2" borderId="0" xfId="0" applyFont="1" applyFill="1" applyAlignment="1">
      <alignment wrapText="1"/>
    </xf>
    <xf numFmtId="9" fontId="9" fillId="18" borderId="25" xfId="1" applyNumberFormat="1" applyFont="1" applyFill="1" applyBorder="1" applyAlignment="1">
      <alignment horizontal="center" vertical="center"/>
    </xf>
    <xf numFmtId="0" fontId="6" fillId="2" borderId="0" xfId="0" applyFont="1" applyFill="1" applyAlignment="1">
      <alignment horizontal="right"/>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9" fillId="2" borderId="1" xfId="0" applyFont="1" applyFill="1" applyBorder="1" applyAlignment="1">
      <alignment horizontal="center" vertical="top" wrapText="1"/>
    </xf>
    <xf numFmtId="0" fontId="9" fillId="2" borderId="2" xfId="0" applyFont="1" applyFill="1" applyBorder="1" applyAlignment="1">
      <alignment horizontal="center"/>
    </xf>
    <xf numFmtId="0" fontId="9" fillId="2" borderId="1" xfId="0" applyFont="1" applyFill="1" applyBorder="1" applyAlignment="1">
      <alignment horizontal="center"/>
    </xf>
    <xf numFmtId="0" fontId="48" fillId="2" borderId="0" xfId="0" applyFont="1" applyFill="1" applyBorder="1"/>
    <xf numFmtId="0" fontId="48" fillId="2" borderId="0" xfId="0" applyFont="1" applyFill="1" applyBorder="1" applyAlignment="1">
      <alignment horizontal="center"/>
    </xf>
    <xf numFmtId="0" fontId="6" fillId="22" borderId="1" xfId="0" applyFont="1" applyFill="1" applyBorder="1" applyAlignment="1">
      <alignment horizontal="left"/>
    </xf>
    <xf numFmtId="3" fontId="8" fillId="6" borderId="1" xfId="0" applyNumberFormat="1" applyFont="1" applyFill="1" applyBorder="1" applyAlignment="1">
      <alignment horizontal="center"/>
    </xf>
    <xf numFmtId="3" fontId="6" fillId="6" borderId="1" xfId="0" applyNumberFormat="1" applyFont="1" applyFill="1" applyBorder="1" applyAlignment="1">
      <alignment horizontal="center"/>
    </xf>
    <xf numFmtId="0" fontId="6" fillId="6" borderId="1" xfId="0" applyFont="1" applyFill="1" applyBorder="1" applyAlignment="1">
      <alignment horizontal="center"/>
    </xf>
    <xf numFmtId="9" fontId="6" fillId="2" borderId="1" xfId="1" applyFont="1" applyFill="1" applyBorder="1" applyAlignment="1">
      <alignment horizontal="center"/>
    </xf>
    <xf numFmtId="9" fontId="47" fillId="2" borderId="0" xfId="0" applyNumberFormat="1" applyFont="1" applyFill="1" applyBorder="1" applyAlignment="1">
      <alignment horizontal="center"/>
    </xf>
    <xf numFmtId="0" fontId="6" fillId="2" borderId="0" xfId="0" applyFont="1" applyFill="1" applyBorder="1" applyAlignment="1">
      <alignment horizontal="center"/>
    </xf>
    <xf numFmtId="3" fontId="9" fillId="2" borderId="1" xfId="0" applyNumberFormat="1" applyFont="1" applyFill="1" applyBorder="1" applyAlignment="1">
      <alignment horizontal="center"/>
    </xf>
    <xf numFmtId="9" fontId="9" fillId="18" borderId="25" xfId="1" applyFont="1" applyFill="1" applyBorder="1" applyAlignment="1">
      <alignment horizontal="center"/>
    </xf>
    <xf numFmtId="0" fontId="9" fillId="2" borderId="0" xfId="0" applyFont="1" applyFill="1" applyBorder="1"/>
    <xf numFmtId="3" fontId="9" fillId="2" borderId="0" xfId="0" applyNumberFormat="1" applyFont="1" applyFill="1" applyBorder="1" applyAlignment="1">
      <alignment horizontal="center"/>
    </xf>
    <xf numFmtId="9" fontId="9" fillId="2" borderId="0" xfId="1" applyFont="1" applyFill="1" applyBorder="1" applyAlignment="1">
      <alignment horizontal="center"/>
    </xf>
    <xf numFmtId="0" fontId="9" fillId="3" borderId="0" xfId="0" applyFont="1" applyFill="1" applyBorder="1"/>
    <xf numFmtId="3" fontId="9" fillId="2" borderId="1" xfId="0" applyNumberFormat="1" applyFont="1" applyFill="1" applyBorder="1" applyAlignment="1">
      <alignment horizontal="left"/>
    </xf>
    <xf numFmtId="9" fontId="48" fillId="2" borderId="0" xfId="0" applyNumberFormat="1" applyFont="1" applyFill="1" applyBorder="1" applyAlignment="1">
      <alignment horizontal="center"/>
    </xf>
    <xf numFmtId="9" fontId="48" fillId="2" borderId="0" xfId="0" applyNumberFormat="1" applyFont="1" applyFill="1" applyAlignment="1">
      <alignment horizontal="center"/>
    </xf>
    <xf numFmtId="0" fontId="17" fillId="2" borderId="0" xfId="0" applyFont="1" applyFill="1"/>
    <xf numFmtId="3" fontId="6" fillId="18" borderId="1" xfId="0" applyNumberFormat="1" applyFont="1" applyFill="1" applyBorder="1" applyAlignment="1">
      <alignment horizontal="center"/>
    </xf>
    <xf numFmtId="3" fontId="6" fillId="0" borderId="1" xfId="0" applyNumberFormat="1" applyFont="1" applyFill="1" applyBorder="1" applyAlignment="1">
      <alignment horizontal="center"/>
    </xf>
    <xf numFmtId="9" fontId="6" fillId="2" borderId="1" xfId="0" applyNumberFormat="1" applyFont="1" applyFill="1" applyBorder="1" applyAlignment="1">
      <alignment horizontal="center"/>
    </xf>
    <xf numFmtId="0" fontId="31" fillId="2" borderId="0" xfId="2" applyFont="1" applyFill="1"/>
    <xf numFmtId="1" fontId="6" fillId="2" borderId="0" xfId="1" applyNumberFormat="1" applyFont="1" applyFill="1" applyBorder="1" applyAlignment="1">
      <alignment horizontal="center"/>
    </xf>
    <xf numFmtId="9" fontId="6" fillId="2" borderId="0" xfId="1" applyFont="1" applyFill="1" applyBorder="1" applyAlignment="1">
      <alignment horizontal="center"/>
    </xf>
    <xf numFmtId="9" fontId="9" fillId="2" borderId="0" xfId="1" applyNumberFormat="1" applyFont="1" applyFill="1" applyBorder="1" applyAlignment="1">
      <alignment horizontal="center"/>
    </xf>
    <xf numFmtId="9" fontId="47" fillId="3" borderId="0" xfId="1" applyFont="1" applyFill="1" applyAlignment="1">
      <alignment horizontal="center" vertical="center"/>
    </xf>
    <xf numFmtId="0" fontId="9" fillId="3" borderId="0" xfId="0" applyFont="1" applyFill="1" applyBorder="1" applyAlignment="1">
      <alignment vertical="top"/>
    </xf>
    <xf numFmtId="9" fontId="47" fillId="2" borderId="0" xfId="1" applyFont="1" applyFill="1" applyAlignment="1">
      <alignment horizontal="center" vertical="center"/>
    </xf>
    <xf numFmtId="3" fontId="6" fillId="2" borderId="1" xfId="0" applyNumberFormat="1" applyFont="1" applyFill="1" applyBorder="1" applyAlignment="1">
      <alignment horizontal="center" vertical="top"/>
    </xf>
    <xf numFmtId="9" fontId="9" fillId="2" borderId="12" xfId="1" applyFont="1" applyFill="1" applyBorder="1" applyAlignment="1">
      <alignment horizontal="center" vertical="top"/>
    </xf>
    <xf numFmtId="9" fontId="41" fillId="18" borderId="25" xfId="1" applyFont="1" applyFill="1" applyBorder="1" applyAlignment="1">
      <alignment horizontal="center" vertical="top"/>
    </xf>
    <xf numFmtId="9" fontId="49" fillId="2" borderId="0" xfId="1" applyFont="1" applyFill="1" applyBorder="1" applyAlignment="1">
      <alignment horizontal="center" vertical="top"/>
    </xf>
    <xf numFmtId="0" fontId="9" fillId="2" borderId="1" xfId="0" applyFont="1" applyFill="1" applyBorder="1" applyAlignment="1">
      <alignment vertical="top"/>
    </xf>
    <xf numFmtId="3" fontId="47" fillId="2" borderId="1" xfId="0" applyNumberFormat="1" applyFont="1" applyFill="1" applyBorder="1" applyAlignment="1">
      <alignment horizontal="center" vertical="top"/>
    </xf>
    <xf numFmtId="9" fontId="9" fillId="2" borderId="1" xfId="1" applyFont="1" applyFill="1" applyBorder="1" applyAlignment="1">
      <alignment horizontal="center" vertical="top"/>
    </xf>
    <xf numFmtId="9" fontId="41" fillId="2" borderId="0" xfId="1" applyFont="1" applyFill="1" applyBorder="1" applyAlignment="1">
      <alignment horizontal="center" vertical="top"/>
    </xf>
    <xf numFmtId="9" fontId="41" fillId="3" borderId="0" xfId="1" applyFont="1" applyFill="1" applyBorder="1" applyAlignment="1">
      <alignment horizontal="center" vertical="top"/>
    </xf>
    <xf numFmtId="9" fontId="48" fillId="2" borderId="0" xfId="1" applyFont="1" applyFill="1" applyAlignment="1">
      <alignment horizontal="center" vertical="center"/>
    </xf>
    <xf numFmtId="9" fontId="50" fillId="21" borderId="1" xfId="1" applyFont="1" applyFill="1" applyBorder="1" applyAlignment="1">
      <alignment horizontal="center" vertical="top"/>
    </xf>
    <xf numFmtId="3" fontId="6" fillId="6" borderId="1" xfId="1" applyNumberFormat="1" applyFont="1" applyFill="1" applyBorder="1" applyAlignment="1">
      <alignment horizontal="center" vertical="top"/>
    </xf>
    <xf numFmtId="9" fontId="6" fillId="2" borderId="0" xfId="1" applyFont="1" applyFill="1" applyBorder="1" applyAlignment="1">
      <alignment horizontal="center" vertical="top"/>
    </xf>
    <xf numFmtId="0" fontId="9" fillId="2" borderId="0" xfId="0" applyFont="1" applyFill="1" applyBorder="1" applyAlignment="1">
      <alignment horizontal="center" vertical="top"/>
    </xf>
    <xf numFmtId="9" fontId="9" fillId="2" borderId="0" xfId="1" applyNumberFormat="1" applyFont="1" applyFill="1" applyBorder="1" applyAlignment="1">
      <alignment horizontal="center" vertical="top"/>
    </xf>
    <xf numFmtId="0" fontId="9" fillId="2" borderId="0" xfId="0" applyFont="1" applyFill="1" applyBorder="1" applyAlignment="1">
      <alignment vertical="top"/>
    </xf>
    <xf numFmtId="0" fontId="9" fillId="2" borderId="3" xfId="0" applyFont="1" applyFill="1" applyBorder="1" applyAlignment="1">
      <alignment horizontal="center" vertical="top"/>
    </xf>
    <xf numFmtId="0" fontId="47" fillId="2" borderId="0" xfId="0" applyFont="1" applyFill="1" applyBorder="1" applyAlignment="1">
      <alignment horizontal="center"/>
    </xf>
    <xf numFmtId="0" fontId="9" fillId="2" borderId="1" xfId="0" applyFont="1" applyFill="1" applyBorder="1" applyAlignment="1">
      <alignment horizontal="center" vertical="top"/>
    </xf>
    <xf numFmtId="0" fontId="48" fillId="2" borderId="0" xfId="0" applyFont="1" applyFill="1" applyBorder="1" applyAlignment="1">
      <alignment horizontal="center" vertical="top"/>
    </xf>
    <xf numFmtId="0" fontId="47" fillId="2" borderId="0" xfId="0" applyFont="1" applyFill="1" applyBorder="1" applyAlignment="1">
      <alignment horizontal="center" vertical="top"/>
    </xf>
    <xf numFmtId="9" fontId="47" fillId="2" borderId="0" xfId="1" applyFont="1" applyFill="1" applyBorder="1" applyAlignment="1">
      <alignment horizontal="center" vertical="top"/>
    </xf>
    <xf numFmtId="3" fontId="47" fillId="2" borderId="0" xfId="0" applyNumberFormat="1" applyFont="1" applyFill="1" applyBorder="1" applyAlignment="1">
      <alignment horizontal="center" vertical="top"/>
    </xf>
    <xf numFmtId="0" fontId="47" fillId="2" borderId="0" xfId="0" applyFont="1" applyFill="1" applyBorder="1" applyAlignment="1">
      <alignment horizontal="left"/>
    </xf>
    <xf numFmtId="0" fontId="47" fillId="2" borderId="0" xfId="0" applyFont="1" applyFill="1"/>
    <xf numFmtId="9" fontId="49" fillId="2" borderId="9" xfId="1" applyFont="1" applyFill="1" applyBorder="1" applyAlignment="1">
      <alignment horizontal="center" vertical="top"/>
    </xf>
    <xf numFmtId="9" fontId="47" fillId="2" borderId="0" xfId="1" applyFont="1" applyFill="1" applyAlignment="1">
      <alignment horizontal="center"/>
    </xf>
    <xf numFmtId="0" fontId="6" fillId="2" borderId="1" xfId="0" applyFont="1" applyFill="1" applyBorder="1" applyAlignment="1">
      <alignment horizontal="left" vertical="top" wrapText="1"/>
    </xf>
    <xf numFmtId="3" fontId="47" fillId="2" borderId="0" xfId="0" applyNumberFormat="1" applyFont="1" applyFill="1" applyBorder="1" applyAlignment="1">
      <alignment horizontal="center"/>
    </xf>
    <xf numFmtId="3" fontId="47" fillId="2" borderId="0" xfId="1" applyNumberFormat="1" applyFont="1" applyFill="1" applyBorder="1" applyAlignment="1">
      <alignment horizontal="center"/>
    </xf>
    <xf numFmtId="3" fontId="47" fillId="2" borderId="0" xfId="0" applyNumberFormat="1" applyFont="1" applyFill="1" applyAlignment="1">
      <alignment horizontal="center"/>
    </xf>
    <xf numFmtId="0" fontId="9" fillId="2" borderId="0" xfId="0" applyFont="1" applyFill="1" applyBorder="1" applyAlignment="1">
      <alignment horizontal="left" vertical="top" wrapText="1"/>
    </xf>
    <xf numFmtId="3" fontId="6" fillId="2" borderId="0" xfId="0" applyNumberFormat="1" applyFont="1" applyFill="1" applyAlignment="1">
      <alignment horizontal="center"/>
    </xf>
    <xf numFmtId="9" fontId="47" fillId="2" borderId="0" xfId="0" applyNumberFormat="1" applyFont="1" applyFill="1" applyBorder="1" applyAlignment="1">
      <alignment horizontal="center" vertical="top"/>
    </xf>
    <xf numFmtId="3" fontId="47" fillId="2" borderId="0" xfId="0" applyNumberFormat="1" applyFont="1" applyFill="1"/>
    <xf numFmtId="1" fontId="47" fillId="2" borderId="1" xfId="1" applyNumberFormat="1" applyFont="1" applyFill="1" applyBorder="1" applyAlignment="1">
      <alignment horizontal="center" vertical="top"/>
    </xf>
    <xf numFmtId="9" fontId="47" fillId="2" borderId="0" xfId="0" applyNumberFormat="1" applyFont="1" applyFill="1" applyBorder="1" applyAlignment="1">
      <alignment horizontal="left"/>
    </xf>
    <xf numFmtId="1" fontId="47" fillId="2" borderId="0" xfId="1" applyNumberFormat="1" applyFont="1" applyFill="1" applyBorder="1" applyAlignment="1">
      <alignment horizontal="center" vertical="top"/>
    </xf>
    <xf numFmtId="0" fontId="47" fillId="2" borderId="1" xfId="0" applyFont="1" applyFill="1" applyBorder="1"/>
    <xf numFmtId="0" fontId="47" fillId="2" borderId="0" xfId="0" applyFont="1" applyFill="1" applyAlignment="1">
      <alignment horizontal="left"/>
    </xf>
    <xf numFmtId="0" fontId="48" fillId="2" borderId="0" xfId="0" applyFont="1" applyFill="1" applyBorder="1" applyAlignment="1">
      <alignment horizontal="left"/>
    </xf>
    <xf numFmtId="9" fontId="47" fillId="2" borderId="1" xfId="0" applyNumberFormat="1" applyFont="1" applyFill="1" applyBorder="1" applyAlignment="1">
      <alignment horizontal="center"/>
    </xf>
    <xf numFmtId="9" fontId="47" fillId="18" borderId="1" xfId="0" applyNumberFormat="1" applyFont="1" applyFill="1" applyBorder="1" applyAlignment="1">
      <alignment horizontal="center"/>
    </xf>
    <xf numFmtId="167" fontId="6" fillId="2" borderId="1" xfId="0" applyNumberFormat="1" applyFont="1" applyFill="1" applyBorder="1" applyAlignment="1">
      <alignment horizontal="center"/>
    </xf>
    <xf numFmtId="1" fontId="6" fillId="6" borderId="1" xfId="0" applyNumberFormat="1" applyFont="1" applyFill="1" applyBorder="1" applyAlignment="1">
      <alignment horizontal="center"/>
    </xf>
    <xf numFmtId="0" fontId="6" fillId="2" borderId="26" xfId="0" applyFont="1" applyFill="1" applyBorder="1"/>
    <xf numFmtId="0" fontId="6" fillId="6" borderId="26" xfId="0" applyFont="1" applyFill="1" applyBorder="1" applyAlignment="1">
      <alignment horizontal="center"/>
    </xf>
    <xf numFmtId="0" fontId="6" fillId="2" borderId="26" xfId="0" applyFont="1" applyFill="1" applyBorder="1" applyAlignment="1">
      <alignment horizontal="center"/>
    </xf>
    <xf numFmtId="3" fontId="6" fillId="6" borderId="26" xfId="0" applyNumberFormat="1" applyFont="1" applyFill="1" applyBorder="1" applyAlignment="1">
      <alignment horizontal="center"/>
    </xf>
    <xf numFmtId="167" fontId="6" fillId="2" borderId="26" xfId="0" applyNumberFormat="1" applyFont="1" applyFill="1" applyBorder="1" applyAlignment="1">
      <alignment horizontal="center"/>
    </xf>
    <xf numFmtId="9" fontId="6" fillId="2" borderId="26" xfId="1" applyFont="1" applyFill="1" applyBorder="1" applyAlignment="1">
      <alignment horizontal="center"/>
    </xf>
    <xf numFmtId="0" fontId="6" fillId="6" borderId="8" xfId="0" applyFont="1" applyFill="1" applyBorder="1" applyAlignment="1">
      <alignment horizontal="center"/>
    </xf>
    <xf numFmtId="0" fontId="6" fillId="2" borderId="8" xfId="0" applyFont="1" applyFill="1" applyBorder="1" applyAlignment="1">
      <alignment horizontal="center"/>
    </xf>
    <xf numFmtId="3" fontId="6" fillId="6" borderId="8" xfId="0" applyNumberFormat="1" applyFont="1" applyFill="1" applyBorder="1" applyAlignment="1">
      <alignment horizontal="center"/>
    </xf>
    <xf numFmtId="167" fontId="6" fillId="2" borderId="8" xfId="0" applyNumberFormat="1" applyFont="1" applyFill="1" applyBorder="1" applyAlignment="1">
      <alignment horizontal="center"/>
    </xf>
    <xf numFmtId="9" fontId="6" fillId="2" borderId="8" xfId="1" applyFont="1" applyFill="1" applyBorder="1" applyAlignment="1">
      <alignment horizontal="center"/>
    </xf>
    <xf numFmtId="167" fontId="8" fillId="2" borderId="8" xfId="0" applyNumberFormat="1" applyFont="1" applyFill="1" applyBorder="1" applyAlignment="1">
      <alignment horizontal="center"/>
    </xf>
    <xf numFmtId="9" fontId="8" fillId="2" borderId="8" xfId="1" applyFont="1" applyFill="1" applyBorder="1" applyAlignment="1">
      <alignment horizontal="center"/>
    </xf>
    <xf numFmtId="167" fontId="8" fillId="2" borderId="1" xfId="0" applyNumberFormat="1" applyFont="1" applyFill="1" applyBorder="1" applyAlignment="1">
      <alignment horizontal="center"/>
    </xf>
    <xf numFmtId="9" fontId="8" fillId="2" borderId="1" xfId="1" applyFont="1" applyFill="1" applyBorder="1" applyAlignment="1">
      <alignment horizontal="center"/>
    </xf>
    <xf numFmtId="167" fontId="8" fillId="2" borderId="26" xfId="0" applyNumberFormat="1" applyFont="1" applyFill="1" applyBorder="1" applyAlignment="1">
      <alignment horizontal="center"/>
    </xf>
    <xf numFmtId="9" fontId="8" fillId="2" borderId="26" xfId="1" applyFont="1" applyFill="1" applyBorder="1" applyAlignment="1">
      <alignment horizontal="center"/>
    </xf>
    <xf numFmtId="9" fontId="9" fillId="2" borderId="12" xfId="0" applyNumberFormat="1" applyFont="1" applyFill="1" applyBorder="1" applyAlignment="1">
      <alignment horizontal="center"/>
    </xf>
    <xf numFmtId="9" fontId="48" fillId="2" borderId="0" xfId="0" applyNumberFormat="1" applyFont="1" applyFill="1" applyAlignment="1">
      <alignment horizontal="center" vertical="center"/>
    </xf>
    <xf numFmtId="9" fontId="9" fillId="18" borderId="25" xfId="0" applyNumberFormat="1" applyFont="1" applyFill="1" applyBorder="1" applyAlignment="1">
      <alignment horizontal="center"/>
    </xf>
    <xf numFmtId="9" fontId="47" fillId="2" borderId="0" xfId="0" applyNumberFormat="1" applyFont="1" applyFill="1" applyAlignment="1">
      <alignment horizontal="center" vertical="center"/>
    </xf>
    <xf numFmtId="9" fontId="9" fillId="2" borderId="0" xfId="0" applyNumberFormat="1" applyFont="1" applyFill="1" applyBorder="1" applyAlignment="1">
      <alignment horizontal="center"/>
    </xf>
    <xf numFmtId="2" fontId="6" fillId="2" borderId="0" xfId="1" applyNumberFormat="1" applyFont="1" applyFill="1" applyBorder="1" applyAlignment="1">
      <alignment horizontal="center"/>
    </xf>
    <xf numFmtId="4" fontId="47" fillId="2" borderId="0" xfId="1" applyNumberFormat="1" applyFont="1" applyFill="1" applyBorder="1" applyAlignment="1">
      <alignment horizontal="center"/>
    </xf>
    <xf numFmtId="4" fontId="47" fillId="2" borderId="0" xfId="0" applyNumberFormat="1" applyFont="1" applyFill="1" applyAlignment="1">
      <alignment horizontal="center"/>
    </xf>
    <xf numFmtId="9" fontId="48" fillId="2" borderId="0" xfId="1" applyFont="1" applyFill="1" applyBorder="1" applyAlignment="1">
      <alignment horizontal="center"/>
    </xf>
    <xf numFmtId="0" fontId="41" fillId="2" borderId="1" xfId="0" applyFont="1" applyFill="1" applyBorder="1" applyAlignment="1">
      <alignment horizontal="center"/>
    </xf>
    <xf numFmtId="9" fontId="41" fillId="18" borderId="25" xfId="0" applyNumberFormat="1" applyFont="1" applyFill="1" applyBorder="1" applyAlignment="1">
      <alignment horizontal="center"/>
    </xf>
    <xf numFmtId="9" fontId="9" fillId="2" borderId="12" xfId="1" applyFont="1" applyFill="1" applyBorder="1" applyAlignment="1">
      <alignment horizontal="center"/>
    </xf>
    <xf numFmtId="1" fontId="37" fillId="0" borderId="0" xfId="0" applyNumberFormat="1" applyFont="1" applyAlignment="1">
      <alignment horizontal="center" vertical="center"/>
    </xf>
    <xf numFmtId="1" fontId="8" fillId="2" borderId="0" xfId="0" applyNumberFormat="1" applyFont="1" applyFill="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center" vertical="center"/>
    </xf>
    <xf numFmtId="1" fontId="41" fillId="2" borderId="1"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3" fontId="9" fillId="2" borderId="1" xfId="0" applyNumberFormat="1" applyFont="1" applyFill="1" applyBorder="1" applyAlignment="1">
      <alignment horizontal="center" vertical="center"/>
    </xf>
    <xf numFmtId="9" fontId="15" fillId="2" borderId="1" xfId="0" applyNumberFormat="1" applyFont="1" applyFill="1" applyBorder="1" applyAlignment="1">
      <alignment horizontal="center" vertical="center"/>
    </xf>
    <xf numFmtId="1" fontId="17" fillId="2" borderId="0" xfId="0" applyNumberFormat="1" applyFont="1" applyFill="1" applyAlignment="1">
      <alignment horizontal="center"/>
    </xf>
    <xf numFmtId="1" fontId="8" fillId="2" borderId="0" xfId="0" applyNumberFormat="1" applyFont="1" applyFill="1" applyAlignment="1">
      <alignment horizontal="center" vertical="center"/>
    </xf>
    <xf numFmtId="3" fontId="17" fillId="2" borderId="0" xfId="0" applyNumberFormat="1" applyFont="1" applyFill="1" applyAlignment="1">
      <alignment horizontal="center"/>
    </xf>
    <xf numFmtId="1" fontId="9" fillId="2" borderId="0" xfId="0" applyNumberFormat="1" applyFont="1" applyFill="1" applyBorder="1" applyAlignment="1">
      <alignment horizontal="center" vertical="center"/>
    </xf>
    <xf numFmtId="1" fontId="41" fillId="2" borderId="0" xfId="0" applyNumberFormat="1" applyFont="1" applyFill="1" applyBorder="1" applyAlignment="1">
      <alignment horizontal="center" vertical="center"/>
    </xf>
    <xf numFmtId="0" fontId="52" fillId="2" borderId="0" xfId="0" applyFont="1" applyFill="1" applyAlignment="1">
      <alignment vertical="center"/>
    </xf>
    <xf numFmtId="16" fontId="6" fillId="13" borderId="0" xfId="0" applyNumberFormat="1" applyFont="1" applyFill="1" applyBorder="1" applyAlignment="1">
      <alignment vertical="center"/>
    </xf>
    <xf numFmtId="0" fontId="9" fillId="13" borderId="0" xfId="0" applyFont="1" applyFill="1" applyBorder="1" applyAlignment="1">
      <alignment horizontal="center" vertical="center"/>
    </xf>
    <xf numFmtId="9" fontId="9" fillId="13" borderId="0" xfId="1" applyFont="1" applyFill="1" applyBorder="1" applyAlignment="1">
      <alignment horizontal="center" vertical="center"/>
    </xf>
    <xf numFmtId="1" fontId="8" fillId="13" borderId="0" xfId="1" applyNumberFormat="1" applyFont="1" applyFill="1" applyBorder="1" applyAlignment="1">
      <alignment horizontal="center" vertical="center"/>
    </xf>
    <xf numFmtId="1" fontId="6" fillId="2" borderId="0" xfId="0" applyNumberFormat="1" applyFont="1" applyFill="1" applyAlignment="1">
      <alignment horizontal="center" vertical="center"/>
    </xf>
    <xf numFmtId="1" fontId="8" fillId="2" borderId="0" xfId="1" applyNumberFormat="1" applyFont="1" applyFill="1" applyAlignment="1">
      <alignment horizontal="center" vertical="center"/>
    </xf>
    <xf numFmtId="1" fontId="9" fillId="13" borderId="0" xfId="0" applyNumberFormat="1" applyFont="1" applyFill="1" applyBorder="1" applyAlignment="1">
      <alignment horizontal="center" vertical="center"/>
    </xf>
    <xf numFmtId="16" fontId="6" fillId="2" borderId="0" xfId="0" applyNumberFormat="1" applyFont="1" applyFill="1" applyBorder="1" applyAlignment="1">
      <alignment vertical="center"/>
    </xf>
    <xf numFmtId="1" fontId="8" fillId="2" borderId="0" xfId="1" applyNumberFormat="1" applyFont="1" applyFill="1" applyBorder="1" applyAlignment="1">
      <alignment horizontal="center" vertical="center"/>
    </xf>
    <xf numFmtId="16" fontId="6" fillId="14" borderId="0" xfId="0" applyNumberFormat="1" applyFont="1" applyFill="1" applyBorder="1" applyAlignment="1">
      <alignment vertical="center"/>
    </xf>
    <xf numFmtId="0" fontId="9" fillId="14" borderId="0" xfId="0" applyFont="1" applyFill="1" applyBorder="1" applyAlignment="1">
      <alignment horizontal="center" vertical="center"/>
    </xf>
    <xf numFmtId="1" fontId="9" fillId="14" borderId="0" xfId="0" applyNumberFormat="1" applyFont="1" applyFill="1" applyBorder="1" applyAlignment="1">
      <alignment horizontal="center" vertical="center"/>
    </xf>
    <xf numFmtId="9" fontId="9" fillId="14" borderId="0" xfId="1" applyFont="1" applyFill="1" applyBorder="1" applyAlignment="1">
      <alignment horizontal="center" vertical="center"/>
    </xf>
    <xf numFmtId="1" fontId="8" fillId="14" borderId="0" xfId="1" applyNumberFormat="1" applyFont="1" applyFill="1" applyBorder="1" applyAlignment="1">
      <alignment horizontal="center" vertical="center"/>
    </xf>
    <xf numFmtId="16" fontId="6" fillId="15" borderId="0" xfId="0" applyNumberFormat="1" applyFont="1" applyFill="1" applyBorder="1" applyAlignment="1">
      <alignment vertical="center"/>
    </xf>
    <xf numFmtId="0" fontId="9" fillId="15" borderId="0" xfId="0" applyFont="1" applyFill="1" applyBorder="1" applyAlignment="1">
      <alignment horizontal="center" vertical="center"/>
    </xf>
    <xf numFmtId="1" fontId="9" fillId="15" borderId="0" xfId="0" applyNumberFormat="1" applyFont="1" applyFill="1" applyBorder="1" applyAlignment="1">
      <alignment horizontal="center" vertical="center"/>
    </xf>
    <xf numFmtId="9" fontId="9" fillId="15" borderId="0" xfId="1" applyFont="1" applyFill="1" applyBorder="1" applyAlignment="1">
      <alignment horizontal="center" vertical="center"/>
    </xf>
    <xf numFmtId="1" fontId="8" fillId="15" borderId="0" xfId="1" applyNumberFormat="1" applyFont="1" applyFill="1" applyBorder="1" applyAlignment="1">
      <alignment horizontal="center" vertical="center"/>
    </xf>
    <xf numFmtId="1" fontId="6" fillId="2" borderId="0" xfId="0" applyNumberFormat="1" applyFont="1" applyFill="1" applyBorder="1" applyAlignment="1">
      <alignment horizontal="center" vertical="center"/>
    </xf>
    <xf numFmtId="16" fontId="6" fillId="16" borderId="0" xfId="0" applyNumberFormat="1" applyFont="1" applyFill="1" applyBorder="1" applyAlignment="1">
      <alignment vertical="center"/>
    </xf>
    <xf numFmtId="0" fontId="9" fillId="16" borderId="0" xfId="0" applyFont="1" applyFill="1" applyBorder="1" applyAlignment="1">
      <alignment horizontal="center" vertical="center"/>
    </xf>
    <xf numFmtId="1" fontId="9" fillId="16" borderId="0" xfId="0" applyNumberFormat="1" applyFont="1" applyFill="1" applyBorder="1" applyAlignment="1">
      <alignment horizontal="center" vertical="center"/>
    </xf>
    <xf numFmtId="9" fontId="9" fillId="16" borderId="0" xfId="1" applyFont="1" applyFill="1" applyBorder="1" applyAlignment="1">
      <alignment horizontal="center" vertical="center"/>
    </xf>
    <xf numFmtId="1" fontId="8" fillId="16" borderId="0" xfId="1" applyNumberFormat="1" applyFont="1" applyFill="1" applyBorder="1" applyAlignment="1">
      <alignment horizontal="center" vertical="center"/>
    </xf>
    <xf numFmtId="1" fontId="6" fillId="2" borderId="0" xfId="0" applyNumberFormat="1" applyFont="1" applyFill="1" applyAlignment="1">
      <alignment horizontal="center"/>
    </xf>
    <xf numFmtId="16" fontId="6" fillId="17" borderId="0" xfId="0" applyNumberFormat="1" applyFont="1" applyFill="1" applyBorder="1" applyAlignment="1">
      <alignment vertical="center"/>
    </xf>
    <xf numFmtId="0" fontId="9" fillId="17" borderId="0" xfId="0" applyFont="1" applyFill="1" applyBorder="1" applyAlignment="1">
      <alignment horizontal="center" vertical="center"/>
    </xf>
    <xf numFmtId="1" fontId="9" fillId="17" borderId="0" xfId="0" applyNumberFormat="1" applyFont="1" applyFill="1" applyBorder="1" applyAlignment="1">
      <alignment horizontal="center" vertical="center"/>
    </xf>
    <xf numFmtId="9" fontId="9" fillId="17" borderId="0" xfId="1" applyFont="1" applyFill="1" applyBorder="1" applyAlignment="1">
      <alignment horizontal="center" vertical="center"/>
    </xf>
    <xf numFmtId="1" fontId="8" fillId="17" borderId="0" xfId="1" applyNumberFormat="1" applyFont="1" applyFill="1" applyBorder="1" applyAlignment="1">
      <alignment horizontal="center" vertical="center"/>
    </xf>
    <xf numFmtId="16" fontId="6" fillId="5" borderId="0" xfId="0" applyNumberFormat="1" applyFont="1" applyFill="1" applyBorder="1" applyAlignment="1">
      <alignment vertical="center"/>
    </xf>
    <xf numFmtId="0" fontId="9" fillId="5" borderId="0" xfId="0" applyFont="1" applyFill="1" applyBorder="1" applyAlignment="1">
      <alignment horizontal="center" vertical="center"/>
    </xf>
    <xf numFmtId="3" fontId="9" fillId="5" borderId="0" xfId="0" applyNumberFormat="1" applyFont="1" applyFill="1" applyBorder="1" applyAlignment="1">
      <alignment horizontal="center" vertical="center"/>
    </xf>
    <xf numFmtId="1" fontId="8" fillId="5" borderId="0" xfId="1" applyNumberFormat="1" applyFont="1" applyFill="1" applyBorder="1" applyAlignment="1">
      <alignment horizontal="center" vertical="center"/>
    </xf>
    <xf numFmtId="3" fontId="6" fillId="2" borderId="0" xfId="0" applyNumberFormat="1" applyFont="1" applyFill="1" applyAlignment="1">
      <alignment horizontal="center" vertical="center"/>
    </xf>
    <xf numFmtId="0" fontId="15" fillId="2" borderId="0" xfId="0" applyFont="1" applyFill="1" applyAlignment="1">
      <alignment vertical="center"/>
    </xf>
    <xf numFmtId="0" fontId="15" fillId="2" borderId="0" xfId="0" applyFont="1" applyFill="1" applyAlignment="1">
      <alignment horizontal="center" vertical="center"/>
    </xf>
    <xf numFmtId="0" fontId="6" fillId="2" borderId="0" xfId="0" applyFont="1" applyFill="1" applyBorder="1" applyAlignment="1">
      <alignment vertical="center"/>
    </xf>
    <xf numFmtId="0" fontId="15" fillId="4" borderId="0" xfId="0" applyFont="1" applyFill="1" applyAlignment="1">
      <alignment vertical="center"/>
    </xf>
    <xf numFmtId="0" fontId="6" fillId="4" borderId="0" xfId="0" applyFont="1" applyFill="1" applyAlignment="1">
      <alignment horizontal="left" vertical="top"/>
    </xf>
    <xf numFmtId="0" fontId="13" fillId="2" borderId="0" xfId="0" applyFont="1" applyFill="1" applyBorder="1" applyAlignment="1">
      <alignment vertical="top"/>
    </xf>
    <xf numFmtId="0" fontId="9" fillId="2" borderId="0" xfId="0" applyFont="1" applyFill="1" applyAlignment="1">
      <alignment vertical="top"/>
    </xf>
    <xf numFmtId="0" fontId="9" fillId="2" borderId="0" xfId="0" applyFont="1" applyFill="1" applyAlignment="1">
      <alignment horizontal="center" vertical="top"/>
    </xf>
    <xf numFmtId="0" fontId="6" fillId="2" borderId="1" xfId="0" applyFont="1" applyFill="1" applyBorder="1" applyAlignment="1">
      <alignment horizontal="center" vertical="top" wrapText="1"/>
    </xf>
    <xf numFmtId="0" fontId="6" fillId="0" borderId="0" xfId="0" applyFont="1" applyAlignment="1">
      <alignment horizontal="left" vertical="top"/>
    </xf>
    <xf numFmtId="3" fontId="6" fillId="0" borderId="0" xfId="0" applyNumberFormat="1" applyFont="1" applyAlignment="1">
      <alignment horizontal="left" vertical="top"/>
    </xf>
    <xf numFmtId="165" fontId="6" fillId="0" borderId="0" xfId="4" applyNumberFormat="1" applyFont="1" applyAlignment="1">
      <alignment horizontal="left" vertical="top"/>
    </xf>
    <xf numFmtId="0" fontId="9" fillId="0" borderId="0" xfId="0" applyFont="1"/>
    <xf numFmtId="9" fontId="6" fillId="0" borderId="0" xfId="0" applyNumberFormat="1" applyFont="1" applyAlignment="1">
      <alignment horizontal="left"/>
    </xf>
    <xf numFmtId="0" fontId="6" fillId="0" borderId="1" xfId="0" applyFont="1" applyBorder="1" applyAlignment="1">
      <alignment horizontal="center"/>
    </xf>
    <xf numFmtId="9" fontId="6" fillId="0" borderId="1" xfId="1" applyFont="1" applyBorder="1" applyAlignment="1">
      <alignment horizontal="center"/>
    </xf>
    <xf numFmtId="0" fontId="37" fillId="0" borderId="1" xfId="0" applyFont="1" applyFill="1" applyBorder="1" applyAlignment="1" applyProtection="1"/>
    <xf numFmtId="0" fontId="6" fillId="0" borderId="1" xfId="0" applyFont="1" applyBorder="1"/>
    <xf numFmtId="1" fontId="37" fillId="0" borderId="1" xfId="0" applyNumberFormat="1" applyFont="1" applyFill="1" applyBorder="1" applyAlignment="1" applyProtection="1">
      <alignment horizontal="center"/>
    </xf>
    <xf numFmtId="0" fontId="6" fillId="6" borderId="23" xfId="0" applyFont="1" applyFill="1" applyBorder="1" applyAlignment="1">
      <alignment horizontal="center"/>
    </xf>
    <xf numFmtId="0" fontId="6" fillId="2" borderId="23" xfId="0" applyFont="1" applyFill="1" applyBorder="1" applyAlignment="1">
      <alignment horizontal="center"/>
    </xf>
    <xf numFmtId="167" fontId="6" fillId="2" borderId="23" xfId="0" applyNumberFormat="1" applyFont="1" applyFill="1" applyBorder="1" applyAlignment="1">
      <alignment horizontal="center"/>
    </xf>
    <xf numFmtId="9" fontId="6" fillId="2" borderId="23" xfId="1" applyFont="1" applyFill="1" applyBorder="1" applyAlignment="1">
      <alignment horizontal="center"/>
    </xf>
    <xf numFmtId="0" fontId="6" fillId="2" borderId="27" xfId="0" applyFont="1" applyFill="1" applyBorder="1"/>
    <xf numFmtId="0" fontId="6" fillId="6" borderId="27" xfId="0" applyFont="1" applyFill="1" applyBorder="1" applyAlignment="1">
      <alignment horizontal="center"/>
    </xf>
    <xf numFmtId="0" fontId="6" fillId="2" borderId="27" xfId="0" applyFont="1" applyFill="1" applyBorder="1" applyAlignment="1">
      <alignment horizontal="center"/>
    </xf>
    <xf numFmtId="167" fontId="6" fillId="2" borderId="27" xfId="0" applyNumberFormat="1" applyFont="1" applyFill="1" applyBorder="1" applyAlignment="1">
      <alignment horizontal="center"/>
    </xf>
    <xf numFmtId="9" fontId="6" fillId="2" borderId="27" xfId="1" applyFont="1" applyFill="1" applyBorder="1" applyAlignment="1">
      <alignment horizontal="center"/>
    </xf>
    <xf numFmtId="0" fontId="47" fillId="2" borderId="0" xfId="0" applyFont="1" applyFill="1" applyAlignment="1">
      <alignment vertical="top" wrapText="1"/>
    </xf>
    <xf numFmtId="0" fontId="47" fillId="2" borderId="0" xfId="0" applyFont="1" applyFill="1" applyAlignment="1">
      <alignment horizontal="center" wrapText="1"/>
    </xf>
    <xf numFmtId="9" fontId="48" fillId="2" borderId="0" xfId="0" applyNumberFormat="1" applyFont="1" applyFill="1" applyAlignment="1">
      <alignment horizontal="center" vertical="center" wrapText="1"/>
    </xf>
    <xf numFmtId="0" fontId="6" fillId="2" borderId="1" xfId="0" applyFont="1" applyFill="1" applyBorder="1" applyAlignment="1">
      <alignment wrapText="1"/>
    </xf>
    <xf numFmtId="0" fontId="47" fillId="2" borderId="0" xfId="0" applyFont="1" applyFill="1" applyAlignment="1">
      <alignment horizontal="center" vertical="center" wrapText="1"/>
    </xf>
    <xf numFmtId="0" fontId="6" fillId="0" borderId="1" xfId="0" applyFont="1" applyBorder="1" applyAlignment="1">
      <alignment horizontal="right" wrapText="1"/>
    </xf>
    <xf numFmtId="0" fontId="6" fillId="0" borderId="12" xfId="0" applyFont="1" applyBorder="1" applyAlignment="1">
      <alignment horizontal="right" wrapText="1"/>
    </xf>
    <xf numFmtId="0" fontId="6" fillId="2" borderId="1" xfId="0" applyFont="1" applyFill="1" applyBorder="1" applyAlignment="1">
      <alignment horizontal="right" wrapText="1"/>
    </xf>
    <xf numFmtId="0" fontId="9" fillId="0" borderId="1" xfId="0" applyFont="1" applyBorder="1" applyAlignment="1">
      <alignment wrapText="1"/>
    </xf>
    <xf numFmtId="4" fontId="9" fillId="0" borderId="1" xfId="0" applyNumberFormat="1" applyFont="1" applyFill="1" applyBorder="1" applyAlignment="1">
      <alignment horizontal="center" wrapText="1"/>
    </xf>
    <xf numFmtId="3" fontId="6" fillId="6" borderId="2" xfId="0" applyNumberFormat="1" applyFont="1" applyFill="1" applyBorder="1" applyAlignment="1">
      <alignment horizontal="center" vertical="center" wrapText="1"/>
    </xf>
    <xf numFmtId="3" fontId="6" fillId="6" borderId="6"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47"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3" fontId="47" fillId="2" borderId="0" xfId="0" applyNumberFormat="1" applyFont="1" applyFill="1" applyAlignment="1">
      <alignment horizontal="center" vertical="center" wrapText="1"/>
    </xf>
    <xf numFmtId="3" fontId="6" fillId="2" borderId="0" xfId="0" applyNumberFormat="1" applyFont="1" applyFill="1" applyAlignment="1">
      <alignment horizontal="center" vertical="center" wrapText="1"/>
    </xf>
    <xf numFmtId="3" fontId="6" fillId="18" borderId="1" xfId="0" applyNumberFormat="1" applyFont="1" applyFill="1" applyBorder="1" applyAlignment="1">
      <alignment horizontal="center" vertical="top" wrapText="1"/>
    </xf>
    <xf numFmtId="9" fontId="48" fillId="2" borderId="1" xfId="1" applyFont="1" applyFill="1" applyBorder="1" applyAlignment="1">
      <alignment horizontal="center" vertical="top"/>
    </xf>
    <xf numFmtId="3" fontId="6" fillId="0" borderId="1" xfId="0" applyNumberFormat="1" applyFont="1" applyFill="1" applyBorder="1" applyAlignment="1">
      <alignment horizontal="center" vertical="top"/>
    </xf>
    <xf numFmtId="3" fontId="6" fillId="0" borderId="8" xfId="0" applyNumberFormat="1" applyFont="1" applyFill="1" applyBorder="1" applyAlignment="1">
      <alignment horizontal="center" vertical="top"/>
    </xf>
    <xf numFmtId="3" fontId="6" fillId="2" borderId="0" xfId="0" applyNumberFormat="1" applyFont="1" applyFill="1" applyBorder="1" applyAlignment="1">
      <alignment horizontal="center" vertical="top"/>
    </xf>
    <xf numFmtId="0" fontId="9" fillId="0" borderId="1" xfId="0" applyFont="1" applyFill="1" applyBorder="1" applyAlignment="1">
      <alignment horizontal="center" vertical="top"/>
    </xf>
    <xf numFmtId="9" fontId="6" fillId="0" borderId="1" xfId="1" applyFont="1" applyFill="1" applyBorder="1" applyAlignment="1">
      <alignment horizontal="center" vertical="top"/>
    </xf>
    <xf numFmtId="3" fontId="9" fillId="0" borderId="1" xfId="0" applyNumberFormat="1" applyFont="1" applyFill="1" applyBorder="1" applyAlignment="1">
      <alignment horizontal="left" vertical="top"/>
    </xf>
    <xf numFmtId="0" fontId="56" fillId="2" borderId="1" xfId="0" applyFont="1" applyFill="1" applyBorder="1" applyAlignment="1">
      <alignment vertical="top" wrapText="1"/>
    </xf>
    <xf numFmtId="0" fontId="9" fillId="0" borderId="1" xfId="0" applyFont="1" applyFill="1" applyBorder="1" applyAlignment="1">
      <alignment horizontal="left" vertical="top"/>
    </xf>
    <xf numFmtId="0" fontId="58" fillId="13" borderId="0" xfId="2" applyFont="1" applyFill="1" applyBorder="1"/>
    <xf numFmtId="0" fontId="58" fillId="14" borderId="0" xfId="2" applyFont="1" applyFill="1" applyBorder="1"/>
    <xf numFmtId="0" fontId="58" fillId="15" borderId="0" xfId="2" applyFont="1" applyFill="1" applyBorder="1"/>
    <xf numFmtId="0" fontId="58" fillId="16" borderId="0" xfId="2" applyFont="1" applyFill="1" applyBorder="1"/>
    <xf numFmtId="0" fontId="58" fillId="17" borderId="0" xfId="2" applyFont="1" applyFill="1" applyBorder="1"/>
    <xf numFmtId="0" fontId="58" fillId="20" borderId="0" xfId="2" applyFont="1" applyFill="1" applyBorder="1"/>
    <xf numFmtId="0" fontId="58" fillId="20" borderId="21" xfId="2" applyFont="1" applyFill="1" applyBorder="1"/>
    <xf numFmtId="49" fontId="59" fillId="4" borderId="0" xfId="2" applyNumberFormat="1" applyFont="1" applyFill="1" applyAlignment="1">
      <alignment horizontal="left" vertical="center" wrapText="1"/>
    </xf>
    <xf numFmtId="0" fontId="9" fillId="2" borderId="1" xfId="0" applyFont="1" applyFill="1" applyBorder="1" applyAlignment="1">
      <alignment vertical="center" wrapText="1"/>
    </xf>
    <xf numFmtId="0" fontId="9" fillId="0" borderId="1" xfId="0" applyFont="1" applyFill="1" applyBorder="1" applyAlignment="1">
      <alignment horizontal="center" vertical="center" wrapText="1"/>
    </xf>
    <xf numFmtId="9" fontId="9" fillId="2" borderId="1" xfId="1" applyFont="1" applyFill="1" applyBorder="1" applyAlignment="1">
      <alignment horizontal="center"/>
    </xf>
    <xf numFmtId="9" fontId="47" fillId="2" borderId="0" xfId="0" applyNumberFormat="1" applyFont="1" applyFill="1" applyAlignment="1">
      <alignment horizontal="center"/>
    </xf>
    <xf numFmtId="1" fontId="48" fillId="2" borderId="0" xfId="0" applyNumberFormat="1" applyFont="1" applyFill="1" applyAlignment="1">
      <alignment horizontal="center" vertical="top"/>
    </xf>
    <xf numFmtId="0" fontId="47" fillId="2" borderId="0" xfId="0" applyFont="1" applyFill="1" applyAlignment="1">
      <alignment horizontal="center" vertical="top"/>
    </xf>
    <xf numFmtId="9" fontId="48" fillId="2" borderId="0" xfId="0" applyNumberFormat="1" applyFont="1" applyFill="1" applyAlignment="1">
      <alignment horizontal="center" vertical="top"/>
    </xf>
    <xf numFmtId="3" fontId="47" fillId="2" borderId="0" xfId="0" applyNumberFormat="1" applyFont="1" applyFill="1" applyAlignment="1">
      <alignment horizontal="center" vertical="top"/>
    </xf>
    <xf numFmtId="9" fontId="9" fillId="2" borderId="0" xfId="1" applyNumberFormat="1" applyFont="1" applyFill="1" applyBorder="1" applyAlignment="1">
      <alignment horizontal="center" vertical="center"/>
    </xf>
    <xf numFmtId="0" fontId="9" fillId="0" borderId="1" xfId="0" applyFont="1" applyFill="1" applyBorder="1" applyAlignment="1">
      <alignment horizontal="center" vertical="top" wrapText="1"/>
    </xf>
    <xf numFmtId="9" fontId="48" fillId="2" borderId="0" xfId="1" applyFont="1" applyFill="1" applyAlignment="1">
      <alignment horizontal="center" vertical="top"/>
    </xf>
    <xf numFmtId="0" fontId="48" fillId="2" borderId="0" xfId="0" applyFont="1" applyFill="1" applyAlignment="1">
      <alignment horizontal="center" vertical="center" wrapText="1"/>
    </xf>
    <xf numFmtId="0" fontId="6" fillId="0" borderId="1" xfId="0" applyFont="1" applyBorder="1" applyAlignment="1">
      <alignment horizontal="right" vertical="top" wrapText="1"/>
    </xf>
    <xf numFmtId="3" fontId="6" fillId="6" borderId="2" xfId="0" applyNumberFormat="1" applyFont="1" applyFill="1" applyBorder="1" applyAlignment="1">
      <alignment horizontal="center" vertical="top" wrapText="1"/>
    </xf>
    <xf numFmtId="3" fontId="6" fillId="2" borderId="0" xfId="0" applyNumberFormat="1" applyFont="1" applyFill="1" applyAlignment="1">
      <alignment horizontal="center" vertical="top" wrapText="1"/>
    </xf>
    <xf numFmtId="0" fontId="6" fillId="0" borderId="2" xfId="0" applyFont="1" applyBorder="1" applyAlignment="1">
      <alignment horizontal="right" wrapText="1"/>
    </xf>
    <xf numFmtId="166" fontId="47" fillId="2" borderId="0" xfId="0" applyNumberFormat="1" applyFont="1" applyFill="1" applyBorder="1" applyAlignment="1">
      <alignment horizontal="center" vertical="center" wrapText="1"/>
    </xf>
    <xf numFmtId="166" fontId="47" fillId="2" borderId="0" xfId="0" applyNumberFormat="1" applyFont="1" applyFill="1" applyAlignment="1">
      <alignment horizontal="center" vertical="top" wrapText="1"/>
    </xf>
    <xf numFmtId="166" fontId="47" fillId="2" borderId="0" xfId="0" applyNumberFormat="1" applyFont="1" applyFill="1" applyAlignment="1">
      <alignment horizontal="center" vertical="center" wrapText="1"/>
    </xf>
    <xf numFmtId="0" fontId="6" fillId="0" borderId="8" xfId="0" applyFont="1" applyBorder="1" applyAlignment="1">
      <alignment horizontal="right" wrapText="1"/>
    </xf>
    <xf numFmtId="0" fontId="6" fillId="0" borderId="23" xfId="0" applyFont="1" applyBorder="1" applyAlignment="1">
      <alignment horizontal="right" wrapText="1"/>
    </xf>
    <xf numFmtId="0" fontId="6" fillId="0" borderId="5" xfId="0" applyFont="1" applyBorder="1" applyAlignment="1">
      <alignment horizontal="right" wrapText="1"/>
    </xf>
    <xf numFmtId="49" fontId="61" fillId="2" borderId="4" xfId="0" applyNumberFormat="1" applyFont="1" applyFill="1" applyBorder="1" applyAlignment="1">
      <alignment vertical="center" wrapText="1"/>
    </xf>
    <xf numFmtId="49" fontId="61" fillId="2" borderId="5" xfId="0" applyNumberFormat="1" applyFont="1" applyFill="1" applyBorder="1" applyAlignment="1">
      <alignment vertical="center" wrapText="1"/>
    </xf>
    <xf numFmtId="0" fontId="47" fillId="2" borderId="0" xfId="0" applyFont="1" applyFill="1" applyAlignment="1">
      <alignment vertical="top"/>
    </xf>
    <xf numFmtId="0" fontId="47" fillId="0" borderId="0" xfId="0" applyFont="1" applyAlignment="1">
      <alignment vertical="top"/>
    </xf>
    <xf numFmtId="0" fontId="6" fillId="0" borderId="0" xfId="0" applyFont="1" applyAlignment="1">
      <alignment vertical="center"/>
    </xf>
    <xf numFmtId="49" fontId="42" fillId="6" borderId="1" xfId="2" applyNumberFormat="1" applyFont="1" applyFill="1" applyBorder="1" applyAlignment="1">
      <alignment horizontal="left" vertical="center" wrapText="1"/>
    </xf>
    <xf numFmtId="49" fontId="61" fillId="2" borderId="4" xfId="0" applyNumberFormat="1" applyFont="1" applyFill="1" applyBorder="1" applyAlignment="1">
      <alignment wrapText="1"/>
    </xf>
    <xf numFmtId="0" fontId="1" fillId="2" borderId="0" xfId="0" applyFont="1" applyFill="1"/>
    <xf numFmtId="0" fontId="1" fillId="2" borderId="0" xfId="0" applyFont="1" applyFill="1" applyAlignment="1">
      <alignment horizontal="left"/>
    </xf>
    <xf numFmtId="0" fontId="9" fillId="3" borderId="0" xfId="0" applyFont="1" applyFill="1" applyAlignment="1">
      <alignment horizontal="left"/>
    </xf>
    <xf numFmtId="3" fontId="1" fillId="2" borderId="0" xfId="0" applyNumberFormat="1" applyFont="1" applyFill="1" applyAlignment="1">
      <alignment horizontal="left"/>
    </xf>
    <xf numFmtId="0" fontId="1" fillId="3" borderId="0" xfId="0" applyFont="1" applyFill="1" applyAlignment="1">
      <alignment horizontal="left"/>
    </xf>
    <xf numFmtId="0" fontId="1" fillId="6" borderId="0" xfId="0" applyFont="1" applyFill="1" applyAlignment="1">
      <alignment horizontal="left"/>
    </xf>
    <xf numFmtId="0" fontId="1" fillId="2" borderId="0" xfId="0" applyFont="1" applyFill="1" applyAlignment="1">
      <alignment horizontal="left" vertical="top" wrapText="1"/>
    </xf>
    <xf numFmtId="0" fontId="1" fillId="6" borderId="0" xfId="0" applyFont="1" applyFill="1" applyAlignment="1">
      <alignment horizontal="left" vertical="top" wrapText="1"/>
    </xf>
    <xf numFmtId="9" fontId="1" fillId="2" borderId="0" xfId="0" applyNumberFormat="1" applyFont="1" applyFill="1" applyAlignment="1">
      <alignment horizontal="left" vertical="top"/>
    </xf>
    <xf numFmtId="0" fontId="41" fillId="8" borderId="0" xfId="2" applyFont="1" applyFill="1" applyBorder="1" applyAlignment="1">
      <alignment vertical="top"/>
    </xf>
    <xf numFmtId="1" fontId="1" fillId="8" borderId="0" xfId="0" applyNumberFormat="1" applyFont="1" applyFill="1" applyAlignment="1">
      <alignment horizontal="left" vertical="top"/>
    </xf>
    <xf numFmtId="0" fontId="1" fillId="2" borderId="0" xfId="0" applyFont="1" applyFill="1" applyAlignment="1">
      <alignment vertical="top"/>
    </xf>
    <xf numFmtId="0" fontId="41" fillId="7" borderId="0" xfId="2" applyFont="1" applyFill="1" applyBorder="1" applyAlignment="1">
      <alignment vertical="top"/>
    </xf>
    <xf numFmtId="1" fontId="8" fillId="7" borderId="0" xfId="2" applyNumberFormat="1" applyFont="1" applyFill="1" applyBorder="1" applyAlignment="1">
      <alignment horizontal="left" vertical="top"/>
    </xf>
    <xf numFmtId="0" fontId="1" fillId="2" borderId="0" xfId="0" applyFont="1" applyFill="1" applyAlignment="1">
      <alignment horizontal="left" vertical="top"/>
    </xf>
    <xf numFmtId="0" fontId="1" fillId="6" borderId="0" xfId="0" applyFont="1" applyFill="1" applyAlignment="1">
      <alignment horizontal="left" vertical="top"/>
    </xf>
    <xf numFmtId="0" fontId="41" fillId="9" borderId="0" xfId="2" applyFont="1" applyFill="1" applyBorder="1" applyAlignment="1">
      <alignment vertical="top"/>
    </xf>
    <xf numFmtId="1" fontId="8" fillId="9" borderId="0" xfId="2" applyNumberFormat="1" applyFont="1" applyFill="1" applyBorder="1" applyAlignment="1">
      <alignment horizontal="left" vertical="top"/>
    </xf>
    <xf numFmtId="0" fontId="41" fillId="10" borderId="0" xfId="0" applyFont="1" applyFill="1" applyBorder="1" applyAlignment="1">
      <alignment vertical="top"/>
    </xf>
    <xf numFmtId="1" fontId="8" fillId="10" borderId="0" xfId="0" applyNumberFormat="1" applyFont="1" applyFill="1" applyBorder="1" applyAlignment="1">
      <alignment horizontal="left" vertical="top"/>
    </xf>
    <xf numFmtId="0" fontId="49" fillId="11" borderId="0" xfId="2" applyFont="1" applyFill="1" applyBorder="1" applyAlignment="1">
      <alignment vertical="top"/>
    </xf>
    <xf numFmtId="1" fontId="17" fillId="11" borderId="0" xfId="2" applyNumberFormat="1" applyFont="1" applyFill="1" applyBorder="1" applyAlignment="1">
      <alignment horizontal="left" vertical="top"/>
    </xf>
    <xf numFmtId="3" fontId="1" fillId="2" borderId="0" xfId="0" applyNumberFormat="1" applyFont="1" applyFill="1" applyAlignment="1">
      <alignment horizontal="left" vertical="top"/>
    </xf>
    <xf numFmtId="0" fontId="41" fillId="12" borderId="0" xfId="2" applyFont="1" applyFill="1" applyBorder="1" applyAlignment="1">
      <alignment vertical="top"/>
    </xf>
    <xf numFmtId="1" fontId="8" fillId="12" borderId="0" xfId="2" applyNumberFormat="1" applyFont="1" applyFill="1" applyBorder="1" applyAlignment="1">
      <alignment horizontal="left" vertical="top"/>
    </xf>
    <xf numFmtId="49" fontId="1" fillId="2" borderId="0" xfId="0" applyNumberFormat="1" applyFont="1" applyFill="1" applyAlignment="1">
      <alignment horizontal="left" vertical="top"/>
    </xf>
    <xf numFmtId="0" fontId="9" fillId="23" borderId="0" xfId="0" applyFont="1" applyFill="1" applyAlignment="1">
      <alignment horizontal="left" vertical="top"/>
    </xf>
    <xf numFmtId="0" fontId="1" fillId="23" borderId="0" xfId="0" applyFont="1" applyFill="1" applyAlignment="1">
      <alignment horizontal="left" vertical="top"/>
    </xf>
    <xf numFmtId="0" fontId="9" fillId="24" borderId="0" xfId="0" applyFont="1" applyFill="1" applyAlignment="1">
      <alignment horizontal="left" vertical="top"/>
    </xf>
    <xf numFmtId="0" fontId="47" fillId="24" borderId="0" xfId="0" applyFont="1" applyFill="1" applyAlignment="1">
      <alignment horizontal="left" vertical="top"/>
    </xf>
    <xf numFmtId="0" fontId="1" fillId="6" borderId="0" xfId="0" applyFont="1" applyFill="1" applyAlignment="1">
      <alignment horizontal="left" vertical="top"/>
    </xf>
    <xf numFmtId="9" fontId="47" fillId="2" borderId="1" xfId="1" applyFont="1" applyFill="1" applyBorder="1" applyAlignment="1">
      <alignment horizontal="center" vertical="top"/>
    </xf>
    <xf numFmtId="0" fontId="1" fillId="2" borderId="1" xfId="0" applyFont="1" applyFill="1" applyBorder="1"/>
    <xf numFmtId="0" fontId="63" fillId="2" borderId="0" xfId="0" applyFont="1" applyFill="1"/>
    <xf numFmtId="0" fontId="12" fillId="2" borderId="1" xfId="0" applyFont="1" applyFill="1" applyBorder="1" applyAlignment="1">
      <alignment horizontal="left" vertical="center"/>
    </xf>
    <xf numFmtId="9" fontId="9" fillId="2" borderId="1" xfId="1" applyFont="1" applyFill="1" applyBorder="1" applyAlignment="1">
      <alignment horizontal="center" vertical="center"/>
    </xf>
    <xf numFmtId="0" fontId="6" fillId="2" borderId="1" xfId="0" applyFont="1" applyFill="1" applyBorder="1" applyAlignment="1">
      <alignment vertical="center"/>
    </xf>
    <xf numFmtId="0" fontId="33" fillId="2" borderId="1" xfId="0" applyFont="1" applyFill="1" applyBorder="1" applyAlignment="1">
      <alignment horizontal="left" vertical="center" wrapText="1"/>
    </xf>
    <xf numFmtId="9" fontId="25" fillId="2" borderId="1" xfId="0" applyNumberFormat="1" applyFont="1" applyFill="1" applyBorder="1" applyAlignment="1">
      <alignment horizontal="center" vertical="center"/>
    </xf>
    <xf numFmtId="0" fontId="25" fillId="2" borderId="1" xfId="0" applyFont="1" applyFill="1" applyBorder="1" applyAlignment="1">
      <alignment vertical="center"/>
    </xf>
    <xf numFmtId="0" fontId="24" fillId="2" borderId="1" xfId="0" applyFont="1" applyFill="1" applyBorder="1" applyAlignment="1">
      <alignment horizontal="left" vertical="center"/>
    </xf>
    <xf numFmtId="0" fontId="1" fillId="0" borderId="0" xfId="0" applyFont="1"/>
    <xf numFmtId="0" fontId="1" fillId="2" borderId="16" xfId="0" applyFont="1" applyFill="1" applyBorder="1" applyAlignment="1">
      <alignment vertical="center"/>
    </xf>
    <xf numFmtId="0" fontId="33" fillId="2" borderId="2" xfId="0" applyNumberFormat="1" applyFont="1" applyFill="1" applyBorder="1" applyAlignment="1">
      <alignment horizontal="left" vertical="center" wrapText="1"/>
    </xf>
    <xf numFmtId="9" fontId="25" fillId="0" borderId="1" xfId="0" applyNumberFormat="1" applyFont="1" applyFill="1" applyBorder="1" applyAlignment="1">
      <alignment horizontal="center" vertical="center"/>
    </xf>
    <xf numFmtId="9" fontId="25" fillId="2" borderId="1" xfId="1" applyFont="1" applyFill="1" applyBorder="1" applyAlignment="1">
      <alignment horizontal="center" vertical="center"/>
    </xf>
    <xf numFmtId="0" fontId="25" fillId="2" borderId="1" xfId="0" applyFont="1" applyFill="1" applyBorder="1" applyAlignment="1">
      <alignment horizontal="center" vertical="center"/>
    </xf>
    <xf numFmtId="0" fontId="64" fillId="4" borderId="0" xfId="0" applyFont="1" applyFill="1" applyBorder="1" applyAlignment="1">
      <alignment horizontal="center" vertical="center"/>
    </xf>
    <xf numFmtId="49" fontId="1" fillId="6" borderId="1" xfId="2" applyNumberFormat="1" applyFont="1" applyFill="1" applyBorder="1" applyAlignment="1">
      <alignment horizontal="left" vertical="center" wrapText="1"/>
    </xf>
    <xf numFmtId="14" fontId="1" fillId="6" borderId="1" xfId="0" applyNumberFormat="1" applyFont="1" applyFill="1" applyBorder="1" applyAlignment="1">
      <alignment horizontal="left" vertical="top" wrapText="1"/>
    </xf>
    <xf numFmtId="0" fontId="1" fillId="6" borderId="1" xfId="0" applyFont="1" applyFill="1" applyBorder="1" applyAlignment="1">
      <alignment horizontal="left" vertical="top" wrapText="1"/>
    </xf>
    <xf numFmtId="0" fontId="1" fillId="2" borderId="0" xfId="0" applyFont="1" applyFill="1" applyBorder="1" applyAlignment="1">
      <alignment horizontal="center"/>
    </xf>
    <xf numFmtId="0" fontId="1" fillId="2" borderId="0" xfId="0" applyFont="1" applyFill="1" applyBorder="1"/>
    <xf numFmtId="49" fontId="65" fillId="15" borderId="0" xfId="0" applyNumberFormat="1" applyFont="1" applyFill="1"/>
    <xf numFmtId="3" fontId="6" fillId="6" borderId="1" xfId="0" applyNumberFormat="1" applyFont="1" applyFill="1" applyBorder="1" applyAlignment="1">
      <alignment horizontal="center" vertical="top" wrapText="1"/>
    </xf>
    <xf numFmtId="0" fontId="8" fillId="0" borderId="1" xfId="0" applyFont="1" applyBorder="1" applyAlignment="1">
      <alignment horizontal="right" vertical="top" wrapText="1"/>
    </xf>
    <xf numFmtId="3" fontId="8" fillId="6" borderId="1" xfId="0" applyNumberFormat="1" applyFont="1" applyFill="1" applyBorder="1" applyAlignment="1">
      <alignment horizontal="center" vertical="top" wrapText="1"/>
    </xf>
    <xf numFmtId="0" fontId="6" fillId="0" borderId="1" xfId="0" applyFont="1" applyFill="1" applyBorder="1" applyAlignment="1">
      <alignment horizontal="left"/>
    </xf>
    <xf numFmtId="0" fontId="9" fillId="2" borderId="2" xfId="0" applyFont="1" applyFill="1" applyBorder="1" applyAlignment="1">
      <alignment horizontal="left" vertical="top" wrapText="1"/>
    </xf>
    <xf numFmtId="0" fontId="48" fillId="0" borderId="1" xfId="0" applyFont="1" applyFill="1" applyBorder="1" applyAlignment="1">
      <alignment horizontal="center" vertical="top"/>
    </xf>
    <xf numFmtId="0" fontId="9" fillId="3" borderId="0" xfId="0" applyFont="1" applyFill="1" applyBorder="1" applyAlignment="1">
      <alignment horizontal="left" vertical="top" wrapText="1"/>
    </xf>
    <xf numFmtId="0" fontId="33" fillId="6" borderId="11" xfId="0" applyFont="1" applyFill="1" applyBorder="1" applyAlignment="1">
      <alignment horizontal="left" wrapText="1"/>
    </xf>
    <xf numFmtId="0" fontId="33" fillId="6" borderId="11" xfId="0" applyFont="1" applyFill="1" applyBorder="1" applyAlignment="1">
      <alignment horizontal="left" vertical="center" wrapText="1"/>
    </xf>
    <xf numFmtId="0" fontId="33" fillId="6" borderId="8" xfId="0" applyFont="1" applyFill="1" applyBorder="1" applyAlignment="1">
      <alignment horizontal="left" wrapText="1"/>
    </xf>
    <xf numFmtId="49" fontId="61" fillId="2" borderId="4" xfId="0" applyNumberFormat="1" applyFont="1" applyFill="1" applyBorder="1" applyAlignment="1">
      <alignment horizontal="left" vertical="center" wrapText="1"/>
    </xf>
    <xf numFmtId="49" fontId="61" fillId="2" borderId="5" xfId="0" applyNumberFormat="1" applyFont="1" applyFill="1" applyBorder="1" applyAlignment="1">
      <alignment horizontal="left" vertical="center" wrapText="1"/>
    </xf>
    <xf numFmtId="49" fontId="61" fillId="2" borderId="4" xfId="0" applyNumberFormat="1" applyFont="1" applyFill="1" applyBorder="1" applyAlignment="1">
      <alignment horizontal="left" wrapText="1"/>
    </xf>
    <xf numFmtId="0" fontId="9" fillId="15" borderId="0" xfId="0" applyFont="1" applyFill="1" applyAlignment="1">
      <alignment wrapText="1"/>
    </xf>
    <xf numFmtId="0" fontId="6" fillId="15" borderId="0" xfId="0" applyFont="1" applyFill="1"/>
    <xf numFmtId="0" fontId="41" fillId="15" borderId="0" xfId="0" applyFont="1" applyFill="1" applyAlignment="1">
      <alignment horizontal="left"/>
    </xf>
    <xf numFmtId="0" fontId="6" fillId="15" borderId="0" xfId="0" applyFont="1" applyFill="1" applyAlignment="1">
      <alignment horizontal="right"/>
    </xf>
    <xf numFmtId="0" fontId="6" fillId="16" borderId="0" xfId="0" applyFont="1" applyFill="1"/>
    <xf numFmtId="0" fontId="41" fillId="17" borderId="0" xfId="0" applyFont="1" applyFill="1" applyAlignment="1">
      <alignment horizontal="left"/>
    </xf>
    <xf numFmtId="0" fontId="6" fillId="17" borderId="0" xfId="0" applyFont="1" applyFill="1"/>
    <xf numFmtId="0" fontId="6" fillId="16" borderId="0" xfId="0" applyFont="1" applyFill="1" applyAlignment="1">
      <alignment horizontal="left"/>
    </xf>
    <xf numFmtId="0" fontId="6" fillId="16" borderId="0" xfId="0" applyFont="1" applyFill="1" applyAlignment="1">
      <alignment horizontal="center"/>
    </xf>
    <xf numFmtId="0" fontId="9" fillId="17" borderId="0" xfId="0" applyFont="1" applyFill="1" applyBorder="1" applyAlignment="1">
      <alignment vertical="top"/>
    </xf>
    <xf numFmtId="9" fontId="47" fillId="17" borderId="0" xfId="1" applyFont="1" applyFill="1" applyAlignment="1">
      <alignment horizontal="center" vertical="center"/>
    </xf>
    <xf numFmtId="0" fontId="6" fillId="17" borderId="0" xfId="0" applyFont="1" applyFill="1" applyAlignment="1">
      <alignment vertical="top"/>
    </xf>
    <xf numFmtId="9" fontId="47" fillId="17" borderId="0" xfId="1" applyFont="1" applyFill="1" applyAlignment="1">
      <alignment horizontal="center" vertical="top"/>
    </xf>
    <xf numFmtId="9" fontId="47" fillId="3" borderId="0" xfId="1" applyFont="1" applyFill="1" applyAlignment="1">
      <alignment horizontal="center" vertical="top"/>
    </xf>
    <xf numFmtId="9" fontId="48" fillId="2" borderId="0" xfId="1" applyNumberFormat="1" applyFont="1" applyFill="1" applyBorder="1" applyAlignment="1">
      <alignment horizontal="center" vertical="top"/>
    </xf>
    <xf numFmtId="0" fontId="47" fillId="2" borderId="0" xfId="0" applyFont="1" applyFill="1" applyBorder="1" applyAlignment="1">
      <alignment vertical="top"/>
    </xf>
    <xf numFmtId="0" fontId="47" fillId="2" borderId="0" xfId="0" applyFont="1" applyFill="1" applyBorder="1" applyAlignment="1">
      <alignment horizontal="left" vertical="top"/>
    </xf>
    <xf numFmtId="0" fontId="6" fillId="22" borderId="1" xfId="0" applyFont="1" applyFill="1" applyBorder="1" applyAlignment="1">
      <alignment vertical="top"/>
    </xf>
    <xf numFmtId="9" fontId="48" fillId="2" borderId="0" xfId="1" applyNumberFormat="1" applyFont="1" applyFill="1" applyBorder="1" applyAlignment="1">
      <alignment horizontal="left" vertical="top"/>
    </xf>
    <xf numFmtId="9" fontId="47" fillId="2" borderId="0" xfId="1" applyFont="1" applyFill="1" applyBorder="1" applyAlignment="1">
      <alignment horizontal="left" vertical="top"/>
    </xf>
    <xf numFmtId="9" fontId="47" fillId="2" borderId="0" xfId="1" applyFont="1" applyFill="1" applyBorder="1" applyAlignment="1">
      <alignment vertical="top"/>
    </xf>
    <xf numFmtId="9" fontId="47" fillId="2" borderId="0" xfId="1" applyNumberFormat="1" applyFont="1" applyFill="1" applyBorder="1" applyAlignment="1">
      <alignment horizontal="center" vertical="top"/>
    </xf>
    <xf numFmtId="1" fontId="47" fillId="2" borderId="0" xfId="0" applyNumberFormat="1" applyFont="1" applyFill="1" applyAlignment="1">
      <alignment horizontal="center" vertical="top"/>
    </xf>
    <xf numFmtId="3" fontId="47" fillId="2" borderId="0" xfId="1" applyNumberFormat="1" applyFont="1" applyFill="1" applyBorder="1" applyAlignment="1">
      <alignment horizontal="center" vertical="top"/>
    </xf>
    <xf numFmtId="166" fontId="47" fillId="2" borderId="0" xfId="0" applyNumberFormat="1" applyFont="1" applyFill="1" applyAlignment="1">
      <alignment horizontal="center" vertical="top"/>
    </xf>
    <xf numFmtId="0" fontId="47" fillId="2" borderId="0" xfId="0" applyFont="1" applyFill="1" applyAlignment="1"/>
    <xf numFmtId="9" fontId="47" fillId="2" borderId="9" xfId="1" applyFont="1" applyFill="1" applyBorder="1" applyAlignment="1">
      <alignment horizontal="left" vertical="top"/>
    </xf>
    <xf numFmtId="9" fontId="47" fillId="2" borderId="9" xfId="1" applyNumberFormat="1" applyFont="1" applyFill="1" applyBorder="1" applyAlignment="1">
      <alignment horizontal="center" vertical="top"/>
    </xf>
    <xf numFmtId="0" fontId="1" fillId="2" borderId="1" xfId="0" applyFont="1" applyFill="1" applyBorder="1" applyAlignment="1">
      <alignment horizontal="lef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8" xfId="0" applyFont="1" applyFill="1" applyBorder="1" applyAlignment="1">
      <alignment horizontal="left" vertical="top" wrapText="1"/>
    </xf>
    <xf numFmtId="9" fontId="6" fillId="2" borderId="1" xfId="1" applyFont="1" applyFill="1" applyBorder="1" applyAlignment="1">
      <alignment horizontal="center" vertical="top"/>
    </xf>
    <xf numFmtId="0" fontId="1" fillId="2" borderId="8" xfId="0" applyFont="1" applyFill="1" applyBorder="1" applyAlignment="1">
      <alignment vertical="top" wrapText="1"/>
    </xf>
    <xf numFmtId="0" fontId="1" fillId="2" borderId="1" xfId="0" applyFont="1" applyFill="1" applyBorder="1" applyAlignment="1">
      <alignment horizontal="right" vertical="top" wrapText="1"/>
    </xf>
    <xf numFmtId="0" fontId="1" fillId="6" borderId="1" xfId="0" applyFont="1" applyFill="1" applyBorder="1" applyAlignment="1">
      <alignment vertical="top" wrapText="1"/>
    </xf>
    <xf numFmtId="0" fontId="1" fillId="6" borderId="1" xfId="0" applyFont="1" applyFill="1" applyBorder="1" applyAlignment="1">
      <alignment horizontal="right" vertical="top" wrapText="1"/>
    </xf>
    <xf numFmtId="0" fontId="1" fillId="6" borderId="1" xfId="0" applyFont="1" applyFill="1" applyBorder="1" applyAlignment="1">
      <alignment vertical="top"/>
    </xf>
    <xf numFmtId="0" fontId="1" fillId="6" borderId="23" xfId="0" applyFont="1" applyFill="1" applyBorder="1" applyAlignment="1">
      <alignment vertical="top"/>
    </xf>
    <xf numFmtId="0" fontId="1" fillId="6" borderId="8" xfId="0" applyFont="1" applyFill="1" applyBorder="1" applyAlignment="1">
      <alignment vertical="top" wrapText="1"/>
    </xf>
    <xf numFmtId="9" fontId="1" fillId="2" borderId="0" xfId="1" applyFont="1" applyFill="1" applyBorder="1" applyAlignment="1">
      <alignment horizontal="center"/>
    </xf>
    <xf numFmtId="3" fontId="1" fillId="2" borderId="0" xfId="0" applyNumberFormat="1" applyFont="1" applyFill="1" applyBorder="1" applyAlignment="1">
      <alignment horizontal="center"/>
    </xf>
    <xf numFmtId="0" fontId="1" fillId="17" borderId="0" xfId="0" applyFont="1" applyFill="1"/>
    <xf numFmtId="0" fontId="1" fillId="3" borderId="0" xfId="0" applyFont="1" applyFill="1"/>
    <xf numFmtId="1" fontId="1" fillId="6" borderId="12" xfId="1" applyNumberFormat="1" applyFont="1" applyFill="1" applyBorder="1" applyAlignment="1">
      <alignment horizontal="center" vertical="top"/>
    </xf>
    <xf numFmtId="0" fontId="1" fillId="2" borderId="0" xfId="0" applyFont="1" applyFill="1" applyBorder="1" applyAlignment="1">
      <alignment vertical="top" wrapText="1"/>
    </xf>
    <xf numFmtId="0" fontId="1" fillId="22" borderId="1" xfId="0" applyFont="1" applyFill="1" applyBorder="1" applyAlignment="1">
      <alignment vertical="top" wrapText="1"/>
    </xf>
    <xf numFmtId="0" fontId="1" fillId="2" borderId="0" xfId="0" applyFont="1" applyFill="1" applyBorder="1" applyAlignment="1">
      <alignment horizontal="center" vertical="top"/>
    </xf>
    <xf numFmtId="3" fontId="1" fillId="2" borderId="0" xfId="0" applyNumberFormat="1" applyFont="1" applyFill="1"/>
    <xf numFmtId="3" fontId="1" fillId="2" borderId="0" xfId="0" applyNumberFormat="1" applyFont="1" applyFill="1" applyAlignment="1">
      <alignment horizontal="center"/>
    </xf>
    <xf numFmtId="0" fontId="1" fillId="22" borderId="1" xfId="0" applyFont="1" applyFill="1" applyBorder="1"/>
    <xf numFmtId="9" fontId="1" fillId="2" borderId="0" xfId="0" applyNumberFormat="1" applyFont="1" applyFill="1" applyBorder="1" applyAlignment="1">
      <alignment horizontal="center"/>
    </xf>
    <xf numFmtId="9" fontId="1" fillId="2" borderId="0" xfId="1" applyFont="1" applyFill="1" applyBorder="1" applyAlignment="1">
      <alignment horizontal="center" vertical="top"/>
    </xf>
    <xf numFmtId="1" fontId="1" fillId="2" borderId="12" xfId="1" applyNumberFormat="1" applyFont="1" applyFill="1" applyBorder="1" applyAlignment="1">
      <alignment horizontal="center" vertical="top"/>
    </xf>
    <xf numFmtId="1" fontId="1" fillId="2" borderId="0" xfId="1" applyNumberFormat="1" applyFont="1" applyFill="1" applyBorder="1" applyAlignment="1">
      <alignment horizontal="center" vertical="top"/>
    </xf>
    <xf numFmtId="0" fontId="1" fillId="2" borderId="0" xfId="0" applyFont="1" applyFill="1" applyAlignment="1">
      <alignment horizontal="center"/>
    </xf>
    <xf numFmtId="1" fontId="1" fillId="2" borderId="0" xfId="1" applyNumberFormat="1" applyFont="1" applyFill="1" applyBorder="1" applyAlignment="1">
      <alignment horizontal="center"/>
    </xf>
    <xf numFmtId="0" fontId="1" fillId="2" borderId="0" xfId="0" applyFont="1" applyFill="1" applyAlignment="1">
      <alignment vertical="top" wrapText="1"/>
    </xf>
    <xf numFmtId="0" fontId="1" fillId="17" borderId="0" xfId="0" applyFont="1" applyFill="1" applyBorder="1" applyAlignment="1">
      <alignment vertical="top"/>
    </xf>
    <xf numFmtId="0" fontId="1" fillId="17" borderId="0" xfId="0" applyFont="1" applyFill="1" applyAlignment="1">
      <alignment vertical="top"/>
    </xf>
    <xf numFmtId="0" fontId="1" fillId="2" borderId="0" xfId="0" applyFont="1" applyFill="1" applyBorder="1" applyAlignment="1">
      <alignment vertical="top"/>
    </xf>
    <xf numFmtId="0" fontId="1" fillId="3" borderId="0" xfId="0" applyFont="1" applyFill="1" applyBorder="1" applyAlignment="1">
      <alignment vertical="top"/>
    </xf>
    <xf numFmtId="0" fontId="1" fillId="3" borderId="0" xfId="0" applyFont="1" applyFill="1" applyAlignment="1">
      <alignment vertical="top"/>
    </xf>
    <xf numFmtId="9" fontId="1" fillId="2" borderId="0" xfId="1" applyFont="1" applyFill="1" applyAlignment="1">
      <alignment horizontal="center" vertical="top"/>
    </xf>
    <xf numFmtId="9" fontId="1" fillId="2" borderId="0" xfId="0" applyNumberFormat="1" applyFont="1" applyFill="1" applyAlignment="1">
      <alignment horizontal="center" vertical="top"/>
    </xf>
    <xf numFmtId="0" fontId="1" fillId="2" borderId="0" xfId="0" applyFont="1" applyFill="1" applyAlignment="1">
      <alignment horizontal="center" vertical="top"/>
    </xf>
    <xf numFmtId="0" fontId="1" fillId="6" borderId="1" xfId="0" applyFont="1" applyFill="1" applyBorder="1" applyAlignment="1">
      <alignment horizontal="center" vertical="top"/>
    </xf>
    <xf numFmtId="0" fontId="1" fillId="2" borderId="1" xfId="0" applyFont="1" applyFill="1" applyBorder="1" applyAlignment="1">
      <alignment horizontal="center" vertical="top"/>
    </xf>
    <xf numFmtId="3" fontId="1" fillId="6" borderId="1" xfId="0" applyNumberFormat="1" applyFont="1" applyFill="1" applyBorder="1" applyAlignment="1">
      <alignment horizontal="center" vertical="top"/>
    </xf>
    <xf numFmtId="0" fontId="1" fillId="22" borderId="1" xfId="0" applyFont="1" applyFill="1" applyBorder="1" applyAlignment="1">
      <alignment vertical="top"/>
    </xf>
    <xf numFmtId="9" fontId="1" fillId="2" borderId="0" xfId="0" applyNumberFormat="1" applyFont="1" applyFill="1" applyBorder="1" applyAlignment="1">
      <alignment horizontal="center" vertical="top"/>
    </xf>
    <xf numFmtId="0" fontId="1" fillId="2" borderId="9" xfId="0" applyFont="1" applyFill="1" applyBorder="1" applyAlignment="1">
      <alignment vertical="top"/>
    </xf>
    <xf numFmtId="0" fontId="1" fillId="22" borderId="24" xfId="0" applyFont="1" applyFill="1" applyBorder="1" applyAlignment="1">
      <alignment horizontal="center" vertical="top"/>
    </xf>
    <xf numFmtId="0" fontId="1" fillId="6" borderId="12" xfId="0" applyFont="1" applyFill="1" applyBorder="1" applyAlignment="1">
      <alignment horizontal="center" vertical="top"/>
    </xf>
    <xf numFmtId="0" fontId="1" fillId="22" borderId="1" xfId="0" applyFont="1" applyFill="1" applyBorder="1" applyAlignment="1">
      <alignment horizontal="center" vertical="top"/>
    </xf>
    <xf numFmtId="0" fontId="1" fillId="6" borderId="23" xfId="0" applyFont="1" applyFill="1" applyBorder="1" applyAlignment="1">
      <alignment horizontal="center" vertical="top"/>
    </xf>
    <xf numFmtId="0" fontId="1" fillId="0" borderId="0" xfId="0" applyFont="1" applyAlignment="1">
      <alignment vertical="top"/>
    </xf>
    <xf numFmtId="0" fontId="48" fillId="2" borderId="0" xfId="0" applyFont="1" applyFill="1" applyAlignment="1">
      <alignment horizontal="center"/>
    </xf>
    <xf numFmtId="0" fontId="1" fillId="2" borderId="1" xfId="0" applyFont="1" applyFill="1" applyBorder="1" applyAlignment="1">
      <alignment horizontal="left" vertical="top"/>
    </xf>
    <xf numFmtId="0" fontId="1" fillId="2" borderId="23" xfId="0" applyFont="1" applyFill="1" applyBorder="1" applyAlignment="1">
      <alignment horizontal="left" vertical="top" wrapText="1"/>
    </xf>
    <xf numFmtId="0" fontId="9" fillId="2" borderId="1" xfId="0" applyFont="1" applyFill="1" applyBorder="1" applyAlignment="1">
      <alignment horizontal="right" vertical="top" wrapText="1"/>
    </xf>
    <xf numFmtId="0" fontId="47" fillId="2" borderId="1" xfId="0" applyFont="1" applyFill="1" applyBorder="1" applyAlignment="1">
      <alignment horizontal="left" vertical="top" wrapText="1"/>
    </xf>
    <xf numFmtId="0" fontId="9" fillId="6" borderId="1" xfId="0" applyFont="1" applyFill="1" applyBorder="1" applyAlignment="1">
      <alignment vertical="top"/>
    </xf>
    <xf numFmtId="3" fontId="48" fillId="2" borderId="0" xfId="0" applyNumberFormat="1" applyFont="1" applyFill="1" applyAlignment="1">
      <alignment horizontal="center"/>
    </xf>
    <xf numFmtId="9" fontId="1" fillId="2" borderId="0" xfId="1" applyFont="1" applyFill="1" applyAlignment="1">
      <alignment horizontal="center"/>
    </xf>
    <xf numFmtId="0" fontId="9" fillId="0" borderId="1" xfId="0" applyFont="1" applyFill="1" applyBorder="1"/>
    <xf numFmtId="9" fontId="1" fillId="6" borderId="1" xfId="1" applyFont="1" applyFill="1" applyBorder="1" applyAlignment="1">
      <alignment horizontal="center" vertical="top"/>
    </xf>
    <xf numFmtId="0" fontId="1" fillId="2" borderId="1" xfId="0" applyFont="1" applyFill="1" applyBorder="1" applyAlignment="1">
      <alignment vertical="center"/>
    </xf>
    <xf numFmtId="3" fontId="9" fillId="2" borderId="1" xfId="0" applyNumberFormat="1" applyFont="1" applyFill="1" applyBorder="1" applyAlignment="1">
      <alignment vertical="top"/>
    </xf>
    <xf numFmtId="3" fontId="9" fillId="2" borderId="1" xfId="0" applyNumberFormat="1" applyFont="1" applyFill="1" applyBorder="1" applyAlignment="1">
      <alignment horizontal="center" vertical="top"/>
    </xf>
    <xf numFmtId="0" fontId="13" fillId="2" borderId="0" xfId="0" applyFont="1" applyFill="1" applyAlignment="1">
      <alignment horizontal="center"/>
    </xf>
    <xf numFmtId="0" fontId="9" fillId="2" borderId="1" xfId="0" applyFont="1" applyFill="1" applyBorder="1" applyAlignment="1">
      <alignment horizontal="left" vertical="top"/>
    </xf>
    <xf numFmtId="3" fontId="6" fillId="2" borderId="1" xfId="0" applyNumberFormat="1" applyFont="1" applyFill="1" applyBorder="1" applyAlignment="1">
      <alignment horizontal="left" vertical="top" wrapText="1"/>
    </xf>
    <xf numFmtId="3" fontId="6" fillId="2" borderId="0" xfId="0" applyNumberFormat="1" applyFont="1" applyFill="1" applyBorder="1" applyAlignment="1">
      <alignment vertical="top"/>
    </xf>
    <xf numFmtId="166" fontId="6" fillId="2" borderId="0" xfId="1" applyNumberFormat="1" applyFont="1" applyFill="1" applyBorder="1" applyAlignment="1">
      <alignment horizontal="center" vertical="top"/>
    </xf>
    <xf numFmtId="9" fontId="9" fillId="2" borderId="0" xfId="1" applyFont="1" applyFill="1" applyBorder="1" applyAlignment="1">
      <alignment horizontal="center" vertical="top"/>
    </xf>
    <xf numFmtId="0" fontId="1" fillId="2" borderId="0" xfId="0" applyFont="1" applyFill="1" applyBorder="1" applyAlignment="1">
      <alignment horizontal="left" vertical="top" wrapText="1"/>
    </xf>
    <xf numFmtId="3" fontId="1" fillId="2" borderId="0" xfId="0" applyNumberFormat="1" applyFont="1" applyFill="1" applyBorder="1" applyAlignment="1">
      <alignment vertical="top"/>
    </xf>
    <xf numFmtId="0" fontId="1" fillId="2" borderId="0" xfId="0" applyFont="1" applyFill="1" applyBorder="1" applyAlignment="1">
      <alignment horizontal="right" vertical="top" wrapText="1"/>
    </xf>
    <xf numFmtId="9" fontId="6" fillId="6" borderId="1" xfId="0" applyNumberFormat="1" applyFont="1" applyFill="1" applyBorder="1" applyAlignment="1">
      <alignment horizontal="center" vertical="top"/>
    </xf>
    <xf numFmtId="1" fontId="1" fillId="2" borderId="0" xfId="0" applyNumberFormat="1" applyFont="1" applyFill="1" applyBorder="1" applyAlignment="1">
      <alignment horizontal="left" vertical="top"/>
    </xf>
    <xf numFmtId="0" fontId="8" fillId="2" borderId="0" xfId="0" applyFont="1" applyFill="1" applyBorder="1" applyAlignment="1">
      <alignment horizontal="right" vertical="top" wrapText="1"/>
    </xf>
    <xf numFmtId="3" fontId="47" fillId="2" borderId="1" xfId="1" applyNumberFormat="1" applyFont="1" applyFill="1" applyBorder="1" applyAlignment="1">
      <alignment horizontal="center" vertical="top"/>
    </xf>
    <xf numFmtId="3" fontId="47" fillId="0" borderId="1" xfId="0" applyNumberFormat="1" applyFont="1" applyFill="1" applyBorder="1" applyAlignment="1">
      <alignment horizontal="center" vertical="top"/>
    </xf>
    <xf numFmtId="9" fontId="47" fillId="0" borderId="1" xfId="1" applyFont="1" applyFill="1" applyBorder="1" applyAlignment="1">
      <alignment horizontal="center" vertical="top"/>
    </xf>
    <xf numFmtId="0" fontId="41" fillId="2" borderId="0" xfId="0" applyFont="1" applyFill="1" applyBorder="1" applyAlignment="1">
      <alignment horizontal="right" vertical="top" wrapText="1"/>
    </xf>
    <xf numFmtId="9" fontId="6" fillId="2" borderId="0" xfId="1" applyNumberFormat="1" applyFont="1" applyFill="1" applyBorder="1" applyAlignment="1">
      <alignment horizontal="center" vertical="top"/>
    </xf>
    <xf numFmtId="3" fontId="9" fillId="2" borderId="0" xfId="0" applyNumberFormat="1" applyFont="1" applyFill="1" applyBorder="1" applyAlignment="1">
      <alignment horizontal="center" vertical="top"/>
    </xf>
    <xf numFmtId="0" fontId="13" fillId="17" borderId="0" xfId="0" applyFont="1" applyFill="1"/>
    <xf numFmtId="0" fontId="13" fillId="17" borderId="0" xfId="0" applyFont="1" applyFill="1" applyAlignment="1">
      <alignment horizontal="center"/>
    </xf>
    <xf numFmtId="0" fontId="9" fillId="0" borderId="1" xfId="0" applyFont="1" applyBorder="1" applyAlignment="1">
      <alignment vertical="top"/>
    </xf>
    <xf numFmtId="0" fontId="9" fillId="0" borderId="1" xfId="0" applyFont="1" applyBorder="1" applyAlignment="1">
      <alignment horizontal="center" vertical="top"/>
    </xf>
    <xf numFmtId="0" fontId="9" fillId="2" borderId="1" xfId="0" applyFont="1" applyFill="1" applyBorder="1" applyAlignment="1">
      <alignment horizontal="right"/>
    </xf>
    <xf numFmtId="0" fontId="9" fillId="2" borderId="1" xfId="0" applyFont="1" applyFill="1" applyBorder="1" applyAlignment="1">
      <alignment horizontal="right" vertical="top"/>
    </xf>
    <xf numFmtId="0" fontId="41" fillId="2" borderId="1" xfId="0" applyFont="1" applyFill="1" applyBorder="1" applyAlignment="1">
      <alignment horizontal="right" vertical="top" wrapText="1"/>
    </xf>
    <xf numFmtId="9" fontId="9" fillId="2" borderId="1" xfId="1" applyNumberFormat="1" applyFont="1" applyFill="1" applyBorder="1" applyAlignment="1">
      <alignment horizontal="center" vertical="top"/>
    </xf>
    <xf numFmtId="164" fontId="6" fillId="6" borderId="1" xfId="0" applyNumberFormat="1" applyFont="1" applyFill="1" applyBorder="1" applyAlignment="1">
      <alignment horizontal="center" vertical="top"/>
    </xf>
    <xf numFmtId="1" fontId="1" fillId="6" borderId="1" xfId="0" applyNumberFormat="1" applyFont="1" applyFill="1" applyBorder="1" applyAlignment="1">
      <alignment horizontal="center" vertical="top"/>
    </xf>
    <xf numFmtId="9" fontId="6" fillId="6" borderId="1" xfId="1" applyFont="1" applyFill="1" applyBorder="1" applyAlignment="1">
      <alignment horizontal="center" vertical="top"/>
    </xf>
    <xf numFmtId="1" fontId="1" fillId="22" borderId="1" xfId="0" applyNumberFormat="1" applyFont="1" applyFill="1" applyBorder="1" applyAlignment="1">
      <alignment horizontal="center" vertical="top"/>
    </xf>
    <xf numFmtId="0" fontId="41" fillId="0" borderId="1" xfId="0" applyFont="1" applyFill="1" applyBorder="1" applyAlignment="1">
      <alignment horizontal="center" vertical="top"/>
    </xf>
    <xf numFmtId="3" fontId="1" fillId="0" borderId="1" xfId="0" applyNumberFormat="1" applyFont="1" applyFill="1" applyBorder="1" applyAlignment="1">
      <alignment vertical="top" wrapText="1"/>
    </xf>
    <xf numFmtId="0" fontId="13" fillId="3" borderId="0" xfId="0" applyFont="1" applyFill="1"/>
    <xf numFmtId="0" fontId="13" fillId="3" borderId="0" xfId="0" applyFont="1" applyFill="1" applyAlignment="1">
      <alignment horizontal="center"/>
    </xf>
    <xf numFmtId="3" fontId="1" fillId="2" borderId="1" xfId="0" applyNumberFormat="1" applyFont="1" applyFill="1" applyBorder="1" applyAlignment="1">
      <alignment vertical="top" wrapText="1"/>
    </xf>
    <xf numFmtId="3" fontId="1" fillId="2" borderId="1" xfId="0" applyNumberFormat="1" applyFont="1" applyFill="1" applyBorder="1" applyAlignment="1">
      <alignment horizontal="left" vertical="top" wrapText="1"/>
    </xf>
    <xf numFmtId="3" fontId="6" fillId="0" borderId="1" xfId="0" applyNumberFormat="1" applyFont="1" applyFill="1" applyBorder="1" applyAlignment="1">
      <alignment horizontal="left" vertical="top" wrapText="1"/>
    </xf>
    <xf numFmtId="3" fontId="6" fillId="0" borderId="1" xfId="0" applyNumberFormat="1" applyFont="1" applyFill="1" applyBorder="1" applyAlignment="1">
      <alignment vertical="top" wrapText="1"/>
    </xf>
    <xf numFmtId="1" fontId="1" fillId="2" borderId="1" xfId="0" applyNumberFormat="1" applyFont="1" applyFill="1" applyBorder="1" applyAlignment="1">
      <alignment horizontal="center" vertical="top"/>
    </xf>
    <xf numFmtId="9" fontId="48" fillId="0" borderId="1" xfId="1" applyFont="1" applyFill="1" applyBorder="1" applyAlignment="1">
      <alignment horizontal="center" vertical="top"/>
    </xf>
    <xf numFmtId="9" fontId="9" fillId="18" borderId="25" xfId="1" applyFont="1" applyFill="1" applyBorder="1" applyAlignment="1">
      <alignment horizontal="center" vertical="top"/>
    </xf>
    <xf numFmtId="0" fontId="56" fillId="2" borderId="1" xfId="0" applyFont="1" applyFill="1" applyBorder="1" applyAlignment="1">
      <alignment horizontal="left" vertical="top" wrapText="1"/>
    </xf>
    <xf numFmtId="0" fontId="41" fillId="2" borderId="1" xfId="0" applyFont="1" applyFill="1" applyBorder="1" applyAlignment="1">
      <alignment horizontal="center" vertical="top" wrapText="1"/>
    </xf>
    <xf numFmtId="0" fontId="1" fillId="2" borderId="12" xfId="0" applyFont="1" applyFill="1" applyBorder="1" applyAlignment="1">
      <alignment horizontal="left" vertical="top" wrapText="1"/>
    </xf>
    <xf numFmtId="3" fontId="6" fillId="0" borderId="12" xfId="0" applyNumberFormat="1" applyFont="1" applyFill="1" applyBorder="1" applyAlignment="1">
      <alignment horizontal="center" vertical="top"/>
    </xf>
    <xf numFmtId="0" fontId="1" fillId="2" borderId="6" xfId="0" applyFont="1" applyFill="1" applyBorder="1" applyAlignment="1">
      <alignment horizontal="left" vertical="top" wrapText="1"/>
    </xf>
    <xf numFmtId="0" fontId="47" fillId="2" borderId="0" xfId="0" applyFont="1" applyFill="1" applyAlignment="1">
      <alignment vertical="center"/>
    </xf>
    <xf numFmtId="9" fontId="47" fillId="2" borderId="2" xfId="0" applyNumberFormat="1" applyFont="1" applyFill="1" applyBorder="1" applyAlignment="1">
      <alignment horizontal="center"/>
    </xf>
    <xf numFmtId="0" fontId="47" fillId="2" borderId="0" xfId="0" applyFont="1" applyFill="1" applyAlignment="1">
      <alignment horizontal="right"/>
    </xf>
    <xf numFmtId="20" fontId="6" fillId="2" borderId="1" xfId="0" applyNumberFormat="1" applyFont="1" applyFill="1" applyBorder="1" applyAlignment="1">
      <alignment horizontal="center"/>
    </xf>
    <xf numFmtId="20" fontId="6" fillId="6" borderId="1" xfId="0" applyNumberFormat="1" applyFont="1" applyFill="1" applyBorder="1" applyAlignment="1">
      <alignment horizontal="center"/>
    </xf>
    <xf numFmtId="0" fontId="1" fillId="2" borderId="1" xfId="0" applyFont="1" applyFill="1" applyBorder="1" applyAlignment="1">
      <alignment vertical="center" wrapText="1"/>
    </xf>
    <xf numFmtId="20" fontId="6" fillId="6" borderId="1" xfId="0" applyNumberFormat="1" applyFont="1" applyFill="1" applyBorder="1" applyAlignment="1">
      <alignment horizontal="center" vertical="center"/>
    </xf>
    <xf numFmtId="0" fontId="6" fillId="6" borderId="1" xfId="0" applyFont="1" applyFill="1" applyBorder="1" applyAlignment="1">
      <alignment horizontal="center" vertical="center"/>
    </xf>
    <xf numFmtId="0" fontId="6" fillId="2" borderId="1" xfId="0" applyFont="1" applyFill="1" applyBorder="1" applyAlignment="1">
      <alignment horizontal="center" vertical="center"/>
    </xf>
    <xf numFmtId="0" fontId="9" fillId="2" borderId="0" xfId="0" applyFont="1" applyFill="1" applyBorder="1" applyAlignment="1">
      <alignment vertical="center" wrapText="1"/>
    </xf>
    <xf numFmtId="9" fontId="9" fillId="2" borderId="0" xfId="1" applyFont="1" applyFill="1" applyBorder="1" applyAlignment="1">
      <alignment horizontal="center" vertical="center"/>
    </xf>
    <xf numFmtId="9" fontId="1" fillId="6" borderId="1" xfId="1" applyFont="1" applyFill="1" applyBorder="1" applyAlignment="1">
      <alignment horizontal="center" vertical="center"/>
    </xf>
    <xf numFmtId="20" fontId="9" fillId="2" borderId="1" xfId="0" applyNumberFormat="1" applyFont="1" applyFill="1" applyBorder="1" applyAlignment="1">
      <alignment horizontal="center"/>
    </xf>
    <xf numFmtId="9" fontId="1" fillId="2" borderId="1" xfId="1" applyFont="1" applyFill="1" applyBorder="1" applyAlignment="1">
      <alignment horizontal="center" vertical="center"/>
    </xf>
    <xf numFmtId="0" fontId="9" fillId="5" borderId="0" xfId="0" applyFont="1" applyFill="1" applyBorder="1"/>
    <xf numFmtId="0" fontId="6" fillId="5" borderId="0" xfId="0" applyFont="1" applyFill="1" applyBorder="1" applyAlignment="1">
      <alignment horizontal="center"/>
    </xf>
    <xf numFmtId="0" fontId="6" fillId="5" borderId="0" xfId="0" applyFont="1" applyFill="1" applyBorder="1"/>
    <xf numFmtId="0" fontId="6" fillId="5" borderId="0" xfId="0" applyFont="1" applyFill="1" applyAlignment="1">
      <alignment horizontal="center"/>
    </xf>
    <xf numFmtId="0" fontId="6" fillId="5" borderId="0" xfId="0" applyFont="1" applyFill="1"/>
    <xf numFmtId="9" fontId="6" fillId="2" borderId="0" xfId="0" applyNumberFormat="1" applyFont="1" applyFill="1"/>
    <xf numFmtId="0" fontId="41" fillId="25" borderId="1" xfId="2" applyFont="1" applyFill="1" applyBorder="1"/>
    <xf numFmtId="0" fontId="9" fillId="25" borderId="1" xfId="0" applyFont="1" applyFill="1" applyBorder="1" applyAlignment="1">
      <alignment horizontal="center" vertical="center"/>
    </xf>
    <xf numFmtId="1" fontId="9" fillId="25" borderId="1" xfId="0" applyNumberFormat="1" applyFont="1" applyFill="1" applyBorder="1" applyAlignment="1">
      <alignment horizontal="center" vertical="center"/>
    </xf>
    <xf numFmtId="1" fontId="41" fillId="25" borderId="1" xfId="0" applyNumberFormat="1" applyFont="1" applyFill="1" applyBorder="1" applyAlignment="1">
      <alignment horizontal="center" vertical="center"/>
    </xf>
    <xf numFmtId="9" fontId="9" fillId="25" borderId="1" xfId="0" applyNumberFormat="1" applyFont="1" applyFill="1" applyBorder="1" applyAlignment="1">
      <alignment horizontal="center" vertical="center"/>
    </xf>
    <xf numFmtId="3" fontId="9" fillId="25" borderId="1" xfId="0" applyNumberFormat="1" applyFont="1" applyFill="1" applyBorder="1" applyAlignment="1">
      <alignment horizontal="center" vertical="center"/>
    </xf>
    <xf numFmtId="0" fontId="41" fillId="27" borderId="1" xfId="2" applyFont="1" applyFill="1" applyBorder="1"/>
    <xf numFmtId="0" fontId="9" fillId="27" borderId="1" xfId="0" applyFont="1" applyFill="1" applyBorder="1" applyAlignment="1">
      <alignment horizontal="center" vertical="center"/>
    </xf>
    <xf numFmtId="1" fontId="9" fillId="27" borderId="1" xfId="0" applyNumberFormat="1" applyFont="1" applyFill="1" applyBorder="1" applyAlignment="1">
      <alignment horizontal="center" vertical="center"/>
    </xf>
    <xf numFmtId="1" fontId="41" fillId="27" borderId="1" xfId="0" applyNumberFormat="1" applyFont="1" applyFill="1" applyBorder="1" applyAlignment="1">
      <alignment horizontal="center" vertical="center"/>
    </xf>
    <xf numFmtId="9" fontId="9" fillId="27" borderId="1" xfId="0" applyNumberFormat="1" applyFont="1" applyFill="1" applyBorder="1" applyAlignment="1">
      <alignment horizontal="center" vertical="center"/>
    </xf>
    <xf numFmtId="3" fontId="9" fillId="27" borderId="1" xfId="0" applyNumberFormat="1" applyFont="1" applyFill="1" applyBorder="1" applyAlignment="1">
      <alignment horizontal="center" vertical="center"/>
    </xf>
    <xf numFmtId="0" fontId="41" fillId="28" borderId="1" xfId="2" applyFont="1" applyFill="1" applyBorder="1"/>
    <xf numFmtId="0" fontId="9" fillId="28" borderId="1" xfId="0" applyFont="1" applyFill="1" applyBorder="1" applyAlignment="1">
      <alignment horizontal="center" vertical="center"/>
    </xf>
    <xf numFmtId="1" fontId="9" fillId="28" borderId="1" xfId="0" applyNumberFormat="1" applyFont="1" applyFill="1" applyBorder="1" applyAlignment="1">
      <alignment horizontal="center" vertical="center"/>
    </xf>
    <xf numFmtId="1" fontId="41" fillId="28" borderId="1" xfId="0" applyNumberFormat="1" applyFont="1" applyFill="1" applyBorder="1" applyAlignment="1">
      <alignment horizontal="center" vertical="center"/>
    </xf>
    <xf numFmtId="9" fontId="9" fillId="28" borderId="1" xfId="0" applyNumberFormat="1" applyFont="1" applyFill="1" applyBorder="1" applyAlignment="1">
      <alignment horizontal="center" vertical="center"/>
    </xf>
    <xf numFmtId="3" fontId="9" fillId="28" borderId="1" xfId="0" applyNumberFormat="1" applyFont="1" applyFill="1" applyBorder="1" applyAlignment="1">
      <alignment horizontal="center" vertical="center"/>
    </xf>
    <xf numFmtId="0" fontId="41" fillId="29" borderId="1" xfId="2" applyFont="1" applyFill="1" applyBorder="1"/>
    <xf numFmtId="0" fontId="9" fillId="29" borderId="1" xfId="0" applyFont="1" applyFill="1" applyBorder="1" applyAlignment="1">
      <alignment horizontal="center" vertical="center"/>
    </xf>
    <xf numFmtId="1" fontId="9" fillId="29" borderId="1" xfId="0" applyNumberFormat="1" applyFont="1" applyFill="1" applyBorder="1" applyAlignment="1">
      <alignment horizontal="center" vertical="center"/>
    </xf>
    <xf numFmtId="1" fontId="41" fillId="29" borderId="1" xfId="0" applyNumberFormat="1" applyFont="1" applyFill="1" applyBorder="1" applyAlignment="1">
      <alignment horizontal="center" vertical="center"/>
    </xf>
    <xf numFmtId="9" fontId="9" fillId="29" borderId="1" xfId="0" applyNumberFormat="1" applyFont="1" applyFill="1" applyBorder="1" applyAlignment="1">
      <alignment horizontal="center" vertical="center"/>
    </xf>
    <xf numFmtId="3" fontId="9" fillId="29" borderId="1" xfId="0" applyNumberFormat="1" applyFont="1" applyFill="1" applyBorder="1" applyAlignment="1">
      <alignment horizontal="center" vertical="center"/>
    </xf>
    <xf numFmtId="0" fontId="9" fillId="30" borderId="1" xfId="0" applyFont="1" applyFill="1" applyBorder="1" applyAlignment="1">
      <alignment horizontal="center" vertical="center"/>
    </xf>
    <xf numFmtId="1" fontId="9" fillId="30" borderId="1" xfId="0" applyNumberFormat="1" applyFont="1" applyFill="1" applyBorder="1" applyAlignment="1">
      <alignment horizontal="center" vertical="center"/>
    </xf>
    <xf numFmtId="1" fontId="41" fillId="30" borderId="1" xfId="0" applyNumberFormat="1" applyFont="1" applyFill="1" applyBorder="1" applyAlignment="1">
      <alignment horizontal="center" vertical="center"/>
    </xf>
    <xf numFmtId="9" fontId="9" fillId="30" borderId="1" xfId="0" applyNumberFormat="1" applyFont="1" applyFill="1" applyBorder="1" applyAlignment="1">
      <alignment horizontal="center" vertical="center"/>
    </xf>
    <xf numFmtId="3" fontId="9" fillId="30" borderId="1" xfId="0" applyNumberFormat="1" applyFont="1" applyFill="1" applyBorder="1" applyAlignment="1">
      <alignment horizontal="center" vertical="center"/>
    </xf>
    <xf numFmtId="0" fontId="41" fillId="30" borderId="1" xfId="0" applyFont="1" applyFill="1" applyBorder="1"/>
    <xf numFmtId="0" fontId="49" fillId="26" borderId="1" xfId="2" applyFont="1" applyFill="1" applyBorder="1"/>
    <xf numFmtId="0" fontId="49" fillId="26" borderId="1" xfId="0" applyFont="1" applyFill="1" applyBorder="1" applyAlignment="1">
      <alignment horizontal="center" vertical="center"/>
    </xf>
    <xf numFmtId="1" fontId="49" fillId="26" borderId="1" xfId="0" applyNumberFormat="1" applyFont="1" applyFill="1" applyBorder="1" applyAlignment="1">
      <alignment horizontal="center" vertical="center"/>
    </xf>
    <xf numFmtId="9" fontId="49" fillId="26" borderId="1" xfId="0" applyNumberFormat="1" applyFont="1" applyFill="1" applyBorder="1" applyAlignment="1">
      <alignment horizontal="center" vertical="center"/>
    </xf>
    <xf numFmtId="3" fontId="49" fillId="26" borderId="1" xfId="0" applyNumberFormat="1" applyFont="1" applyFill="1" applyBorder="1" applyAlignment="1">
      <alignment horizontal="center" vertical="center"/>
    </xf>
    <xf numFmtId="0" fontId="15" fillId="25" borderId="0" xfId="0" applyFont="1" applyFill="1" applyAlignment="1">
      <alignment vertical="center"/>
    </xf>
    <xf numFmtId="3" fontId="15" fillId="25" borderId="0" xfId="0" applyNumberFormat="1" applyFont="1" applyFill="1" applyAlignment="1">
      <alignment horizontal="center" vertical="center"/>
    </xf>
    <xf numFmtId="9" fontId="15" fillId="25" borderId="0" xfId="1" applyFont="1" applyFill="1" applyAlignment="1">
      <alignment horizontal="center" vertical="center"/>
    </xf>
    <xf numFmtId="1" fontId="8" fillId="25" borderId="0" xfId="0" applyNumberFormat="1" applyFont="1" applyFill="1" applyAlignment="1">
      <alignment horizontal="center" vertical="center"/>
    </xf>
    <xf numFmtId="0" fontId="53" fillId="26" borderId="0" xfId="0" applyFont="1" applyFill="1" applyAlignment="1">
      <alignment vertical="center"/>
    </xf>
    <xf numFmtId="3" fontId="53" fillId="26" borderId="0" xfId="0" applyNumberFormat="1" applyFont="1" applyFill="1" applyAlignment="1">
      <alignment horizontal="center" vertical="center"/>
    </xf>
    <xf numFmtId="9" fontId="53" fillId="26" borderId="0" xfId="1" applyFont="1" applyFill="1" applyAlignment="1">
      <alignment horizontal="center" vertical="center"/>
    </xf>
    <xf numFmtId="1" fontId="8" fillId="26" borderId="0" xfId="0" applyNumberFormat="1" applyFont="1" applyFill="1" applyAlignment="1">
      <alignment horizontal="center" vertical="center"/>
    </xf>
    <xf numFmtId="0" fontId="15" fillId="30" borderId="0" xfId="0" applyFont="1" applyFill="1" applyAlignment="1">
      <alignment vertical="center"/>
    </xf>
    <xf numFmtId="3" fontId="15" fillId="30" borderId="0" xfId="0" applyNumberFormat="1" applyFont="1" applyFill="1" applyAlignment="1">
      <alignment horizontal="center" vertical="center"/>
    </xf>
    <xf numFmtId="9" fontId="15" fillId="30" borderId="0" xfId="1" applyFont="1" applyFill="1" applyAlignment="1">
      <alignment horizontal="center" vertical="center"/>
    </xf>
    <xf numFmtId="1" fontId="8" fillId="30" borderId="0" xfId="0" applyNumberFormat="1" applyFont="1" applyFill="1" applyAlignment="1">
      <alignment horizontal="center" vertical="center"/>
    </xf>
    <xf numFmtId="0" fontId="15" fillId="27" borderId="0" xfId="0" applyFont="1" applyFill="1" applyAlignment="1">
      <alignment vertical="center"/>
    </xf>
    <xf numFmtId="3" fontId="15" fillId="27" borderId="0" xfId="0" applyNumberFormat="1" applyFont="1" applyFill="1" applyAlignment="1">
      <alignment horizontal="center" vertical="center"/>
    </xf>
    <xf numFmtId="9" fontId="15" fillId="27" borderId="0" xfId="1" applyFont="1" applyFill="1" applyAlignment="1">
      <alignment horizontal="center" vertical="center"/>
    </xf>
    <xf numFmtId="1" fontId="8" fillId="27" borderId="0" xfId="0" applyNumberFormat="1" applyFont="1" applyFill="1" applyAlignment="1">
      <alignment horizontal="center" vertical="center"/>
    </xf>
    <xf numFmtId="0" fontId="15" fillId="29" borderId="0" xfId="0" applyFont="1" applyFill="1" applyAlignment="1">
      <alignment vertical="center"/>
    </xf>
    <xf numFmtId="3" fontId="15" fillId="29" borderId="0" xfId="0" applyNumberFormat="1" applyFont="1" applyFill="1" applyAlignment="1">
      <alignment horizontal="center" vertical="center"/>
    </xf>
    <xf numFmtId="9" fontId="15" fillId="29" borderId="0" xfId="1" applyFont="1" applyFill="1" applyAlignment="1">
      <alignment horizontal="center" vertical="center"/>
    </xf>
    <xf numFmtId="1" fontId="8" fillId="29" borderId="0" xfId="0" applyNumberFormat="1" applyFont="1" applyFill="1" applyAlignment="1">
      <alignment horizontal="center" vertical="center"/>
    </xf>
    <xf numFmtId="0" fontId="15" fillId="28" borderId="0" xfId="0" applyFont="1" applyFill="1" applyAlignment="1">
      <alignment vertical="center"/>
    </xf>
    <xf numFmtId="3" fontId="15" fillId="28" borderId="0" xfId="0" applyNumberFormat="1" applyFont="1" applyFill="1" applyAlignment="1">
      <alignment horizontal="center" vertical="center"/>
    </xf>
    <xf numFmtId="9" fontId="15" fillId="28" borderId="0" xfId="1" applyFont="1" applyFill="1" applyAlignment="1">
      <alignment horizontal="center" vertical="center"/>
    </xf>
    <xf numFmtId="1" fontId="51" fillId="28" borderId="0" xfId="0" applyNumberFormat="1" applyFont="1" applyFill="1" applyAlignment="1">
      <alignment horizontal="center" vertical="center"/>
    </xf>
    <xf numFmtId="49" fontId="13" fillId="28" borderId="0" xfId="0" applyNumberFormat="1" applyFont="1" applyFill="1" applyAlignment="1">
      <alignment horizontal="left" vertical="center"/>
    </xf>
    <xf numFmtId="49" fontId="12" fillId="28" borderId="0" xfId="0" applyNumberFormat="1" applyFont="1" applyFill="1" applyAlignment="1">
      <alignment horizontal="left" vertical="center"/>
    </xf>
    <xf numFmtId="0" fontId="12" fillId="28" borderId="0" xfId="0" applyFont="1" applyFill="1" applyAlignment="1">
      <alignment horizontal="left" vertical="center"/>
    </xf>
    <xf numFmtId="0" fontId="13" fillId="28" borderId="0" xfId="0" applyNumberFormat="1" applyFont="1" applyFill="1" applyAlignment="1">
      <alignment horizontal="left" vertical="center"/>
    </xf>
    <xf numFmtId="0" fontId="12" fillId="28" borderId="0" xfId="0" applyFont="1" applyFill="1" applyAlignment="1">
      <alignment horizontal="center" vertical="center"/>
    </xf>
    <xf numFmtId="0" fontId="12" fillId="28" borderId="0" xfId="0" applyFont="1" applyFill="1" applyAlignment="1">
      <alignment horizontal="left" vertical="center" wrapText="1"/>
    </xf>
    <xf numFmtId="49" fontId="13" fillId="25" borderId="0" xfId="0" applyNumberFormat="1" applyFont="1" applyFill="1" applyAlignment="1">
      <alignment horizontal="left" vertical="center"/>
    </xf>
    <xf numFmtId="49" fontId="12" fillId="25" borderId="0" xfId="0" applyNumberFormat="1" applyFont="1" applyFill="1" applyAlignment="1">
      <alignment horizontal="left" vertical="center"/>
    </xf>
    <xf numFmtId="0" fontId="12" fillId="25" borderId="0" xfId="0" applyFont="1" applyFill="1" applyAlignment="1">
      <alignment horizontal="left" vertical="center"/>
    </xf>
    <xf numFmtId="0" fontId="13" fillId="25" borderId="0" xfId="0" applyNumberFormat="1" applyFont="1" applyFill="1" applyAlignment="1">
      <alignment horizontal="left" vertical="center"/>
    </xf>
    <xf numFmtId="0" fontId="12" fillId="25" borderId="0" xfId="0" applyFont="1" applyFill="1" applyAlignment="1">
      <alignment horizontal="center" vertical="center"/>
    </xf>
    <xf numFmtId="0" fontId="12" fillId="25" borderId="0" xfId="0" applyFont="1" applyFill="1" applyAlignment="1">
      <alignment horizontal="left" vertical="center" wrapText="1"/>
    </xf>
    <xf numFmtId="49" fontId="72" fillId="26" borderId="0" xfId="0" applyNumberFormat="1" applyFont="1" applyFill="1" applyAlignment="1">
      <alignment horizontal="left" vertical="center"/>
    </xf>
    <xf numFmtId="49" fontId="73" fillId="26" borderId="0" xfId="0" applyNumberFormat="1" applyFont="1" applyFill="1" applyAlignment="1">
      <alignment horizontal="left" vertical="center"/>
    </xf>
    <xf numFmtId="0" fontId="73" fillId="26" borderId="0" xfId="0" applyFont="1" applyFill="1" applyAlignment="1">
      <alignment horizontal="left" vertical="center"/>
    </xf>
    <xf numFmtId="0" fontId="72" fillId="26" borderId="0" xfId="0" applyNumberFormat="1" applyFont="1" applyFill="1" applyAlignment="1">
      <alignment horizontal="left" vertical="center"/>
    </xf>
    <xf numFmtId="0" fontId="73" fillId="26" borderId="0" xfId="0" applyFont="1" applyFill="1" applyAlignment="1">
      <alignment horizontal="center" vertical="center"/>
    </xf>
    <xf numFmtId="0" fontId="73" fillId="26" borderId="0" xfId="0" applyFont="1" applyFill="1" applyAlignment="1">
      <alignment horizontal="left" vertical="center" wrapText="1"/>
    </xf>
    <xf numFmtId="49" fontId="13" fillId="30" borderId="0" xfId="0" applyNumberFormat="1" applyFont="1" applyFill="1" applyAlignment="1">
      <alignment horizontal="left" vertical="center"/>
    </xf>
    <xf numFmtId="49" fontId="12" fillId="30" borderId="0" xfId="0" applyNumberFormat="1" applyFont="1" applyFill="1" applyAlignment="1">
      <alignment horizontal="left" vertical="center"/>
    </xf>
    <xf numFmtId="0" fontId="12" fillId="30" borderId="0" xfId="0" applyFont="1" applyFill="1" applyAlignment="1">
      <alignment horizontal="left" vertical="center"/>
    </xf>
    <xf numFmtId="0" fontId="13" fillId="30" borderId="0" xfId="0" applyNumberFormat="1" applyFont="1" applyFill="1" applyAlignment="1">
      <alignment horizontal="left" vertical="center" wrapText="1"/>
    </xf>
    <xf numFmtId="0" fontId="12" fillId="30" borderId="0" xfId="0" applyFont="1" applyFill="1" applyAlignment="1">
      <alignment horizontal="center" vertical="center"/>
    </xf>
    <xf numFmtId="0" fontId="12" fillId="30" borderId="0" xfId="0" applyFont="1" applyFill="1" applyAlignment="1">
      <alignment horizontal="left" vertical="center" wrapText="1"/>
    </xf>
    <xf numFmtId="49" fontId="13" fillId="29" borderId="0" xfId="0" applyNumberFormat="1" applyFont="1" applyFill="1" applyAlignment="1">
      <alignment horizontal="left" vertical="center"/>
    </xf>
    <xf numFmtId="49" fontId="12" fillId="29" borderId="0" xfId="0" applyNumberFormat="1" applyFont="1" applyFill="1" applyAlignment="1">
      <alignment horizontal="left" vertical="center"/>
    </xf>
    <xf numFmtId="0" fontId="12" fillId="29" borderId="0" xfId="0" applyFont="1" applyFill="1" applyAlignment="1">
      <alignment horizontal="left" vertical="center"/>
    </xf>
    <xf numFmtId="0" fontId="13" fillId="29" borderId="0" xfId="0" applyNumberFormat="1" applyFont="1" applyFill="1" applyAlignment="1">
      <alignment horizontal="left" vertical="center"/>
    </xf>
    <xf numFmtId="0" fontId="12" fillId="29" borderId="0" xfId="0" applyFont="1" applyFill="1" applyAlignment="1">
      <alignment horizontal="center" vertical="center"/>
    </xf>
    <xf numFmtId="0" fontId="12" fillId="29" borderId="0" xfId="0" applyFont="1" applyFill="1" applyAlignment="1">
      <alignment horizontal="left" vertical="center" wrapText="1"/>
    </xf>
    <xf numFmtId="49" fontId="13" fillId="27" borderId="0" xfId="0" applyNumberFormat="1" applyFont="1" applyFill="1" applyAlignment="1">
      <alignment horizontal="left" vertical="center"/>
    </xf>
    <xf numFmtId="49" fontId="12" fillId="27" borderId="0" xfId="0" applyNumberFormat="1" applyFont="1" applyFill="1" applyAlignment="1">
      <alignment horizontal="left" vertical="center"/>
    </xf>
    <xf numFmtId="0" fontId="12" fillId="27" borderId="0" xfId="0" applyFont="1" applyFill="1" applyAlignment="1">
      <alignment horizontal="left" vertical="center"/>
    </xf>
    <xf numFmtId="0" fontId="13" fillId="27" borderId="0" xfId="0" applyNumberFormat="1" applyFont="1" applyFill="1" applyAlignment="1">
      <alignment horizontal="left" vertical="center"/>
    </xf>
    <xf numFmtId="0" fontId="12" fillId="27" borderId="0" xfId="0" applyFont="1" applyFill="1" applyAlignment="1">
      <alignment horizontal="center" vertical="center"/>
    </xf>
    <xf numFmtId="0" fontId="12" fillId="27" borderId="0" xfId="0" applyFont="1" applyFill="1" applyAlignment="1">
      <alignment horizontal="left" vertical="center" wrapText="1"/>
    </xf>
    <xf numFmtId="0" fontId="7" fillId="28" borderId="18" xfId="0" applyFont="1" applyFill="1" applyBorder="1"/>
    <xf numFmtId="0" fontId="7" fillId="28" borderId="18" xfId="2" applyFont="1" applyFill="1" applyBorder="1" applyAlignment="1">
      <alignment vertical="center"/>
    </xf>
    <xf numFmtId="49" fontId="7" fillId="28" borderId="0" xfId="2" applyNumberFormat="1" applyFont="1" applyFill="1" applyBorder="1" applyAlignment="1">
      <alignment vertical="center"/>
    </xf>
    <xf numFmtId="0" fontId="18" fillId="28" borderId="0" xfId="2" applyFont="1" applyFill="1" applyBorder="1" applyAlignment="1">
      <alignment horizontal="center" vertical="center"/>
    </xf>
    <xf numFmtId="0" fontId="7" fillId="28" borderId="0" xfId="0" applyFont="1" applyFill="1" applyBorder="1"/>
    <xf numFmtId="0" fontId="19" fillId="28" borderId="0" xfId="0" applyFont="1" applyFill="1" applyBorder="1"/>
    <xf numFmtId="0" fontId="57" fillId="28" borderId="0" xfId="0" applyFont="1" applyFill="1" applyBorder="1"/>
    <xf numFmtId="0" fontId="19" fillId="28" borderId="19" xfId="0" applyFont="1" applyFill="1" applyBorder="1" applyAlignment="1">
      <alignment horizontal="left"/>
    </xf>
    <xf numFmtId="0" fontId="7" fillId="30" borderId="18" xfId="0" applyFont="1" applyFill="1" applyBorder="1"/>
    <xf numFmtId="0" fontId="7" fillId="30" borderId="18" xfId="2" applyFont="1" applyFill="1" applyBorder="1" applyAlignment="1">
      <alignment vertical="center"/>
    </xf>
    <xf numFmtId="0" fontId="7" fillId="30" borderId="0" xfId="2" applyFont="1" applyFill="1" applyBorder="1" applyAlignment="1">
      <alignment vertical="center"/>
    </xf>
    <xf numFmtId="0" fontId="7" fillId="30" borderId="0" xfId="0" applyFont="1" applyFill="1" applyBorder="1"/>
    <xf numFmtId="0" fontId="19" fillId="30" borderId="0" xfId="0" applyFont="1" applyFill="1" applyBorder="1"/>
    <xf numFmtId="0" fontId="57" fillId="30" borderId="0" xfId="2" applyFont="1" applyFill="1" applyBorder="1"/>
    <xf numFmtId="0" fontId="19" fillId="30" borderId="19" xfId="0" applyFont="1" applyFill="1" applyBorder="1" applyAlignment="1">
      <alignment horizontal="left"/>
    </xf>
    <xf numFmtId="0" fontId="7" fillId="29" borderId="18" xfId="0" applyFont="1" applyFill="1" applyBorder="1"/>
    <xf numFmtId="0" fontId="7" fillId="29" borderId="18" xfId="2" applyFont="1" applyFill="1" applyBorder="1" applyAlignment="1">
      <alignment vertical="center"/>
    </xf>
    <xf numFmtId="49" fontId="7" fillId="29" borderId="0" xfId="2" applyNumberFormat="1" applyFont="1" applyFill="1" applyBorder="1" applyAlignment="1">
      <alignment vertical="center"/>
    </xf>
    <xf numFmtId="0" fontId="7" fillId="29" borderId="0" xfId="2" applyFont="1" applyFill="1" applyBorder="1" applyAlignment="1">
      <alignment vertical="center"/>
    </xf>
    <xf numFmtId="0" fontId="7" fillId="29" borderId="0" xfId="0" applyFont="1" applyFill="1" applyBorder="1"/>
    <xf numFmtId="0" fontId="19" fillId="29" borderId="0" xfId="0" applyFont="1" applyFill="1" applyBorder="1"/>
    <xf numFmtId="0" fontId="57" fillId="29" borderId="0" xfId="2" applyFont="1" applyFill="1" applyBorder="1"/>
    <xf numFmtId="0" fontId="19" fillId="29" borderId="19" xfId="0" applyFont="1" applyFill="1" applyBorder="1" applyAlignment="1">
      <alignment horizontal="left"/>
    </xf>
    <xf numFmtId="0" fontId="7" fillId="27" borderId="18" xfId="0" applyFont="1" applyFill="1" applyBorder="1"/>
    <xf numFmtId="0" fontId="7" fillId="27" borderId="18" xfId="2" applyFont="1" applyFill="1" applyBorder="1" applyAlignment="1">
      <alignment vertical="center"/>
    </xf>
    <xf numFmtId="49" fontId="7" fillId="27" borderId="0" xfId="2" applyNumberFormat="1" applyFont="1" applyFill="1" applyBorder="1" applyAlignment="1">
      <alignment vertical="center"/>
    </xf>
    <xf numFmtId="0" fontId="7" fillId="27" borderId="0" xfId="2" applyFont="1" applyFill="1" applyBorder="1" applyAlignment="1">
      <alignment vertical="center"/>
    </xf>
    <xf numFmtId="0" fontId="7" fillId="27" borderId="0" xfId="0" applyFont="1" applyFill="1" applyBorder="1"/>
    <xf numFmtId="0" fontId="19" fillId="27" borderId="0" xfId="0" applyFont="1" applyFill="1" applyBorder="1"/>
    <xf numFmtId="0" fontId="57" fillId="27" borderId="0" xfId="2" applyFont="1" applyFill="1" applyBorder="1"/>
    <xf numFmtId="0" fontId="19" fillId="27" borderId="19" xfId="0" applyFont="1" applyFill="1" applyBorder="1" applyAlignment="1">
      <alignment horizontal="left"/>
    </xf>
    <xf numFmtId="49" fontId="7" fillId="30" borderId="0" xfId="2" applyNumberFormat="1" applyFont="1" applyFill="1" applyBorder="1" applyAlignment="1">
      <alignment horizontal="left" vertical="center"/>
    </xf>
    <xf numFmtId="0" fontId="53" fillId="26" borderId="18" xfId="0" applyFont="1" applyFill="1" applyBorder="1"/>
    <xf numFmtId="49" fontId="53" fillId="26" borderId="0" xfId="2" applyNumberFormat="1" applyFont="1" applyFill="1" applyBorder="1"/>
    <xf numFmtId="0" fontId="17" fillId="26" borderId="0" xfId="0" applyFont="1" applyFill="1" applyBorder="1" applyAlignment="1">
      <alignment horizontal="center" vertical="center"/>
    </xf>
    <xf numFmtId="0" fontId="53" fillId="26" borderId="0" xfId="0" applyFont="1" applyFill="1" applyBorder="1"/>
    <xf numFmtId="0" fontId="17" fillId="26" borderId="0" xfId="0" applyFont="1" applyFill="1" applyBorder="1"/>
    <xf numFmtId="0" fontId="74" fillId="26" borderId="0" xfId="2" applyFont="1" applyFill="1" applyBorder="1"/>
    <xf numFmtId="0" fontId="17" fillId="26" borderId="19" xfId="0" applyFont="1" applyFill="1" applyBorder="1" applyAlignment="1">
      <alignment horizontal="left"/>
    </xf>
    <xf numFmtId="0" fontId="7" fillId="25" borderId="20" xfId="0" applyFont="1" applyFill="1" applyBorder="1"/>
    <xf numFmtId="49" fontId="7" fillId="25" borderId="21" xfId="2" applyNumberFormat="1" applyFont="1" applyFill="1" applyBorder="1"/>
    <xf numFmtId="0" fontId="8" fillId="25" borderId="21" xfId="0" applyFont="1" applyFill="1" applyBorder="1" applyAlignment="1">
      <alignment horizontal="center" vertical="center"/>
    </xf>
    <xf numFmtId="0" fontId="7" fillId="25" borderId="21" xfId="0" applyFont="1" applyFill="1" applyBorder="1"/>
    <xf numFmtId="0" fontId="8" fillId="25" borderId="21" xfId="0" applyFont="1" applyFill="1" applyBorder="1"/>
    <xf numFmtId="0" fontId="57" fillId="25" borderId="21" xfId="2" applyFont="1" applyFill="1" applyBorder="1"/>
    <xf numFmtId="0" fontId="8" fillId="25" borderId="22" xfId="0" applyFont="1" applyFill="1" applyBorder="1" applyAlignment="1">
      <alignment horizontal="left"/>
    </xf>
    <xf numFmtId="0" fontId="31" fillId="2" borderId="0" xfId="2" applyFont="1" applyFill="1" applyAlignment="1">
      <alignment vertical="top"/>
    </xf>
    <xf numFmtId="0" fontId="1" fillId="2" borderId="0" xfId="0" applyFont="1" applyFill="1" applyBorder="1" applyAlignment="1">
      <alignment horizontal="left" vertical="top"/>
    </xf>
    <xf numFmtId="0" fontId="1" fillId="2" borderId="0" xfId="0" applyFont="1" applyFill="1" applyAlignment="1">
      <alignment wrapText="1"/>
    </xf>
    <xf numFmtId="0" fontId="1" fillId="6" borderId="1" xfId="0" applyFont="1" applyFill="1" applyBorder="1" applyAlignment="1">
      <alignment horizontal="left" vertical="top"/>
    </xf>
    <xf numFmtId="0" fontId="1" fillId="22" borderId="1" xfId="0" applyFont="1" applyFill="1" applyBorder="1" applyAlignment="1">
      <alignment horizontal="left" vertical="top"/>
    </xf>
    <xf numFmtId="0" fontId="1" fillId="0" borderId="0" xfId="0" applyFont="1" applyFill="1" applyAlignment="1">
      <alignment horizontal="left" vertical="top"/>
    </xf>
    <xf numFmtId="3" fontId="1" fillId="6" borderId="1" xfId="0" applyNumberFormat="1" applyFont="1" applyFill="1" applyBorder="1" applyAlignment="1">
      <alignment horizontal="left" vertical="top"/>
    </xf>
    <xf numFmtId="6" fontId="1" fillId="2" borderId="0" xfId="0" applyNumberFormat="1" applyFont="1" applyFill="1" applyBorder="1" applyAlignment="1">
      <alignment horizontal="left" vertical="top" wrapText="1"/>
    </xf>
    <xf numFmtId="0" fontId="1" fillId="2" borderId="0" xfId="0" applyFont="1" applyFill="1" applyBorder="1" applyAlignment="1">
      <alignment wrapText="1"/>
    </xf>
    <xf numFmtId="9" fontId="1" fillId="6" borderId="1" xfId="0" applyNumberFormat="1" applyFont="1" applyFill="1" applyBorder="1" applyAlignment="1">
      <alignment horizontal="left" vertical="top"/>
    </xf>
    <xf numFmtId="0" fontId="1" fillId="2" borderId="23" xfId="0" applyFont="1" applyFill="1" applyBorder="1"/>
    <xf numFmtId="3" fontId="1" fillId="6" borderId="23" xfId="0" applyNumberFormat="1" applyFont="1" applyFill="1" applyBorder="1" applyAlignment="1">
      <alignment horizontal="left" vertical="top"/>
    </xf>
    <xf numFmtId="0" fontId="1" fillId="2" borderId="8" xfId="0" applyFont="1" applyFill="1" applyBorder="1"/>
    <xf numFmtId="0" fontId="1" fillId="22" borderId="8" xfId="0" applyFont="1" applyFill="1" applyBorder="1" applyAlignment="1">
      <alignment horizontal="left" vertical="top"/>
    </xf>
    <xf numFmtId="3" fontId="1" fillId="22" borderId="23" xfId="0" applyNumberFormat="1" applyFont="1" applyFill="1" applyBorder="1" applyAlignment="1">
      <alignment horizontal="left" vertical="top"/>
    </xf>
    <xf numFmtId="0" fontId="1" fillId="2" borderId="8" xfId="0" applyFont="1" applyFill="1" applyBorder="1" applyAlignment="1">
      <alignment horizontal="left" vertical="top"/>
    </xf>
    <xf numFmtId="3" fontId="1" fillId="22" borderId="1" xfId="0" applyNumberFormat="1" applyFont="1" applyFill="1" applyBorder="1" applyAlignment="1">
      <alignment horizontal="left" vertical="top"/>
    </xf>
    <xf numFmtId="0" fontId="1" fillId="22" borderId="23" xfId="0" applyFont="1" applyFill="1" applyBorder="1" applyAlignment="1">
      <alignment horizontal="left" vertical="top"/>
    </xf>
    <xf numFmtId="0" fontId="1" fillId="6" borderId="8" xfId="0" applyFont="1" applyFill="1" applyBorder="1" applyAlignment="1">
      <alignment horizontal="left" vertical="top"/>
    </xf>
    <xf numFmtId="9" fontId="1" fillId="0" borderId="0" xfId="0" applyNumberFormat="1" applyFont="1" applyFill="1" applyAlignment="1">
      <alignment horizontal="left" vertical="top"/>
    </xf>
    <xf numFmtId="14" fontId="1" fillId="6" borderId="1" xfId="0" applyNumberFormat="1" applyFont="1" applyFill="1" applyBorder="1" applyAlignment="1">
      <alignment horizontal="left" vertical="top"/>
    </xf>
    <xf numFmtId="164" fontId="1" fillId="2" borderId="1" xfId="0" applyNumberFormat="1" applyFont="1" applyFill="1" applyBorder="1" applyAlignment="1">
      <alignment horizontal="left" vertical="top"/>
    </xf>
    <xf numFmtId="1" fontId="1" fillId="2" borderId="1" xfId="0" applyNumberFormat="1" applyFont="1" applyFill="1" applyBorder="1" applyAlignment="1">
      <alignment horizontal="left" vertical="top"/>
    </xf>
    <xf numFmtId="3" fontId="1" fillId="2" borderId="1" xfId="0" applyNumberFormat="1" applyFont="1" applyFill="1" applyBorder="1" applyAlignment="1">
      <alignment horizontal="left" vertical="top"/>
    </xf>
    <xf numFmtId="14" fontId="9" fillId="2" borderId="1" xfId="0" applyNumberFormat="1" applyFont="1" applyFill="1" applyBorder="1" applyAlignment="1">
      <alignment horizontal="left" vertical="top" wrapText="1"/>
    </xf>
    <xf numFmtId="0" fontId="1" fillId="2" borderId="0" xfId="0" applyFont="1" applyFill="1" applyBorder="1" applyAlignment="1">
      <alignment horizontal="left" vertical="center"/>
    </xf>
    <xf numFmtId="0" fontId="47" fillId="2" borderId="0" xfId="0" applyFont="1" applyFill="1" applyBorder="1" applyAlignment="1">
      <alignment horizontal="left" vertical="center"/>
    </xf>
    <xf numFmtId="0" fontId="1" fillId="2" borderId="0" xfId="0" applyFont="1" applyFill="1" applyAlignment="1">
      <alignment horizontal="left" vertical="center"/>
    </xf>
    <xf numFmtId="9" fontId="1" fillId="2" borderId="0" xfId="1" applyFont="1" applyFill="1" applyAlignment="1">
      <alignment horizontal="left" vertical="center"/>
    </xf>
    <xf numFmtId="0" fontId="1" fillId="2" borderId="1" xfId="0" applyFont="1" applyFill="1" applyBorder="1" applyAlignment="1">
      <alignment horizontal="right" wrapText="1"/>
    </xf>
    <xf numFmtId="0" fontId="35" fillId="2" borderId="0" xfId="0" applyFont="1" applyFill="1" applyAlignment="1">
      <alignment horizontal="right" wrapText="1"/>
    </xf>
    <xf numFmtId="3" fontId="9" fillId="16" borderId="0" xfId="0" applyNumberFormat="1" applyFont="1" applyFill="1" applyBorder="1" applyAlignment="1">
      <alignment horizontal="center"/>
    </xf>
    <xf numFmtId="1" fontId="9" fillId="2" borderId="12" xfId="0" applyNumberFormat="1" applyFont="1" applyFill="1" applyBorder="1" applyAlignment="1">
      <alignment horizontal="center" vertical="top"/>
    </xf>
    <xf numFmtId="1" fontId="9" fillId="2" borderId="12" xfId="1" applyNumberFormat="1" applyFont="1" applyFill="1" applyBorder="1" applyAlignment="1">
      <alignment horizontal="center" vertical="top"/>
    </xf>
    <xf numFmtId="0" fontId="9" fillId="2" borderId="0" xfId="0" applyFont="1" applyFill="1" applyAlignment="1">
      <alignment horizontal="right"/>
    </xf>
    <xf numFmtId="20" fontId="9" fillId="2" borderId="1" xfId="0" applyNumberFormat="1" applyFont="1" applyFill="1" applyBorder="1" applyAlignment="1">
      <alignment horizontal="center" vertical="center"/>
    </xf>
    <xf numFmtId="20" fontId="9" fillId="2" borderId="12" xfId="0" applyNumberFormat="1" applyFont="1" applyFill="1" applyBorder="1" applyAlignment="1">
      <alignment horizontal="center"/>
    </xf>
    <xf numFmtId="20" fontId="9" fillId="2" borderId="2" xfId="0" applyNumberFormat="1" applyFont="1" applyFill="1" applyBorder="1" applyAlignment="1">
      <alignment horizontal="center"/>
    </xf>
    <xf numFmtId="3" fontId="6" fillId="2" borderId="1" xfId="0" applyNumberFormat="1" applyFont="1" applyFill="1" applyBorder="1" applyAlignment="1">
      <alignment horizontal="center" vertical="center"/>
    </xf>
    <xf numFmtId="0" fontId="75" fillId="2" borderId="0" xfId="0" applyFont="1" applyFill="1"/>
    <xf numFmtId="0" fontId="6" fillId="2" borderId="1" xfId="0" applyFont="1" applyFill="1" applyBorder="1" applyAlignment="1">
      <alignment horizontal="left"/>
    </xf>
    <xf numFmtId="9" fontId="9" fillId="0" borderId="1" xfId="1" applyFont="1" applyFill="1" applyBorder="1" applyAlignment="1">
      <alignment horizontal="center" vertical="top"/>
    </xf>
    <xf numFmtId="9" fontId="9" fillId="0" borderId="2" xfId="1" applyFont="1" applyFill="1" applyBorder="1" applyAlignment="1">
      <alignment horizontal="center" vertical="top"/>
    </xf>
    <xf numFmtId="9" fontId="9" fillId="0" borderId="0" xfId="1" applyFont="1" applyFill="1" applyBorder="1" applyAlignment="1">
      <alignment horizontal="center" vertical="top"/>
    </xf>
    <xf numFmtId="0" fontId="9" fillId="2" borderId="1" xfId="0" applyFont="1" applyFill="1" applyBorder="1" applyAlignment="1">
      <alignment horizontal="left" vertical="center"/>
    </xf>
    <xf numFmtId="9" fontId="25" fillId="2" borderId="1" xfId="0" applyNumberFormat="1" applyFont="1" applyFill="1" applyBorder="1" applyAlignment="1">
      <alignment horizontal="left" vertical="center"/>
    </xf>
    <xf numFmtId="0" fontId="6" fillId="2" borderId="0" xfId="0" applyFont="1" applyFill="1" applyAlignment="1">
      <alignment horizontal="left" vertical="center"/>
    </xf>
    <xf numFmtId="0" fontId="20" fillId="2" borderId="0" xfId="0" applyFont="1" applyFill="1" applyAlignment="1">
      <alignment horizontal="left" vertical="center"/>
    </xf>
    <xf numFmtId="0" fontId="23" fillId="2" borderId="0" xfId="0" applyFont="1" applyFill="1" applyAlignment="1">
      <alignment horizontal="left" vertical="center"/>
    </xf>
    <xf numFmtId="0" fontId="9" fillId="2" borderId="0" xfId="0" applyFont="1" applyFill="1" applyAlignment="1">
      <alignment horizontal="left" vertical="center"/>
    </xf>
    <xf numFmtId="0" fontId="25" fillId="2" borderId="0" xfId="0" applyFont="1" applyFill="1" applyAlignment="1">
      <alignment horizontal="left" vertical="center"/>
    </xf>
    <xf numFmtId="0" fontId="26" fillId="2" borderId="0" xfId="0" applyFont="1" applyFill="1" applyAlignment="1">
      <alignment horizontal="left" vertical="center"/>
    </xf>
    <xf numFmtId="0" fontId="26" fillId="2" borderId="1" xfId="0" applyFont="1" applyFill="1" applyBorder="1" applyAlignment="1">
      <alignment horizontal="left" vertical="center"/>
    </xf>
    <xf numFmtId="0" fontId="6" fillId="2" borderId="1" xfId="0" applyFont="1" applyFill="1" applyBorder="1" applyAlignment="1">
      <alignment horizontal="left" vertical="center"/>
    </xf>
    <xf numFmtId="0" fontId="25" fillId="2" borderId="1" xfId="0" applyFont="1" applyFill="1" applyBorder="1" applyAlignment="1">
      <alignment horizontal="left" vertical="center"/>
    </xf>
    <xf numFmtId="0" fontId="9" fillId="23" borderId="1" xfId="0" applyFont="1" applyFill="1" applyBorder="1" applyAlignment="1">
      <alignment horizontal="center" vertical="center"/>
    </xf>
    <xf numFmtId="0" fontId="9" fillId="3" borderId="1" xfId="0" applyFont="1" applyFill="1" applyBorder="1" applyAlignment="1">
      <alignment horizontal="left" vertical="center"/>
    </xf>
    <xf numFmtId="9" fontId="9" fillId="4" borderId="1" xfId="0" applyNumberFormat="1" applyFont="1" applyFill="1" applyBorder="1" applyAlignment="1">
      <alignment horizontal="center" vertical="center"/>
    </xf>
    <xf numFmtId="3" fontId="9" fillId="4" borderId="1" xfId="0" applyNumberFormat="1" applyFont="1" applyFill="1" applyBorder="1" applyAlignment="1">
      <alignment horizontal="left" vertical="center"/>
    </xf>
    <xf numFmtId="9" fontId="9" fillId="32" borderId="1" xfId="0" applyNumberFormat="1" applyFont="1" applyFill="1" applyBorder="1" applyAlignment="1">
      <alignment horizontal="left" vertical="center"/>
    </xf>
    <xf numFmtId="9" fontId="9" fillId="32" borderId="1" xfId="1" applyFont="1" applyFill="1" applyBorder="1" applyAlignment="1">
      <alignment horizontal="center" vertical="center"/>
    </xf>
    <xf numFmtId="9" fontId="9" fillId="31" borderId="1" xfId="1" applyFont="1" applyFill="1" applyBorder="1" applyAlignment="1">
      <alignment horizontal="center" vertical="center"/>
    </xf>
    <xf numFmtId="49" fontId="42" fillId="2" borderId="4" xfId="0" applyNumberFormat="1" applyFont="1" applyFill="1" applyBorder="1" applyAlignment="1">
      <alignment vertical="center" wrapText="1"/>
    </xf>
    <xf numFmtId="9" fontId="6" fillId="2" borderId="3" xfId="1" applyFont="1" applyFill="1" applyBorder="1" applyAlignment="1">
      <alignment horizontal="center"/>
    </xf>
    <xf numFmtId="0" fontId="9" fillId="2" borderId="12" xfId="0" applyFont="1" applyFill="1" applyBorder="1" applyAlignment="1">
      <alignment vertical="top" wrapText="1"/>
    </xf>
    <xf numFmtId="0" fontId="9" fillId="2" borderId="12" xfId="0" applyFont="1" applyFill="1" applyBorder="1" applyAlignment="1">
      <alignment horizontal="left" vertical="top" wrapText="1"/>
    </xf>
    <xf numFmtId="0" fontId="9" fillId="2" borderId="12" xfId="0" applyFont="1" applyFill="1" applyBorder="1" applyAlignment="1">
      <alignment horizontal="center" vertical="top" wrapText="1"/>
    </xf>
    <xf numFmtId="0" fontId="9" fillId="2" borderId="8" xfId="0" applyFont="1" applyFill="1" applyBorder="1"/>
    <xf numFmtId="3" fontId="9" fillId="2" borderId="8" xfId="0" applyNumberFormat="1" applyFont="1" applyFill="1" applyBorder="1" applyAlignment="1">
      <alignment horizontal="center"/>
    </xf>
    <xf numFmtId="0" fontId="47" fillId="2" borderId="0" xfId="0" applyFont="1" applyFill="1" applyAlignment="1">
      <alignment horizontal="right" vertical="top"/>
    </xf>
    <xf numFmtId="0" fontId="9" fillId="0" borderId="1" xfId="0" applyFont="1" applyBorder="1" applyAlignment="1">
      <alignment horizontal="center" vertical="top" wrapText="1"/>
    </xf>
    <xf numFmtId="0" fontId="1" fillId="0" borderId="1" xfId="0" applyFont="1" applyBorder="1" applyAlignment="1">
      <alignment horizontal="center" vertical="top"/>
    </xf>
    <xf numFmtId="0" fontId="6" fillId="0" borderId="1" xfId="0" applyFont="1" applyBorder="1" applyAlignment="1">
      <alignment horizontal="center" vertical="top"/>
    </xf>
    <xf numFmtId="9" fontId="47" fillId="2" borderId="0" xfId="1" applyNumberFormat="1" applyFont="1" applyFill="1" applyBorder="1" applyAlignment="1">
      <alignment horizontal="right" vertical="top"/>
    </xf>
    <xf numFmtId="0" fontId="41" fillId="2" borderId="1" xfId="0" applyFont="1" applyFill="1" applyBorder="1" applyAlignment="1">
      <alignment horizontal="left"/>
    </xf>
    <xf numFmtId="0" fontId="41"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55" fillId="2" borderId="2" xfId="0" applyFont="1" applyFill="1" applyBorder="1" applyAlignment="1">
      <alignment horizontal="left" vertical="top" wrapText="1"/>
    </xf>
    <xf numFmtId="9" fontId="6" fillId="0" borderId="3" xfId="1" applyNumberFormat="1" applyFont="1" applyFill="1" applyBorder="1" applyAlignment="1">
      <alignment horizontal="center" vertical="top"/>
    </xf>
    <xf numFmtId="3" fontId="6" fillId="2" borderId="29" xfId="0" applyNumberFormat="1" applyFont="1" applyFill="1" applyBorder="1" applyAlignment="1">
      <alignment horizontal="center" vertical="top"/>
    </xf>
    <xf numFmtId="3" fontId="6" fillId="2" borderId="30" xfId="0" applyNumberFormat="1" applyFont="1" applyFill="1" applyBorder="1" applyAlignment="1">
      <alignment horizontal="center" vertical="top"/>
    </xf>
    <xf numFmtId="3" fontId="9" fillId="2" borderId="8" xfId="0" applyNumberFormat="1" applyFont="1" applyFill="1" applyBorder="1" applyAlignment="1">
      <alignment horizontal="center" vertical="top"/>
    </xf>
    <xf numFmtId="3" fontId="6" fillId="2" borderId="31" xfId="0" applyNumberFormat="1" applyFont="1" applyFill="1" applyBorder="1" applyAlignment="1">
      <alignment horizontal="center" vertical="top"/>
    </xf>
    <xf numFmtId="0" fontId="41" fillId="2" borderId="2" xfId="0" applyFont="1" applyFill="1" applyBorder="1" applyAlignment="1">
      <alignment horizontal="left" vertical="top"/>
    </xf>
    <xf numFmtId="3" fontId="9" fillId="2" borderId="12" xfId="0" applyNumberFormat="1" applyFont="1" applyFill="1" applyBorder="1" applyAlignment="1">
      <alignment horizontal="center" vertical="top"/>
    </xf>
    <xf numFmtId="9" fontId="41" fillId="2" borderId="32" xfId="1" applyFont="1" applyFill="1" applyBorder="1" applyAlignment="1">
      <alignment horizontal="center" vertical="top"/>
    </xf>
    <xf numFmtId="9" fontId="41" fillId="2" borderId="33" xfId="1" applyFont="1" applyFill="1" applyBorder="1" applyAlignment="1">
      <alignment horizontal="center" vertical="top"/>
    </xf>
    <xf numFmtId="9" fontId="41" fillId="2" borderId="34" xfId="1" applyFont="1" applyFill="1" applyBorder="1" applyAlignment="1">
      <alignment horizontal="center" vertical="top"/>
    </xf>
    <xf numFmtId="0" fontId="41" fillId="2" borderId="2" xfId="0" applyFont="1" applyFill="1" applyBorder="1" applyAlignment="1">
      <alignment horizontal="left"/>
    </xf>
    <xf numFmtId="0" fontId="76" fillId="16" borderId="0" xfId="2" applyFont="1" applyFill="1" applyBorder="1"/>
    <xf numFmtId="0" fontId="76" fillId="2" borderId="1" xfId="2" applyFont="1" applyFill="1" applyBorder="1" applyAlignment="1">
      <alignment vertical="top"/>
    </xf>
    <xf numFmtId="0" fontId="76" fillId="2" borderId="1" xfId="2" applyFont="1" applyFill="1" applyBorder="1" applyAlignment="1">
      <alignment horizontal="left" vertical="top" wrapText="1"/>
    </xf>
    <xf numFmtId="0" fontId="1"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35" fillId="2" borderId="0" xfId="0" applyFont="1" applyFill="1"/>
    <xf numFmtId="3" fontId="1" fillId="6" borderId="2" xfId="0" applyNumberFormat="1" applyFont="1" applyFill="1" applyBorder="1" applyAlignment="1">
      <alignment horizontal="center" vertical="top"/>
    </xf>
    <xf numFmtId="3" fontId="1" fillId="6" borderId="3" xfId="0" applyNumberFormat="1" applyFont="1" applyFill="1" applyBorder="1" applyAlignment="1">
      <alignment horizontal="center" vertical="top"/>
    </xf>
    <xf numFmtId="3" fontId="1" fillId="6" borderId="29" xfId="0" applyNumberFormat="1" applyFont="1" applyFill="1" applyBorder="1" applyAlignment="1">
      <alignment horizontal="center" vertical="top"/>
    </xf>
    <xf numFmtId="3" fontId="1" fillId="6" borderId="30" xfId="0" applyNumberFormat="1" applyFont="1" applyFill="1" applyBorder="1" applyAlignment="1">
      <alignment horizontal="center" vertical="top"/>
    </xf>
    <xf numFmtId="3" fontId="1" fillId="6" borderId="31" xfId="0" applyNumberFormat="1" applyFont="1" applyFill="1" applyBorder="1" applyAlignment="1">
      <alignment horizontal="center" vertical="top"/>
    </xf>
    <xf numFmtId="0" fontId="8" fillId="2" borderId="1" xfId="0" applyFont="1" applyFill="1" applyBorder="1" applyAlignment="1">
      <alignment vertical="top" wrapText="1"/>
    </xf>
    <xf numFmtId="0" fontId="6" fillId="2" borderId="1" xfId="0" applyFont="1" applyFill="1" applyBorder="1" applyAlignment="1">
      <alignment vertical="top"/>
    </xf>
    <xf numFmtId="3" fontId="48" fillId="2" borderId="8" xfId="1" applyNumberFormat="1" applyFont="1" applyFill="1" applyBorder="1" applyAlignment="1">
      <alignment horizontal="center" vertical="top"/>
    </xf>
    <xf numFmtId="3" fontId="48" fillId="2" borderId="12" xfId="1" applyNumberFormat="1" applyFont="1" applyFill="1" applyBorder="1" applyAlignment="1">
      <alignment horizontal="center" vertical="top"/>
    </xf>
    <xf numFmtId="9" fontId="77" fillId="2" borderId="1" xfId="0" applyNumberFormat="1" applyFont="1" applyFill="1" applyBorder="1" applyAlignment="1">
      <alignment horizontal="center" vertical="center"/>
    </xf>
    <xf numFmtId="3" fontId="6" fillId="6" borderId="23" xfId="0" applyNumberFormat="1" applyFont="1" applyFill="1" applyBorder="1" applyAlignment="1">
      <alignment horizontal="center"/>
    </xf>
    <xf numFmtId="3" fontId="6" fillId="6" borderId="27" xfId="0" applyNumberFormat="1" applyFont="1" applyFill="1" applyBorder="1" applyAlignment="1">
      <alignment horizontal="center"/>
    </xf>
    <xf numFmtId="49" fontId="33" fillId="0" borderId="2" xfId="0" applyNumberFormat="1" applyFont="1" applyFill="1" applyBorder="1" applyAlignment="1">
      <alignment vertical="center" wrapText="1"/>
    </xf>
    <xf numFmtId="14" fontId="1" fillId="6" borderId="1" xfId="0" applyNumberFormat="1" applyFont="1" applyFill="1" applyBorder="1" applyAlignment="1">
      <alignment horizontal="left"/>
    </xf>
    <xf numFmtId="49" fontId="42" fillId="2" borderId="2" xfId="0" applyNumberFormat="1" applyFont="1" applyFill="1" applyBorder="1" applyAlignment="1">
      <alignment vertical="center" wrapText="1"/>
    </xf>
    <xf numFmtId="49" fontId="38" fillId="2" borderId="4" xfId="0" applyNumberFormat="1" applyFont="1" applyFill="1" applyBorder="1" applyAlignment="1">
      <alignment wrapText="1"/>
    </xf>
    <xf numFmtId="49" fontId="42" fillId="2" borderId="5" xfId="0" applyNumberFormat="1" applyFont="1" applyFill="1" applyBorder="1" applyAlignment="1">
      <alignment vertical="center" wrapText="1"/>
    </xf>
    <xf numFmtId="0" fontId="1" fillId="2" borderId="0" xfId="0" applyFont="1" applyFill="1" applyAlignment="1">
      <alignment vertical="center"/>
    </xf>
    <xf numFmtId="9" fontId="25" fillId="2" borderId="1" xfId="1" applyNumberFormat="1" applyFont="1" applyFill="1" applyBorder="1" applyAlignment="1">
      <alignment horizontal="center" vertical="center"/>
    </xf>
    <xf numFmtId="9" fontId="25" fillId="2" borderId="1" xfId="0" applyNumberFormat="1" applyFont="1" applyFill="1" applyBorder="1" applyAlignment="1">
      <alignment vertical="center"/>
    </xf>
    <xf numFmtId="0" fontId="6" fillId="2" borderId="0" xfId="0" applyNumberFormat="1" applyFont="1" applyFill="1" applyAlignment="1">
      <alignment horizontal="left" vertical="center"/>
    </xf>
    <xf numFmtId="164" fontId="25" fillId="2" borderId="1" xfId="0" applyNumberFormat="1" applyFont="1" applyFill="1" applyBorder="1" applyAlignment="1">
      <alignment horizontal="left" vertical="center"/>
    </xf>
    <xf numFmtId="9" fontId="8" fillId="2" borderId="0" xfId="1" applyFont="1" applyFill="1" applyAlignment="1">
      <alignment horizontal="center" vertical="center"/>
    </xf>
    <xf numFmtId="9" fontId="6" fillId="2" borderId="0" xfId="1" applyFont="1" applyFill="1"/>
    <xf numFmtId="9" fontId="1" fillId="2" borderId="0" xfId="1" applyFont="1" applyFill="1" applyAlignment="1">
      <alignment horizontal="center" vertical="center" wrapText="1"/>
    </xf>
    <xf numFmtId="9" fontId="9" fillId="2" borderId="0" xfId="1" applyFont="1" applyFill="1" applyAlignment="1">
      <alignment horizontal="center" vertical="center"/>
    </xf>
    <xf numFmtId="9" fontId="9" fillId="18" borderId="1" xfId="1" applyFont="1" applyFill="1" applyBorder="1" applyAlignment="1">
      <alignment horizontal="center" vertical="center"/>
    </xf>
    <xf numFmtId="0" fontId="72" fillId="2" borderId="0" xfId="0" applyFont="1" applyFill="1" applyAlignment="1">
      <alignment horizontal="left" vertical="center"/>
    </xf>
    <xf numFmtId="0" fontId="33" fillId="18" borderId="4" xfId="0" applyNumberFormat="1" applyFont="1" applyFill="1" applyBorder="1" applyAlignment="1">
      <alignment horizontal="left" vertical="center" wrapText="1"/>
    </xf>
    <xf numFmtId="9" fontId="1" fillId="22" borderId="1" xfId="1" applyFont="1" applyFill="1" applyBorder="1" applyAlignment="1">
      <alignment horizontal="left" vertical="center"/>
    </xf>
    <xf numFmtId="0" fontId="25" fillId="18" borderId="0" xfId="0" applyFont="1" applyFill="1" applyAlignment="1">
      <alignment horizontal="center" vertical="center"/>
    </xf>
    <xf numFmtId="0" fontId="78" fillId="28" borderId="0" xfId="0" applyFont="1" applyFill="1" applyAlignment="1">
      <alignment horizontal="left" vertical="center"/>
    </xf>
    <xf numFmtId="0" fontId="47" fillId="2" borderId="0" xfId="0" applyFont="1" applyFill="1" applyAlignment="1">
      <alignment horizontal="left" vertical="center"/>
    </xf>
    <xf numFmtId="3" fontId="9" fillId="13" borderId="0" xfId="0" applyNumberFormat="1" applyFont="1" applyFill="1" applyBorder="1" applyAlignment="1">
      <alignment horizontal="center" vertical="center"/>
    </xf>
    <xf numFmtId="3" fontId="9" fillId="2" borderId="0" xfId="0" applyNumberFormat="1" applyFont="1" applyFill="1" applyBorder="1" applyAlignment="1">
      <alignment horizontal="center" vertical="center"/>
    </xf>
    <xf numFmtId="3" fontId="9" fillId="14" borderId="0" xfId="0" applyNumberFormat="1" applyFont="1" applyFill="1" applyBorder="1" applyAlignment="1">
      <alignment horizontal="center" vertical="center"/>
    </xf>
    <xf numFmtId="3" fontId="9" fillId="15" borderId="0" xfId="0" applyNumberFormat="1" applyFont="1" applyFill="1" applyBorder="1" applyAlignment="1">
      <alignment horizontal="center" vertical="center"/>
    </xf>
    <xf numFmtId="3" fontId="9" fillId="16" borderId="0" xfId="0" applyNumberFormat="1" applyFont="1" applyFill="1" applyBorder="1" applyAlignment="1">
      <alignment horizontal="center" vertical="center"/>
    </xf>
    <xf numFmtId="3" fontId="9" fillId="17" borderId="0" xfId="0" applyNumberFormat="1" applyFont="1" applyFill="1" applyBorder="1" applyAlignment="1">
      <alignment horizontal="center" vertical="center"/>
    </xf>
    <xf numFmtId="9" fontId="25" fillId="2" borderId="3" xfId="1" applyNumberFormat="1" applyFont="1" applyFill="1" applyBorder="1" applyAlignment="1">
      <alignment horizontal="center" vertical="center"/>
    </xf>
    <xf numFmtId="9" fontId="25" fillId="2" borderId="3" xfId="1" applyFont="1" applyFill="1" applyBorder="1" applyAlignment="1">
      <alignment horizontal="center" vertical="center"/>
    </xf>
    <xf numFmtId="9" fontId="37" fillId="18" borderId="1" xfId="0" applyNumberFormat="1" applyFont="1" applyFill="1" applyBorder="1" applyAlignment="1">
      <alignment horizontal="center" vertical="center"/>
    </xf>
    <xf numFmtId="0" fontId="6" fillId="2" borderId="2" xfId="0" applyFont="1" applyFill="1" applyBorder="1" applyAlignment="1">
      <alignment horizontal="left" vertical="center"/>
    </xf>
    <xf numFmtId="0" fontId="25" fillId="2" borderId="3" xfId="0" applyFont="1" applyFill="1" applyBorder="1" applyAlignment="1">
      <alignment horizontal="left" vertical="center"/>
    </xf>
    <xf numFmtId="0" fontId="6" fillId="2" borderId="12" xfId="0" applyFont="1" applyFill="1" applyBorder="1" applyAlignment="1">
      <alignment horizontal="left" vertical="center"/>
    </xf>
    <xf numFmtId="0" fontId="6" fillId="2" borderId="12" xfId="0" applyFont="1" applyFill="1" applyBorder="1" applyAlignment="1">
      <alignment vertical="center"/>
    </xf>
    <xf numFmtId="0" fontId="6" fillId="2" borderId="8" xfId="0" applyFont="1" applyFill="1" applyBorder="1" applyAlignment="1">
      <alignment horizontal="left" vertical="center"/>
    </xf>
    <xf numFmtId="9" fontId="6" fillId="2" borderId="8" xfId="0" applyNumberFormat="1" applyFont="1" applyFill="1" applyBorder="1" applyAlignment="1">
      <alignment vertical="center"/>
    </xf>
    <xf numFmtId="0" fontId="6" fillId="2" borderId="36" xfId="0" applyFont="1" applyFill="1" applyBorder="1" applyAlignment="1">
      <alignment horizontal="left" vertical="center"/>
    </xf>
    <xf numFmtId="9" fontId="6" fillId="2" borderId="37" xfId="0" applyNumberFormat="1" applyFont="1" applyFill="1" applyBorder="1" applyAlignment="1">
      <alignment vertical="center"/>
    </xf>
    <xf numFmtId="0" fontId="6" fillId="2" borderId="38" xfId="0" applyFont="1" applyFill="1" applyBorder="1" applyAlignment="1">
      <alignment horizontal="left" vertical="center"/>
    </xf>
    <xf numFmtId="9" fontId="6" fillId="2" borderId="39" xfId="0" applyNumberFormat="1" applyFont="1" applyFill="1" applyBorder="1" applyAlignment="1">
      <alignment vertical="center"/>
    </xf>
    <xf numFmtId="0" fontId="6" fillId="2" borderId="40" xfId="0" applyFont="1" applyFill="1" applyBorder="1" applyAlignment="1">
      <alignment horizontal="left" vertical="center"/>
    </xf>
    <xf numFmtId="9" fontId="6" fillId="2" borderId="41" xfId="0" applyNumberFormat="1" applyFont="1" applyFill="1" applyBorder="1" applyAlignment="1">
      <alignment vertical="center"/>
    </xf>
    <xf numFmtId="9" fontId="25" fillId="2" borderId="2" xfId="0" applyNumberFormat="1" applyFont="1" applyFill="1" applyBorder="1" applyAlignment="1">
      <alignment horizontal="left" vertical="center"/>
    </xf>
    <xf numFmtId="0" fontId="6" fillId="2" borderId="8" xfId="0" applyFont="1" applyFill="1" applyBorder="1" applyAlignment="1">
      <alignment vertical="center"/>
    </xf>
    <xf numFmtId="0" fontId="1" fillId="2" borderId="38" xfId="0" applyFont="1" applyFill="1" applyBorder="1" applyAlignment="1">
      <alignment horizontal="left" vertical="center"/>
    </xf>
    <xf numFmtId="9" fontId="25" fillId="34" borderId="1" xfId="0" applyNumberFormat="1" applyFont="1" applyFill="1" applyBorder="1" applyAlignment="1">
      <alignment horizontal="center" vertical="center"/>
    </xf>
    <xf numFmtId="0" fontId="6" fillId="2" borderId="11" xfId="0" applyFont="1" applyFill="1" applyBorder="1" applyAlignment="1">
      <alignment horizontal="left" vertical="center"/>
    </xf>
    <xf numFmtId="9" fontId="6" fillId="2" borderId="11" xfId="0" applyNumberFormat="1" applyFont="1" applyFill="1" applyBorder="1" applyAlignment="1">
      <alignment vertical="center"/>
    </xf>
    <xf numFmtId="9" fontId="1" fillId="2" borderId="37" xfId="0" applyNumberFormat="1" applyFont="1" applyFill="1" applyBorder="1" applyAlignment="1">
      <alignment vertical="center"/>
    </xf>
    <xf numFmtId="9" fontId="1" fillId="2" borderId="39" xfId="0" applyNumberFormat="1" applyFont="1" applyFill="1" applyBorder="1" applyAlignment="1">
      <alignment vertical="center"/>
    </xf>
    <xf numFmtId="9" fontId="1" fillId="2" borderId="41" xfId="0" applyNumberFormat="1" applyFont="1" applyFill="1" applyBorder="1" applyAlignment="1">
      <alignment vertical="center"/>
    </xf>
    <xf numFmtId="0" fontId="1" fillId="2" borderId="36" xfId="0" applyFont="1" applyFill="1" applyBorder="1" applyAlignment="1">
      <alignment horizontal="left" vertical="center"/>
    </xf>
    <xf numFmtId="0" fontId="1" fillId="2" borderId="40" xfId="0" applyFont="1" applyFill="1" applyBorder="1" applyAlignment="1">
      <alignment horizontal="left" vertical="center"/>
    </xf>
    <xf numFmtId="164" fontId="25" fillId="2" borderId="2" xfId="0" applyNumberFormat="1" applyFont="1" applyFill="1" applyBorder="1" applyAlignment="1">
      <alignment horizontal="left" vertical="center"/>
    </xf>
    <xf numFmtId="0" fontId="25" fillId="2" borderId="2" xfId="0" applyFont="1" applyFill="1" applyBorder="1" applyAlignment="1">
      <alignment horizontal="left" vertical="center"/>
    </xf>
    <xf numFmtId="0" fontId="25" fillId="2" borderId="36" xfId="0" applyFont="1" applyFill="1" applyBorder="1" applyAlignment="1">
      <alignment horizontal="left" vertical="center"/>
    </xf>
    <xf numFmtId="9" fontId="1" fillId="2" borderId="11" xfId="0" applyNumberFormat="1" applyFont="1" applyFill="1" applyBorder="1" applyAlignment="1">
      <alignment vertical="center"/>
    </xf>
    <xf numFmtId="0" fontId="33" fillId="2" borderId="2" xfId="0" applyFont="1" applyFill="1" applyBorder="1" applyAlignment="1">
      <alignment horizontal="left" vertical="center" wrapText="1"/>
    </xf>
    <xf numFmtId="9" fontId="25" fillId="18" borderId="1" xfId="1" applyFont="1" applyFill="1" applyBorder="1" applyAlignment="1">
      <alignment horizontal="center" vertical="center"/>
    </xf>
    <xf numFmtId="9" fontId="25" fillId="34" borderId="1" xfId="1" applyFont="1" applyFill="1" applyBorder="1" applyAlignment="1">
      <alignment horizontal="center" vertical="center"/>
    </xf>
    <xf numFmtId="0" fontId="6" fillId="2" borderId="11" xfId="0" applyFont="1" applyFill="1" applyBorder="1" applyAlignment="1">
      <alignment vertical="center"/>
    </xf>
    <xf numFmtId="9" fontId="25" fillId="22" borderId="1" xfId="0" applyNumberFormat="1" applyFont="1" applyFill="1" applyBorder="1" applyAlignment="1">
      <alignment horizontal="center" vertical="center"/>
    </xf>
    <xf numFmtId="49" fontId="33" fillId="2" borderId="1" xfId="0" applyNumberFormat="1" applyFont="1" applyFill="1" applyBorder="1" applyAlignment="1">
      <alignment vertical="center" wrapText="1"/>
    </xf>
    <xf numFmtId="164" fontId="41" fillId="0" borderId="3" xfId="0" applyNumberFormat="1" applyFont="1" applyFill="1" applyBorder="1" applyAlignment="1">
      <alignment horizontal="center" vertical="center" wrapText="1"/>
    </xf>
    <xf numFmtId="49" fontId="42" fillId="2" borderId="4" xfId="0" applyNumberFormat="1" applyFont="1" applyFill="1" applyBorder="1" applyAlignment="1">
      <alignment vertical="center"/>
    </xf>
    <xf numFmtId="9" fontId="25" fillId="0" borderId="10" xfId="0" applyNumberFormat="1" applyFont="1" applyFill="1" applyBorder="1" applyAlignment="1">
      <alignment horizontal="center" vertical="center"/>
    </xf>
    <xf numFmtId="9" fontId="25" fillId="0" borderId="1" xfId="0" applyNumberFormat="1" applyFont="1" applyFill="1" applyBorder="1" applyAlignment="1">
      <alignment vertical="center"/>
    </xf>
    <xf numFmtId="0" fontId="79" fillId="2" borderId="3" xfId="0" applyFont="1" applyFill="1" applyBorder="1" applyAlignment="1">
      <alignment horizontal="left" vertical="center"/>
    </xf>
    <xf numFmtId="164" fontId="41" fillId="2" borderId="3" xfId="0" applyNumberFormat="1" applyFont="1" applyFill="1" applyBorder="1" applyAlignment="1">
      <alignment horizontal="center" vertical="center" wrapText="1"/>
    </xf>
    <xf numFmtId="49" fontId="33" fillId="0" borderId="1" xfId="0" applyNumberFormat="1" applyFont="1" applyFill="1" applyBorder="1" applyAlignment="1">
      <alignment vertical="center" wrapText="1"/>
    </xf>
    <xf numFmtId="3" fontId="33" fillId="2" borderId="3" xfId="0" applyNumberFormat="1" applyFont="1" applyFill="1" applyBorder="1" applyAlignment="1">
      <alignment horizontal="center" vertical="top"/>
    </xf>
    <xf numFmtId="0" fontId="33" fillId="2" borderId="6" xfId="0" applyNumberFormat="1" applyFont="1" applyFill="1" applyBorder="1" applyAlignment="1">
      <alignment horizontal="left" vertical="center" wrapText="1"/>
    </xf>
    <xf numFmtId="9" fontId="25" fillId="2" borderId="7" xfId="0" applyNumberFormat="1" applyFont="1" applyFill="1" applyBorder="1" applyAlignment="1">
      <alignment horizontal="center" vertical="center"/>
    </xf>
    <xf numFmtId="9" fontId="25" fillId="6" borderId="12" xfId="0" applyNumberFormat="1" applyFont="1" applyFill="1" applyBorder="1" applyAlignment="1">
      <alignment horizontal="center" vertical="center"/>
    </xf>
    <xf numFmtId="0" fontId="33" fillId="6" borderId="12" xfId="0" applyFont="1" applyFill="1" applyBorder="1" applyAlignment="1">
      <alignment horizontal="left" vertical="center" wrapText="1"/>
    </xf>
    <xf numFmtId="9" fontId="26" fillId="2" borderId="9" xfId="0" applyNumberFormat="1" applyFont="1" applyFill="1" applyBorder="1" applyAlignment="1">
      <alignment horizontal="center" vertical="center" wrapText="1"/>
    </xf>
    <xf numFmtId="0" fontId="33" fillId="2" borderId="9" xfId="0" applyFont="1" applyFill="1" applyBorder="1" applyAlignment="1">
      <alignment horizontal="left" wrapText="1"/>
    </xf>
    <xf numFmtId="0" fontId="33" fillId="2" borderId="14" xfId="0" applyFont="1" applyFill="1" applyBorder="1" applyAlignment="1">
      <alignment horizontal="left"/>
    </xf>
    <xf numFmtId="3" fontId="33" fillId="0" borderId="1" xfId="0" applyNumberFormat="1" applyFont="1" applyFill="1" applyBorder="1" applyAlignment="1">
      <alignment horizontal="center" vertical="top"/>
    </xf>
    <xf numFmtId="0" fontId="6" fillId="0" borderId="1" xfId="0" applyFont="1" applyFill="1" applyBorder="1" applyAlignment="1">
      <alignment horizontal="left" vertical="center"/>
    </xf>
    <xf numFmtId="3" fontId="1" fillId="6" borderId="1" xfId="0" applyNumberFormat="1" applyFont="1" applyFill="1" applyBorder="1" applyAlignment="1">
      <alignment horizontal="left" vertical="center"/>
    </xf>
    <xf numFmtId="3" fontId="6" fillId="2" borderId="0" xfId="0" applyNumberFormat="1" applyFont="1" applyFill="1" applyAlignment="1">
      <alignment horizontal="left"/>
    </xf>
    <xf numFmtId="0" fontId="42" fillId="2" borderId="2" xfId="0" applyNumberFormat="1" applyFont="1" applyFill="1" applyBorder="1" applyAlignment="1">
      <alignment horizontal="left" vertical="center" wrapText="1"/>
    </xf>
    <xf numFmtId="0" fontId="37" fillId="2" borderId="3" xfId="0" applyFont="1" applyFill="1" applyBorder="1" applyAlignment="1">
      <alignment horizontal="left" vertical="center"/>
    </xf>
    <xf numFmtId="0" fontId="1" fillId="2" borderId="11" xfId="0" applyFont="1" applyFill="1" applyBorder="1" applyAlignment="1">
      <alignment horizontal="left" vertical="center"/>
    </xf>
    <xf numFmtId="0" fontId="25" fillId="2" borderId="38" xfId="0" applyFont="1" applyFill="1" applyBorder="1" applyAlignment="1">
      <alignment horizontal="left" vertical="center"/>
    </xf>
    <xf numFmtId="0" fontId="25" fillId="2" borderId="40" xfId="0" applyFont="1" applyFill="1" applyBorder="1" applyAlignment="1">
      <alignment horizontal="left" vertical="center"/>
    </xf>
    <xf numFmtId="0" fontId="76" fillId="2" borderId="0" xfId="2" applyFont="1" applyFill="1" applyAlignment="1">
      <alignment vertical="top"/>
    </xf>
    <xf numFmtId="0" fontId="9" fillId="2" borderId="2" xfId="0" applyFont="1" applyFill="1" applyBorder="1" applyAlignment="1">
      <alignment horizontal="left" vertical="center"/>
    </xf>
    <xf numFmtId="0" fontId="9" fillId="2" borderId="12" xfId="0" applyFont="1" applyFill="1" applyBorder="1" applyAlignment="1">
      <alignment vertical="center" wrapText="1"/>
    </xf>
    <xf numFmtId="3" fontId="1" fillId="6" borderId="12" xfId="1" applyNumberFormat="1" applyFont="1" applyFill="1" applyBorder="1" applyAlignment="1">
      <alignment horizontal="center" vertical="top"/>
    </xf>
    <xf numFmtId="9" fontId="1" fillId="6" borderId="12" xfId="1" applyFont="1" applyFill="1" applyBorder="1" applyAlignment="1">
      <alignment horizontal="center" vertical="top"/>
    </xf>
    <xf numFmtId="3" fontId="1" fillId="18" borderId="12" xfId="1" applyNumberFormat="1" applyFont="1" applyFill="1" applyBorder="1" applyAlignment="1">
      <alignment horizontal="center" vertical="top"/>
    </xf>
    <xf numFmtId="0" fontId="1" fillId="2" borderId="1" xfId="0" applyFont="1" applyFill="1" applyBorder="1" applyAlignment="1">
      <alignment horizontal="right"/>
    </xf>
    <xf numFmtId="0" fontId="9" fillId="6" borderId="1" xfId="0" applyFont="1" applyFill="1" applyBorder="1" applyAlignment="1">
      <alignment vertical="center"/>
    </xf>
    <xf numFmtId="3" fontId="1" fillId="2" borderId="12" xfId="0" applyNumberFormat="1" applyFont="1" applyFill="1" applyBorder="1" applyAlignment="1">
      <alignment horizontal="center" vertical="center"/>
    </xf>
    <xf numFmtId="0" fontId="47" fillId="2" borderId="0" xfId="0" applyFont="1" applyFill="1" applyBorder="1" applyAlignment="1">
      <alignment horizontal="center" vertical="center"/>
    </xf>
    <xf numFmtId="0" fontId="47" fillId="2" borderId="0" xfId="0" applyFont="1" applyFill="1" applyAlignment="1">
      <alignment horizontal="center" vertical="center"/>
    </xf>
    <xf numFmtId="1" fontId="47" fillId="2" borderId="0" xfId="1" applyNumberFormat="1" applyFont="1" applyFill="1" applyBorder="1" applyAlignment="1">
      <alignment horizontal="center" vertical="center"/>
    </xf>
    <xf numFmtId="3" fontId="1" fillId="2" borderId="0" xfId="0" applyNumberFormat="1" applyFont="1" applyFill="1" applyBorder="1" applyAlignment="1">
      <alignment horizontal="center" vertical="center"/>
    </xf>
    <xf numFmtId="0" fontId="1" fillId="2" borderId="0" xfId="0" applyFont="1" applyFill="1" applyBorder="1" applyAlignment="1">
      <alignment vertical="center"/>
    </xf>
    <xf numFmtId="9" fontId="47" fillId="2" borderId="0" xfId="0" applyNumberFormat="1" applyFont="1" applyFill="1" applyBorder="1" applyAlignment="1">
      <alignment horizontal="left" vertical="center"/>
    </xf>
    <xf numFmtId="3" fontId="9" fillId="2" borderId="12" xfId="1" applyNumberFormat="1" applyFont="1" applyFill="1" applyBorder="1" applyAlignment="1">
      <alignment horizontal="center" vertical="top"/>
    </xf>
    <xf numFmtId="167" fontId="17" fillId="39" borderId="12" xfId="1" applyNumberFormat="1" applyFont="1" applyFill="1" applyBorder="1" applyAlignment="1">
      <alignment horizontal="center" vertical="top"/>
    </xf>
    <xf numFmtId="167" fontId="1" fillId="38" borderId="12" xfId="1" applyNumberFormat="1" applyFont="1" applyFill="1" applyBorder="1" applyAlignment="1">
      <alignment horizontal="center" vertical="top"/>
    </xf>
    <xf numFmtId="167" fontId="17" fillId="36" borderId="12" xfId="1" applyNumberFormat="1" applyFont="1" applyFill="1" applyBorder="1" applyAlignment="1">
      <alignment horizontal="center" vertical="top"/>
    </xf>
    <xf numFmtId="167" fontId="17" fillId="37" borderId="12" xfId="1" applyNumberFormat="1" applyFont="1" applyFill="1" applyBorder="1" applyAlignment="1">
      <alignment horizontal="center" vertical="top"/>
    </xf>
    <xf numFmtId="167" fontId="8" fillId="8" borderId="12" xfId="1" applyNumberFormat="1" applyFont="1" applyFill="1" applyBorder="1" applyAlignment="1">
      <alignment horizontal="center" vertical="top"/>
    </xf>
    <xf numFmtId="167" fontId="17" fillId="35" borderId="12" xfId="1" applyNumberFormat="1" applyFont="1" applyFill="1" applyBorder="1" applyAlignment="1">
      <alignment horizontal="center" vertical="top"/>
    </xf>
    <xf numFmtId="0" fontId="0" fillId="2" borderId="0" xfId="0" applyFill="1"/>
    <xf numFmtId="0" fontId="47" fillId="6" borderId="0" xfId="0" applyFont="1" applyFill="1" applyAlignment="1">
      <alignment vertical="top"/>
    </xf>
    <xf numFmtId="9" fontId="47" fillId="6" borderId="0" xfId="1" applyFont="1" applyFill="1" applyBorder="1" applyAlignment="1">
      <alignment horizontal="center" vertical="top"/>
    </xf>
    <xf numFmtId="0" fontId="6" fillId="6" borderId="3" xfId="0" applyFont="1" applyFill="1" applyBorder="1" applyAlignment="1">
      <alignment horizontal="center"/>
    </xf>
    <xf numFmtId="3" fontId="9" fillId="2" borderId="0" xfId="0" applyNumberFormat="1" applyFont="1" applyFill="1" applyBorder="1" applyAlignment="1">
      <alignment horizontal="left"/>
    </xf>
    <xf numFmtId="3" fontId="9" fillId="16" borderId="0" xfId="0" applyNumberFormat="1" applyFont="1" applyFill="1" applyBorder="1" applyAlignment="1">
      <alignment horizontal="left"/>
    </xf>
    <xf numFmtId="0" fontId="6" fillId="2" borderId="0" xfId="0" applyFont="1" applyFill="1" applyBorder="1" applyAlignment="1">
      <alignment horizontal="left"/>
    </xf>
    <xf numFmtId="0" fontId="6" fillId="6" borderId="1" xfId="0" applyFont="1" applyFill="1" applyBorder="1" applyAlignment="1">
      <alignment horizontal="left" wrapText="1"/>
    </xf>
    <xf numFmtId="0" fontId="1" fillId="0" borderId="1" xfId="0" applyFont="1" applyFill="1" applyBorder="1" applyAlignment="1">
      <alignment vertical="top" wrapText="1"/>
    </xf>
    <xf numFmtId="0" fontId="9" fillId="22" borderId="1" xfId="0" applyFont="1" applyFill="1" applyBorder="1" applyAlignment="1">
      <alignment horizontal="center"/>
    </xf>
    <xf numFmtId="0" fontId="1" fillId="40" borderId="1" xfId="0" applyFont="1" applyFill="1" applyBorder="1" applyAlignment="1">
      <alignment horizontal="center" vertical="center"/>
    </xf>
    <xf numFmtId="0" fontId="6" fillId="40" borderId="1" xfId="0" applyFont="1" applyFill="1" applyBorder="1" applyAlignment="1">
      <alignment horizontal="center" vertical="center"/>
    </xf>
    <xf numFmtId="9" fontId="1" fillId="40" borderId="1" xfId="1" applyFont="1" applyFill="1" applyBorder="1" applyAlignment="1">
      <alignment horizontal="center" vertical="center"/>
    </xf>
    <xf numFmtId="0" fontId="1" fillId="40" borderId="1" xfId="0" applyFont="1" applyFill="1" applyBorder="1" applyAlignment="1">
      <alignment horizontal="center"/>
    </xf>
    <xf numFmtId="0" fontId="6" fillId="40" borderId="1" xfId="0" applyFont="1" applyFill="1" applyBorder="1" applyAlignment="1">
      <alignment horizontal="center"/>
    </xf>
    <xf numFmtId="20" fontId="6" fillId="40" borderId="1" xfId="0" applyNumberFormat="1" applyFont="1" applyFill="1" applyBorder="1" applyAlignment="1">
      <alignment horizontal="center"/>
    </xf>
    <xf numFmtId="9" fontId="48" fillId="18" borderId="0" xfId="0" applyNumberFormat="1" applyFont="1" applyFill="1" applyAlignment="1">
      <alignment horizontal="center" vertical="center"/>
    </xf>
    <xf numFmtId="9" fontId="48" fillId="18" borderId="0" xfId="0" applyNumberFormat="1" applyFont="1" applyFill="1" applyAlignment="1">
      <alignment horizontal="center"/>
    </xf>
    <xf numFmtId="9" fontId="48" fillId="18" borderId="0" xfId="0" applyNumberFormat="1" applyFont="1" applyFill="1" applyAlignment="1">
      <alignment horizontal="center" vertical="top"/>
    </xf>
    <xf numFmtId="9" fontId="48" fillId="18" borderId="0" xfId="1" applyFont="1" applyFill="1" applyAlignment="1">
      <alignment horizontal="center" vertical="top"/>
    </xf>
    <xf numFmtId="9" fontId="77" fillId="2" borderId="10" xfId="0" applyNumberFormat="1" applyFont="1" applyFill="1" applyBorder="1" applyAlignment="1">
      <alignment horizontal="center" vertical="center"/>
    </xf>
    <xf numFmtId="9" fontId="48" fillId="18" borderId="0" xfId="0" applyNumberFormat="1" applyFont="1" applyFill="1" applyBorder="1" applyAlignment="1">
      <alignment horizontal="center"/>
    </xf>
    <xf numFmtId="0" fontId="82" fillId="0" borderId="0" xfId="0" applyFont="1" applyAlignment="1">
      <alignment horizontal="left"/>
    </xf>
    <xf numFmtId="0" fontId="82" fillId="0" borderId="0" xfId="0" applyFont="1" applyAlignment="1">
      <alignment horizontal="center"/>
    </xf>
    <xf numFmtId="0" fontId="9" fillId="4" borderId="1" xfId="0" applyFont="1" applyFill="1" applyBorder="1" applyAlignment="1">
      <alignment horizontal="left"/>
    </xf>
    <xf numFmtId="0" fontId="9" fillId="4" borderId="1" xfId="0" applyFont="1" applyFill="1" applyBorder="1" applyAlignment="1">
      <alignment vertical="top"/>
    </xf>
    <xf numFmtId="0" fontId="9" fillId="4" borderId="1" xfId="0" applyFont="1" applyFill="1" applyBorder="1" applyAlignment="1">
      <alignment horizontal="center" vertical="top"/>
    </xf>
    <xf numFmtId="0" fontId="1" fillId="0" borderId="1" xfId="0" applyFont="1" applyBorder="1" applyAlignment="1">
      <alignment horizontal="left"/>
    </xf>
    <xf numFmtId="3" fontId="1" fillId="2" borderId="1" xfId="0" applyNumberFormat="1" applyFont="1" applyFill="1" applyBorder="1" applyAlignment="1">
      <alignment horizontal="center"/>
    </xf>
    <xf numFmtId="3" fontId="1" fillId="0" borderId="1" xfId="0" applyNumberFormat="1" applyFont="1" applyBorder="1" applyAlignment="1">
      <alignment horizontal="center"/>
    </xf>
    <xf numFmtId="0" fontId="1" fillId="2" borderId="1" xfId="0" applyFont="1" applyFill="1" applyBorder="1" applyAlignment="1">
      <alignment horizontal="center"/>
    </xf>
    <xf numFmtId="0" fontId="9" fillId="0" borderId="1" xfId="0" applyFont="1" applyBorder="1" applyAlignment="1">
      <alignment horizontal="left"/>
    </xf>
    <xf numFmtId="0" fontId="9" fillId="0" borderId="1" xfId="0" applyFont="1" applyBorder="1"/>
    <xf numFmtId="3" fontId="9" fillId="0" borderId="1" xfId="0" applyNumberFormat="1" applyFont="1" applyBorder="1" applyAlignment="1">
      <alignment horizontal="center"/>
    </xf>
    <xf numFmtId="0" fontId="1" fillId="0" borderId="1" xfId="0" applyFont="1" applyBorder="1" applyAlignment="1">
      <alignment horizontal="center"/>
    </xf>
    <xf numFmtId="0" fontId="41" fillId="19" borderId="1" xfId="0" applyFont="1" applyFill="1" applyBorder="1" applyAlignment="1" applyProtection="1">
      <alignment horizontal="center"/>
    </xf>
    <xf numFmtId="9" fontId="1" fillId="0" borderId="1" xfId="1" applyFont="1" applyBorder="1" applyAlignment="1">
      <alignment horizontal="center"/>
    </xf>
    <xf numFmtId="9" fontId="9" fillId="0" borderId="1" xfId="1" applyFont="1" applyBorder="1" applyAlignment="1">
      <alignment horizontal="center"/>
    </xf>
    <xf numFmtId="0" fontId="15" fillId="5" borderId="0" xfId="0" applyFont="1" applyFill="1"/>
    <xf numFmtId="0" fontId="1" fillId="5" borderId="0" xfId="0" applyFont="1" applyFill="1" applyAlignment="1">
      <alignment horizontal="left" vertical="top" textRotation="90"/>
    </xf>
    <xf numFmtId="0" fontId="1" fillId="2" borderId="0" xfId="0" applyFont="1" applyFill="1" applyAlignment="1">
      <alignment horizontal="left" vertical="top" textRotation="90"/>
    </xf>
    <xf numFmtId="1" fontId="1" fillId="2" borderId="0" xfId="0" applyNumberFormat="1" applyFont="1" applyFill="1" applyBorder="1" applyAlignment="1">
      <alignment horizontal="center" vertical="top"/>
    </xf>
    <xf numFmtId="9" fontId="9" fillId="2" borderId="0" xfId="0" applyNumberFormat="1" applyFont="1" applyFill="1" applyBorder="1" applyAlignment="1">
      <alignment horizontal="center" vertical="top"/>
    </xf>
    <xf numFmtId="0" fontId="9" fillId="2" borderId="2" xfId="0" applyFont="1" applyFill="1" applyBorder="1" applyAlignment="1">
      <alignment horizontal="center" vertical="top"/>
    </xf>
    <xf numFmtId="0" fontId="48" fillId="2" borderId="1" xfId="0" applyFont="1" applyFill="1" applyBorder="1" applyAlignment="1">
      <alignment horizontal="center" vertical="top" wrapText="1"/>
    </xf>
    <xf numFmtId="0" fontId="1" fillId="2" borderId="2" xfId="0" applyFont="1" applyFill="1" applyBorder="1" applyAlignment="1">
      <alignment vertical="top"/>
    </xf>
    <xf numFmtId="3" fontId="1" fillId="6" borderId="10" xfId="0" applyNumberFormat="1" applyFont="1" applyFill="1" applyBorder="1" applyAlignment="1">
      <alignment horizontal="center" vertical="top"/>
    </xf>
    <xf numFmtId="9" fontId="1" fillId="2" borderId="10" xfId="1" applyFont="1" applyFill="1" applyBorder="1" applyAlignment="1">
      <alignment horizontal="center" vertical="top"/>
    </xf>
    <xf numFmtId="164" fontId="8" fillId="2" borderId="1" xfId="1" applyNumberFormat="1" applyFont="1" applyFill="1" applyBorder="1" applyAlignment="1">
      <alignment horizontal="center" vertical="top"/>
    </xf>
    <xf numFmtId="164" fontId="47" fillId="2" borderId="1" xfId="0" applyNumberFormat="1" applyFont="1" applyFill="1" applyBorder="1" applyAlignment="1">
      <alignment horizontal="center"/>
    </xf>
    <xf numFmtId="3" fontId="1" fillId="2" borderId="10" xfId="0" applyNumberFormat="1" applyFont="1" applyFill="1" applyBorder="1" applyAlignment="1">
      <alignment horizontal="center" vertical="top"/>
    </xf>
    <xf numFmtId="9" fontId="9" fillId="2" borderId="2" xfId="1" applyFont="1" applyFill="1" applyBorder="1" applyAlignment="1">
      <alignment horizontal="center" vertical="top"/>
    </xf>
    <xf numFmtId="164" fontId="41" fillId="2" borderId="1" xfId="1" applyNumberFormat="1" applyFont="1" applyFill="1" applyBorder="1" applyAlignment="1">
      <alignment horizontal="center" vertical="top"/>
    </xf>
    <xf numFmtId="164" fontId="48" fillId="2" borderId="1" xfId="1" applyNumberFormat="1" applyFont="1" applyFill="1" applyBorder="1" applyAlignment="1">
      <alignment horizontal="center" vertical="top"/>
    </xf>
    <xf numFmtId="0" fontId="15" fillId="5" borderId="0" xfId="0" applyFont="1" applyFill="1" applyBorder="1" applyAlignment="1">
      <alignment vertical="top"/>
    </xf>
    <xf numFmtId="3" fontId="9" fillId="5" borderId="0" xfId="0" applyNumberFormat="1" applyFont="1" applyFill="1" applyBorder="1" applyAlignment="1">
      <alignment horizontal="center" vertical="top"/>
    </xf>
    <xf numFmtId="1" fontId="1" fillId="5" borderId="0" xfId="0" applyNumberFormat="1" applyFont="1" applyFill="1" applyBorder="1" applyAlignment="1">
      <alignment horizontal="center" vertical="top"/>
    </xf>
    <xf numFmtId="9" fontId="9" fillId="5" borderId="0" xfId="0" applyNumberFormat="1" applyFont="1" applyFill="1" applyBorder="1" applyAlignment="1">
      <alignment horizontal="center" vertical="top"/>
    </xf>
    <xf numFmtId="0" fontId="41" fillId="2" borderId="1" xfId="0" applyFont="1" applyFill="1" applyBorder="1" applyAlignment="1">
      <alignment vertical="top" wrapText="1"/>
    </xf>
    <xf numFmtId="0" fontId="85" fillId="2" borderId="0" xfId="0" applyFont="1" applyFill="1" applyBorder="1" applyAlignment="1">
      <alignment horizontal="center" vertical="top"/>
    </xf>
    <xf numFmtId="0" fontId="82" fillId="2" borderId="0" xfId="0" applyFont="1" applyFill="1" applyBorder="1" applyAlignment="1">
      <alignment horizontal="center" vertical="top"/>
    </xf>
    <xf numFmtId="9" fontId="82" fillId="2" borderId="0" xfId="1" applyFont="1" applyFill="1" applyBorder="1" applyAlignment="1">
      <alignment horizontal="center"/>
    </xf>
    <xf numFmtId="0" fontId="82" fillId="2" borderId="0" xfId="0" applyFont="1" applyFill="1" applyBorder="1" applyAlignment="1">
      <alignment horizontal="center" vertical="top" textRotation="90"/>
    </xf>
    <xf numFmtId="0" fontId="47" fillId="2" borderId="0" xfId="0" applyFont="1" applyFill="1" applyBorder="1" applyAlignment="1">
      <alignment horizontal="center" vertical="top" textRotation="90"/>
    </xf>
    <xf numFmtId="9" fontId="47" fillId="2" borderId="23" xfId="1" applyFont="1" applyFill="1" applyBorder="1" applyAlignment="1">
      <alignment horizontal="center" vertical="top"/>
    </xf>
    <xf numFmtId="0" fontId="1" fillId="2" borderId="13" xfId="0" applyFont="1" applyFill="1" applyBorder="1"/>
    <xf numFmtId="9" fontId="47" fillId="2" borderId="12" xfId="1" applyFont="1" applyFill="1" applyBorder="1" applyAlignment="1">
      <alignment horizontal="center" vertical="top"/>
    </xf>
    <xf numFmtId="0" fontId="48" fillId="2" borderId="0" xfId="0" applyFont="1" applyFill="1"/>
    <xf numFmtId="16" fontId="9" fillId="0" borderId="5" xfId="0" applyNumberFormat="1" applyFont="1" applyFill="1" applyBorder="1" applyAlignment="1">
      <alignment vertical="center"/>
    </xf>
    <xf numFmtId="9" fontId="85" fillId="2" borderId="0" xfId="1" applyFont="1" applyFill="1" applyBorder="1" applyAlignment="1">
      <alignment horizontal="center"/>
    </xf>
    <xf numFmtId="9" fontId="85" fillId="2" borderId="0" xfId="1" applyFont="1" applyFill="1" applyBorder="1" applyAlignment="1">
      <alignment horizontal="center" vertical="top" textRotation="90"/>
    </xf>
    <xf numFmtId="9" fontId="85" fillId="2" borderId="0" xfId="1" applyFont="1" applyFill="1" applyBorder="1" applyAlignment="1">
      <alignment horizontal="center" vertical="center"/>
    </xf>
    <xf numFmtId="9" fontId="85" fillId="2" borderId="0" xfId="1" applyFont="1" applyFill="1" applyBorder="1" applyAlignment="1">
      <alignment horizontal="center" vertical="top"/>
    </xf>
    <xf numFmtId="9" fontId="48" fillId="2" borderId="0" xfId="1" applyFont="1" applyFill="1" applyBorder="1" applyAlignment="1">
      <alignment horizontal="center" vertical="top"/>
    </xf>
    <xf numFmtId="9" fontId="41" fillId="2" borderId="0" xfId="0" applyNumberFormat="1" applyFont="1" applyFill="1" applyBorder="1" applyAlignment="1">
      <alignment horizontal="center" vertical="top"/>
    </xf>
    <xf numFmtId="0" fontId="9" fillId="2" borderId="0" xfId="0" applyFont="1" applyFill="1" applyAlignment="1">
      <alignment horizontal="left" vertical="top" textRotation="90"/>
    </xf>
    <xf numFmtId="9" fontId="47" fillId="2" borderId="0" xfId="1" applyFont="1" applyFill="1"/>
    <xf numFmtId="0" fontId="1" fillId="0" borderId="2" xfId="0" applyFont="1" applyFill="1" applyBorder="1" applyAlignment="1">
      <alignment vertical="center"/>
    </xf>
    <xf numFmtId="9" fontId="82" fillId="2" borderId="0" xfId="0" applyNumberFormat="1" applyFont="1" applyFill="1" applyBorder="1" applyAlignment="1">
      <alignment horizontal="center" vertical="top"/>
    </xf>
    <xf numFmtId="9" fontId="8" fillId="2" borderId="0" xfId="0" applyNumberFormat="1" applyFont="1" applyFill="1" applyBorder="1" applyAlignment="1">
      <alignment horizontal="center" vertical="top"/>
    </xf>
    <xf numFmtId="0" fontId="1" fillId="0" borderId="2" xfId="0" applyFont="1" applyFill="1" applyBorder="1"/>
    <xf numFmtId="0" fontId="82" fillId="2" borderId="0" xfId="0" applyFont="1" applyFill="1" applyBorder="1" applyAlignment="1">
      <alignment horizontal="center"/>
    </xf>
    <xf numFmtId="0" fontId="1" fillId="0" borderId="44" xfId="0" applyFont="1" applyFill="1" applyBorder="1"/>
    <xf numFmtId="0" fontId="48" fillId="2" borderId="8" xfId="0" applyFont="1" applyFill="1" applyBorder="1"/>
    <xf numFmtId="9" fontId="48" fillId="2" borderId="8" xfId="1" applyFont="1" applyFill="1" applyBorder="1" applyAlignment="1">
      <alignment horizontal="center" vertical="center"/>
    </xf>
    <xf numFmtId="9" fontId="41" fillId="2" borderId="8" xfId="1" applyFont="1" applyFill="1" applyBorder="1" applyAlignment="1">
      <alignment horizontal="center" vertical="center"/>
    </xf>
    <xf numFmtId="3" fontId="1" fillId="2" borderId="0" xfId="0" applyNumberFormat="1" applyFont="1" applyFill="1" applyBorder="1" applyAlignment="1">
      <alignment horizontal="left" vertical="top"/>
    </xf>
    <xf numFmtId="0" fontId="9" fillId="0" borderId="1" xfId="0" applyFont="1" applyFill="1" applyBorder="1" applyAlignment="1">
      <alignment vertical="top"/>
    </xf>
    <xf numFmtId="1" fontId="9" fillId="0" borderId="1" xfId="0" applyNumberFormat="1" applyFont="1" applyFill="1" applyBorder="1" applyAlignment="1">
      <alignment horizontal="center" vertical="top" wrapText="1"/>
    </xf>
    <xf numFmtId="1" fontId="9" fillId="0" borderId="1" xfId="0" applyNumberFormat="1" applyFont="1" applyFill="1" applyBorder="1" applyAlignment="1">
      <alignment horizontal="center" vertical="top"/>
    </xf>
    <xf numFmtId="0" fontId="82" fillId="2" borderId="0" xfId="0" applyFont="1" applyFill="1" applyBorder="1" applyAlignment="1">
      <alignment horizontal="left" vertical="top" textRotation="90"/>
    </xf>
    <xf numFmtId="0" fontId="82" fillId="2" borderId="0" xfId="0" applyFont="1" applyFill="1" applyBorder="1"/>
    <xf numFmtId="9" fontId="1" fillId="6" borderId="1" xfId="1" applyNumberFormat="1" applyFont="1" applyFill="1" applyBorder="1" applyAlignment="1">
      <alignment horizontal="center" vertical="top"/>
    </xf>
    <xf numFmtId="9" fontId="1" fillId="18" borderId="1" xfId="1" applyNumberFormat="1" applyFont="1" applyFill="1" applyBorder="1" applyAlignment="1">
      <alignment horizontal="center" vertical="top"/>
    </xf>
    <xf numFmtId="9" fontId="82" fillId="2" borderId="0" xfId="1" applyFont="1" applyFill="1" applyBorder="1" applyAlignment="1">
      <alignment horizontal="center" vertical="center"/>
    </xf>
    <xf numFmtId="0" fontId="1" fillId="0" borderId="1" xfId="0" applyFont="1" applyFill="1" applyBorder="1" applyAlignment="1">
      <alignment vertical="top"/>
    </xf>
    <xf numFmtId="168" fontId="1" fillId="22" borderId="1" xfId="1" applyNumberFormat="1" applyFont="1" applyFill="1" applyBorder="1" applyAlignment="1">
      <alignment horizontal="center" vertical="top"/>
    </xf>
    <xf numFmtId="9" fontId="85" fillId="2" borderId="0" xfId="0" applyNumberFormat="1" applyFont="1" applyFill="1" applyBorder="1" applyAlignment="1">
      <alignment horizontal="center" vertical="top"/>
    </xf>
    <xf numFmtId="0" fontId="26" fillId="2" borderId="1" xfId="0" applyFont="1" applyFill="1" applyBorder="1" applyAlignment="1">
      <alignment horizontal="center" vertical="top" wrapText="1"/>
    </xf>
    <xf numFmtId="0" fontId="26" fillId="0" borderId="1" xfId="0" applyFont="1" applyFill="1" applyBorder="1" applyAlignment="1">
      <alignment horizontal="center" vertical="top" wrapText="1"/>
    </xf>
    <xf numFmtId="0" fontId="54" fillId="2" borderId="1" xfId="0" applyFont="1" applyFill="1" applyBorder="1" applyAlignment="1">
      <alignment horizontal="center" vertical="top" wrapText="1"/>
    </xf>
    <xf numFmtId="0" fontId="9" fillId="2" borderId="0" xfId="0" applyFont="1" applyFill="1" applyBorder="1" applyAlignment="1">
      <alignment horizontal="center" vertical="top" wrapText="1"/>
    </xf>
    <xf numFmtId="9" fontId="1" fillId="18" borderId="1" xfId="1" applyFont="1" applyFill="1" applyBorder="1" applyAlignment="1">
      <alignment horizontal="center" vertical="top"/>
    </xf>
    <xf numFmtId="9" fontId="8" fillId="2" borderId="1" xfId="0" applyNumberFormat="1" applyFont="1" applyFill="1" applyBorder="1" applyAlignment="1">
      <alignment horizontal="center"/>
    </xf>
    <xf numFmtId="9" fontId="8" fillId="2" borderId="0" xfId="0" applyNumberFormat="1" applyFont="1" applyFill="1" applyBorder="1" applyAlignment="1">
      <alignment horizontal="center"/>
    </xf>
    <xf numFmtId="9" fontId="8" fillId="18" borderId="1" xfId="1" applyFont="1" applyFill="1" applyBorder="1" applyAlignment="1">
      <alignment horizontal="center" vertical="top"/>
    </xf>
    <xf numFmtId="9" fontId="9" fillId="2" borderId="1" xfId="0" applyNumberFormat="1" applyFont="1" applyFill="1" applyBorder="1" applyAlignment="1">
      <alignment horizontal="center" vertical="top"/>
    </xf>
    <xf numFmtId="9" fontId="9" fillId="2" borderId="1" xfId="0" applyNumberFormat="1" applyFont="1" applyFill="1" applyBorder="1" applyAlignment="1">
      <alignment horizontal="center"/>
    </xf>
    <xf numFmtId="0" fontId="1" fillId="2" borderId="0" xfId="0" applyFont="1" applyFill="1" applyBorder="1" applyAlignment="1">
      <alignment horizontal="left"/>
    </xf>
    <xf numFmtId="0" fontId="1" fillId="2" borderId="0" xfId="0" applyFont="1" applyFill="1" applyBorder="1" applyAlignment="1">
      <alignment horizontal="left" vertical="top" textRotation="90"/>
    </xf>
    <xf numFmtId="0" fontId="8" fillId="0" borderId="1" xfId="0" applyFont="1" applyFill="1" applyBorder="1" applyAlignment="1">
      <alignment vertical="top"/>
    </xf>
    <xf numFmtId="9" fontId="1" fillId="0" borderId="1" xfId="1" applyNumberFormat="1" applyFont="1" applyFill="1" applyBorder="1" applyAlignment="1">
      <alignment horizontal="center" vertical="top"/>
    </xf>
    <xf numFmtId="3" fontId="48" fillId="2" borderId="1" xfId="0" applyNumberFormat="1" applyFont="1" applyFill="1" applyBorder="1" applyAlignment="1">
      <alignment horizontal="center" vertical="top"/>
    </xf>
    <xf numFmtId="3" fontId="48" fillId="2" borderId="1" xfId="0" applyNumberFormat="1" applyFont="1" applyFill="1" applyBorder="1" applyAlignment="1">
      <alignment horizontal="left" vertical="top"/>
    </xf>
    <xf numFmtId="9" fontId="1" fillId="2" borderId="1" xfId="0" applyNumberFormat="1" applyFont="1" applyFill="1" applyBorder="1" applyAlignment="1">
      <alignment horizontal="center" vertical="top"/>
    </xf>
    <xf numFmtId="3" fontId="1" fillId="2" borderId="0" xfId="0" applyNumberFormat="1" applyFont="1" applyFill="1" applyBorder="1" applyAlignment="1">
      <alignment horizontal="center" vertical="top"/>
    </xf>
    <xf numFmtId="0" fontId="7" fillId="5" borderId="0" xfId="0" applyFont="1" applyFill="1" applyBorder="1" applyAlignment="1">
      <alignment vertical="top"/>
    </xf>
    <xf numFmtId="0" fontId="47" fillId="2" borderId="1" xfId="0" applyFont="1" applyFill="1" applyBorder="1" applyAlignment="1">
      <alignment horizontal="center"/>
    </xf>
    <xf numFmtId="3" fontId="8" fillId="2" borderId="1" xfId="0" applyNumberFormat="1" applyFont="1" applyFill="1" applyBorder="1" applyAlignment="1">
      <alignment horizontal="center"/>
    </xf>
    <xf numFmtId="9" fontId="1" fillId="2" borderId="1" xfId="1" applyFont="1" applyFill="1" applyBorder="1" applyAlignment="1">
      <alignment horizontal="center" vertical="top"/>
    </xf>
    <xf numFmtId="166" fontId="47" fillId="2" borderId="1" xfId="0" applyNumberFormat="1" applyFont="1" applyFill="1" applyBorder="1" applyAlignment="1">
      <alignment horizontal="center"/>
    </xf>
    <xf numFmtId="4" fontId="47" fillId="2" borderId="1" xfId="0" applyNumberFormat="1" applyFont="1" applyFill="1" applyBorder="1" applyAlignment="1">
      <alignment horizontal="center"/>
    </xf>
    <xf numFmtId="166" fontId="47" fillId="0" borderId="1" xfId="0" applyNumberFormat="1" applyFont="1" applyFill="1" applyBorder="1" applyAlignment="1">
      <alignment horizontal="center"/>
    </xf>
    <xf numFmtId="4" fontId="47" fillId="0" borderId="1" xfId="0" applyNumberFormat="1" applyFont="1" applyFill="1" applyBorder="1" applyAlignment="1">
      <alignment horizontal="center"/>
    </xf>
    <xf numFmtId="9" fontId="1" fillId="2" borderId="1" xfId="1" applyNumberFormat="1" applyFont="1" applyFill="1" applyBorder="1" applyAlignment="1">
      <alignment horizontal="center" vertical="top"/>
    </xf>
    <xf numFmtId="3" fontId="41" fillId="2" borderId="1" xfId="0" applyNumberFormat="1" applyFont="1" applyFill="1" applyBorder="1" applyAlignment="1">
      <alignment horizontal="center"/>
    </xf>
    <xf numFmtId="1" fontId="47" fillId="2" borderId="0" xfId="0" applyNumberFormat="1" applyFont="1" applyFill="1" applyAlignment="1">
      <alignment horizontal="center"/>
    </xf>
    <xf numFmtId="3" fontId="9" fillId="18" borderId="1" xfId="0" applyNumberFormat="1" applyFont="1" applyFill="1" applyBorder="1" applyAlignment="1">
      <alignment horizontal="center"/>
    </xf>
    <xf numFmtId="0" fontId="9" fillId="2" borderId="0" xfId="0" applyFont="1" applyFill="1" applyBorder="1" applyAlignment="1">
      <alignment horizontal="left"/>
    </xf>
    <xf numFmtId="0" fontId="1" fillId="5" borderId="0" xfId="0" applyFont="1" applyFill="1" applyBorder="1" applyAlignment="1">
      <alignment horizontal="center" vertical="top"/>
    </xf>
    <xf numFmtId="0" fontId="1" fillId="5" borderId="0" xfId="0" applyFont="1" applyFill="1" applyAlignment="1">
      <alignment horizontal="center" vertical="top"/>
    </xf>
    <xf numFmtId="0" fontId="1" fillId="5" borderId="0" xfId="0" applyFont="1" applyFill="1" applyAlignment="1">
      <alignment horizontal="left" vertical="top"/>
    </xf>
    <xf numFmtId="9" fontId="8" fillId="2" borderId="1" xfId="1" applyFont="1" applyFill="1" applyBorder="1" applyAlignment="1">
      <alignment horizontal="center" vertical="top"/>
    </xf>
    <xf numFmtId="9" fontId="41" fillId="2" borderId="1" xfId="1" applyFont="1" applyFill="1" applyBorder="1" applyAlignment="1">
      <alignment horizontal="center" vertical="top"/>
    </xf>
    <xf numFmtId="0" fontId="63" fillId="2" borderId="0" xfId="0" applyFont="1" applyFill="1" applyAlignment="1">
      <alignment horizontal="center"/>
    </xf>
    <xf numFmtId="0" fontId="63" fillId="2" borderId="0" xfId="0" applyFont="1" applyFill="1" applyAlignment="1">
      <alignment horizontal="left" vertical="top" textRotation="90"/>
    </xf>
    <xf numFmtId="0" fontId="1" fillId="2" borderId="5" xfId="0" applyFont="1" applyFill="1" applyBorder="1" applyAlignment="1">
      <alignment vertical="top" wrapText="1"/>
    </xf>
    <xf numFmtId="49" fontId="9" fillId="2" borderId="1" xfId="0" applyNumberFormat="1" applyFont="1" applyFill="1" applyBorder="1" applyAlignment="1">
      <alignment horizontal="center" vertical="center"/>
    </xf>
    <xf numFmtId="49" fontId="9" fillId="2" borderId="12" xfId="0" applyNumberFormat="1" applyFont="1" applyFill="1" applyBorder="1" applyAlignment="1">
      <alignment horizontal="center" vertical="center"/>
    </xf>
    <xf numFmtId="166" fontId="1" fillId="2" borderId="2" xfId="0" applyNumberFormat="1" applyFont="1" applyFill="1" applyBorder="1" applyAlignment="1">
      <alignment horizontal="center" vertical="center"/>
    </xf>
    <xf numFmtId="166" fontId="15" fillId="18" borderId="45" xfId="0" applyNumberFormat="1" applyFont="1" applyFill="1" applyBorder="1" applyAlignment="1">
      <alignment horizontal="center" vertical="center"/>
    </xf>
    <xf numFmtId="166" fontId="15" fillId="18" borderId="46" xfId="0" applyNumberFormat="1" applyFont="1" applyFill="1" applyBorder="1" applyAlignment="1">
      <alignment horizontal="center" vertical="center"/>
    </xf>
    <xf numFmtId="3" fontId="1" fillId="2" borderId="2" xfId="0" applyNumberFormat="1" applyFont="1" applyFill="1" applyBorder="1" applyAlignment="1">
      <alignment horizontal="center" vertical="center"/>
    </xf>
    <xf numFmtId="3" fontId="15" fillId="18" borderId="48" xfId="0" applyNumberFormat="1" applyFont="1" applyFill="1" applyBorder="1" applyAlignment="1">
      <alignment horizontal="center" vertical="center"/>
    </xf>
    <xf numFmtId="3" fontId="15" fillId="18" borderId="49" xfId="0" applyNumberFormat="1" applyFont="1" applyFill="1" applyBorder="1" applyAlignment="1">
      <alignment horizontal="center" vertical="center"/>
    </xf>
    <xf numFmtId="3" fontId="1" fillId="2" borderId="8" xfId="0" applyNumberFormat="1" applyFont="1" applyFill="1" applyBorder="1" applyAlignment="1">
      <alignment horizontal="center"/>
    </xf>
    <xf numFmtId="3" fontId="1" fillId="2" borderId="1" xfId="0" applyNumberFormat="1" applyFont="1" applyFill="1" applyBorder="1" applyAlignment="1">
      <alignment horizontal="center" vertical="center"/>
    </xf>
    <xf numFmtId="0" fontId="1" fillId="2" borderId="12" xfId="0" applyFont="1" applyFill="1" applyBorder="1"/>
    <xf numFmtId="0" fontId="9" fillId="2" borderId="1" xfId="0" applyFont="1" applyFill="1" applyBorder="1" applyAlignment="1">
      <alignment horizontal="left"/>
    </xf>
    <xf numFmtId="0" fontId="1" fillId="2" borderId="0" xfId="0" applyFont="1" applyFill="1" applyAlignment="1">
      <alignment horizontal="center" vertical="center"/>
    </xf>
    <xf numFmtId="0" fontId="22" fillId="16" borderId="0" xfId="0" applyFont="1" applyFill="1" applyBorder="1" applyAlignment="1"/>
    <xf numFmtId="0" fontId="21" fillId="16" borderId="0" xfId="0" applyFont="1" applyFill="1"/>
    <xf numFmtId="0" fontId="86" fillId="2" borderId="0" xfId="0" applyFont="1" applyFill="1"/>
    <xf numFmtId="0" fontId="9" fillId="2" borderId="12" xfId="0" applyFont="1" applyFill="1" applyBorder="1" applyAlignment="1">
      <alignment vertical="top"/>
    </xf>
    <xf numFmtId="0" fontId="9" fillId="2" borderId="12" xfId="0" applyFont="1" applyFill="1" applyBorder="1" applyAlignment="1">
      <alignment horizontal="left" vertical="top"/>
    </xf>
    <xf numFmtId="3" fontId="41" fillId="2" borderId="8" xfId="0" applyNumberFormat="1" applyFont="1" applyFill="1" applyBorder="1" applyAlignment="1">
      <alignment horizontal="center"/>
    </xf>
    <xf numFmtId="0" fontId="1" fillId="2" borderId="1" xfId="0" applyFont="1" applyFill="1" applyBorder="1" applyAlignment="1">
      <alignment horizontal="left"/>
    </xf>
    <xf numFmtId="3" fontId="8" fillId="2" borderId="2" xfId="0" applyNumberFormat="1" applyFont="1" applyFill="1" applyBorder="1" applyAlignment="1">
      <alignment horizontal="center"/>
    </xf>
    <xf numFmtId="3" fontId="8" fillId="18" borderId="29" xfId="0" applyNumberFormat="1" applyFont="1" applyFill="1" applyBorder="1" applyAlignment="1">
      <alignment horizontal="center"/>
    </xf>
    <xf numFmtId="3" fontId="8" fillId="2" borderId="10" xfId="0" applyNumberFormat="1" applyFont="1" applyFill="1" applyBorder="1" applyAlignment="1">
      <alignment horizontal="center"/>
    </xf>
    <xf numFmtId="3" fontId="8" fillId="18" borderId="30" xfId="0" applyNumberFormat="1" applyFont="1" applyFill="1" applyBorder="1" applyAlignment="1">
      <alignment horizontal="center"/>
    </xf>
    <xf numFmtId="3" fontId="8" fillId="18" borderId="31" xfId="0" applyNumberFormat="1" applyFont="1" applyFill="1" applyBorder="1" applyAlignment="1">
      <alignment horizontal="center"/>
    </xf>
    <xf numFmtId="0" fontId="47" fillId="2" borderId="0" xfId="0" applyFont="1" applyFill="1" applyBorder="1" applyAlignment="1">
      <alignment horizontal="right"/>
    </xf>
    <xf numFmtId="0" fontId="13" fillId="16" borderId="0" xfId="0" applyFont="1" applyFill="1" applyBorder="1" applyAlignment="1"/>
    <xf numFmtId="0" fontId="13" fillId="16" borderId="0" xfId="0" applyFont="1" applyFill="1" applyBorder="1" applyAlignment="1">
      <alignment horizontal="center"/>
    </xf>
    <xf numFmtId="0" fontId="23" fillId="16" borderId="0" xfId="0" applyFont="1" applyFill="1"/>
    <xf numFmtId="0" fontId="22" fillId="2" borderId="0" xfId="0" applyFont="1" applyFill="1" applyAlignment="1">
      <alignment horizontal="left" vertical="center"/>
    </xf>
    <xf numFmtId="0" fontId="86" fillId="2" borderId="0" xfId="0" applyFont="1" applyFill="1" applyAlignment="1">
      <alignment horizontal="center" vertical="center"/>
    </xf>
    <xf numFmtId="0" fontId="87" fillId="2" borderId="0" xfId="0" applyFont="1" applyFill="1" applyBorder="1" applyAlignment="1">
      <alignment horizontal="center"/>
    </xf>
    <xf numFmtId="0" fontId="1" fillId="22" borderId="1" xfId="0" applyFont="1" applyFill="1" applyBorder="1" applyAlignment="1">
      <alignment horizontal="left"/>
    </xf>
    <xf numFmtId="3" fontId="1" fillId="0" borderId="1" xfId="0" applyNumberFormat="1" applyFont="1" applyFill="1" applyBorder="1" applyAlignment="1">
      <alignment horizontal="center"/>
    </xf>
    <xf numFmtId="3" fontId="47" fillId="2" borderId="0" xfId="1" applyNumberFormat="1" applyFont="1" applyFill="1" applyAlignment="1">
      <alignment horizontal="center"/>
    </xf>
    <xf numFmtId="3" fontId="47" fillId="2" borderId="0" xfId="1" applyNumberFormat="1" applyFont="1" applyFill="1" applyAlignment="1">
      <alignment horizontal="center" vertical="center"/>
    </xf>
    <xf numFmtId="3" fontId="47" fillId="2" borderId="0" xfId="0" applyNumberFormat="1" applyFont="1" applyFill="1" applyAlignment="1">
      <alignment horizontal="center" vertical="center"/>
    </xf>
    <xf numFmtId="3" fontId="41" fillId="2" borderId="12" xfId="0" applyNumberFormat="1" applyFont="1" applyFill="1" applyBorder="1" applyAlignment="1">
      <alignment horizontal="center"/>
    </xf>
    <xf numFmtId="0" fontId="9" fillId="2" borderId="2" xfId="0" applyFont="1" applyFill="1" applyBorder="1"/>
    <xf numFmtId="166" fontId="41" fillId="18" borderId="25" xfId="0" applyNumberFormat="1" applyFont="1" applyFill="1" applyBorder="1" applyAlignment="1">
      <alignment horizontal="center"/>
    </xf>
    <xf numFmtId="0" fontId="48" fillId="2" borderId="1" xfId="0" applyFont="1" applyFill="1" applyBorder="1" applyAlignment="1">
      <alignment vertical="top"/>
    </xf>
    <xf numFmtId="0" fontId="48" fillId="2" borderId="0" xfId="0" applyFont="1" applyFill="1" applyBorder="1" applyAlignment="1">
      <alignment horizontal="center" vertical="top" wrapText="1"/>
    </xf>
    <xf numFmtId="4" fontId="47" fillId="2" borderId="0" xfId="0" applyNumberFormat="1" applyFont="1" applyFill="1" applyBorder="1" applyAlignment="1">
      <alignment horizontal="center"/>
    </xf>
    <xf numFmtId="0" fontId="13" fillId="16" borderId="0" xfId="0" applyFont="1" applyFill="1" applyBorder="1"/>
    <xf numFmtId="3" fontId="21" fillId="16" borderId="0" xfId="0" applyNumberFormat="1" applyFont="1" applyFill="1" applyBorder="1" applyAlignment="1">
      <alignment horizontal="center"/>
    </xf>
    <xf numFmtId="0" fontId="15" fillId="2" borderId="0" xfId="0" applyFont="1" applyFill="1" applyBorder="1"/>
    <xf numFmtId="3" fontId="19" fillId="2" borderId="0" xfId="0" applyNumberFormat="1" applyFont="1" applyFill="1" applyBorder="1" applyAlignment="1">
      <alignment horizontal="center"/>
    </xf>
    <xf numFmtId="0" fontId="88" fillId="2" borderId="0" xfId="2" applyFont="1" applyFill="1"/>
    <xf numFmtId="0" fontId="41" fillId="2" borderId="12" xfId="0" applyFont="1" applyFill="1" applyBorder="1" applyAlignment="1">
      <alignment horizontal="center" vertical="top" wrapText="1"/>
    </xf>
    <xf numFmtId="0" fontId="1" fillId="2" borderId="2" xfId="0" applyFont="1" applyFill="1" applyBorder="1" applyAlignment="1">
      <alignment horizontal="left"/>
    </xf>
    <xf numFmtId="3" fontId="1" fillId="6" borderId="1" xfId="0" applyNumberFormat="1" applyFont="1" applyFill="1" applyBorder="1" applyAlignment="1">
      <alignment horizontal="center"/>
    </xf>
    <xf numFmtId="3" fontId="41" fillId="2" borderId="11" xfId="0" applyNumberFormat="1" applyFont="1" applyFill="1" applyBorder="1" applyAlignment="1">
      <alignment horizontal="center"/>
    </xf>
    <xf numFmtId="0" fontId="1" fillId="2" borderId="0" xfId="0" applyFont="1" applyFill="1" applyBorder="1" applyAlignment="1">
      <alignment horizontal="right"/>
    </xf>
    <xf numFmtId="0" fontId="23" fillId="2" borderId="0" xfId="0" applyFont="1" applyFill="1" applyBorder="1" applyAlignment="1">
      <alignment horizontal="right" vertical="center"/>
    </xf>
    <xf numFmtId="0" fontId="13" fillId="17" borderId="0" xfId="0" applyFont="1" applyFill="1" applyBorder="1" applyAlignment="1">
      <alignment vertical="center"/>
    </xf>
    <xf numFmtId="3" fontId="22" fillId="17" borderId="0" xfId="0" applyNumberFormat="1" applyFont="1" applyFill="1" applyBorder="1" applyAlignment="1">
      <alignment horizontal="center" vertical="center"/>
    </xf>
    <xf numFmtId="3" fontId="22" fillId="2" borderId="0" xfId="0" applyNumberFormat="1" applyFont="1" applyFill="1" applyBorder="1" applyAlignment="1">
      <alignment horizontal="center" vertical="center"/>
    </xf>
    <xf numFmtId="0" fontId="23" fillId="2" borderId="0" xfId="0" applyFont="1" applyFill="1" applyBorder="1" applyAlignment="1">
      <alignment vertical="center"/>
    </xf>
    <xf numFmtId="3" fontId="65" fillId="2" borderId="0" xfId="0" applyNumberFormat="1" applyFont="1" applyFill="1" applyBorder="1" applyAlignment="1"/>
    <xf numFmtId="0" fontId="22" fillId="17" borderId="0" xfId="0" applyFont="1" applyFill="1" applyBorder="1" applyAlignment="1">
      <alignment vertical="center"/>
    </xf>
    <xf numFmtId="0" fontId="21" fillId="17" borderId="0" xfId="0" applyFont="1" applyFill="1" applyAlignment="1">
      <alignment vertical="center"/>
    </xf>
    <xf numFmtId="0" fontId="21" fillId="2" borderId="0" xfId="0" applyFont="1" applyFill="1" applyAlignment="1">
      <alignment vertical="center"/>
    </xf>
    <xf numFmtId="0" fontId="23" fillId="2" borderId="0" xfId="0" applyFont="1" applyFill="1" applyBorder="1" applyAlignment="1">
      <alignment horizontal="right"/>
    </xf>
    <xf numFmtId="0" fontId="22" fillId="2" borderId="0" xfId="0" applyFont="1" applyFill="1" applyBorder="1" applyAlignment="1"/>
    <xf numFmtId="0" fontId="21" fillId="2" borderId="0" xfId="0" applyFont="1" applyFill="1"/>
    <xf numFmtId="0" fontId="23" fillId="2" borderId="0" xfId="0" applyFont="1" applyFill="1" applyBorder="1"/>
    <xf numFmtId="0" fontId="1" fillId="2" borderId="0" xfId="0" applyFont="1" applyFill="1" applyBorder="1" applyAlignment="1">
      <alignment horizontal="right" vertical="top"/>
    </xf>
    <xf numFmtId="3" fontId="9" fillId="2" borderId="11" xfId="0" applyNumberFormat="1" applyFont="1" applyFill="1" applyBorder="1" applyAlignment="1">
      <alignment horizontal="center" vertical="top"/>
    </xf>
    <xf numFmtId="0" fontId="1" fillId="2" borderId="2" xfId="0" applyFont="1" applyFill="1" applyBorder="1" applyAlignment="1">
      <alignment horizontal="left" vertical="top" wrapText="1"/>
    </xf>
    <xf numFmtId="9" fontId="1" fillId="22" borderId="1" xfId="0" applyNumberFormat="1" applyFont="1" applyFill="1" applyBorder="1" applyAlignment="1">
      <alignment horizontal="left" vertical="top"/>
    </xf>
    <xf numFmtId="9" fontId="47" fillId="2" borderId="0" xfId="0" applyNumberFormat="1" applyFont="1" applyFill="1" applyBorder="1" applyAlignment="1">
      <alignment horizontal="left" vertical="top"/>
    </xf>
    <xf numFmtId="9" fontId="48" fillId="2" borderId="1" xfId="0" applyNumberFormat="1" applyFont="1" applyFill="1" applyBorder="1" applyAlignment="1">
      <alignment horizontal="left" vertical="top"/>
    </xf>
    <xf numFmtId="9" fontId="48" fillId="2" borderId="1" xfId="0" applyNumberFormat="1" applyFont="1" applyFill="1" applyBorder="1" applyAlignment="1">
      <alignment horizontal="center" vertical="top"/>
    </xf>
    <xf numFmtId="0" fontId="48" fillId="2" borderId="1" xfId="0" applyFont="1" applyFill="1" applyBorder="1" applyAlignment="1">
      <alignment horizontal="center" vertical="top"/>
    </xf>
    <xf numFmtId="9" fontId="47" fillId="2" borderId="1" xfId="0" applyNumberFormat="1" applyFont="1" applyFill="1" applyBorder="1" applyAlignment="1">
      <alignment horizontal="left" vertical="top"/>
    </xf>
    <xf numFmtId="9" fontId="47" fillId="2" borderId="1" xfId="0" applyNumberFormat="1" applyFont="1" applyFill="1" applyBorder="1" applyAlignment="1">
      <alignment horizontal="center" vertical="top"/>
    </xf>
    <xf numFmtId="0" fontId="47" fillId="2" borderId="0" xfId="0" applyFont="1" applyFill="1" applyBorder="1" applyAlignment="1">
      <alignment horizontal="right" vertical="top"/>
    </xf>
    <xf numFmtId="9" fontId="48" fillId="2" borderId="0" xfId="0" applyNumberFormat="1" applyFont="1" applyFill="1" applyBorder="1" applyAlignment="1">
      <alignment horizontal="left" vertical="top"/>
    </xf>
    <xf numFmtId="9" fontId="48" fillId="2" borderId="0" xfId="0" applyNumberFormat="1" applyFont="1" applyFill="1" applyBorder="1" applyAlignment="1">
      <alignment horizontal="center" vertical="top"/>
    </xf>
    <xf numFmtId="9" fontId="47" fillId="2" borderId="0" xfId="0" applyNumberFormat="1" applyFont="1" applyFill="1" applyBorder="1" applyAlignment="1">
      <alignment horizontal="center" vertical="top" wrapText="1"/>
    </xf>
    <xf numFmtId="9" fontId="76" fillId="2" borderId="0" xfId="2" applyNumberFormat="1" applyFont="1" applyFill="1" applyBorder="1" applyAlignment="1">
      <alignment horizontal="left" vertical="top"/>
    </xf>
    <xf numFmtId="0" fontId="90" fillId="2" borderId="0" xfId="0" applyFont="1" applyFill="1" applyBorder="1" applyAlignment="1">
      <alignment horizontal="left"/>
    </xf>
    <xf numFmtId="0" fontId="90" fillId="2" borderId="0" xfId="0" applyFont="1" applyFill="1" applyBorder="1" applyAlignment="1">
      <alignment horizontal="center"/>
    </xf>
    <xf numFmtId="0" fontId="1" fillId="2" borderId="0" xfId="0" applyFont="1" applyFill="1" applyBorder="1" applyAlignment="1">
      <alignment horizontal="right" vertical="center"/>
    </xf>
    <xf numFmtId="0" fontId="48" fillId="2" borderId="0" xfId="0" applyFont="1" applyFill="1" applyBorder="1" applyAlignment="1">
      <alignment horizontal="center" vertical="center" wrapText="1"/>
    </xf>
    <xf numFmtId="166" fontId="47" fillId="2" borderId="0" xfId="0" applyNumberFormat="1" applyFont="1" applyFill="1" applyBorder="1" applyAlignment="1">
      <alignment horizontal="center"/>
    </xf>
    <xf numFmtId="0" fontId="1" fillId="0" borderId="0" xfId="0" applyFont="1" applyBorder="1"/>
    <xf numFmtId="0" fontId="1" fillId="0" borderId="1" xfId="0" applyFont="1" applyFill="1" applyBorder="1"/>
    <xf numFmtId="166" fontId="1" fillId="2" borderId="0" xfId="0" applyNumberFormat="1" applyFont="1" applyFill="1" applyBorder="1" applyAlignment="1">
      <alignment horizontal="center"/>
    </xf>
    <xf numFmtId="166" fontId="9" fillId="2" borderId="1" xfId="0" applyNumberFormat="1" applyFont="1" applyFill="1" applyBorder="1" applyAlignment="1">
      <alignment horizontal="center"/>
    </xf>
    <xf numFmtId="166" fontId="9" fillId="2" borderId="0" xfId="0" applyNumberFormat="1" applyFont="1" applyFill="1" applyBorder="1" applyAlignment="1">
      <alignment horizontal="center"/>
    </xf>
    <xf numFmtId="166" fontId="1" fillId="2" borderId="1" xfId="0" applyNumberFormat="1" applyFont="1" applyFill="1" applyBorder="1" applyAlignment="1">
      <alignment horizontal="center"/>
    </xf>
    <xf numFmtId="4" fontId="1" fillId="2" borderId="0" xfId="0" applyNumberFormat="1" applyFont="1" applyFill="1" applyBorder="1" applyAlignment="1">
      <alignment horizontal="center"/>
    </xf>
    <xf numFmtId="166" fontId="1" fillId="6" borderId="1" xfId="0" applyNumberFormat="1" applyFont="1" applyFill="1" applyBorder="1" applyAlignment="1">
      <alignment horizontal="center"/>
    </xf>
    <xf numFmtId="0" fontId="47" fillId="2" borderId="0" xfId="0" applyFont="1" applyFill="1" applyBorder="1"/>
    <xf numFmtId="166" fontId="9" fillId="18" borderId="1" xfId="0" applyNumberFormat="1" applyFont="1" applyFill="1" applyBorder="1" applyAlignment="1">
      <alignment horizontal="center"/>
    </xf>
    <xf numFmtId="166" fontId="1" fillId="0" borderId="1" xfId="0" applyNumberFormat="1" applyFont="1" applyFill="1" applyBorder="1" applyAlignment="1">
      <alignment horizontal="center"/>
    </xf>
    <xf numFmtId="0" fontId="9" fillId="2" borderId="12" xfId="0" applyFont="1" applyFill="1" applyBorder="1"/>
    <xf numFmtId="166" fontId="9" fillId="0" borderId="12" xfId="0" applyNumberFormat="1" applyFont="1" applyFill="1" applyBorder="1" applyAlignment="1">
      <alignment horizontal="center"/>
    </xf>
    <xf numFmtId="0" fontId="9" fillId="2" borderId="36" xfId="0" applyFont="1" applyFill="1" applyBorder="1"/>
    <xf numFmtId="0" fontId="9" fillId="2" borderId="50" xfId="0" applyFont="1" applyFill="1" applyBorder="1"/>
    <xf numFmtId="166" fontId="9" fillId="2" borderId="37" xfId="0" applyNumberFormat="1" applyFont="1" applyFill="1" applyBorder="1" applyAlignment="1">
      <alignment horizontal="center"/>
    </xf>
    <xf numFmtId="0" fontId="9" fillId="2" borderId="38" xfId="0" applyFont="1" applyFill="1" applyBorder="1"/>
    <xf numFmtId="166" fontId="9" fillId="2" borderId="39" xfId="0" applyNumberFormat="1" applyFont="1" applyFill="1" applyBorder="1" applyAlignment="1">
      <alignment horizontal="center"/>
    </xf>
    <xf numFmtId="0" fontId="9" fillId="2" borderId="40" xfId="0" applyFont="1" applyFill="1" applyBorder="1"/>
    <xf numFmtId="0" fontId="9" fillId="2" borderId="23" xfId="0" applyFont="1" applyFill="1" applyBorder="1"/>
    <xf numFmtId="166" fontId="9" fillId="2" borderId="41" xfId="0" applyNumberFormat="1" applyFont="1" applyFill="1" applyBorder="1" applyAlignment="1">
      <alignment horizontal="center"/>
    </xf>
    <xf numFmtId="0" fontId="9" fillId="2" borderId="12" xfId="0" applyFont="1" applyFill="1" applyBorder="1" applyAlignment="1">
      <alignment horizontal="center"/>
    </xf>
    <xf numFmtId="166" fontId="9" fillId="18" borderId="25" xfId="0" applyNumberFormat="1" applyFont="1" applyFill="1" applyBorder="1" applyAlignment="1">
      <alignment horizontal="center"/>
    </xf>
    <xf numFmtId="0" fontId="48" fillId="2" borderId="1" xfId="0" applyFont="1" applyFill="1" applyBorder="1"/>
    <xf numFmtId="0" fontId="48" fillId="2" borderId="1" xfId="0" applyFont="1" applyFill="1" applyBorder="1" applyAlignment="1">
      <alignment horizontal="center"/>
    </xf>
    <xf numFmtId="2" fontId="47" fillId="2" borderId="1" xfId="0" applyNumberFormat="1" applyFont="1" applyFill="1" applyBorder="1" applyAlignment="1">
      <alignment horizontal="center"/>
    </xf>
    <xf numFmtId="2" fontId="47" fillId="2" borderId="0" xfId="0" applyNumberFormat="1" applyFont="1" applyFill="1" applyBorder="1" applyAlignment="1">
      <alignment horizontal="center"/>
    </xf>
    <xf numFmtId="167" fontId="47" fillId="2" borderId="1" xfId="0" applyNumberFormat="1" applyFont="1" applyFill="1" applyBorder="1" applyAlignment="1">
      <alignment horizontal="center"/>
    </xf>
    <xf numFmtId="0" fontId="13" fillId="17" borderId="0" xfId="0" applyFont="1" applyFill="1" applyBorder="1"/>
    <xf numFmtId="3" fontId="22" fillId="17" borderId="0" xfId="0" applyNumberFormat="1" applyFont="1" applyFill="1" applyBorder="1" applyAlignment="1">
      <alignment horizontal="center"/>
    </xf>
    <xf numFmtId="0" fontId="22" fillId="17" borderId="0" xfId="0" applyFont="1" applyFill="1" applyBorder="1"/>
    <xf numFmtId="0" fontId="21" fillId="17" borderId="0" xfId="0" applyFont="1" applyFill="1"/>
    <xf numFmtId="0" fontId="13" fillId="17" borderId="0" xfId="0" applyFont="1" applyFill="1" applyBorder="1" applyAlignment="1">
      <alignment horizontal="center"/>
    </xf>
    <xf numFmtId="0" fontId="14" fillId="2" borderId="0" xfId="0" applyFont="1" applyFill="1" applyBorder="1" applyAlignment="1">
      <alignment horizontal="left"/>
    </xf>
    <xf numFmtId="0" fontId="14" fillId="2" borderId="0" xfId="0" applyFont="1" applyFill="1" applyBorder="1" applyAlignment="1">
      <alignment horizontal="center"/>
    </xf>
    <xf numFmtId="0" fontId="49" fillId="11" borderId="1" xfId="0" applyFont="1" applyFill="1" applyBorder="1"/>
    <xf numFmtId="3" fontId="9" fillId="0" borderId="1" xfId="0" applyNumberFormat="1" applyFont="1" applyFill="1" applyBorder="1" applyAlignment="1">
      <alignment horizontal="center"/>
    </xf>
    <xf numFmtId="0" fontId="1" fillId="42" borderId="1" xfId="0" applyFont="1" applyFill="1" applyBorder="1"/>
    <xf numFmtId="0" fontId="1" fillId="43" borderId="1" xfId="0" applyFont="1" applyFill="1" applyBorder="1"/>
    <xf numFmtId="9" fontId="1" fillId="2" borderId="0" xfId="1" applyFont="1" applyFill="1" applyBorder="1"/>
    <xf numFmtId="166" fontId="48" fillId="2" borderId="0" xfId="0" applyNumberFormat="1" applyFont="1" applyFill="1" applyBorder="1" applyAlignment="1">
      <alignment horizontal="center"/>
    </xf>
    <xf numFmtId="0" fontId="1" fillId="44" borderId="1" xfId="0" applyFont="1" applyFill="1" applyBorder="1"/>
    <xf numFmtId="0" fontId="1" fillId="45" borderId="1" xfId="0" applyFont="1" applyFill="1" applyBorder="1"/>
    <xf numFmtId="0" fontId="1" fillId="46" borderId="1" xfId="0" applyFont="1" applyFill="1" applyBorder="1"/>
    <xf numFmtId="164" fontId="1" fillId="2" borderId="0" xfId="0" applyNumberFormat="1" applyFont="1" applyFill="1" applyBorder="1"/>
    <xf numFmtId="0" fontId="1" fillId="47" borderId="1" xfId="0" applyFont="1" applyFill="1" applyBorder="1"/>
    <xf numFmtId="0" fontId="1" fillId="48" borderId="1" xfId="0" applyFont="1" applyFill="1" applyBorder="1"/>
    <xf numFmtId="0" fontId="1" fillId="49" borderId="1" xfId="0" applyFont="1" applyFill="1" applyBorder="1"/>
    <xf numFmtId="166" fontId="9" fillId="2" borderId="50" xfId="0" applyNumberFormat="1" applyFont="1" applyFill="1" applyBorder="1" applyAlignment="1">
      <alignment horizontal="center"/>
    </xf>
    <xf numFmtId="166" fontId="9" fillId="2" borderId="23" xfId="0" applyNumberFormat="1" applyFont="1" applyFill="1" applyBorder="1" applyAlignment="1">
      <alignment horizontal="center"/>
    </xf>
    <xf numFmtId="0" fontId="9" fillId="2" borderId="51" xfId="0" applyFont="1" applyFill="1" applyBorder="1"/>
    <xf numFmtId="166" fontId="9" fillId="2" borderId="8" xfId="0" applyNumberFormat="1" applyFont="1" applyFill="1" applyBorder="1" applyAlignment="1">
      <alignment horizontal="center"/>
    </xf>
    <xf numFmtId="166" fontId="9" fillId="2" borderId="52" xfId="0" applyNumberFormat="1" applyFont="1" applyFill="1" applyBorder="1" applyAlignment="1">
      <alignment horizontal="center"/>
    </xf>
    <xf numFmtId="0" fontId="23" fillId="17" borderId="0" xfId="0" applyFont="1" applyFill="1"/>
    <xf numFmtId="0" fontId="22" fillId="17" borderId="0" xfId="0" applyFont="1" applyFill="1" applyBorder="1" applyAlignment="1"/>
    <xf numFmtId="0" fontId="87" fillId="2" borderId="0" xfId="0" applyFont="1" applyFill="1" applyBorder="1" applyAlignment="1"/>
    <xf numFmtId="0" fontId="86" fillId="2" borderId="0" xfId="0" applyFont="1" applyFill="1" applyBorder="1"/>
    <xf numFmtId="0" fontId="41" fillId="2" borderId="0" xfId="0" applyFont="1" applyFill="1" applyBorder="1" applyAlignment="1">
      <alignment horizontal="center" vertical="top" wrapText="1"/>
    </xf>
    <xf numFmtId="3" fontId="1" fillId="6" borderId="3" xfId="0" applyNumberFormat="1" applyFont="1" applyFill="1" applyBorder="1" applyAlignment="1">
      <alignment horizontal="center"/>
    </xf>
    <xf numFmtId="3" fontId="41" fillId="2" borderId="0" xfId="0" applyNumberFormat="1" applyFont="1" applyFill="1" applyBorder="1" applyAlignment="1">
      <alignment horizontal="center"/>
    </xf>
    <xf numFmtId="3" fontId="47" fillId="2" borderId="1" xfId="0" applyNumberFormat="1" applyFont="1" applyFill="1" applyBorder="1" applyAlignment="1">
      <alignment horizontal="center"/>
    </xf>
    <xf numFmtId="1" fontId="94" fillId="2" borderId="0" xfId="0" applyNumberFormat="1" applyFont="1" applyFill="1" applyAlignment="1">
      <alignment horizontal="center"/>
    </xf>
    <xf numFmtId="166" fontId="41" fillId="2" borderId="0" xfId="0" applyNumberFormat="1" applyFont="1" applyFill="1" applyBorder="1" applyAlignment="1">
      <alignment horizontal="center"/>
    </xf>
    <xf numFmtId="0" fontId="72" fillId="31" borderId="0" xfId="0" applyFont="1" applyFill="1" applyAlignment="1">
      <alignment vertical="center"/>
    </xf>
    <xf numFmtId="3" fontId="72" fillId="31" borderId="0" xfId="0" applyNumberFormat="1" applyFont="1" applyFill="1" applyBorder="1" applyAlignment="1">
      <alignment horizontal="center" vertical="center"/>
    </xf>
    <xf numFmtId="9" fontId="72" fillId="31" borderId="0" xfId="1" applyFont="1" applyFill="1" applyBorder="1" applyAlignment="1">
      <alignment horizontal="center" vertical="center"/>
    </xf>
    <xf numFmtId="0" fontId="95" fillId="31" borderId="0" xfId="0" applyFont="1" applyFill="1" applyAlignment="1">
      <alignment vertical="center"/>
    </xf>
    <xf numFmtId="1" fontId="1" fillId="6" borderId="2" xfId="0" applyNumberFormat="1" applyFont="1" applyFill="1" applyBorder="1" applyAlignment="1">
      <alignment horizontal="left"/>
    </xf>
    <xf numFmtId="1" fontId="1" fillId="6" borderId="3" xfId="0" applyNumberFormat="1" applyFont="1" applyFill="1" applyBorder="1" applyAlignment="1"/>
    <xf numFmtId="0" fontId="9" fillId="4" borderId="1" xfId="0" applyFont="1" applyFill="1" applyBorder="1" applyAlignment="1">
      <alignment vertical="center"/>
    </xf>
    <xf numFmtId="0" fontId="9" fillId="4" borderId="1" xfId="0" applyFont="1" applyFill="1" applyBorder="1" applyAlignment="1">
      <alignment horizontal="center" vertical="center"/>
    </xf>
    <xf numFmtId="3" fontId="1" fillId="0" borderId="1" xfId="0" applyNumberFormat="1" applyFont="1" applyFill="1" applyBorder="1" applyAlignment="1">
      <alignment horizontal="center" vertical="top"/>
    </xf>
    <xf numFmtId="164" fontId="1" fillId="2" borderId="1" xfId="0" applyNumberFormat="1" applyFont="1" applyFill="1" applyBorder="1" applyAlignment="1">
      <alignment horizontal="center"/>
    </xf>
    <xf numFmtId="164" fontId="1" fillId="0" borderId="1" xfId="1" applyNumberFormat="1" applyFont="1" applyFill="1" applyBorder="1" applyAlignment="1">
      <alignment horizontal="center" vertical="top"/>
    </xf>
    <xf numFmtId="164" fontId="47" fillId="2" borderId="1" xfId="1" applyNumberFormat="1" applyFont="1" applyFill="1" applyBorder="1" applyAlignment="1">
      <alignment horizontal="center" vertical="top"/>
    </xf>
    <xf numFmtId="9" fontId="1" fillId="2" borderId="1" xfId="1" applyFont="1" applyFill="1" applyBorder="1" applyAlignment="1">
      <alignment horizontal="center"/>
    </xf>
    <xf numFmtId="9" fontId="1" fillId="2" borderId="0" xfId="1" applyFont="1" applyFill="1"/>
    <xf numFmtId="166" fontId="8" fillId="2" borderId="1" xfId="0" applyNumberFormat="1" applyFont="1" applyFill="1" applyBorder="1" applyAlignment="1">
      <alignment horizontal="center"/>
    </xf>
    <xf numFmtId="0" fontId="8" fillId="2" borderId="1" xfId="0" applyFont="1" applyFill="1" applyBorder="1" applyAlignment="1">
      <alignment vertical="top"/>
    </xf>
    <xf numFmtId="9" fontId="1" fillId="2" borderId="1" xfId="1" applyFont="1" applyFill="1" applyBorder="1"/>
    <xf numFmtId="9" fontId="9" fillId="2" borderId="0" xfId="0" applyNumberFormat="1" applyFont="1" applyFill="1"/>
    <xf numFmtId="0" fontId="9" fillId="4" borderId="1" xfId="0" applyFont="1" applyFill="1" applyBorder="1" applyAlignment="1">
      <alignment horizontal="center"/>
    </xf>
    <xf numFmtId="0" fontId="41" fillId="2" borderId="12" xfId="0" applyFont="1" applyFill="1" applyBorder="1" applyAlignment="1">
      <alignment horizontal="center"/>
    </xf>
    <xf numFmtId="0" fontId="9" fillId="2" borderId="12" xfId="0" applyFont="1" applyFill="1" applyBorder="1" applyAlignment="1">
      <alignment horizontal="center" vertical="center"/>
    </xf>
    <xf numFmtId="0" fontId="1" fillId="30" borderId="1" xfId="0" applyFont="1" applyFill="1" applyBorder="1" applyAlignment="1">
      <alignment horizontal="left" vertical="center"/>
    </xf>
    <xf numFmtId="0" fontId="1" fillId="30" borderId="1" xfId="0" applyFont="1" applyFill="1" applyBorder="1" applyAlignment="1">
      <alignment horizontal="center" vertical="center"/>
    </xf>
    <xf numFmtId="164" fontId="1" fillId="30" borderId="1" xfId="0" applyNumberFormat="1" applyFont="1" applyFill="1" applyBorder="1" applyAlignment="1">
      <alignment horizontal="center" vertical="center"/>
    </xf>
    <xf numFmtId="0" fontId="41" fillId="18" borderId="53" xfId="0" applyFont="1" applyFill="1" applyBorder="1" applyAlignment="1">
      <alignment horizontal="left" vertical="center"/>
    </xf>
    <xf numFmtId="3" fontId="41" fillId="18" borderId="27" xfId="0" applyNumberFormat="1" applyFont="1" applyFill="1" applyBorder="1" applyAlignment="1">
      <alignment horizontal="center" vertical="center"/>
    </xf>
    <xf numFmtId="3" fontId="9" fillId="18" borderId="27" xfId="0" applyNumberFormat="1" applyFont="1" applyFill="1" applyBorder="1" applyAlignment="1">
      <alignment horizontal="center" vertical="center"/>
    </xf>
    <xf numFmtId="3" fontId="9" fillId="18" borderId="54" xfId="0" applyNumberFormat="1" applyFont="1" applyFill="1" applyBorder="1" applyAlignment="1">
      <alignment horizontal="center" vertical="center"/>
    </xf>
    <xf numFmtId="9" fontId="41" fillId="18" borderId="25" xfId="1" applyFont="1" applyFill="1" applyBorder="1" applyAlignment="1">
      <alignment horizontal="center" vertical="center"/>
    </xf>
    <xf numFmtId="9" fontId="41" fillId="2" borderId="0" xfId="1" applyFont="1" applyFill="1" applyBorder="1" applyAlignment="1">
      <alignment horizontal="center" vertical="center"/>
    </xf>
    <xf numFmtId="0" fontId="17" fillId="26" borderId="1" xfId="0" applyFont="1" applyFill="1" applyBorder="1" applyAlignment="1">
      <alignment horizontal="left" vertical="center"/>
    </xf>
    <xf numFmtId="0" fontId="17" fillId="26" borderId="1" xfId="0" applyFont="1" applyFill="1" applyBorder="1" applyAlignment="1">
      <alignment horizontal="center" vertical="center"/>
    </xf>
    <xf numFmtId="164" fontId="17" fillId="26" borderId="1" xfId="0" applyNumberFormat="1" applyFont="1" applyFill="1" applyBorder="1" applyAlignment="1">
      <alignment horizontal="center" vertical="center"/>
    </xf>
    <xf numFmtId="0" fontId="9" fillId="2" borderId="8" xfId="0" applyFont="1" applyFill="1" applyBorder="1" applyAlignment="1">
      <alignment horizontal="left" vertical="center"/>
    </xf>
    <xf numFmtId="3" fontId="41" fillId="2" borderId="8" xfId="0" applyNumberFormat="1" applyFont="1" applyFill="1" applyBorder="1" applyAlignment="1">
      <alignment horizontal="center" vertical="center"/>
    </xf>
    <xf numFmtId="3" fontId="9" fillId="2" borderId="8" xfId="0" applyNumberFormat="1" applyFont="1" applyFill="1" applyBorder="1" applyAlignment="1">
      <alignment horizontal="center" vertical="center"/>
    </xf>
    <xf numFmtId="9" fontId="41" fillId="2" borderId="8" xfId="1" applyFont="1" applyFill="1" applyBorder="1" applyAlignment="1">
      <alignment horizontal="center"/>
    </xf>
    <xf numFmtId="9" fontId="41" fillId="2" borderId="0" xfId="1" applyFont="1" applyFill="1" applyBorder="1" applyAlignment="1">
      <alignment horizontal="center"/>
    </xf>
    <xf numFmtId="0" fontId="1" fillId="25" borderId="1" xfId="0" applyFont="1" applyFill="1" applyBorder="1" applyAlignment="1">
      <alignment horizontal="left" vertical="center"/>
    </xf>
    <xf numFmtId="0" fontId="1" fillId="25" borderId="1" xfId="0" applyFont="1" applyFill="1" applyBorder="1" applyAlignment="1">
      <alignment horizontal="center" vertical="center"/>
    </xf>
    <xf numFmtId="0" fontId="47" fillId="2" borderId="1" xfId="0" applyFont="1" applyFill="1" applyBorder="1" applyAlignment="1">
      <alignment horizontal="right"/>
    </xf>
    <xf numFmtId="1" fontId="47"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9" fontId="47" fillId="2" borderId="1" xfId="1" applyFont="1" applyFill="1" applyBorder="1" applyAlignment="1">
      <alignment horizontal="center"/>
    </xf>
    <xf numFmtId="9" fontId="47" fillId="2" borderId="0" xfId="1" applyFont="1" applyFill="1" applyBorder="1" applyAlignment="1">
      <alignment horizontal="center"/>
    </xf>
    <xf numFmtId="1" fontId="47" fillId="2" borderId="12" xfId="0" applyNumberFormat="1" applyFont="1" applyFill="1" applyBorder="1" applyAlignment="1">
      <alignment horizontal="center"/>
    </xf>
    <xf numFmtId="0" fontId="33" fillId="2" borderId="7" xfId="0" applyFont="1" applyFill="1" applyBorder="1" applyAlignment="1"/>
    <xf numFmtId="0" fontId="33" fillId="2" borderId="0" xfId="0" applyFont="1" applyFill="1" applyBorder="1" applyAlignment="1"/>
    <xf numFmtId="0" fontId="9" fillId="4" borderId="1" xfId="0" applyFont="1" applyFill="1" applyBorder="1" applyAlignment="1">
      <alignment horizontal="left" vertical="center"/>
    </xf>
    <xf numFmtId="3" fontId="9" fillId="0" borderId="1" xfId="0" applyNumberFormat="1" applyFont="1" applyBorder="1" applyAlignment="1">
      <alignment horizontal="center" vertical="center"/>
    </xf>
    <xf numFmtId="0" fontId="1" fillId="0" borderId="1" xfId="0" applyFont="1" applyBorder="1" applyAlignment="1">
      <alignment horizontal="left" vertical="center"/>
    </xf>
    <xf numFmtId="3" fontId="1" fillId="0" borderId="1" xfId="0" applyNumberFormat="1" applyFont="1" applyBorder="1" applyAlignment="1">
      <alignment horizontal="center" vertical="center"/>
    </xf>
    <xf numFmtId="0" fontId="1" fillId="2" borderId="1" xfId="0" applyFont="1" applyFill="1" applyBorder="1" applyAlignment="1">
      <alignment horizontal="left" vertical="center"/>
    </xf>
    <xf numFmtId="0" fontId="9" fillId="0" borderId="1" xfId="0" applyFont="1" applyBorder="1" applyAlignment="1">
      <alignment horizontal="left" vertical="center"/>
    </xf>
    <xf numFmtId="0" fontId="1" fillId="2" borderId="12" xfId="0" applyFont="1" applyFill="1" applyBorder="1" applyAlignment="1">
      <alignment horizontal="left" vertical="center"/>
    </xf>
    <xf numFmtId="3" fontId="1" fillId="0" borderId="12" xfId="0" applyNumberFormat="1" applyFont="1" applyBorder="1" applyAlignment="1">
      <alignment horizontal="center" vertical="center"/>
    </xf>
    <xf numFmtId="9" fontId="9" fillId="0" borderId="1" xfId="1" applyFont="1" applyBorder="1" applyAlignment="1">
      <alignment horizontal="center" vertical="center"/>
    </xf>
    <xf numFmtId="3" fontId="9" fillId="2" borderId="2" xfId="0" applyNumberFormat="1" applyFont="1" applyFill="1" applyBorder="1" applyAlignment="1">
      <alignment horizontal="center" vertical="center"/>
    </xf>
    <xf numFmtId="3" fontId="1" fillId="2" borderId="0" xfId="0" applyNumberFormat="1" applyFont="1" applyFill="1" applyAlignment="1">
      <alignment horizontal="center" vertical="center"/>
    </xf>
    <xf numFmtId="0" fontId="10" fillId="2" borderId="1" xfId="0" applyFont="1" applyFill="1" applyBorder="1" applyAlignment="1">
      <alignment horizontal="center" vertical="center"/>
    </xf>
    <xf numFmtId="3" fontId="1" fillId="0" borderId="1" xfId="0" applyNumberFormat="1" applyFont="1" applyFill="1" applyBorder="1" applyAlignment="1">
      <alignment horizontal="center" vertical="center"/>
    </xf>
    <xf numFmtId="3" fontId="1" fillId="33" borderId="1" xfId="0" applyNumberFormat="1" applyFont="1" applyFill="1" applyBorder="1" applyAlignment="1">
      <alignment horizontal="center" vertical="center"/>
    </xf>
    <xf numFmtId="3" fontId="9" fillId="0" borderId="1" xfId="0" applyNumberFormat="1" applyFont="1" applyFill="1" applyBorder="1" applyAlignment="1">
      <alignment horizontal="center" vertical="center"/>
    </xf>
    <xf numFmtId="3" fontId="9" fillId="33" borderId="1" xfId="0" applyNumberFormat="1" applyFont="1" applyFill="1" applyBorder="1" applyAlignment="1">
      <alignment horizontal="center" vertical="center"/>
    </xf>
    <xf numFmtId="3" fontId="1" fillId="18" borderId="1" xfId="0" applyNumberFormat="1" applyFont="1" applyFill="1" applyBorder="1" applyAlignment="1">
      <alignment horizontal="center" vertical="center"/>
    </xf>
    <xf numFmtId="0" fontId="72" fillId="2" borderId="0" xfId="0" applyFont="1" applyFill="1" applyAlignment="1">
      <alignment vertical="center"/>
    </xf>
    <xf numFmtId="0" fontId="1" fillId="2" borderId="0" xfId="0" applyFont="1" applyFill="1" applyAlignment="1">
      <alignment horizontal="left" vertical="center" wrapText="1"/>
    </xf>
    <xf numFmtId="3" fontId="9" fillId="2" borderId="0" xfId="0" applyNumberFormat="1" applyFont="1" applyFill="1" applyAlignment="1">
      <alignment horizontal="left" vertical="center"/>
    </xf>
    <xf numFmtId="9" fontId="9" fillId="2" borderId="0" xfId="1" applyFont="1" applyFill="1" applyAlignment="1">
      <alignment horizontal="left" vertical="center"/>
    </xf>
    <xf numFmtId="0" fontId="9" fillId="2" borderId="3" xfId="0" applyFont="1" applyFill="1" applyBorder="1" applyAlignment="1">
      <alignment horizontal="left" vertical="center"/>
    </xf>
    <xf numFmtId="0" fontId="1" fillId="2" borderId="3" xfId="0" applyFont="1" applyFill="1" applyBorder="1" applyAlignment="1">
      <alignment horizontal="left" vertical="center"/>
    </xf>
    <xf numFmtId="3" fontId="1" fillId="41" borderId="1" xfId="0" applyNumberFormat="1" applyFont="1" applyFill="1" applyBorder="1" applyAlignment="1">
      <alignment horizontal="center" vertical="center"/>
    </xf>
    <xf numFmtId="3" fontId="9" fillId="41" borderId="1" xfId="0" applyNumberFormat="1" applyFont="1" applyFill="1" applyBorder="1" applyAlignment="1">
      <alignment horizontal="center" vertical="center"/>
    </xf>
    <xf numFmtId="3" fontId="9" fillId="41" borderId="2" xfId="0" applyNumberFormat="1" applyFont="1" applyFill="1" applyBorder="1" applyAlignment="1">
      <alignment horizontal="center" vertical="center"/>
    </xf>
    <xf numFmtId="0" fontId="24" fillId="2" borderId="0" xfId="0" applyFont="1" applyFill="1" applyAlignment="1">
      <alignment vertical="center" wrapText="1"/>
    </xf>
    <xf numFmtId="0" fontId="1" fillId="6" borderId="1" xfId="0" applyFont="1" applyFill="1" applyBorder="1" applyAlignment="1">
      <alignment horizontal="left" vertical="center"/>
    </xf>
    <xf numFmtId="1" fontId="1" fillId="6" borderId="1" xfId="0" applyNumberFormat="1" applyFont="1" applyFill="1" applyBorder="1" applyAlignment="1">
      <alignment horizontal="left" vertical="center"/>
    </xf>
    <xf numFmtId="3" fontId="1" fillId="18" borderId="1" xfId="0" applyNumberFormat="1" applyFont="1" applyFill="1" applyBorder="1" applyAlignment="1">
      <alignment horizontal="center" vertical="top"/>
    </xf>
    <xf numFmtId="9" fontId="1" fillId="18" borderId="1" xfId="0" applyNumberFormat="1" applyFont="1" applyFill="1" applyBorder="1" applyAlignment="1">
      <alignment horizontal="center" vertical="top"/>
    </xf>
    <xf numFmtId="3" fontId="1" fillId="18" borderId="1" xfId="0" applyNumberFormat="1" applyFont="1" applyFill="1" applyBorder="1" applyAlignment="1">
      <alignment horizontal="center"/>
    </xf>
    <xf numFmtId="9" fontId="6" fillId="18" borderId="1" xfId="1" applyFont="1" applyFill="1" applyBorder="1" applyAlignment="1">
      <alignment horizontal="center" vertical="center"/>
    </xf>
    <xf numFmtId="9" fontId="9" fillId="18" borderId="8" xfId="1" applyFont="1" applyFill="1" applyBorder="1" applyAlignment="1">
      <alignment horizontal="center" vertical="center"/>
    </xf>
    <xf numFmtId="9" fontId="6" fillId="18" borderId="23" xfId="1" applyFont="1" applyFill="1" applyBorder="1" applyAlignment="1">
      <alignment horizontal="center" vertical="center"/>
    </xf>
    <xf numFmtId="0" fontId="3" fillId="2" borderId="0" xfId="2" applyFill="1" applyAlignment="1">
      <alignment vertical="center"/>
    </xf>
    <xf numFmtId="3" fontId="1" fillId="2" borderId="0" xfId="0" applyNumberFormat="1" applyFont="1" applyFill="1" applyBorder="1" applyAlignment="1">
      <alignment horizontal="center" wrapText="1"/>
    </xf>
    <xf numFmtId="0" fontId="9" fillId="23" borderId="1" xfId="0" applyFont="1" applyFill="1" applyBorder="1"/>
    <xf numFmtId="3" fontId="9" fillId="23" borderId="1" xfId="0" applyNumberFormat="1" applyFont="1" applyFill="1" applyBorder="1" applyAlignment="1">
      <alignment horizontal="left"/>
    </xf>
    <xf numFmtId="3" fontId="9" fillId="23" borderId="2" xfId="0" applyNumberFormat="1" applyFont="1" applyFill="1" applyBorder="1" applyAlignment="1">
      <alignment horizontal="left"/>
    </xf>
    <xf numFmtId="3" fontId="9" fillId="23" borderId="1" xfId="0" applyNumberFormat="1" applyFont="1" applyFill="1" applyBorder="1" applyAlignment="1">
      <alignment horizontal="center"/>
    </xf>
    <xf numFmtId="3" fontId="41" fillId="23" borderId="1" xfId="0" applyNumberFormat="1" applyFont="1" applyFill="1" applyBorder="1" applyAlignment="1">
      <alignment horizontal="left"/>
    </xf>
    <xf numFmtId="0" fontId="6" fillId="2" borderId="1" xfId="0" applyFont="1" applyFill="1" applyBorder="1" applyAlignment="1">
      <alignment vertical="center" wrapText="1"/>
    </xf>
    <xf numFmtId="3" fontId="1" fillId="2" borderId="2" xfId="0" applyNumberFormat="1" applyFont="1" applyFill="1" applyBorder="1" applyAlignment="1">
      <alignment horizontal="left" vertical="center" wrapText="1"/>
    </xf>
    <xf numFmtId="3" fontId="1" fillId="2" borderId="1" xfId="0" applyNumberFormat="1" applyFont="1" applyFill="1" applyBorder="1" applyAlignment="1">
      <alignment horizontal="center" vertical="center" wrapText="1"/>
    </xf>
    <xf numFmtId="0" fontId="6" fillId="2" borderId="23" xfId="0" applyFont="1" applyFill="1" applyBorder="1" applyAlignment="1">
      <alignment vertical="center" wrapText="1"/>
    </xf>
    <xf numFmtId="0" fontId="6" fillId="2" borderId="8" xfId="0" applyFont="1" applyFill="1" applyBorder="1" applyAlignment="1">
      <alignment vertical="center" wrapText="1"/>
    </xf>
    <xf numFmtId="3" fontId="1" fillId="2" borderId="44" xfId="0" applyNumberFormat="1" applyFont="1" applyFill="1" applyBorder="1" applyAlignment="1">
      <alignment horizontal="left" vertical="center" wrapText="1"/>
    </xf>
    <xf numFmtId="0" fontId="47" fillId="2" borderId="23" xfId="0" applyFont="1" applyFill="1" applyBorder="1" applyAlignment="1">
      <alignment vertical="center" wrapText="1"/>
    </xf>
    <xf numFmtId="3" fontId="47" fillId="2" borderId="23" xfId="0" applyNumberFormat="1" applyFont="1" applyFill="1" applyBorder="1" applyAlignment="1">
      <alignment horizontal="left" vertical="center" wrapText="1"/>
    </xf>
    <xf numFmtId="3" fontId="47" fillId="2" borderId="44" xfId="0" applyNumberFormat="1" applyFont="1" applyFill="1" applyBorder="1" applyAlignment="1">
      <alignment horizontal="left" vertical="center" wrapText="1"/>
    </xf>
    <xf numFmtId="3" fontId="47" fillId="2" borderId="1"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47" fillId="2" borderId="23" xfId="0" applyNumberFormat="1" applyFont="1" applyFill="1" applyBorder="1" applyAlignment="1">
      <alignment horizontal="center" vertical="center" wrapText="1"/>
    </xf>
    <xf numFmtId="3" fontId="1" fillId="2" borderId="5" xfId="0" applyNumberFormat="1" applyFont="1" applyFill="1" applyBorder="1" applyAlignment="1">
      <alignment horizontal="left" vertical="center" wrapText="1"/>
    </xf>
    <xf numFmtId="3" fontId="1" fillId="2" borderId="23" xfId="0" applyNumberFormat="1" applyFont="1" applyFill="1" applyBorder="1" applyAlignment="1">
      <alignment horizontal="center" vertical="center" wrapText="1"/>
    </xf>
    <xf numFmtId="3" fontId="1" fillId="2" borderId="0" xfId="0" applyNumberFormat="1" applyFont="1" applyFill="1" applyBorder="1" applyAlignment="1">
      <alignment horizontal="left" wrapText="1"/>
    </xf>
    <xf numFmtId="3" fontId="1" fillId="2" borderId="0" xfId="0" applyNumberFormat="1" applyFont="1" applyFill="1" applyBorder="1" applyAlignment="1">
      <alignment horizontal="left"/>
    </xf>
    <xf numFmtId="0" fontId="1" fillId="2" borderId="0" xfId="0" applyFont="1" applyFill="1" applyBorder="1" applyAlignment="1">
      <alignment horizontal="center" wrapText="1"/>
    </xf>
    <xf numFmtId="3" fontId="1" fillId="2" borderId="0" xfId="0" applyNumberFormat="1" applyFont="1" applyFill="1" applyBorder="1" applyAlignment="1">
      <alignment horizontal="left" vertical="center"/>
    </xf>
    <xf numFmtId="3" fontId="1" fillId="2" borderId="0" xfId="0" applyNumberFormat="1" applyFont="1" applyFill="1" applyBorder="1" applyAlignment="1">
      <alignment horizontal="center" vertical="center" wrapText="1"/>
    </xf>
    <xf numFmtId="3" fontId="1" fillId="2" borderId="1" xfId="0" applyNumberFormat="1" applyFont="1" applyFill="1" applyBorder="1" applyAlignment="1">
      <alignment horizontal="left" vertical="center" wrapText="1"/>
    </xf>
    <xf numFmtId="3" fontId="1" fillId="2" borderId="12" xfId="0" applyNumberFormat="1" applyFont="1" applyFill="1" applyBorder="1" applyAlignment="1">
      <alignment horizontal="left" vertical="center" wrapText="1"/>
    </xf>
    <xf numFmtId="3" fontId="1" fillId="2" borderId="8" xfId="0" applyNumberFormat="1" applyFont="1" applyFill="1" applyBorder="1" applyAlignment="1">
      <alignment horizontal="left" vertical="center" wrapText="1"/>
    </xf>
    <xf numFmtId="3" fontId="1" fillId="2" borderId="0" xfId="0" applyNumberFormat="1" applyFont="1" applyFill="1" applyBorder="1" applyAlignment="1">
      <alignment horizontal="left" vertical="center" wrapText="1"/>
    </xf>
    <xf numFmtId="3" fontId="6" fillId="22" borderId="2" xfId="0" applyNumberFormat="1" applyFont="1" applyFill="1" applyBorder="1" applyAlignment="1">
      <alignment horizontal="left" vertical="center" wrapText="1"/>
    </xf>
    <xf numFmtId="0" fontId="8" fillId="2" borderId="1" xfId="0" applyFont="1" applyFill="1" applyBorder="1" applyAlignment="1">
      <alignment horizontal="center" vertical="center" wrapText="1"/>
    </xf>
    <xf numFmtId="3" fontId="8" fillId="2" borderId="1" xfId="0" applyNumberFormat="1" applyFont="1" applyFill="1" applyBorder="1" applyAlignment="1">
      <alignment horizontal="center" vertical="center" wrapText="1"/>
    </xf>
    <xf numFmtId="3" fontId="8" fillId="22" borderId="2" xfId="0" applyNumberFormat="1" applyFont="1" applyFill="1" applyBorder="1" applyAlignment="1">
      <alignment horizontal="left" vertical="center" wrapText="1"/>
    </xf>
    <xf numFmtId="0" fontId="8" fillId="2" borderId="23" xfId="0" applyFont="1" applyFill="1" applyBorder="1" applyAlignment="1">
      <alignment horizontal="center" vertical="center" wrapText="1"/>
    </xf>
    <xf numFmtId="3" fontId="8" fillId="2" borderId="23" xfId="0" applyNumberFormat="1" applyFont="1" applyFill="1" applyBorder="1" applyAlignment="1">
      <alignment horizontal="center" vertical="center" wrapText="1"/>
    </xf>
    <xf numFmtId="3" fontId="8" fillId="2" borderId="1" xfId="0" applyNumberFormat="1" applyFont="1" applyFill="1" applyBorder="1" applyAlignment="1">
      <alignment horizontal="left" vertical="center" wrapText="1"/>
    </xf>
    <xf numFmtId="3" fontId="8" fillId="2" borderId="2" xfId="0" applyNumberFormat="1" applyFont="1" applyFill="1" applyBorder="1" applyAlignment="1">
      <alignment horizontal="left" vertical="center" wrapText="1"/>
    </xf>
    <xf numFmtId="3" fontId="8" fillId="2" borderId="23" xfId="0" applyNumberFormat="1" applyFont="1" applyFill="1" applyBorder="1" applyAlignment="1">
      <alignment horizontal="left" vertical="center" wrapText="1"/>
    </xf>
    <xf numFmtId="3" fontId="8" fillId="2" borderId="44" xfId="0" applyNumberFormat="1" applyFont="1" applyFill="1" applyBorder="1" applyAlignment="1">
      <alignment horizontal="left" vertical="center" wrapText="1"/>
    </xf>
    <xf numFmtId="0" fontId="6" fillId="2" borderId="0" xfId="0" applyFont="1" applyFill="1" applyBorder="1" applyAlignment="1">
      <alignment vertical="center" wrapText="1"/>
    </xf>
    <xf numFmtId="3" fontId="47" fillId="2" borderId="0" xfId="0" applyNumberFormat="1" applyFont="1" applyFill="1" applyBorder="1" applyAlignment="1">
      <alignment horizontal="center" vertical="center" wrapText="1"/>
    </xf>
    <xf numFmtId="0" fontId="1" fillId="33" borderId="1" xfId="0" applyFont="1" applyFill="1" applyBorder="1" applyAlignment="1">
      <alignment vertical="center" wrapText="1"/>
    </xf>
    <xf numFmtId="3" fontId="1" fillId="33" borderId="1" xfId="0" applyNumberFormat="1" applyFont="1" applyFill="1" applyBorder="1" applyAlignment="1">
      <alignment horizontal="left" vertical="center" wrapText="1"/>
    </xf>
    <xf numFmtId="3" fontId="9" fillId="33" borderId="1" xfId="0" applyNumberFormat="1" applyFont="1" applyFill="1" applyBorder="1" applyAlignment="1">
      <alignment horizontal="center"/>
    </xf>
    <xf numFmtId="3" fontId="1" fillId="33" borderId="1" xfId="0" applyNumberFormat="1" applyFont="1" applyFill="1" applyBorder="1" applyAlignment="1">
      <alignment horizontal="center" vertical="center" wrapText="1"/>
    </xf>
    <xf numFmtId="0" fontId="1" fillId="50" borderId="1" xfId="0" applyFont="1" applyFill="1" applyBorder="1" applyAlignment="1">
      <alignment vertical="center" wrapText="1"/>
    </xf>
    <xf numFmtId="3" fontId="1" fillId="50" borderId="1" xfId="0" applyNumberFormat="1" applyFont="1" applyFill="1" applyBorder="1" applyAlignment="1">
      <alignment horizontal="left" vertical="center" wrapText="1"/>
    </xf>
    <xf numFmtId="3" fontId="9" fillId="50" borderId="1" xfId="0" applyNumberFormat="1" applyFont="1" applyFill="1" applyBorder="1" applyAlignment="1">
      <alignment horizontal="center"/>
    </xf>
    <xf numFmtId="3" fontId="1" fillId="50" borderId="1" xfId="0" applyNumberFormat="1" applyFont="1" applyFill="1" applyBorder="1" applyAlignment="1">
      <alignment horizontal="center" vertical="center" wrapText="1"/>
    </xf>
    <xf numFmtId="0" fontId="1" fillId="51" borderId="1" xfId="0" applyFont="1" applyFill="1" applyBorder="1" applyAlignment="1">
      <alignment vertical="center" wrapText="1"/>
    </xf>
    <xf numFmtId="3" fontId="1" fillId="51" borderId="1" xfId="0" applyNumberFormat="1" applyFont="1" applyFill="1" applyBorder="1" applyAlignment="1">
      <alignment horizontal="left" vertical="center" wrapText="1"/>
    </xf>
    <xf numFmtId="3" fontId="9" fillId="51" borderId="1" xfId="0" applyNumberFormat="1" applyFont="1" applyFill="1" applyBorder="1" applyAlignment="1">
      <alignment horizontal="center"/>
    </xf>
    <xf numFmtId="3" fontId="1" fillId="51" borderId="1" xfId="0" applyNumberFormat="1" applyFont="1" applyFill="1" applyBorder="1" applyAlignment="1">
      <alignment horizontal="center" vertical="center" wrapText="1"/>
    </xf>
    <xf numFmtId="0" fontId="1" fillId="13" borderId="1" xfId="0" applyFont="1" applyFill="1" applyBorder="1" applyAlignment="1">
      <alignment vertical="center" wrapText="1"/>
    </xf>
    <xf numFmtId="3" fontId="1" fillId="13" borderId="1" xfId="0" applyNumberFormat="1" applyFont="1" applyFill="1" applyBorder="1" applyAlignment="1">
      <alignment horizontal="left" vertical="center" wrapText="1"/>
    </xf>
    <xf numFmtId="3" fontId="9" fillId="13" borderId="1" xfId="0" applyNumberFormat="1" applyFont="1" applyFill="1" applyBorder="1" applyAlignment="1">
      <alignment horizontal="center"/>
    </xf>
    <xf numFmtId="3" fontId="1" fillId="13" borderId="1" xfId="0" applyNumberFormat="1" applyFont="1" applyFill="1" applyBorder="1" applyAlignment="1">
      <alignment horizontal="center" vertical="center" wrapText="1"/>
    </xf>
    <xf numFmtId="0" fontId="20" fillId="2" borderId="0" xfId="0" applyFont="1" applyFill="1" applyAlignment="1">
      <alignment wrapText="1"/>
    </xf>
    <xf numFmtId="0" fontId="15" fillId="2" borderId="1" xfId="0" applyFont="1" applyFill="1" applyBorder="1" applyAlignment="1">
      <alignment vertical="center" wrapText="1"/>
    </xf>
    <xf numFmtId="3" fontId="15" fillId="2" borderId="1" xfId="0" applyNumberFormat="1" applyFont="1" applyFill="1" applyBorder="1" applyAlignment="1">
      <alignment horizontal="left" vertical="center" wrapText="1"/>
    </xf>
    <xf numFmtId="3" fontId="15" fillId="2" borderId="1" xfId="0" applyNumberFormat="1" applyFont="1" applyFill="1" applyBorder="1" applyAlignment="1">
      <alignment horizontal="center"/>
    </xf>
    <xf numFmtId="3" fontId="15" fillId="2" borderId="1" xfId="0" applyNumberFormat="1" applyFont="1" applyFill="1" applyBorder="1" applyAlignment="1">
      <alignment horizontal="center" vertical="center" wrapText="1"/>
    </xf>
    <xf numFmtId="3" fontId="20" fillId="2" borderId="0" xfId="0" applyNumberFormat="1" applyFont="1" applyFill="1" applyBorder="1" applyAlignment="1">
      <alignment horizontal="center" wrapText="1"/>
    </xf>
    <xf numFmtId="3" fontId="20" fillId="2" borderId="0" xfId="0" applyNumberFormat="1" applyFont="1" applyFill="1" applyBorder="1" applyAlignment="1">
      <alignment horizontal="left"/>
    </xf>
    <xf numFmtId="3" fontId="20" fillId="2" borderId="0" xfId="0" applyNumberFormat="1" applyFont="1" applyFill="1" applyBorder="1" applyAlignment="1">
      <alignment horizontal="left" wrapText="1"/>
    </xf>
    <xf numFmtId="0" fontId="20" fillId="2" borderId="0" xfId="0" applyFont="1" applyFill="1" applyBorder="1" applyAlignment="1">
      <alignment wrapText="1"/>
    </xf>
    <xf numFmtId="0" fontId="20" fillId="2" borderId="0" xfId="0" applyFont="1" applyFill="1" applyBorder="1" applyAlignment="1">
      <alignment horizontal="center" wrapText="1"/>
    </xf>
    <xf numFmtId="3" fontId="6" fillId="2" borderId="0"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wrapText="1"/>
    </xf>
    <xf numFmtId="3" fontId="6" fillId="2" borderId="23" xfId="0" applyNumberFormat="1" applyFont="1" applyFill="1" applyBorder="1" applyAlignment="1">
      <alignment horizontal="center" vertical="center" wrapText="1"/>
    </xf>
    <xf numFmtId="3" fontId="1" fillId="2" borderId="23" xfId="0" applyNumberFormat="1" applyFont="1" applyFill="1" applyBorder="1" applyAlignment="1">
      <alignment horizontal="left" vertical="center" wrapText="1"/>
    </xf>
    <xf numFmtId="0" fontId="97" fillId="2" borderId="0" xfId="2" applyFont="1" applyFill="1" applyAlignment="1">
      <alignment vertical="center"/>
    </xf>
    <xf numFmtId="0" fontId="9" fillId="2" borderId="0" xfId="0" applyFont="1" applyFill="1" applyBorder="1" applyAlignment="1">
      <alignment vertical="center"/>
    </xf>
    <xf numFmtId="9" fontId="9" fillId="5" borderId="0" xfId="1" applyFont="1" applyFill="1" applyBorder="1" applyAlignment="1">
      <alignment horizontal="center" vertical="center"/>
    </xf>
    <xf numFmtId="9" fontId="6" fillId="2" borderId="0" xfId="1" applyFont="1" applyFill="1" applyBorder="1" applyAlignment="1">
      <alignment horizontal="center" vertical="center"/>
    </xf>
    <xf numFmtId="9" fontId="15" fillId="18" borderId="1" xfId="1" applyFont="1" applyFill="1" applyBorder="1" applyAlignment="1">
      <alignment horizontal="center" vertical="center"/>
    </xf>
    <xf numFmtId="0" fontId="9" fillId="2" borderId="1" xfId="0" applyFont="1" applyFill="1" applyBorder="1" applyAlignment="1"/>
    <xf numFmtId="0" fontId="9" fillId="0" borderId="1" xfId="0" applyFont="1" applyFill="1" applyBorder="1" applyAlignment="1">
      <alignment horizontal="center" wrapText="1"/>
    </xf>
    <xf numFmtId="0" fontId="41" fillId="28" borderId="1" xfId="2" applyFont="1" applyFill="1" applyBorder="1" applyAlignment="1"/>
    <xf numFmtId="9" fontId="9" fillId="28" borderId="1" xfId="0" applyNumberFormat="1" applyFont="1" applyFill="1" applyBorder="1" applyAlignment="1">
      <alignment horizontal="center"/>
    </xf>
    <xf numFmtId="0" fontId="41" fillId="27" borderId="1" xfId="2" applyFont="1" applyFill="1" applyBorder="1" applyAlignment="1"/>
    <xf numFmtId="9" fontId="9" fillId="27" borderId="1" xfId="0" applyNumberFormat="1" applyFont="1" applyFill="1" applyBorder="1" applyAlignment="1">
      <alignment horizontal="center"/>
    </xf>
    <xf numFmtId="0" fontId="41" fillId="29" borderId="1" xfId="2" applyFont="1" applyFill="1" applyBorder="1" applyAlignment="1"/>
    <xf numFmtId="9" fontId="9" fillId="29" borderId="1" xfId="0" applyNumberFormat="1" applyFont="1" applyFill="1" applyBorder="1" applyAlignment="1">
      <alignment horizontal="center"/>
    </xf>
    <xf numFmtId="0" fontId="41" fillId="30" borderId="1" xfId="0" applyFont="1" applyFill="1" applyBorder="1" applyAlignment="1"/>
    <xf numFmtId="9" fontId="9" fillId="30" borderId="1" xfId="0" applyNumberFormat="1" applyFont="1" applyFill="1" applyBorder="1" applyAlignment="1">
      <alignment horizontal="center"/>
    </xf>
    <xf numFmtId="0" fontId="49" fillId="26" borderId="1" xfId="2" applyFont="1" applyFill="1" applyBorder="1" applyAlignment="1"/>
    <xf numFmtId="9" fontId="49" fillId="26" borderId="1" xfId="0" applyNumberFormat="1" applyFont="1" applyFill="1" applyBorder="1" applyAlignment="1">
      <alignment horizontal="center"/>
    </xf>
    <xf numFmtId="0" fontId="41" fillId="25" borderId="1" xfId="2" applyFont="1" applyFill="1" applyBorder="1" applyAlignment="1"/>
    <xf numFmtId="9" fontId="9" fillId="25" borderId="1" xfId="0" applyNumberFormat="1" applyFont="1" applyFill="1" applyBorder="1" applyAlignment="1">
      <alignment horizontal="center"/>
    </xf>
    <xf numFmtId="9" fontId="15" fillId="2" borderId="1" xfId="0" applyNumberFormat="1" applyFont="1" applyFill="1" applyBorder="1" applyAlignment="1">
      <alignment horizontal="center"/>
    </xf>
    <xf numFmtId="0" fontId="6" fillId="22" borderId="1" xfId="0" applyFont="1" applyFill="1" applyBorder="1" applyAlignment="1"/>
    <xf numFmtId="9" fontId="15" fillId="2" borderId="1" xfId="1" applyFont="1" applyFill="1" applyBorder="1" applyAlignment="1">
      <alignment horizontal="center"/>
    </xf>
    <xf numFmtId="0" fontId="1" fillId="0" borderId="1" xfId="0" applyFont="1" applyFill="1" applyBorder="1" applyAlignment="1">
      <alignment horizontal="left" vertical="center"/>
    </xf>
    <xf numFmtId="9" fontId="1" fillId="0" borderId="1" xfId="1" applyFont="1" applyFill="1" applyBorder="1" applyAlignment="1">
      <alignment horizontal="left" vertical="center"/>
    </xf>
    <xf numFmtId="3" fontId="1" fillId="0" borderId="1" xfId="0" applyNumberFormat="1" applyFont="1" applyFill="1" applyBorder="1" applyAlignment="1">
      <alignment horizontal="left" vertical="center"/>
    </xf>
    <xf numFmtId="0" fontId="9" fillId="2" borderId="0" xfId="0" applyFont="1" applyFill="1" applyBorder="1" applyAlignment="1">
      <alignment horizontal="left" vertical="center"/>
    </xf>
    <xf numFmtId="3" fontId="1" fillId="0" borderId="0" xfId="0" applyNumberFormat="1" applyFont="1" applyFill="1" applyBorder="1" applyAlignment="1">
      <alignment horizontal="center" vertical="center"/>
    </xf>
    <xf numFmtId="9" fontId="15" fillId="18" borderId="25" xfId="1" applyFont="1" applyFill="1" applyBorder="1" applyAlignment="1">
      <alignment horizontal="center" vertical="center"/>
    </xf>
    <xf numFmtId="9" fontId="15" fillId="41" borderId="25" xfId="1" applyFont="1" applyFill="1" applyBorder="1" applyAlignment="1">
      <alignment horizontal="center" vertical="center"/>
    </xf>
    <xf numFmtId="3" fontId="9" fillId="0" borderId="0" xfId="0" applyNumberFormat="1" applyFont="1" applyFill="1" applyBorder="1" applyAlignment="1">
      <alignment horizontal="center" vertical="center"/>
    </xf>
    <xf numFmtId="3" fontId="8" fillId="0" borderId="1" xfId="0" applyNumberFormat="1" applyFont="1" applyFill="1" applyBorder="1" applyAlignment="1">
      <alignment horizontal="center" vertical="center"/>
    </xf>
    <xf numFmtId="3" fontId="41" fillId="0" borderId="1" xfId="0" applyNumberFormat="1" applyFont="1" applyFill="1" applyBorder="1" applyAlignment="1">
      <alignment horizontal="center" vertical="center"/>
    </xf>
    <xf numFmtId="0" fontId="9" fillId="2" borderId="1" xfId="0" applyFont="1" applyFill="1" applyBorder="1" applyAlignment="1">
      <alignment horizont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xf>
    <xf numFmtId="9" fontId="1" fillId="2" borderId="0" xfId="1" applyFont="1" applyFill="1" applyBorder="1" applyAlignment="1">
      <alignment horizontal="left" vertical="center"/>
    </xf>
    <xf numFmtId="0" fontId="6" fillId="52" borderId="0" xfId="0" applyFont="1" applyFill="1" applyAlignment="1">
      <alignment horizontal="right"/>
    </xf>
    <xf numFmtId="0" fontId="49" fillId="52" borderId="0" xfId="0" applyFont="1" applyFill="1" applyAlignment="1">
      <alignment horizontal="left"/>
    </xf>
    <xf numFmtId="0" fontId="9" fillId="23" borderId="1" xfId="0" applyFont="1" applyFill="1" applyBorder="1" applyAlignment="1">
      <alignment horizontal="left" vertical="center"/>
    </xf>
    <xf numFmtId="0" fontId="9" fillId="23" borderId="1" xfId="0" applyFont="1" applyFill="1" applyBorder="1" applyAlignment="1">
      <alignment horizontal="left" vertical="center" wrapText="1"/>
    </xf>
    <xf numFmtId="0" fontId="17" fillId="2" borderId="0" xfId="0" applyFont="1" applyFill="1" applyAlignment="1">
      <alignment horizontal="center"/>
    </xf>
    <xf numFmtId="0" fontId="9" fillId="2" borderId="1" xfId="0" applyFont="1" applyFill="1" applyBorder="1" applyAlignment="1">
      <alignment horizontal="center" vertical="center"/>
    </xf>
    <xf numFmtId="0" fontId="63" fillId="0" borderId="0" xfId="0" applyFont="1"/>
    <xf numFmtId="3" fontId="6" fillId="6" borderId="3" xfId="1" applyNumberFormat="1" applyFont="1" applyFill="1" applyBorder="1" applyAlignment="1">
      <alignment horizontal="center"/>
    </xf>
    <xf numFmtId="0" fontId="1" fillId="6" borderId="1" xfId="0" applyFont="1" applyFill="1" applyBorder="1"/>
    <xf numFmtId="0" fontId="47" fillId="0" borderId="0" xfId="0" applyFont="1" applyAlignment="1">
      <alignment horizontal="left" vertical="top"/>
    </xf>
    <xf numFmtId="0" fontId="47" fillId="0" borderId="0" xfId="0" applyFont="1"/>
    <xf numFmtId="0" fontId="98" fillId="0" borderId="0" xfId="0" applyFont="1"/>
    <xf numFmtId="0" fontId="99" fillId="0" borderId="0" xfId="0" applyFont="1"/>
    <xf numFmtId="0" fontId="100" fillId="0" borderId="0" xfId="0" applyFont="1"/>
    <xf numFmtId="0" fontId="47" fillId="0" borderId="6" xfId="0" applyFont="1" applyBorder="1"/>
    <xf numFmtId="0" fontId="6" fillId="0" borderId="24" xfId="0" applyFont="1" applyBorder="1" applyAlignment="1">
      <alignment horizontal="left"/>
    </xf>
    <xf numFmtId="0" fontId="47" fillId="0" borderId="4" xfId="0" applyFont="1" applyBorder="1"/>
    <xf numFmtId="0" fontId="6" fillId="0" borderId="13" xfId="0" applyFont="1" applyBorder="1" applyAlignment="1">
      <alignment horizontal="left"/>
    </xf>
    <xf numFmtId="0" fontId="47" fillId="0" borderId="5" xfId="0" applyFont="1" applyBorder="1"/>
    <xf numFmtId="0" fontId="6" fillId="0" borderId="14" xfId="0" applyFont="1" applyBorder="1" applyAlignment="1">
      <alignment horizontal="left"/>
    </xf>
    <xf numFmtId="1" fontId="8" fillId="2" borderId="0" xfId="0" applyNumberFormat="1" applyFont="1" applyFill="1" applyBorder="1" applyAlignment="1">
      <alignment horizontal="center" vertical="center"/>
    </xf>
    <xf numFmtId="0" fontId="41" fillId="54" borderId="1" xfId="2" applyFont="1" applyFill="1" applyBorder="1"/>
    <xf numFmtId="0" fontId="9" fillId="54" borderId="1" xfId="0" applyFont="1" applyFill="1" applyBorder="1" applyAlignment="1">
      <alignment horizontal="center" vertical="center"/>
    </xf>
    <xf numFmtId="1" fontId="9" fillId="54" borderId="1" xfId="0" applyNumberFormat="1" applyFont="1" applyFill="1" applyBorder="1" applyAlignment="1">
      <alignment horizontal="center" vertical="center"/>
    </xf>
    <xf numFmtId="9" fontId="9" fillId="54" borderId="1" xfId="0" applyNumberFormat="1" applyFont="1" applyFill="1" applyBorder="1" applyAlignment="1">
      <alignment horizontal="center" vertical="center"/>
    </xf>
    <xf numFmtId="3" fontId="9" fillId="54" borderId="1" xfId="0" applyNumberFormat="1" applyFont="1" applyFill="1" applyBorder="1" applyAlignment="1">
      <alignment horizontal="center" vertical="center"/>
    </xf>
    <xf numFmtId="0" fontId="41" fillId="55" borderId="1" xfId="2" applyFont="1" applyFill="1" applyBorder="1"/>
    <xf numFmtId="0" fontId="9" fillId="55" borderId="1" xfId="0" applyFont="1" applyFill="1" applyBorder="1" applyAlignment="1">
      <alignment horizontal="center" vertical="center"/>
    </xf>
    <xf numFmtId="1" fontId="9" fillId="55" borderId="1" xfId="0" applyNumberFormat="1" applyFont="1" applyFill="1" applyBorder="1" applyAlignment="1">
      <alignment horizontal="center" vertical="center"/>
    </xf>
    <xf numFmtId="9" fontId="9" fillId="55" borderId="1" xfId="0" applyNumberFormat="1" applyFont="1" applyFill="1" applyBorder="1" applyAlignment="1">
      <alignment horizontal="center" vertical="center"/>
    </xf>
    <xf numFmtId="3" fontId="9" fillId="55" borderId="1" xfId="0" applyNumberFormat="1" applyFont="1" applyFill="1" applyBorder="1" applyAlignment="1">
      <alignment horizontal="center" vertical="center"/>
    </xf>
    <xf numFmtId="0" fontId="41" fillId="56" borderId="1" xfId="2" applyFont="1" applyFill="1" applyBorder="1"/>
    <xf numFmtId="0" fontId="9" fillId="56" borderId="1" xfId="0" applyFont="1" applyFill="1" applyBorder="1" applyAlignment="1">
      <alignment horizontal="center" vertical="center"/>
    </xf>
    <xf numFmtId="1" fontId="9" fillId="56" borderId="1" xfId="0" applyNumberFormat="1" applyFont="1" applyFill="1" applyBorder="1" applyAlignment="1">
      <alignment horizontal="center" vertical="center"/>
    </xf>
    <xf numFmtId="9" fontId="9" fillId="56" borderId="1" xfId="0" applyNumberFormat="1" applyFont="1" applyFill="1" applyBorder="1" applyAlignment="1">
      <alignment horizontal="center" vertical="center"/>
    </xf>
    <xf numFmtId="3" fontId="9" fillId="56" borderId="1" xfId="0" applyNumberFormat="1" applyFont="1" applyFill="1" applyBorder="1" applyAlignment="1">
      <alignment horizontal="center" vertical="center"/>
    </xf>
    <xf numFmtId="0" fontId="15" fillId="54" borderId="0" xfId="0" applyFont="1" applyFill="1" applyAlignment="1">
      <alignment vertical="center"/>
    </xf>
    <xf numFmtId="3" fontId="15" fillId="54" borderId="0" xfId="0" applyNumberFormat="1" applyFont="1" applyFill="1" applyAlignment="1">
      <alignment horizontal="center" vertical="center"/>
    </xf>
    <xf numFmtId="9" fontId="15" fillId="54" borderId="0" xfId="1" applyFont="1" applyFill="1" applyAlignment="1">
      <alignment horizontal="center" vertical="center"/>
    </xf>
    <xf numFmtId="1" fontId="8" fillId="54" borderId="0" xfId="0" applyNumberFormat="1" applyFont="1" applyFill="1" applyAlignment="1">
      <alignment horizontal="center" vertical="center"/>
    </xf>
    <xf numFmtId="0" fontId="15" fillId="55" borderId="0" xfId="0" applyFont="1" applyFill="1" applyAlignment="1">
      <alignment vertical="center"/>
    </xf>
    <xf numFmtId="3" fontId="15" fillId="55" borderId="0" xfId="0" applyNumberFormat="1" applyFont="1" applyFill="1" applyAlignment="1">
      <alignment horizontal="center" vertical="center"/>
    </xf>
    <xf numFmtId="9" fontId="15" fillId="55" borderId="0" xfId="1" applyFont="1" applyFill="1" applyAlignment="1">
      <alignment horizontal="center" vertical="center"/>
    </xf>
    <xf numFmtId="1" fontId="8" fillId="55" borderId="0" xfId="0" applyNumberFormat="1" applyFont="1" applyFill="1" applyAlignment="1">
      <alignment horizontal="center" vertical="center"/>
    </xf>
    <xf numFmtId="0" fontId="15" fillId="56" borderId="0" xfId="0" applyFont="1" applyFill="1" applyAlignment="1">
      <alignment vertical="center"/>
    </xf>
    <xf numFmtId="3" fontId="15" fillId="56" borderId="0" xfId="0" applyNumberFormat="1" applyFont="1" applyFill="1" applyAlignment="1">
      <alignment horizontal="center" vertical="center"/>
    </xf>
    <xf numFmtId="9" fontId="15" fillId="56" borderId="0" xfId="1" applyFont="1" applyFill="1" applyAlignment="1">
      <alignment horizontal="center" vertical="center"/>
    </xf>
    <xf numFmtId="1" fontId="51" fillId="56" borderId="0" xfId="0" applyNumberFormat="1" applyFont="1" applyFill="1" applyAlignment="1">
      <alignment horizontal="center" vertical="center"/>
    </xf>
    <xf numFmtId="0" fontId="49" fillId="53" borderId="1" xfId="2" applyFont="1" applyFill="1" applyBorder="1"/>
    <xf numFmtId="0" fontId="49" fillId="53" borderId="1" xfId="0" applyFont="1" applyFill="1" applyBorder="1" applyAlignment="1">
      <alignment horizontal="center" vertical="center"/>
    </xf>
    <xf numFmtId="9" fontId="49" fillId="53" borderId="1" xfId="0" applyNumberFormat="1" applyFont="1" applyFill="1" applyBorder="1" applyAlignment="1">
      <alignment horizontal="center" vertical="center"/>
    </xf>
    <xf numFmtId="0" fontId="6" fillId="2" borderId="9" xfId="0" applyFont="1" applyFill="1" applyBorder="1" applyAlignment="1">
      <alignment horizontal="center" vertical="center"/>
    </xf>
    <xf numFmtId="9" fontId="6" fillId="2" borderId="9" xfId="1" applyFont="1" applyFill="1" applyBorder="1" applyAlignment="1">
      <alignment horizontal="center" vertical="center"/>
    </xf>
    <xf numFmtId="0" fontId="6" fillId="2" borderId="9" xfId="0" applyFont="1" applyFill="1" applyBorder="1" applyAlignment="1">
      <alignment vertical="center"/>
    </xf>
    <xf numFmtId="1" fontId="8" fillId="2" borderId="9" xfId="1" applyNumberFormat="1" applyFont="1" applyFill="1" applyBorder="1" applyAlignment="1">
      <alignment horizontal="center" vertical="center"/>
    </xf>
    <xf numFmtId="0" fontId="6" fillId="2" borderId="10" xfId="0" applyFont="1" applyFill="1" applyBorder="1" applyAlignment="1">
      <alignment vertical="center"/>
    </xf>
    <xf numFmtId="0" fontId="6" fillId="2" borderId="10" xfId="0" applyFont="1" applyFill="1" applyBorder="1" applyAlignment="1">
      <alignment horizontal="center" vertical="center"/>
    </xf>
    <xf numFmtId="9" fontId="6" fillId="2" borderId="10" xfId="1" applyFont="1" applyFill="1" applyBorder="1" applyAlignment="1">
      <alignment horizontal="center" vertical="center"/>
    </xf>
    <xf numFmtId="1" fontId="8" fillId="2" borderId="10" xfId="0" applyNumberFormat="1" applyFont="1" applyFill="1" applyBorder="1" applyAlignment="1">
      <alignment horizontal="center" vertical="center"/>
    </xf>
    <xf numFmtId="1" fontId="8" fillId="2" borderId="9" xfId="0" applyNumberFormat="1" applyFont="1" applyFill="1" applyBorder="1" applyAlignment="1">
      <alignment horizontal="center" vertical="center"/>
    </xf>
    <xf numFmtId="0" fontId="6" fillId="2" borderId="9" xfId="0" applyFont="1" applyFill="1" applyBorder="1"/>
    <xf numFmtId="0" fontId="6" fillId="2" borderId="9" xfId="0" applyFont="1" applyFill="1" applyBorder="1" applyAlignment="1">
      <alignment horizontal="center"/>
    </xf>
    <xf numFmtId="16" fontId="6" fillId="2" borderId="9" xfId="0" applyNumberFormat="1" applyFont="1" applyFill="1" applyBorder="1" applyAlignment="1">
      <alignment vertical="center"/>
    </xf>
    <xf numFmtId="166" fontId="6" fillId="2" borderId="1" xfId="0" applyNumberFormat="1" applyFont="1" applyFill="1" applyBorder="1" applyAlignment="1">
      <alignment horizontal="center" vertical="center"/>
    </xf>
    <xf numFmtId="9" fontId="6" fillId="41" borderId="1" xfId="1" applyFont="1" applyFill="1" applyBorder="1" applyAlignment="1">
      <alignment horizontal="center" vertical="center" wrapText="1"/>
    </xf>
    <xf numFmtId="9" fontId="6" fillId="41" borderId="1" xfId="0" applyNumberFormat="1" applyFont="1" applyFill="1" applyBorder="1" applyAlignment="1">
      <alignment horizontal="center" vertical="center"/>
    </xf>
    <xf numFmtId="164" fontId="6" fillId="2" borderId="0" xfId="0" applyNumberFormat="1" applyFont="1" applyFill="1" applyAlignment="1">
      <alignment horizontal="center"/>
    </xf>
    <xf numFmtId="166" fontId="6" fillId="2" borderId="0" xfId="0" applyNumberFormat="1" applyFont="1" applyFill="1" applyAlignment="1">
      <alignment horizontal="center"/>
    </xf>
    <xf numFmtId="164" fontId="6" fillId="2" borderId="0" xfId="0" applyNumberFormat="1" applyFont="1" applyFill="1" applyAlignment="1">
      <alignment horizontal="center" vertical="center"/>
    </xf>
    <xf numFmtId="0" fontId="53" fillId="53" borderId="0" xfId="2" applyFont="1" applyFill="1" applyBorder="1"/>
    <xf numFmtId="0" fontId="53" fillId="53" borderId="0" xfId="0" applyFont="1" applyFill="1" applyBorder="1" applyAlignment="1">
      <alignment horizontal="center" vertical="center"/>
    </xf>
    <xf numFmtId="9" fontId="53" fillId="53" borderId="0" xfId="0" applyNumberFormat="1" applyFont="1" applyFill="1" applyBorder="1" applyAlignment="1">
      <alignment horizontal="center" vertical="center"/>
    </xf>
    <xf numFmtId="1" fontId="53" fillId="53" borderId="0" xfId="0" applyNumberFormat="1" applyFont="1" applyFill="1" applyBorder="1" applyAlignment="1">
      <alignment horizontal="center" vertical="center"/>
    </xf>
    <xf numFmtId="1" fontId="49" fillId="53" borderId="1" xfId="0" applyNumberFormat="1" applyFont="1" applyFill="1" applyBorder="1" applyAlignment="1">
      <alignment horizontal="center" vertical="center"/>
    </xf>
    <xf numFmtId="3" fontId="53" fillId="53" borderId="0" xfId="0" applyNumberFormat="1" applyFont="1" applyFill="1" applyBorder="1" applyAlignment="1">
      <alignment horizontal="center" vertical="center"/>
    </xf>
    <xf numFmtId="9" fontId="6" fillId="2" borderId="0" xfId="1" applyFont="1" applyFill="1" applyAlignment="1">
      <alignment horizontal="center"/>
    </xf>
    <xf numFmtId="9" fontId="6" fillId="2" borderId="9" xfId="1" applyFont="1" applyFill="1" applyBorder="1" applyAlignment="1">
      <alignment horizontal="center"/>
    </xf>
    <xf numFmtId="0" fontId="1" fillId="2" borderId="0" xfId="0" applyFont="1" applyFill="1" applyBorder="1" applyAlignment="1">
      <alignment horizontal="center" vertical="center" textRotation="90"/>
    </xf>
    <xf numFmtId="0" fontId="26" fillId="2" borderId="2" xfId="0" applyFont="1" applyFill="1" applyBorder="1" applyAlignment="1">
      <alignment horizontal="left" vertical="center" wrapText="1"/>
    </xf>
    <xf numFmtId="0" fontId="26" fillId="2" borderId="10" xfId="0" applyFont="1" applyFill="1" applyBorder="1" applyAlignment="1">
      <alignment horizontal="left" vertical="center" wrapText="1"/>
    </xf>
    <xf numFmtId="0" fontId="25" fillId="2" borderId="1" xfId="0" applyFont="1" applyFill="1" applyBorder="1" applyAlignment="1">
      <alignment horizontal="left" vertical="top" wrapText="1"/>
    </xf>
    <xf numFmtId="0" fontId="25" fillId="2" borderId="2" xfId="0" applyFont="1" applyFill="1" applyBorder="1" applyAlignment="1">
      <alignment horizontal="left" vertical="top" wrapText="1"/>
    </xf>
    <xf numFmtId="49" fontId="26" fillId="2" borderId="0" xfId="0" applyNumberFormat="1" applyFont="1" applyFill="1" applyBorder="1" applyAlignment="1">
      <alignment horizontal="right" vertical="center" wrapText="1"/>
    </xf>
    <xf numFmtId="49" fontId="9" fillId="2" borderId="6" xfId="0" applyNumberFormat="1" applyFont="1" applyFill="1" applyBorder="1" applyAlignment="1">
      <alignment horizontal="right" vertical="center" wrapText="1"/>
    </xf>
    <xf numFmtId="49" fontId="9" fillId="2" borderId="7" xfId="0" applyNumberFormat="1" applyFont="1" applyFill="1" applyBorder="1" applyAlignment="1">
      <alignment horizontal="right" vertical="center" wrapText="1"/>
    </xf>
    <xf numFmtId="49" fontId="10" fillId="2" borderId="2" xfId="0" applyNumberFormat="1" applyFont="1" applyFill="1" applyBorder="1" applyAlignment="1">
      <alignment horizontal="right" vertical="center" wrapText="1"/>
    </xf>
    <xf numFmtId="49" fontId="10" fillId="2" borderId="10" xfId="0" applyNumberFormat="1" applyFont="1" applyFill="1" applyBorder="1" applyAlignment="1">
      <alignment horizontal="right" vertical="center" wrapText="1"/>
    </xf>
    <xf numFmtId="0" fontId="25" fillId="17" borderId="2" xfId="0" applyFont="1" applyFill="1" applyBorder="1" applyAlignment="1">
      <alignment horizontal="center"/>
    </xf>
    <xf numFmtId="0" fontId="25" fillId="17" borderId="10" xfId="0" applyFont="1" applyFill="1" applyBorder="1" applyAlignment="1">
      <alignment horizontal="center"/>
    </xf>
    <xf numFmtId="49" fontId="12" fillId="17" borderId="10" xfId="0" applyNumberFormat="1" applyFont="1" applyFill="1" applyBorder="1" applyAlignment="1">
      <alignment horizontal="right" vertical="center" wrapText="1"/>
    </xf>
    <xf numFmtId="0" fontId="25" fillId="5" borderId="2" xfId="0" applyFont="1" applyFill="1" applyBorder="1" applyAlignment="1">
      <alignment horizontal="center"/>
    </xf>
    <xf numFmtId="0" fontId="25" fillId="5" borderId="10" xfId="0" applyFont="1" applyFill="1" applyBorder="1" applyAlignment="1">
      <alignment horizontal="center"/>
    </xf>
    <xf numFmtId="49" fontId="12" fillId="5" borderId="10" xfId="0" applyNumberFormat="1" applyFont="1" applyFill="1" applyBorder="1" applyAlignment="1">
      <alignment horizontal="right" vertical="center" wrapText="1"/>
    </xf>
    <xf numFmtId="49" fontId="41" fillId="2" borderId="2" xfId="0" applyNumberFormat="1" applyFont="1" applyFill="1" applyBorder="1" applyAlignment="1">
      <alignment horizontal="right" vertical="center" wrapText="1"/>
    </xf>
    <xf numFmtId="49" fontId="41" fillId="2" borderId="10" xfId="0" applyNumberFormat="1" applyFont="1" applyFill="1" applyBorder="1" applyAlignment="1">
      <alignment horizontal="right" vertical="center" wrapText="1"/>
    </xf>
    <xf numFmtId="0" fontId="25" fillId="15" borderId="2" xfId="0" applyFont="1" applyFill="1" applyBorder="1" applyAlignment="1">
      <alignment horizontal="center"/>
    </xf>
    <xf numFmtId="0" fontId="25" fillId="15" borderId="10" xfId="0" applyFont="1" applyFill="1" applyBorder="1" applyAlignment="1">
      <alignment horizontal="center"/>
    </xf>
    <xf numFmtId="49" fontId="12" fillId="15" borderId="10" xfId="0" applyNumberFormat="1" applyFont="1" applyFill="1" applyBorder="1" applyAlignment="1">
      <alignment horizontal="right" vertical="center" wrapText="1"/>
    </xf>
    <xf numFmtId="0" fontId="25" fillId="16" borderId="2" xfId="0" applyFont="1" applyFill="1" applyBorder="1" applyAlignment="1">
      <alignment horizontal="center"/>
    </xf>
    <xf numFmtId="0" fontId="25" fillId="16" borderId="10" xfId="0" applyFont="1" applyFill="1" applyBorder="1" applyAlignment="1">
      <alignment horizontal="center"/>
    </xf>
    <xf numFmtId="49" fontId="12" fillId="16" borderId="10" xfId="0" applyNumberFormat="1" applyFont="1" applyFill="1" applyBorder="1" applyAlignment="1">
      <alignment horizontal="right" vertical="center" wrapText="1"/>
    </xf>
    <xf numFmtId="0" fontId="37" fillId="2" borderId="1" xfId="0" applyFont="1" applyFill="1" applyBorder="1" applyAlignment="1">
      <alignment horizontal="left" vertical="top" wrapText="1"/>
    </xf>
    <xf numFmtId="0" fontId="37" fillId="2" borderId="2" xfId="0" applyFont="1" applyFill="1" applyBorder="1" applyAlignment="1">
      <alignment horizontal="left" vertical="top" wrapText="1"/>
    </xf>
    <xf numFmtId="49" fontId="12" fillId="14" borderId="10" xfId="0" applyNumberFormat="1" applyFont="1" applyFill="1" applyBorder="1" applyAlignment="1">
      <alignment horizontal="right" vertical="center" wrapText="1"/>
    </xf>
    <xf numFmtId="0" fontId="25" fillId="14" borderId="2" xfId="0" applyFont="1" applyFill="1" applyBorder="1" applyAlignment="1">
      <alignment horizontal="center"/>
    </xf>
    <xf numFmtId="0" fontId="25" fillId="14" borderId="10" xfId="0" applyFont="1" applyFill="1" applyBorder="1" applyAlignment="1">
      <alignment horizontal="center"/>
    </xf>
    <xf numFmtId="0" fontId="25" fillId="13" borderId="2" xfId="0" applyFont="1" applyFill="1" applyBorder="1" applyAlignment="1">
      <alignment horizontal="center"/>
    </xf>
    <xf numFmtId="0" fontId="25" fillId="13" borderId="10" xfId="0" applyFont="1" applyFill="1" applyBorder="1" applyAlignment="1">
      <alignment horizontal="center"/>
    </xf>
    <xf numFmtId="49" fontId="12" fillId="13" borderId="10" xfId="0" applyNumberFormat="1" applyFont="1" applyFill="1" applyBorder="1" applyAlignment="1">
      <alignment horizontal="right" vertical="center" wrapText="1"/>
    </xf>
    <xf numFmtId="0" fontId="34" fillId="2" borderId="1" xfId="0" applyFont="1" applyFill="1" applyBorder="1" applyAlignment="1">
      <alignment horizontal="left" vertical="top" wrapText="1"/>
    </xf>
    <xf numFmtId="0" fontId="6" fillId="2" borderId="12" xfId="0" applyFont="1" applyFill="1" applyBorder="1" applyAlignment="1">
      <alignment horizontal="left" vertical="center" wrapText="1"/>
    </xf>
    <xf numFmtId="0" fontId="6" fillId="2" borderId="8" xfId="0" applyFont="1" applyFill="1" applyBorder="1" applyAlignment="1">
      <alignment horizontal="left" vertical="center" wrapText="1"/>
    </xf>
    <xf numFmtId="0" fontId="1" fillId="2" borderId="43" xfId="0" applyFont="1" applyFill="1" applyBorder="1" applyAlignment="1">
      <alignment horizontal="left" vertical="center" wrapText="1"/>
    </xf>
    <xf numFmtId="0" fontId="1" fillId="2" borderId="8"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42" xfId="0" applyFont="1" applyFill="1" applyBorder="1" applyAlignment="1">
      <alignment horizontal="left" vertical="center" wrapText="1"/>
    </xf>
    <xf numFmtId="0" fontId="41" fillId="0" borderId="2" xfId="0" applyFont="1" applyBorder="1" applyAlignment="1">
      <alignment horizontal="left" vertical="top" wrapText="1"/>
    </xf>
    <xf numFmtId="0" fontId="41" fillId="0" borderId="10" xfId="0" applyFont="1" applyBorder="1" applyAlignment="1">
      <alignment horizontal="left" vertical="top" wrapText="1"/>
    </xf>
    <xf numFmtId="0" fontId="41" fillId="0" borderId="3" xfId="0" applyFont="1" applyBorder="1" applyAlignment="1">
      <alignment horizontal="left" vertical="top" wrapText="1"/>
    </xf>
    <xf numFmtId="0" fontId="9" fillId="0" borderId="2" xfId="0" applyFont="1" applyBorder="1" applyAlignment="1">
      <alignment horizontal="left" vertical="top"/>
    </xf>
    <xf numFmtId="0" fontId="9" fillId="0" borderId="10" xfId="0" applyFont="1" applyBorder="1" applyAlignment="1">
      <alignment horizontal="left" vertical="top"/>
    </xf>
    <xf numFmtId="0" fontId="9" fillId="0" borderId="3" xfId="0" applyFont="1" applyBorder="1" applyAlignment="1">
      <alignment horizontal="left" vertical="top"/>
    </xf>
    <xf numFmtId="0" fontId="9" fillId="2" borderId="2"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2" xfId="0" applyFont="1" applyFill="1" applyBorder="1" applyAlignment="1">
      <alignment horizontal="left" wrapText="1"/>
    </xf>
    <xf numFmtId="0" fontId="9" fillId="2" borderId="10" xfId="0" applyFont="1" applyFill="1" applyBorder="1" applyAlignment="1">
      <alignment horizontal="left" wrapText="1"/>
    </xf>
    <xf numFmtId="0" fontId="9" fillId="2" borderId="3" xfId="0" applyFont="1" applyFill="1" applyBorder="1" applyAlignment="1">
      <alignment horizontal="left" wrapText="1"/>
    </xf>
    <xf numFmtId="0" fontId="9" fillId="17" borderId="0"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10" xfId="0" applyFont="1" applyFill="1" applyBorder="1" applyAlignment="1">
      <alignment horizontal="left" vertical="top" wrapText="1"/>
    </xf>
    <xf numFmtId="0" fontId="9" fillId="3" borderId="3"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3"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1" fillId="2" borderId="3" xfId="0" applyFont="1" applyFill="1" applyBorder="1" applyAlignment="1">
      <alignment horizontal="left" vertical="top"/>
    </xf>
    <xf numFmtId="0" fontId="33" fillId="2" borderId="47" xfId="0" applyFont="1" applyFill="1" applyBorder="1" applyAlignment="1">
      <alignment horizontal="center" vertical="center" wrapText="1"/>
    </xf>
    <xf numFmtId="0" fontId="47" fillId="2" borderId="12" xfId="0" applyFont="1" applyFill="1" applyBorder="1" applyAlignment="1">
      <alignment horizontal="left" vertical="center" wrapText="1"/>
    </xf>
    <xf numFmtId="0" fontId="47" fillId="2" borderId="42" xfId="0" applyFont="1" applyFill="1" applyBorder="1" applyAlignment="1">
      <alignment horizontal="left" vertical="center" wrapText="1"/>
    </xf>
    <xf numFmtId="9" fontId="47" fillId="2" borderId="43" xfId="1" applyFont="1" applyFill="1" applyBorder="1" applyAlignment="1">
      <alignment horizontal="left" vertical="center"/>
    </xf>
    <xf numFmtId="9" fontId="47" fillId="2" borderId="42" xfId="1" applyFont="1" applyFill="1" applyBorder="1" applyAlignment="1">
      <alignment horizontal="left" vertical="center"/>
    </xf>
    <xf numFmtId="9" fontId="1" fillId="0" borderId="6" xfId="1" applyFont="1" applyFill="1" applyBorder="1" applyAlignment="1">
      <alignment horizontal="center" vertical="top"/>
    </xf>
    <xf numFmtId="9" fontId="1" fillId="0" borderId="7" xfId="1" applyFont="1" applyFill="1" applyBorder="1" applyAlignment="1">
      <alignment horizontal="center" vertical="top"/>
    </xf>
    <xf numFmtId="9" fontId="1" fillId="0" borderId="24" xfId="1" applyFont="1" applyFill="1" applyBorder="1" applyAlignment="1">
      <alignment horizontal="center" vertical="top"/>
    </xf>
    <xf numFmtId="9" fontId="1" fillId="0" borderId="4" xfId="1" applyFont="1" applyFill="1" applyBorder="1" applyAlignment="1">
      <alignment horizontal="center" vertical="top"/>
    </xf>
    <xf numFmtId="9" fontId="1" fillId="0" borderId="0" xfId="1" applyFont="1" applyFill="1" applyBorder="1" applyAlignment="1">
      <alignment horizontal="center" vertical="top"/>
    </xf>
    <xf numFmtId="9" fontId="1" fillId="0" borderId="13" xfId="1" applyFont="1" applyFill="1" applyBorder="1" applyAlignment="1">
      <alignment horizontal="center" vertical="top"/>
    </xf>
    <xf numFmtId="9" fontId="1" fillId="0" borderId="5" xfId="1" applyFont="1" applyFill="1" applyBorder="1" applyAlignment="1">
      <alignment horizontal="center" vertical="top"/>
    </xf>
    <xf numFmtId="9" fontId="1" fillId="0" borderId="9" xfId="1" applyFont="1" applyFill="1" applyBorder="1" applyAlignment="1">
      <alignment horizontal="center" vertical="top"/>
    </xf>
    <xf numFmtId="9" fontId="1" fillId="0" borderId="14" xfId="1" applyFont="1" applyFill="1" applyBorder="1" applyAlignment="1">
      <alignment horizontal="center" vertical="top"/>
    </xf>
    <xf numFmtId="0" fontId="48" fillId="2" borderId="35" xfId="0" applyFont="1" applyFill="1" applyBorder="1" applyAlignment="1">
      <alignment horizontal="center"/>
    </xf>
    <xf numFmtId="0" fontId="48" fillId="2" borderId="28" xfId="0" applyFont="1" applyFill="1" applyBorder="1" applyAlignment="1">
      <alignment horizontal="center"/>
    </xf>
    <xf numFmtId="0" fontId="9" fillId="2" borderId="1" xfId="0" applyFont="1" applyFill="1" applyBorder="1" applyAlignment="1">
      <alignment horizontal="center"/>
    </xf>
    <xf numFmtId="0" fontId="1" fillId="22" borderId="1" xfId="0" applyFont="1" applyFill="1" applyBorder="1" applyAlignment="1">
      <alignment horizontal="left"/>
    </xf>
    <xf numFmtId="0" fontId="1" fillId="2" borderId="1" xfId="0" applyFont="1" applyFill="1" applyBorder="1" applyAlignment="1">
      <alignment horizontal="left"/>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3" xfId="0" applyFont="1" applyFill="1" applyBorder="1" applyAlignment="1">
      <alignment horizontal="center" vertical="center"/>
    </xf>
    <xf numFmtId="0" fontId="24" fillId="2" borderId="1" xfId="0" applyFont="1" applyFill="1" applyBorder="1" applyAlignment="1">
      <alignment horizontal="center" vertical="center" wrapText="1"/>
    </xf>
    <xf numFmtId="1" fontId="24" fillId="2" borderId="1" xfId="0" applyNumberFormat="1" applyFont="1" applyFill="1" applyBorder="1" applyAlignment="1">
      <alignment horizontal="center" vertical="center" wrapText="1"/>
    </xf>
    <xf numFmtId="0" fontId="9" fillId="23" borderId="1" xfId="0" applyFont="1" applyFill="1" applyBorder="1" applyAlignment="1">
      <alignment horizontal="center" vertical="center"/>
    </xf>
    <xf numFmtId="0" fontId="1" fillId="6" borderId="0" xfId="0" applyFont="1" applyFill="1" applyAlignment="1">
      <alignment horizontal="left" vertical="top"/>
    </xf>
    <xf numFmtId="3" fontId="49" fillId="53" borderId="1" xfId="0" applyNumberFormat="1" applyFont="1" applyFill="1" applyBorder="1" applyAlignment="1">
      <alignment horizontal="center" vertical="center"/>
    </xf>
    <xf numFmtId="3" fontId="6" fillId="2" borderId="9" xfId="0" applyNumberFormat="1" applyFont="1" applyFill="1" applyBorder="1" applyAlignment="1">
      <alignment horizontal="center" vertical="center"/>
    </xf>
    <xf numFmtId="3" fontId="6" fillId="2" borderId="0" xfId="0" applyNumberFormat="1" applyFont="1" applyFill="1" applyBorder="1" applyAlignment="1">
      <alignment horizontal="center" vertical="center"/>
    </xf>
    <xf numFmtId="3" fontId="6" fillId="2" borderId="10" xfId="0" applyNumberFormat="1" applyFont="1" applyFill="1" applyBorder="1" applyAlignment="1">
      <alignment horizontal="center" vertical="center"/>
    </xf>
    <xf numFmtId="3" fontId="6" fillId="2" borderId="9" xfId="0" applyNumberFormat="1" applyFont="1" applyFill="1" applyBorder="1" applyAlignment="1">
      <alignment horizontal="center"/>
    </xf>
  </cellXfs>
  <cellStyles count="6">
    <cellStyle name="Link" xfId="2" builtinId="8"/>
    <cellStyle name="Prozent" xfId="1" builtinId="5"/>
    <cellStyle name="Standard" xfId="0" builtinId="0"/>
    <cellStyle name="Standard 2" xfId="5"/>
    <cellStyle name="Standard 3" xfId="3"/>
    <cellStyle name="Währung" xfId="4" builtinId="4"/>
  </cellStyles>
  <dxfs count="70">
    <dxf>
      <fill>
        <patternFill>
          <bgColor rgb="FF00B050"/>
        </patternFill>
      </fill>
    </dxf>
    <dxf>
      <fill>
        <patternFill>
          <bgColor rgb="FF00B050"/>
        </patternFill>
      </fill>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
      <font>
        <b/>
        <i val="0"/>
      </font>
      <fill>
        <patternFill>
          <bgColor theme="5" tint="0.3999450666829432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CA0237"/>
      <color rgb="FF471D7A"/>
      <color rgb="FFF59C00"/>
      <color rgb="FFFFFF99"/>
      <color rgb="FFFFD400"/>
      <color rgb="FF99CCFF"/>
      <color rgb="FF009999"/>
      <color rgb="FF620D3B"/>
      <color rgb="FF4E8FCC"/>
      <color rgb="FF5FB5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Qualität_Ergebnis_HF!$I$30</c:f>
          <c:strCache>
            <c:ptCount val="1"/>
            <c:pt idx="0">
              <c:v>Erfüllungsgrad je Handlungsfeld (Gesamt: 0 %)</c:v>
            </c:pt>
          </c:strCache>
        </c:strRef>
      </c:tx>
      <c:layout>
        <c:manualLayout>
          <c:xMode val="edge"/>
          <c:yMode val="edge"/>
          <c:x val="2.0085498293528611E-2"/>
          <c:y val="2.0672633787141053E-2"/>
        </c:manualLayout>
      </c:layout>
      <c:overlay val="1"/>
      <c:txPr>
        <a:bodyPr/>
        <a:lstStyle/>
        <a:p>
          <a:pPr algn="l">
            <a:defRPr>
              <a:solidFill>
                <a:schemeClr val="tx1"/>
              </a:solidFill>
            </a:defRPr>
          </a:pPr>
          <a:endParaRPr lang="de-DE"/>
        </a:p>
      </c:txPr>
    </c:title>
    <c:autoTitleDeleted val="0"/>
    <c:plotArea>
      <c:layout>
        <c:manualLayout>
          <c:layoutTarget val="inner"/>
          <c:xMode val="edge"/>
          <c:yMode val="edge"/>
          <c:x val="0.22113011504606891"/>
          <c:y val="0.19153256245027683"/>
          <c:w val="0.56338529755502831"/>
          <c:h val="0.7473128628138791"/>
        </c:manualLayout>
      </c:layout>
      <c:radarChart>
        <c:radarStyle val="marker"/>
        <c:varyColors val="0"/>
        <c:ser>
          <c:idx val="0"/>
          <c:order val="0"/>
          <c:tx>
            <c:strRef>
              <c:f>Qualität_Ergebnis_HF!$I$30</c:f>
              <c:strCache>
                <c:ptCount val="1"/>
                <c:pt idx="0">
                  <c:v>Erfüllungsgrad je Handlungsfeld (Gesamt: 0 %)</c:v>
                </c:pt>
              </c:strCache>
            </c:strRef>
          </c:tx>
          <c:spPr>
            <a:ln w="38100">
              <a:noFill/>
              <a:prstDash val="sysDot"/>
            </a:ln>
          </c:spPr>
          <c:marker>
            <c:symbol val="circle"/>
            <c:size val="14"/>
            <c:spPr>
              <a:solidFill>
                <a:srgbClr val="FF0000"/>
              </a:solidFill>
              <a:ln w="38100">
                <a:solidFill>
                  <a:schemeClr val="bg1">
                    <a:lumMod val="50000"/>
                  </a:schemeClr>
                </a:solidFill>
                <a:prstDash val="sysDot"/>
              </a:ln>
            </c:spPr>
          </c:marker>
          <c:dPt>
            <c:idx val="0"/>
            <c:marker>
              <c:spPr>
                <a:solidFill>
                  <a:srgbClr val="FFD900"/>
                </a:solidFill>
                <a:ln w="38100">
                  <a:noFill/>
                  <a:prstDash val="sysDot"/>
                </a:ln>
              </c:spPr>
            </c:marker>
            <c:bubble3D val="0"/>
            <c:extLst>
              <c:ext xmlns:c16="http://schemas.microsoft.com/office/drawing/2014/chart" uri="{C3380CC4-5D6E-409C-BE32-E72D297353CC}">
                <c16:uniqueId val="{00000000-44AF-4373-B73B-819F749D4BD3}"/>
              </c:ext>
            </c:extLst>
          </c:dPt>
          <c:dPt>
            <c:idx val="1"/>
            <c:marker>
              <c:spPr>
                <a:solidFill>
                  <a:srgbClr val="A6FF00"/>
                </a:solidFill>
                <a:ln w="38100">
                  <a:noFill/>
                  <a:prstDash val="sysDot"/>
                </a:ln>
              </c:spPr>
            </c:marker>
            <c:bubble3D val="0"/>
            <c:extLst>
              <c:ext xmlns:c16="http://schemas.microsoft.com/office/drawing/2014/chart" uri="{C3380CC4-5D6E-409C-BE32-E72D297353CC}">
                <c16:uniqueId val="{00000001-44AF-4373-B73B-819F749D4BD3}"/>
              </c:ext>
            </c:extLst>
          </c:dPt>
          <c:dPt>
            <c:idx val="2"/>
            <c:marker>
              <c:spPr>
                <a:solidFill>
                  <a:srgbClr val="59FF40"/>
                </a:solidFill>
                <a:ln w="38100">
                  <a:noFill/>
                  <a:prstDash val="sysDot"/>
                </a:ln>
              </c:spPr>
            </c:marker>
            <c:bubble3D val="0"/>
            <c:extLst>
              <c:ext xmlns:c16="http://schemas.microsoft.com/office/drawing/2014/chart" uri="{C3380CC4-5D6E-409C-BE32-E72D297353CC}">
                <c16:uniqueId val="{00000002-44AF-4373-B73B-819F749D4BD3}"/>
              </c:ext>
            </c:extLst>
          </c:dPt>
          <c:dPt>
            <c:idx val="3"/>
            <c:marker>
              <c:spPr>
                <a:solidFill>
                  <a:srgbClr val="4DA6FF"/>
                </a:solidFill>
                <a:ln w="38100">
                  <a:noFill/>
                  <a:prstDash val="sysDot"/>
                </a:ln>
              </c:spPr>
            </c:marker>
            <c:bubble3D val="0"/>
            <c:extLst>
              <c:ext xmlns:c16="http://schemas.microsoft.com/office/drawing/2014/chart" uri="{C3380CC4-5D6E-409C-BE32-E72D297353CC}">
                <c16:uniqueId val="{00000003-44AF-4373-B73B-819F749D4BD3}"/>
              </c:ext>
            </c:extLst>
          </c:dPt>
          <c:dPt>
            <c:idx val="4"/>
            <c:marker>
              <c:spPr>
                <a:solidFill>
                  <a:srgbClr val="1F00CC"/>
                </a:solidFill>
                <a:ln w="38100">
                  <a:noFill/>
                  <a:prstDash val="sysDot"/>
                </a:ln>
              </c:spPr>
            </c:marker>
            <c:bubble3D val="0"/>
            <c:extLst>
              <c:ext xmlns:c16="http://schemas.microsoft.com/office/drawing/2014/chart" uri="{C3380CC4-5D6E-409C-BE32-E72D297353CC}">
                <c16:uniqueId val="{00000004-44AF-4373-B73B-819F749D4BD3}"/>
              </c:ext>
            </c:extLst>
          </c:dPt>
          <c:dPt>
            <c:idx val="5"/>
            <c:marker>
              <c:spPr>
                <a:solidFill>
                  <a:srgbClr val="FF8C00"/>
                </a:solidFill>
                <a:ln w="38100">
                  <a:noFill/>
                  <a:prstDash val="sysDot"/>
                </a:ln>
              </c:spPr>
            </c:marker>
            <c:bubble3D val="0"/>
            <c:extLst>
              <c:ext xmlns:c16="http://schemas.microsoft.com/office/drawing/2014/chart" uri="{C3380CC4-5D6E-409C-BE32-E72D297353CC}">
                <c16:uniqueId val="{00000005-44AF-4373-B73B-819F749D4BD3}"/>
              </c:ext>
            </c:extLst>
          </c:dPt>
          <c:cat>
            <c:strRef>
              <c:f>Qualität_Ergebnis_HF!$B$32:$B$37</c:f>
              <c:strCache>
                <c:ptCount val="6"/>
                <c:pt idx="0">
                  <c:v>A. Management</c:v>
                </c:pt>
                <c:pt idx="1">
                  <c:v>B. Kommunikation</c:v>
                </c:pt>
                <c:pt idx="2">
                  <c:v>C. Städtebau</c:v>
                </c:pt>
                <c:pt idx="3">
                  <c:v>D. Gebäude</c:v>
                </c:pt>
                <c:pt idx="4">
                  <c:v>E. Versorgung</c:v>
                </c:pt>
                <c:pt idx="5">
                  <c:v>F. Mobilität</c:v>
                </c:pt>
              </c:strCache>
            </c:strRef>
          </c:cat>
          <c:val>
            <c:numRef>
              <c:f>Qualität_Ergebnis_HF!$G$32:$G$37</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44AF-4373-B73B-819F749D4BD3}"/>
            </c:ext>
          </c:extLst>
        </c:ser>
        <c:dLbls>
          <c:showLegendKey val="0"/>
          <c:showVal val="0"/>
          <c:showCatName val="0"/>
          <c:showSerName val="0"/>
          <c:showPercent val="0"/>
          <c:showBubbleSize val="0"/>
        </c:dLbls>
        <c:axId val="138243456"/>
        <c:axId val="138257536"/>
      </c:radarChart>
      <c:catAx>
        <c:axId val="138243456"/>
        <c:scaling>
          <c:orientation val="minMax"/>
        </c:scaling>
        <c:delete val="0"/>
        <c:axPos val="b"/>
        <c:majorGridlines/>
        <c:numFmt formatCode="General" sourceLinked="0"/>
        <c:majorTickMark val="out"/>
        <c:minorTickMark val="none"/>
        <c:tickLblPos val="nextTo"/>
        <c:txPr>
          <a:bodyPr/>
          <a:lstStyle/>
          <a:p>
            <a:pPr>
              <a:defRPr sz="1100" b="1">
                <a:solidFill>
                  <a:schemeClr val="tx1"/>
                </a:solidFill>
                <a:latin typeface="Arial" panose="020B0604020202020204" pitchFamily="34" charset="0"/>
                <a:cs typeface="Arial" panose="020B0604020202020204" pitchFamily="34" charset="0"/>
              </a:defRPr>
            </a:pPr>
            <a:endParaRPr lang="de-DE"/>
          </a:p>
        </c:txPr>
        <c:crossAx val="138257536"/>
        <c:crosses val="autoZero"/>
        <c:auto val="1"/>
        <c:lblAlgn val="ctr"/>
        <c:lblOffset val="100"/>
        <c:noMultiLvlLbl val="0"/>
      </c:catAx>
      <c:valAx>
        <c:axId val="138257536"/>
        <c:scaling>
          <c:orientation val="minMax"/>
          <c:max val="1"/>
          <c:min val="0"/>
        </c:scaling>
        <c:delete val="0"/>
        <c:axPos val="l"/>
        <c:majorGridlines>
          <c:spPr>
            <a:ln w="12700">
              <a:solidFill>
                <a:schemeClr val="tx1"/>
              </a:solidFill>
              <a:prstDash val="solid"/>
            </a:ln>
          </c:spPr>
        </c:majorGridlines>
        <c:numFmt formatCode="0%" sourceLinked="1"/>
        <c:majorTickMark val="cross"/>
        <c:minorTickMark val="none"/>
        <c:tickLblPos val="high"/>
        <c:txPr>
          <a:bodyPr/>
          <a:lstStyle/>
          <a:p>
            <a:pPr>
              <a:defRPr>
                <a:solidFill>
                  <a:schemeClr val="tx1"/>
                </a:solidFill>
              </a:defRPr>
            </a:pPr>
            <a:endParaRPr lang="de-DE"/>
          </a:p>
        </c:txPr>
        <c:crossAx val="138243456"/>
        <c:crosses val="autoZero"/>
        <c:crossBetween val="between"/>
        <c:majorUnit val="0.25"/>
      </c:valAx>
      <c:spPr>
        <a:noFill/>
      </c:spPr>
    </c:plotArea>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Primärenergiebedarf gesamt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THG_Varianten!$B$16</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0E6E-40C6-AC9D-35E4F2C5A33E}"/>
              </c:ext>
            </c:extLst>
          </c:dPt>
          <c:cat>
            <c:strRef>
              <c:f>THG_Varianten!$C$15:$I$15</c:f>
              <c:strCache>
                <c:ptCount val="7"/>
                <c:pt idx="0">
                  <c:v>Bauordnung</c:v>
                </c:pt>
                <c:pt idx="1">
                  <c:v>Bestand</c:v>
                </c:pt>
                <c:pt idx="2">
                  <c:v>Planung</c:v>
                </c:pt>
                <c:pt idx="3">
                  <c:v>0</c:v>
                </c:pt>
                <c:pt idx="4">
                  <c:v>0</c:v>
                </c:pt>
                <c:pt idx="5">
                  <c:v>0</c:v>
                </c:pt>
                <c:pt idx="6">
                  <c:v>0</c:v>
                </c:pt>
              </c:strCache>
            </c:strRef>
          </c:cat>
          <c:val>
            <c:numRef>
              <c:f>THG_Varianten!$C$16:$I$16</c:f>
              <c:numCache>
                <c:formatCode>#,##0</c:formatCode>
                <c:ptCount val="7"/>
                <c:pt idx="0">
                  <c:v>0</c:v>
                </c:pt>
              </c:numCache>
            </c:numRef>
          </c:val>
          <c:extLst>
            <c:ext xmlns:c16="http://schemas.microsoft.com/office/drawing/2014/chart" uri="{C3380CC4-5D6E-409C-BE32-E72D297353CC}">
              <c16:uniqueId val="{00000002-0E6E-40C6-AC9D-35E4F2C5A33E}"/>
            </c:ext>
          </c:extLst>
        </c:ser>
        <c:ser>
          <c:idx val="1"/>
          <c:order val="1"/>
          <c:tx>
            <c:strRef>
              <c:f>THG_Varianten!$B$17</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0E6E-40C6-AC9D-35E4F2C5A33E}"/>
              </c:ext>
            </c:extLst>
          </c:dPt>
          <c:cat>
            <c:strRef>
              <c:f>THG_Varianten!$C$15:$I$15</c:f>
              <c:strCache>
                <c:ptCount val="7"/>
                <c:pt idx="0">
                  <c:v>Bauordnung</c:v>
                </c:pt>
                <c:pt idx="1">
                  <c:v>Bestand</c:v>
                </c:pt>
                <c:pt idx="2">
                  <c:v>Planung</c:v>
                </c:pt>
                <c:pt idx="3">
                  <c:v>0</c:v>
                </c:pt>
                <c:pt idx="4">
                  <c:v>0</c:v>
                </c:pt>
                <c:pt idx="5">
                  <c:v>0</c:v>
                </c:pt>
                <c:pt idx="6">
                  <c:v>0</c:v>
                </c:pt>
              </c:strCache>
            </c:strRef>
          </c:cat>
          <c:val>
            <c:numRef>
              <c:f>THG_Varianten!$C$17:$I$17</c:f>
              <c:numCache>
                <c:formatCode>#,##0</c:formatCode>
                <c:ptCount val="7"/>
                <c:pt idx="0">
                  <c:v>0</c:v>
                </c:pt>
              </c:numCache>
            </c:numRef>
          </c:val>
          <c:extLst>
            <c:ext xmlns:c16="http://schemas.microsoft.com/office/drawing/2014/chart" uri="{C3380CC4-5D6E-409C-BE32-E72D297353CC}">
              <c16:uniqueId val="{00000005-0E6E-40C6-AC9D-35E4F2C5A33E}"/>
            </c:ext>
          </c:extLst>
        </c:ser>
        <c:ser>
          <c:idx val="2"/>
          <c:order val="2"/>
          <c:tx>
            <c:strRef>
              <c:f>THG_Varianten!$B$18</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0E6E-40C6-AC9D-35E4F2C5A33E}"/>
              </c:ext>
            </c:extLst>
          </c:dPt>
          <c:cat>
            <c:strRef>
              <c:f>THG_Varianten!$C$15:$I$15</c:f>
              <c:strCache>
                <c:ptCount val="7"/>
                <c:pt idx="0">
                  <c:v>Bauordnung</c:v>
                </c:pt>
                <c:pt idx="1">
                  <c:v>Bestand</c:v>
                </c:pt>
                <c:pt idx="2">
                  <c:v>Planung</c:v>
                </c:pt>
                <c:pt idx="3">
                  <c:v>0</c:v>
                </c:pt>
                <c:pt idx="4">
                  <c:v>0</c:v>
                </c:pt>
                <c:pt idx="5">
                  <c:v>0</c:v>
                </c:pt>
                <c:pt idx="6">
                  <c:v>0</c:v>
                </c:pt>
              </c:strCache>
            </c:strRef>
          </c:cat>
          <c:val>
            <c:numRef>
              <c:f>THG_Varianten!$C$18:$I$18</c:f>
              <c:numCache>
                <c:formatCode>#,##0</c:formatCode>
                <c:ptCount val="7"/>
                <c:pt idx="0">
                  <c:v>0</c:v>
                </c:pt>
              </c:numCache>
            </c:numRef>
          </c:val>
          <c:extLst>
            <c:ext xmlns:c16="http://schemas.microsoft.com/office/drawing/2014/chart" uri="{C3380CC4-5D6E-409C-BE32-E72D297353CC}">
              <c16:uniqueId val="{00000008-0E6E-40C6-AC9D-35E4F2C5A33E}"/>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THG_Varianten!$B$20</c:f>
              <c:strCache>
                <c:ptCount val="1"/>
                <c:pt idx="0">
                  <c:v>Grenzwert</c:v>
                </c:pt>
              </c:strCache>
            </c:strRef>
          </c:tx>
          <c:spPr>
            <a:ln w="15875" cap="rnd">
              <a:noFill/>
              <a:prstDash val="solid"/>
              <a:round/>
            </a:ln>
            <a:effectLst/>
          </c:spPr>
          <c:marker>
            <c:symbol val="dash"/>
            <c:size val="12"/>
            <c:spPr>
              <a:solidFill>
                <a:srgbClr val="E6320F"/>
              </a:solidFill>
              <a:ln w="9525">
                <a:noFill/>
              </a:ln>
              <a:effectLst/>
            </c:spPr>
          </c:marker>
          <c:yVal>
            <c:numRef>
              <c:f>THG_Varianten!$C$20:$I$20</c:f>
              <c:numCache>
                <c:formatCode>#,##0</c:formatCode>
                <c:ptCount val="7"/>
                <c:pt idx="0">
                  <c:v>0</c:v>
                </c:pt>
              </c:numCache>
            </c:numRef>
          </c:yVal>
          <c:smooth val="0"/>
          <c:extLst>
            <c:ext xmlns:c16="http://schemas.microsoft.com/office/drawing/2014/chart" uri="{C3380CC4-5D6E-409C-BE32-E72D297353CC}">
              <c16:uniqueId val="{00000009-0E6E-40C6-AC9D-35E4F2C5A33E}"/>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PEB ges.</a:t>
                </a:r>
                <a:r>
                  <a:rPr lang="de-AT" baseline="0"/>
                  <a:t> [W/(P·a)]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THG-Emissionen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THG_Portfolio!$C$21</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7EEF-4B40-9F84-19FA56DD4268}"/>
              </c:ext>
            </c:extLst>
          </c:dPt>
          <c:cat>
            <c:numRef>
              <c:f>THG_Portfolio!$D$20:$N$20</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THG_Portfolio!$D$21:$N$21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7EEF-4B40-9F84-19FA56DD4268}"/>
            </c:ext>
          </c:extLst>
        </c:ser>
        <c:ser>
          <c:idx val="1"/>
          <c:order val="1"/>
          <c:tx>
            <c:strRef>
              <c:f>THG_Portfolio!$C$22</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7EEF-4B40-9F84-19FA56DD4268}"/>
              </c:ext>
            </c:extLst>
          </c:dPt>
          <c:cat>
            <c:numRef>
              <c:f>THG_Portfolio!$D$20:$N$20</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THG_Portfolio!$D$22:$N$22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7EEF-4B40-9F84-19FA56DD4268}"/>
            </c:ext>
          </c:extLst>
        </c:ser>
        <c:ser>
          <c:idx val="2"/>
          <c:order val="2"/>
          <c:tx>
            <c:strRef>
              <c:f>THG_Portfolio!$C$23</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7EEF-4B40-9F84-19FA56DD4268}"/>
              </c:ext>
            </c:extLst>
          </c:dPt>
          <c:cat>
            <c:numRef>
              <c:f>THG_Portfolio!$D$20:$N$20</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THG_Portfolio!$D$23:$N$23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7EEF-4B40-9F84-19FA56DD4268}"/>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THG_Portfolio!$C$25</c:f>
              <c:strCache>
                <c:ptCount val="1"/>
                <c:pt idx="0">
                  <c:v>Grenzwert</c:v>
                </c:pt>
              </c:strCache>
            </c:strRef>
          </c:tx>
          <c:spPr>
            <a:ln w="28575" cap="rnd">
              <a:solidFill>
                <a:srgbClr val="E6320F"/>
              </a:solidFill>
              <a:round/>
            </a:ln>
            <a:effectLst/>
          </c:spPr>
          <c:marker>
            <c:symbol val="none"/>
          </c:marker>
          <c:yVal>
            <c:numRef>
              <c:f>THG_Portfolio!$D$25:$N$25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9-7EEF-4B40-9F84-19FA56DD4268}"/>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THG-E</a:t>
                </a:r>
                <a:r>
                  <a:rPr lang="de-AT" baseline="0"/>
                  <a:t> [kg CO2-eq./(P·a)]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Primärenergiebedarf gesamt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THG_Portfolio!$C$29</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AACC-40B0-BA1B-A2E16F3A4526}"/>
              </c:ext>
            </c:extLst>
          </c:dPt>
          <c:cat>
            <c:numRef>
              <c:f>THG_Portfolio!$D$28:$N$28</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THG_Portfolio!$D$29:$N$29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AACC-40B0-BA1B-A2E16F3A4526}"/>
            </c:ext>
          </c:extLst>
        </c:ser>
        <c:ser>
          <c:idx val="1"/>
          <c:order val="1"/>
          <c:tx>
            <c:strRef>
              <c:f>THG_Portfolio!$C$30</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AACC-40B0-BA1B-A2E16F3A4526}"/>
              </c:ext>
            </c:extLst>
          </c:dPt>
          <c:cat>
            <c:numRef>
              <c:f>THG_Portfolio!$D$28:$N$28</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THG_Portfolio!$D$30:$N$30</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AACC-40B0-BA1B-A2E16F3A4526}"/>
            </c:ext>
          </c:extLst>
        </c:ser>
        <c:ser>
          <c:idx val="2"/>
          <c:order val="2"/>
          <c:tx>
            <c:strRef>
              <c:f>THG_Portfolio!$C$31</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AACC-40B0-BA1B-A2E16F3A4526}"/>
              </c:ext>
            </c:extLst>
          </c:dPt>
          <c:cat>
            <c:numRef>
              <c:f>THG_Portfolio!$D$28:$N$28</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THG_Portfolio!$D$31:$N$31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AACC-40B0-BA1B-A2E16F3A4526}"/>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THG_Portfolio!$C$33</c:f>
              <c:strCache>
                <c:ptCount val="1"/>
                <c:pt idx="0">
                  <c:v>Grenzwert</c:v>
                </c:pt>
              </c:strCache>
            </c:strRef>
          </c:tx>
          <c:spPr>
            <a:ln w="28575" cap="rnd">
              <a:solidFill>
                <a:srgbClr val="E6320F"/>
              </a:solidFill>
              <a:round/>
            </a:ln>
            <a:effectLst/>
          </c:spPr>
          <c:marker>
            <c:symbol val="none"/>
          </c:marker>
          <c:yVal>
            <c:numRef>
              <c:f>THG_Portfolio!$D$33:$N$33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9-AACC-40B0-BA1B-A2E16F3A4526}"/>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PEB ges.</a:t>
                </a:r>
                <a:r>
                  <a:rPr lang="de-AT" baseline="0"/>
                  <a:t> [W/(P·a)]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Qualität_Ergebnis_ZG!$I$30</c:f>
          <c:strCache>
            <c:ptCount val="1"/>
            <c:pt idx="0">
              <c:v>Erfüllungsgrad je Handlungsfeld (Gesamt: 0 %)</c:v>
            </c:pt>
          </c:strCache>
        </c:strRef>
      </c:tx>
      <c:layout>
        <c:manualLayout>
          <c:xMode val="edge"/>
          <c:yMode val="edge"/>
          <c:x val="2.0085498293528611E-2"/>
          <c:y val="2.0672633787141053E-2"/>
        </c:manualLayout>
      </c:layout>
      <c:overlay val="1"/>
      <c:txPr>
        <a:bodyPr/>
        <a:lstStyle/>
        <a:p>
          <a:pPr algn="l">
            <a:defRPr>
              <a:solidFill>
                <a:schemeClr val="tx1"/>
              </a:solidFill>
            </a:defRPr>
          </a:pPr>
          <a:endParaRPr lang="de-DE"/>
        </a:p>
      </c:txPr>
    </c:title>
    <c:autoTitleDeleted val="0"/>
    <c:plotArea>
      <c:layout>
        <c:manualLayout>
          <c:layoutTarget val="inner"/>
          <c:xMode val="edge"/>
          <c:yMode val="edge"/>
          <c:x val="0.22113005520741513"/>
          <c:y val="0.21407366863965524"/>
          <c:w val="0.50820976252806882"/>
          <c:h val="0.66643911848308457"/>
        </c:manualLayout>
      </c:layout>
      <c:radarChart>
        <c:radarStyle val="marker"/>
        <c:varyColors val="0"/>
        <c:ser>
          <c:idx val="0"/>
          <c:order val="0"/>
          <c:tx>
            <c:strRef>
              <c:f>Qualität_Ergebnis_ZG!$I$30</c:f>
              <c:strCache>
                <c:ptCount val="1"/>
                <c:pt idx="0">
                  <c:v>Erfüllungsgrad je Handlungsfeld (Gesamt: 0 %)</c:v>
                </c:pt>
              </c:strCache>
            </c:strRef>
          </c:tx>
          <c:spPr>
            <a:ln w="38100">
              <a:noFill/>
              <a:prstDash val="sysDot"/>
            </a:ln>
          </c:spPr>
          <c:marker>
            <c:symbol val="circle"/>
            <c:size val="14"/>
            <c:spPr>
              <a:solidFill>
                <a:srgbClr val="FF0000"/>
              </a:solidFill>
              <a:ln w="38100">
                <a:solidFill>
                  <a:schemeClr val="bg1">
                    <a:lumMod val="50000"/>
                  </a:schemeClr>
                </a:solidFill>
                <a:prstDash val="sysDot"/>
              </a:ln>
            </c:spPr>
          </c:marker>
          <c:dPt>
            <c:idx val="0"/>
            <c:marker>
              <c:spPr>
                <a:solidFill>
                  <a:srgbClr val="CA0237"/>
                </a:solidFill>
                <a:ln w="38100">
                  <a:noFill/>
                  <a:prstDash val="sysDot"/>
                </a:ln>
              </c:spPr>
            </c:marker>
            <c:bubble3D val="0"/>
            <c:extLst>
              <c:ext xmlns:c16="http://schemas.microsoft.com/office/drawing/2014/chart" uri="{C3380CC4-5D6E-409C-BE32-E72D297353CC}">
                <c16:uniqueId val="{00000000-C6E7-4C9D-B851-F1147E7D794D}"/>
              </c:ext>
            </c:extLst>
          </c:dPt>
          <c:dPt>
            <c:idx val="1"/>
            <c:marker>
              <c:spPr>
                <a:solidFill>
                  <a:schemeClr val="bg2">
                    <a:lumMod val="90000"/>
                  </a:schemeClr>
                </a:solidFill>
                <a:ln w="12700">
                  <a:solidFill>
                    <a:schemeClr val="tx1"/>
                  </a:solidFill>
                  <a:prstDash val="solid"/>
                </a:ln>
              </c:spPr>
            </c:marker>
            <c:bubble3D val="0"/>
            <c:extLst>
              <c:ext xmlns:c16="http://schemas.microsoft.com/office/drawing/2014/chart" uri="{C3380CC4-5D6E-409C-BE32-E72D297353CC}">
                <c16:uniqueId val="{00000001-C6E7-4C9D-B851-F1147E7D794D}"/>
              </c:ext>
            </c:extLst>
          </c:dPt>
          <c:dPt>
            <c:idx val="2"/>
            <c:marker>
              <c:spPr>
                <a:solidFill>
                  <a:schemeClr val="bg2">
                    <a:lumMod val="75000"/>
                  </a:schemeClr>
                </a:solidFill>
                <a:ln w="38100">
                  <a:noFill/>
                  <a:prstDash val="sysDot"/>
                </a:ln>
              </c:spPr>
            </c:marker>
            <c:bubble3D val="0"/>
            <c:extLst>
              <c:ext xmlns:c16="http://schemas.microsoft.com/office/drawing/2014/chart" uri="{C3380CC4-5D6E-409C-BE32-E72D297353CC}">
                <c16:uniqueId val="{00000002-C6E7-4C9D-B851-F1147E7D794D}"/>
              </c:ext>
            </c:extLst>
          </c:dPt>
          <c:dPt>
            <c:idx val="3"/>
            <c:marker>
              <c:spPr>
                <a:solidFill>
                  <a:schemeClr val="bg2">
                    <a:lumMod val="50000"/>
                  </a:schemeClr>
                </a:solidFill>
                <a:ln w="38100">
                  <a:noFill/>
                  <a:prstDash val="sysDot"/>
                </a:ln>
              </c:spPr>
            </c:marker>
            <c:bubble3D val="0"/>
            <c:extLst>
              <c:ext xmlns:c16="http://schemas.microsoft.com/office/drawing/2014/chart" uri="{C3380CC4-5D6E-409C-BE32-E72D297353CC}">
                <c16:uniqueId val="{00000003-C6E7-4C9D-B851-F1147E7D794D}"/>
              </c:ext>
            </c:extLst>
          </c:dPt>
          <c:dPt>
            <c:idx val="4"/>
            <c:marker>
              <c:spPr>
                <a:solidFill>
                  <a:srgbClr val="1F00CC"/>
                </a:solidFill>
                <a:ln w="38100">
                  <a:noFill/>
                  <a:prstDash val="sysDot"/>
                </a:ln>
              </c:spPr>
            </c:marker>
            <c:bubble3D val="0"/>
            <c:extLst>
              <c:ext xmlns:c16="http://schemas.microsoft.com/office/drawing/2014/chart" uri="{C3380CC4-5D6E-409C-BE32-E72D297353CC}">
                <c16:uniqueId val="{00000004-C6E7-4C9D-B851-F1147E7D794D}"/>
              </c:ext>
            </c:extLst>
          </c:dPt>
          <c:dPt>
            <c:idx val="5"/>
            <c:marker>
              <c:spPr>
                <a:solidFill>
                  <a:srgbClr val="FF8C00"/>
                </a:solidFill>
                <a:ln w="38100">
                  <a:noFill/>
                  <a:prstDash val="sysDot"/>
                </a:ln>
              </c:spPr>
            </c:marker>
            <c:bubble3D val="0"/>
            <c:extLst>
              <c:ext xmlns:c16="http://schemas.microsoft.com/office/drawing/2014/chart" uri="{C3380CC4-5D6E-409C-BE32-E72D297353CC}">
                <c16:uniqueId val="{00000005-C6E7-4C9D-B851-F1147E7D794D}"/>
              </c:ext>
            </c:extLst>
          </c:dPt>
          <c:cat>
            <c:strRef>
              <c:f>Qualität_Ergebnis_ZG!$B$32:$B$35</c:f>
              <c:strCache>
                <c:ptCount val="4"/>
                <c:pt idx="0">
                  <c:v>Potential/Qualität Standort</c:v>
                </c:pt>
                <c:pt idx="1">
                  <c:v>Qualität durch Bauträger beinflussbar</c:v>
                </c:pt>
                <c:pt idx="2">
                  <c:v>Qualität durch Gemeinde beinflussbar</c:v>
                </c:pt>
                <c:pt idx="3">
                  <c:v>Qualität durch StGr. beeinflussbar</c:v>
                </c:pt>
              </c:strCache>
            </c:strRef>
          </c:cat>
          <c:val>
            <c:numRef>
              <c:f>Qualität_Ergebnis_ZG!$G$32:$G$35</c:f>
              <c:numCache>
                <c:formatCode>0%</c:formatCode>
                <c:ptCount val="4"/>
                <c:pt idx="0">
                  <c:v>0</c:v>
                </c:pt>
                <c:pt idx="1">
                  <c:v>0</c:v>
                </c:pt>
                <c:pt idx="2">
                  <c:v>0</c:v>
                </c:pt>
                <c:pt idx="3">
                  <c:v>0</c:v>
                </c:pt>
              </c:numCache>
            </c:numRef>
          </c:val>
          <c:extLst>
            <c:ext xmlns:c16="http://schemas.microsoft.com/office/drawing/2014/chart" uri="{C3380CC4-5D6E-409C-BE32-E72D297353CC}">
              <c16:uniqueId val="{00000006-C6E7-4C9D-B851-F1147E7D794D}"/>
            </c:ext>
          </c:extLst>
        </c:ser>
        <c:dLbls>
          <c:showLegendKey val="0"/>
          <c:showVal val="0"/>
          <c:showCatName val="0"/>
          <c:showSerName val="0"/>
          <c:showPercent val="0"/>
          <c:showBubbleSize val="0"/>
        </c:dLbls>
        <c:axId val="138243456"/>
        <c:axId val="138257536"/>
      </c:radarChart>
      <c:catAx>
        <c:axId val="138243456"/>
        <c:scaling>
          <c:orientation val="minMax"/>
        </c:scaling>
        <c:delete val="0"/>
        <c:axPos val="b"/>
        <c:majorGridlines/>
        <c:numFmt formatCode="General" sourceLinked="0"/>
        <c:majorTickMark val="out"/>
        <c:minorTickMark val="none"/>
        <c:tickLblPos val="nextTo"/>
        <c:txPr>
          <a:bodyPr/>
          <a:lstStyle/>
          <a:p>
            <a:pPr>
              <a:defRPr sz="1100" b="1">
                <a:solidFill>
                  <a:schemeClr val="tx1"/>
                </a:solidFill>
                <a:latin typeface="Arial" panose="020B0604020202020204" pitchFamily="34" charset="0"/>
                <a:cs typeface="Arial" panose="020B0604020202020204" pitchFamily="34" charset="0"/>
              </a:defRPr>
            </a:pPr>
            <a:endParaRPr lang="de-DE"/>
          </a:p>
        </c:txPr>
        <c:crossAx val="138257536"/>
        <c:crosses val="autoZero"/>
        <c:auto val="1"/>
        <c:lblAlgn val="ctr"/>
        <c:lblOffset val="100"/>
        <c:noMultiLvlLbl val="0"/>
      </c:catAx>
      <c:valAx>
        <c:axId val="138257536"/>
        <c:scaling>
          <c:orientation val="minMax"/>
          <c:max val="1"/>
          <c:min val="0"/>
        </c:scaling>
        <c:delete val="0"/>
        <c:axPos val="l"/>
        <c:majorGridlines>
          <c:spPr>
            <a:ln w="12700">
              <a:solidFill>
                <a:schemeClr val="tx1"/>
              </a:solidFill>
              <a:prstDash val="solid"/>
            </a:ln>
          </c:spPr>
        </c:majorGridlines>
        <c:numFmt formatCode="0%" sourceLinked="1"/>
        <c:majorTickMark val="cross"/>
        <c:minorTickMark val="none"/>
        <c:tickLblPos val="high"/>
        <c:txPr>
          <a:bodyPr/>
          <a:lstStyle/>
          <a:p>
            <a:pPr>
              <a:defRPr>
                <a:solidFill>
                  <a:schemeClr val="tx1"/>
                </a:solidFill>
              </a:defRPr>
            </a:pPr>
            <a:endParaRPr lang="de-DE"/>
          </a:p>
        </c:txPr>
        <c:crossAx val="138243456"/>
        <c:crosses val="autoZero"/>
        <c:crossBetween val="between"/>
        <c:majorUnit val="0.25"/>
      </c:valAx>
      <c:spPr>
        <a:noFill/>
      </c:spPr>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AT" sz="1800" b="1">
                <a:solidFill>
                  <a:sysClr val="windowText" lastClr="000000"/>
                </a:solidFill>
              </a:rPr>
              <a:t>Erfüllungsgrad je Handlungsfeld und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de-DE"/>
        </a:p>
      </c:txPr>
    </c:title>
    <c:autoTitleDeleted val="0"/>
    <c:plotArea>
      <c:layout/>
      <c:barChart>
        <c:barDir val="col"/>
        <c:grouping val="clustered"/>
        <c:varyColors val="0"/>
        <c:ser>
          <c:idx val="0"/>
          <c:order val="0"/>
          <c:tx>
            <c:strRef>
              <c:f>Qualität_Varianten!$C$6</c:f>
              <c:strCache>
                <c:ptCount val="1"/>
                <c:pt idx="0">
                  <c:v>Bauordnung</c:v>
                </c:pt>
              </c:strCache>
            </c:strRef>
          </c:tx>
          <c:spPr>
            <a:solidFill>
              <a:srgbClr val="CA0237"/>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0-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Qualität_Varianten!$C$7:$C$13</c:f>
              <c:numCache>
                <c:formatCode>0%</c:formatCode>
                <c:ptCount val="7"/>
                <c:pt idx="0">
                  <c:v>0.18</c:v>
                </c:pt>
                <c:pt idx="1">
                  <c:v>7.0000000000000007E-2</c:v>
                </c:pt>
                <c:pt idx="2">
                  <c:v>0.33</c:v>
                </c:pt>
                <c:pt idx="3">
                  <c:v>0.04</c:v>
                </c:pt>
                <c:pt idx="4">
                  <c:v>0.22</c:v>
                </c:pt>
                <c:pt idx="5">
                  <c:v>0.16</c:v>
                </c:pt>
                <c:pt idx="6">
                  <c:v>0.15</c:v>
                </c:pt>
              </c:numCache>
            </c:numRef>
          </c:val>
          <c:extLst>
            <c:ext xmlns:c16="http://schemas.microsoft.com/office/drawing/2014/chart" uri="{C3380CC4-5D6E-409C-BE32-E72D297353CC}">
              <c16:uniqueId val="{00000001-C899-47F4-A4B3-52815A607C49}"/>
            </c:ext>
          </c:extLst>
        </c:ser>
        <c:ser>
          <c:idx val="1"/>
          <c:order val="1"/>
          <c:tx>
            <c:strRef>
              <c:f>Qualität_Varianten!$D$6</c:f>
              <c:strCache>
                <c:ptCount val="1"/>
                <c:pt idx="0">
                  <c:v>Bestand</c:v>
                </c:pt>
              </c:strCache>
            </c:strRef>
          </c:tx>
          <c:spPr>
            <a:solidFill>
              <a:srgbClr val="F59C00"/>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1-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Qualität_Varianten!$D$7:$D$13</c:f>
              <c:numCache>
                <c:formatCode>0%</c:formatCode>
                <c:ptCount val="7"/>
              </c:numCache>
            </c:numRef>
          </c:val>
          <c:extLst>
            <c:ext xmlns:c16="http://schemas.microsoft.com/office/drawing/2014/chart" uri="{C3380CC4-5D6E-409C-BE32-E72D297353CC}">
              <c16:uniqueId val="{00000003-C899-47F4-A4B3-52815A607C49}"/>
            </c:ext>
          </c:extLst>
        </c:ser>
        <c:ser>
          <c:idx val="2"/>
          <c:order val="2"/>
          <c:tx>
            <c:strRef>
              <c:f>Qualität_Varianten!$E$6</c:f>
              <c:strCache>
                <c:ptCount val="1"/>
                <c:pt idx="0">
                  <c:v>Planung</c:v>
                </c:pt>
              </c:strCache>
            </c:strRef>
          </c:tx>
          <c:spPr>
            <a:solidFill>
              <a:srgbClr val="5FB564"/>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4-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Qualität_Varianten!$E$7:$E$13</c:f>
              <c:numCache>
                <c:formatCode>0%</c:formatCode>
                <c:ptCount val="7"/>
              </c:numCache>
            </c:numRef>
          </c:val>
          <c:extLst>
            <c:ext xmlns:c16="http://schemas.microsoft.com/office/drawing/2014/chart" uri="{C3380CC4-5D6E-409C-BE32-E72D297353CC}">
              <c16:uniqueId val="{00000005-C899-47F4-A4B3-52815A607C49}"/>
            </c:ext>
          </c:extLst>
        </c:ser>
        <c:ser>
          <c:idx val="3"/>
          <c:order val="3"/>
          <c:tx>
            <c:strRef>
              <c:f>Qualität_Varianten!$F$6</c:f>
              <c:strCache>
                <c:ptCount val="1"/>
              </c:strCache>
            </c:strRef>
          </c:tx>
          <c:spPr>
            <a:solidFill>
              <a:srgbClr val="4E8FCC"/>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2-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Qualität_Varianten!$F$7:$F$13</c:f>
              <c:numCache>
                <c:formatCode>0%</c:formatCode>
                <c:ptCount val="7"/>
              </c:numCache>
            </c:numRef>
          </c:val>
          <c:extLst>
            <c:ext xmlns:c16="http://schemas.microsoft.com/office/drawing/2014/chart" uri="{C3380CC4-5D6E-409C-BE32-E72D297353CC}">
              <c16:uniqueId val="{00000006-C899-47F4-A4B3-52815A607C49}"/>
            </c:ext>
          </c:extLst>
        </c:ser>
        <c:ser>
          <c:idx val="4"/>
          <c:order val="4"/>
          <c:tx>
            <c:strRef>
              <c:f>Qualität_Varianten!$G$6</c:f>
              <c:strCache>
                <c:ptCount val="1"/>
              </c:strCache>
            </c:strRef>
          </c:tx>
          <c:spPr>
            <a:solidFill>
              <a:srgbClr val="471D7A"/>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5-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Qualität_Varianten!$G$7:$G$13</c:f>
              <c:numCache>
                <c:formatCode>0%</c:formatCode>
                <c:ptCount val="7"/>
              </c:numCache>
            </c:numRef>
          </c:val>
          <c:extLst>
            <c:ext xmlns:c16="http://schemas.microsoft.com/office/drawing/2014/chart" uri="{C3380CC4-5D6E-409C-BE32-E72D297353CC}">
              <c16:uniqueId val="{00000007-C899-47F4-A4B3-52815A607C49}"/>
            </c:ext>
          </c:extLst>
        </c:ser>
        <c:ser>
          <c:idx val="5"/>
          <c:order val="5"/>
          <c:tx>
            <c:strRef>
              <c:f>Qualität_Varianten!$H$6</c:f>
              <c:strCache>
                <c:ptCount val="1"/>
              </c:strCache>
            </c:strRef>
          </c:tx>
          <c:spPr>
            <a:solidFill>
              <a:srgbClr val="620D3B"/>
            </a:solidFill>
            <a:ln>
              <a:noFill/>
            </a:ln>
            <a:effectLst/>
          </c:spPr>
          <c:invertIfNegative val="0"/>
          <c:dLbls>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6="http://schemas.microsoft.com/office/drawing/2014/chart" uri="{C3380CC4-5D6E-409C-BE32-E72D297353CC}">
                  <c16:uniqueId val="{00000003-B1D0-430E-8569-27981CB14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Qualität_Varianten!$B$7:$B$13</c:f>
              <c:strCache>
                <c:ptCount val="7"/>
                <c:pt idx="0">
                  <c:v>A. Management</c:v>
                </c:pt>
                <c:pt idx="1">
                  <c:v>B. Kommunikation</c:v>
                </c:pt>
                <c:pt idx="2">
                  <c:v>C. Städtebau</c:v>
                </c:pt>
                <c:pt idx="3">
                  <c:v>D. Gebäude</c:v>
                </c:pt>
                <c:pt idx="4">
                  <c:v>E. Versorgung</c:v>
                </c:pt>
                <c:pt idx="5">
                  <c:v>F. Mobilität</c:v>
                </c:pt>
                <c:pt idx="6">
                  <c:v>SUMME</c:v>
                </c:pt>
              </c:strCache>
            </c:strRef>
          </c:cat>
          <c:val>
            <c:numRef>
              <c:f>Qualität_Varianten!$H$7:$H$13</c:f>
              <c:numCache>
                <c:formatCode>0%</c:formatCode>
                <c:ptCount val="7"/>
              </c:numCache>
            </c:numRef>
          </c:val>
          <c:extLst>
            <c:ext xmlns:c16="http://schemas.microsoft.com/office/drawing/2014/chart" uri="{C3380CC4-5D6E-409C-BE32-E72D297353CC}">
              <c16:uniqueId val="{00000008-C899-47F4-A4B3-52815A607C49}"/>
            </c:ext>
          </c:extLst>
        </c:ser>
        <c:dLbls>
          <c:showLegendKey val="0"/>
          <c:showVal val="0"/>
          <c:showCatName val="0"/>
          <c:showSerName val="0"/>
          <c:showPercent val="0"/>
          <c:showBubbleSize val="0"/>
        </c:dLbls>
        <c:gapWidth val="219"/>
        <c:overlap val="-27"/>
        <c:axId val="535124912"/>
        <c:axId val="535127536"/>
      </c:barChart>
      <c:catAx>
        <c:axId val="5351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de-DE"/>
          </a:p>
        </c:txPr>
        <c:crossAx val="535127536"/>
        <c:crosses val="autoZero"/>
        <c:auto val="1"/>
        <c:lblAlgn val="ctr"/>
        <c:lblOffset val="100"/>
        <c:noMultiLvlLbl val="0"/>
      </c:catAx>
      <c:valAx>
        <c:axId val="5351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de-DE"/>
          </a:p>
        </c:txPr>
        <c:crossAx val="53512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Qualität_Portfolio!$N$26</c:f>
          <c:strCache>
            <c:ptCount val="1"/>
            <c:pt idx="0">
              <c:v>Erfüllungsgrad je Handlungsfeld (Gesamt: 0 %)</c:v>
            </c:pt>
          </c:strCache>
        </c:strRef>
      </c:tx>
      <c:layout>
        <c:manualLayout>
          <c:xMode val="edge"/>
          <c:yMode val="edge"/>
          <c:x val="2.0085498293528611E-2"/>
          <c:y val="2.0672633787141053E-2"/>
        </c:manualLayout>
      </c:layout>
      <c:overlay val="1"/>
      <c:txPr>
        <a:bodyPr/>
        <a:lstStyle/>
        <a:p>
          <a:pPr algn="l">
            <a:defRPr>
              <a:solidFill>
                <a:schemeClr val="tx1"/>
              </a:solidFill>
            </a:defRPr>
          </a:pPr>
          <a:endParaRPr lang="de-DE"/>
        </a:p>
      </c:txPr>
    </c:title>
    <c:autoTitleDeleted val="0"/>
    <c:plotArea>
      <c:layout>
        <c:manualLayout>
          <c:layoutTarget val="inner"/>
          <c:xMode val="edge"/>
          <c:yMode val="edge"/>
          <c:x val="0.22113011504606891"/>
          <c:y val="0.19153256245027683"/>
          <c:w val="0.56338529755502831"/>
          <c:h val="0.7473128628138791"/>
        </c:manualLayout>
      </c:layout>
      <c:radarChart>
        <c:radarStyle val="marker"/>
        <c:varyColors val="0"/>
        <c:ser>
          <c:idx val="0"/>
          <c:order val="0"/>
          <c:tx>
            <c:strRef>
              <c:f>Qualität_Portfolio!$N$26</c:f>
              <c:strCache>
                <c:ptCount val="1"/>
                <c:pt idx="0">
                  <c:v>Erfüllungsgrad je Handlungsfeld (Gesamt: 0 %)</c:v>
                </c:pt>
              </c:strCache>
            </c:strRef>
          </c:tx>
          <c:spPr>
            <a:ln w="38100">
              <a:noFill/>
              <a:prstDash val="sysDot"/>
            </a:ln>
          </c:spPr>
          <c:marker>
            <c:symbol val="circle"/>
            <c:size val="14"/>
            <c:spPr>
              <a:solidFill>
                <a:srgbClr val="FF0000"/>
              </a:solidFill>
              <a:ln w="38100">
                <a:solidFill>
                  <a:schemeClr val="bg1">
                    <a:lumMod val="50000"/>
                  </a:schemeClr>
                </a:solidFill>
                <a:prstDash val="sysDot"/>
              </a:ln>
            </c:spPr>
          </c:marker>
          <c:dPt>
            <c:idx val="0"/>
            <c:marker>
              <c:spPr>
                <a:solidFill>
                  <a:srgbClr val="FFD900"/>
                </a:solidFill>
                <a:ln w="38100">
                  <a:noFill/>
                  <a:prstDash val="sysDot"/>
                </a:ln>
              </c:spPr>
            </c:marker>
            <c:bubble3D val="0"/>
            <c:extLst>
              <c:ext xmlns:c16="http://schemas.microsoft.com/office/drawing/2014/chart" uri="{C3380CC4-5D6E-409C-BE32-E72D297353CC}">
                <c16:uniqueId val="{00000000-DBD3-4283-A3F4-09947C500AD8}"/>
              </c:ext>
            </c:extLst>
          </c:dPt>
          <c:dPt>
            <c:idx val="1"/>
            <c:marker>
              <c:spPr>
                <a:solidFill>
                  <a:srgbClr val="A6FF00"/>
                </a:solidFill>
                <a:ln w="38100">
                  <a:noFill/>
                  <a:prstDash val="sysDot"/>
                </a:ln>
              </c:spPr>
            </c:marker>
            <c:bubble3D val="0"/>
            <c:extLst>
              <c:ext xmlns:c16="http://schemas.microsoft.com/office/drawing/2014/chart" uri="{C3380CC4-5D6E-409C-BE32-E72D297353CC}">
                <c16:uniqueId val="{00000001-DBD3-4283-A3F4-09947C500AD8}"/>
              </c:ext>
            </c:extLst>
          </c:dPt>
          <c:dPt>
            <c:idx val="2"/>
            <c:marker>
              <c:spPr>
                <a:solidFill>
                  <a:srgbClr val="59FF40"/>
                </a:solidFill>
                <a:ln w="38100">
                  <a:noFill/>
                  <a:prstDash val="sysDot"/>
                </a:ln>
              </c:spPr>
            </c:marker>
            <c:bubble3D val="0"/>
            <c:extLst>
              <c:ext xmlns:c16="http://schemas.microsoft.com/office/drawing/2014/chart" uri="{C3380CC4-5D6E-409C-BE32-E72D297353CC}">
                <c16:uniqueId val="{00000002-DBD3-4283-A3F4-09947C500AD8}"/>
              </c:ext>
            </c:extLst>
          </c:dPt>
          <c:dPt>
            <c:idx val="3"/>
            <c:marker>
              <c:spPr>
                <a:solidFill>
                  <a:srgbClr val="4DA6FF"/>
                </a:solidFill>
                <a:ln w="38100">
                  <a:noFill/>
                  <a:prstDash val="sysDot"/>
                </a:ln>
              </c:spPr>
            </c:marker>
            <c:bubble3D val="0"/>
            <c:extLst>
              <c:ext xmlns:c16="http://schemas.microsoft.com/office/drawing/2014/chart" uri="{C3380CC4-5D6E-409C-BE32-E72D297353CC}">
                <c16:uniqueId val="{00000003-DBD3-4283-A3F4-09947C500AD8}"/>
              </c:ext>
            </c:extLst>
          </c:dPt>
          <c:dPt>
            <c:idx val="4"/>
            <c:marker>
              <c:spPr>
                <a:solidFill>
                  <a:srgbClr val="1F00CC"/>
                </a:solidFill>
                <a:ln w="38100">
                  <a:noFill/>
                  <a:prstDash val="sysDot"/>
                </a:ln>
              </c:spPr>
            </c:marker>
            <c:bubble3D val="0"/>
            <c:extLst>
              <c:ext xmlns:c16="http://schemas.microsoft.com/office/drawing/2014/chart" uri="{C3380CC4-5D6E-409C-BE32-E72D297353CC}">
                <c16:uniqueId val="{00000004-DBD3-4283-A3F4-09947C500AD8}"/>
              </c:ext>
            </c:extLst>
          </c:dPt>
          <c:dPt>
            <c:idx val="5"/>
            <c:marker>
              <c:spPr>
                <a:solidFill>
                  <a:srgbClr val="FF8C00"/>
                </a:solidFill>
                <a:ln w="38100">
                  <a:noFill/>
                  <a:prstDash val="sysDot"/>
                </a:ln>
              </c:spPr>
            </c:marker>
            <c:bubble3D val="0"/>
            <c:extLst>
              <c:ext xmlns:c16="http://schemas.microsoft.com/office/drawing/2014/chart" uri="{C3380CC4-5D6E-409C-BE32-E72D297353CC}">
                <c16:uniqueId val="{00000005-DBD3-4283-A3F4-09947C500AD8}"/>
              </c:ext>
            </c:extLst>
          </c:dPt>
          <c:cat>
            <c:strRef>
              <c:f>Qualität_Portfolio!$B$20:$B$25</c:f>
              <c:strCache>
                <c:ptCount val="6"/>
                <c:pt idx="0">
                  <c:v>A. Management</c:v>
                </c:pt>
                <c:pt idx="1">
                  <c:v>B. Kommunikation</c:v>
                </c:pt>
                <c:pt idx="2">
                  <c:v>C. Städtebau</c:v>
                </c:pt>
                <c:pt idx="3">
                  <c:v>D. Gebäude</c:v>
                </c:pt>
                <c:pt idx="4">
                  <c:v>E. Versorgung</c:v>
                </c:pt>
                <c:pt idx="5">
                  <c:v>F. Mobilität</c:v>
                </c:pt>
              </c:strCache>
            </c:strRef>
          </c:cat>
          <c:val>
            <c:numRef>
              <c:f>Qualität_Portfolio!$M$20:$M$25</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DBD3-4283-A3F4-09947C500AD8}"/>
            </c:ext>
          </c:extLst>
        </c:ser>
        <c:dLbls>
          <c:showLegendKey val="0"/>
          <c:showVal val="0"/>
          <c:showCatName val="0"/>
          <c:showSerName val="0"/>
          <c:showPercent val="0"/>
          <c:showBubbleSize val="0"/>
        </c:dLbls>
        <c:axId val="138243456"/>
        <c:axId val="138257536"/>
      </c:radarChart>
      <c:catAx>
        <c:axId val="138243456"/>
        <c:scaling>
          <c:orientation val="minMax"/>
        </c:scaling>
        <c:delete val="0"/>
        <c:axPos val="b"/>
        <c:majorGridlines/>
        <c:numFmt formatCode="General" sourceLinked="0"/>
        <c:majorTickMark val="out"/>
        <c:minorTickMark val="none"/>
        <c:tickLblPos val="nextTo"/>
        <c:txPr>
          <a:bodyPr/>
          <a:lstStyle/>
          <a:p>
            <a:pPr>
              <a:defRPr sz="1100" b="1">
                <a:solidFill>
                  <a:schemeClr val="tx1"/>
                </a:solidFill>
                <a:latin typeface="Arial" panose="020B0604020202020204" pitchFamily="34" charset="0"/>
                <a:cs typeface="Arial" panose="020B0604020202020204" pitchFamily="34" charset="0"/>
              </a:defRPr>
            </a:pPr>
            <a:endParaRPr lang="de-DE"/>
          </a:p>
        </c:txPr>
        <c:crossAx val="138257536"/>
        <c:crosses val="autoZero"/>
        <c:auto val="1"/>
        <c:lblAlgn val="ctr"/>
        <c:lblOffset val="100"/>
        <c:noMultiLvlLbl val="0"/>
      </c:catAx>
      <c:valAx>
        <c:axId val="138257536"/>
        <c:scaling>
          <c:orientation val="minMax"/>
          <c:max val="1"/>
          <c:min val="0"/>
        </c:scaling>
        <c:delete val="0"/>
        <c:axPos val="l"/>
        <c:majorGridlines>
          <c:spPr>
            <a:ln w="12700">
              <a:solidFill>
                <a:schemeClr val="tx1"/>
              </a:solidFill>
              <a:prstDash val="solid"/>
            </a:ln>
          </c:spPr>
        </c:majorGridlines>
        <c:numFmt formatCode="0%" sourceLinked="1"/>
        <c:majorTickMark val="cross"/>
        <c:minorTickMark val="none"/>
        <c:tickLblPos val="high"/>
        <c:txPr>
          <a:bodyPr/>
          <a:lstStyle/>
          <a:p>
            <a:pPr>
              <a:defRPr>
                <a:solidFill>
                  <a:schemeClr val="tx1"/>
                </a:solidFill>
              </a:defRPr>
            </a:pPr>
            <a:endParaRPr lang="de-DE"/>
          </a:p>
        </c:txPr>
        <c:crossAx val="138243456"/>
        <c:crosses val="autoZero"/>
        <c:crossBetween val="between"/>
        <c:majorUnit val="0.25"/>
      </c:valAx>
      <c:spPr>
        <a:noFill/>
      </c:spPr>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Verkehrsleistung [Pkm/(P*a)]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stacked"/>
        <c:varyColors val="0"/>
        <c:ser>
          <c:idx val="0"/>
          <c:order val="0"/>
          <c:tx>
            <c:strRef>
              <c:f>'THG-Mobilität'!$B$126</c:f>
              <c:strCache>
                <c:ptCount val="1"/>
                <c:pt idx="0">
                  <c:v>zu Fuß</c:v>
                </c:pt>
              </c:strCache>
            </c:strRef>
          </c:tx>
          <c:spPr>
            <a:solidFill>
              <a:srgbClr val="EFF3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'THG-Mobilität'!$C$125:$E$125</c:f>
              <c:strCache>
                <c:ptCount val="3"/>
                <c:pt idx="0">
                  <c:v>Gemeinde</c:v>
                </c:pt>
                <c:pt idx="1">
                  <c:v>Standort 2020</c:v>
                </c:pt>
                <c:pt idx="2">
                  <c:v>Standort 2030</c:v>
                </c:pt>
              </c:strCache>
            </c:strRef>
          </c:cat>
          <c:val>
            <c:numRef>
              <c:f>'THG-Mobilität'!$C$126:$E$126</c:f>
              <c:numCache>
                <c:formatCode>#,##0</c:formatCode>
                <c:ptCount val="3"/>
                <c:pt idx="0">
                  <c:v>0</c:v>
                </c:pt>
                <c:pt idx="1">
                  <c:v>0</c:v>
                </c:pt>
                <c:pt idx="2">
                  <c:v>0</c:v>
                </c:pt>
              </c:numCache>
            </c:numRef>
          </c:val>
          <c:extLst>
            <c:ext xmlns:c16="http://schemas.microsoft.com/office/drawing/2014/chart" uri="{C3380CC4-5D6E-409C-BE32-E72D297353CC}">
              <c16:uniqueId val="{00000000-3DE6-4449-B9BA-F36B6912C1AA}"/>
            </c:ext>
          </c:extLst>
        </c:ser>
        <c:ser>
          <c:idx val="1"/>
          <c:order val="1"/>
          <c:tx>
            <c:strRef>
              <c:f>'THG-Mobilität'!$B$127</c:f>
              <c:strCache>
                <c:ptCount val="1"/>
                <c:pt idx="0">
                  <c:v>Rad</c:v>
                </c:pt>
              </c:strCache>
            </c:strRef>
          </c:tx>
          <c:spPr>
            <a:solidFill>
              <a:srgbClr val="DEE6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'THG-Mobilität'!$C$125:$E$125</c:f>
              <c:strCache>
                <c:ptCount val="3"/>
                <c:pt idx="0">
                  <c:v>Gemeinde</c:v>
                </c:pt>
                <c:pt idx="1">
                  <c:v>Standort 2020</c:v>
                </c:pt>
                <c:pt idx="2">
                  <c:v>Standort 2030</c:v>
                </c:pt>
              </c:strCache>
            </c:strRef>
          </c:cat>
          <c:val>
            <c:numRef>
              <c:f>'THG-Mobilität'!$C$127:$E$127</c:f>
              <c:numCache>
                <c:formatCode>#,##0</c:formatCode>
                <c:ptCount val="3"/>
                <c:pt idx="0">
                  <c:v>0</c:v>
                </c:pt>
                <c:pt idx="1">
                  <c:v>0</c:v>
                </c:pt>
                <c:pt idx="2">
                  <c:v>0</c:v>
                </c:pt>
              </c:numCache>
            </c:numRef>
          </c:val>
          <c:extLst>
            <c:ext xmlns:c16="http://schemas.microsoft.com/office/drawing/2014/chart" uri="{C3380CC4-5D6E-409C-BE32-E72D297353CC}">
              <c16:uniqueId val="{00000001-3DE6-4449-B9BA-F36B6912C1AA}"/>
            </c:ext>
          </c:extLst>
        </c:ser>
        <c:ser>
          <c:idx val="2"/>
          <c:order val="2"/>
          <c:tx>
            <c:strRef>
              <c:f>'THG-Mobilität'!$B$128</c:f>
              <c:strCache>
                <c:ptCount val="1"/>
                <c:pt idx="0">
                  <c:v>Öffentlicher Verkehr</c:v>
                </c:pt>
              </c:strCache>
            </c:strRef>
          </c:tx>
          <c:spPr>
            <a:solidFill>
              <a:srgbClr val="CFDA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'THG-Mobilität'!$C$125:$E$125</c:f>
              <c:strCache>
                <c:ptCount val="3"/>
                <c:pt idx="0">
                  <c:v>Gemeinde</c:v>
                </c:pt>
                <c:pt idx="1">
                  <c:v>Standort 2020</c:v>
                </c:pt>
                <c:pt idx="2">
                  <c:v>Standort 2030</c:v>
                </c:pt>
              </c:strCache>
            </c:strRef>
          </c:cat>
          <c:val>
            <c:numRef>
              <c:f>'THG-Mobilität'!$C$128:$E$128</c:f>
              <c:numCache>
                <c:formatCode>#,##0</c:formatCode>
                <c:ptCount val="3"/>
                <c:pt idx="0">
                  <c:v>0</c:v>
                </c:pt>
                <c:pt idx="1">
                  <c:v>0</c:v>
                </c:pt>
                <c:pt idx="2">
                  <c:v>0</c:v>
                </c:pt>
              </c:numCache>
            </c:numRef>
          </c:val>
          <c:extLst>
            <c:ext xmlns:c16="http://schemas.microsoft.com/office/drawing/2014/chart" uri="{C3380CC4-5D6E-409C-BE32-E72D297353CC}">
              <c16:uniqueId val="{00000002-3DE6-4449-B9BA-F36B6912C1AA}"/>
            </c:ext>
          </c:extLst>
        </c:ser>
        <c:ser>
          <c:idx val="4"/>
          <c:order val="3"/>
          <c:tx>
            <c:strRef>
              <c:f>'THG-Mobilität'!$B$129</c:f>
              <c:strCache>
                <c:ptCount val="1"/>
                <c:pt idx="0">
                  <c:v>MIV elektrisch</c:v>
                </c:pt>
              </c:strCache>
            </c:strRef>
          </c:tx>
          <c:spPr>
            <a:solidFill>
              <a:srgbClr val="BCC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'THG-Mobilität'!$C$125:$E$125</c:f>
              <c:strCache>
                <c:ptCount val="3"/>
                <c:pt idx="0">
                  <c:v>Gemeinde</c:v>
                </c:pt>
                <c:pt idx="1">
                  <c:v>Standort 2020</c:v>
                </c:pt>
                <c:pt idx="2">
                  <c:v>Standort 2030</c:v>
                </c:pt>
              </c:strCache>
            </c:strRef>
          </c:cat>
          <c:val>
            <c:numRef>
              <c:f>'THG-Mobilität'!$C$129:$E$129</c:f>
              <c:numCache>
                <c:formatCode>#,##0</c:formatCode>
                <c:ptCount val="3"/>
                <c:pt idx="0">
                  <c:v>0</c:v>
                </c:pt>
                <c:pt idx="1">
                  <c:v>0</c:v>
                </c:pt>
                <c:pt idx="2">
                  <c:v>0</c:v>
                </c:pt>
              </c:numCache>
            </c:numRef>
          </c:val>
          <c:extLst>
            <c:ext xmlns:c16="http://schemas.microsoft.com/office/drawing/2014/chart" uri="{C3380CC4-5D6E-409C-BE32-E72D297353CC}">
              <c16:uniqueId val="{00000003-3DE6-4449-B9BA-F36B6912C1AA}"/>
            </c:ext>
          </c:extLst>
        </c:ser>
        <c:ser>
          <c:idx val="3"/>
          <c:order val="4"/>
          <c:tx>
            <c:strRef>
              <c:f>'THG-Mobilität'!$B$130</c:f>
              <c:strCache>
                <c:ptCount val="1"/>
                <c:pt idx="0">
                  <c:v>MIV fossil</c:v>
                </c:pt>
              </c:strCache>
            </c:strRef>
          </c:tx>
          <c:spPr>
            <a:solidFill>
              <a:srgbClr val="F59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'THG-Mobilität'!$C$125:$E$125</c:f>
              <c:strCache>
                <c:ptCount val="3"/>
                <c:pt idx="0">
                  <c:v>Gemeinde</c:v>
                </c:pt>
                <c:pt idx="1">
                  <c:v>Standort 2020</c:v>
                </c:pt>
                <c:pt idx="2">
                  <c:v>Standort 2030</c:v>
                </c:pt>
              </c:strCache>
            </c:strRef>
          </c:cat>
          <c:val>
            <c:numRef>
              <c:f>'THG-Mobilität'!$C$130:$E$130</c:f>
              <c:numCache>
                <c:formatCode>#,##0</c:formatCode>
                <c:ptCount val="3"/>
                <c:pt idx="0">
                  <c:v>0</c:v>
                </c:pt>
                <c:pt idx="1">
                  <c:v>0</c:v>
                </c:pt>
                <c:pt idx="2">
                  <c:v>0</c:v>
                </c:pt>
              </c:numCache>
            </c:numRef>
          </c:val>
          <c:extLst>
            <c:ext xmlns:c16="http://schemas.microsoft.com/office/drawing/2014/chart" uri="{C3380CC4-5D6E-409C-BE32-E72D297353CC}">
              <c16:uniqueId val="{00000004-3DE6-4449-B9BA-F36B6912C1AA}"/>
            </c:ext>
          </c:extLst>
        </c:ser>
        <c:dLbls>
          <c:showLegendKey val="0"/>
          <c:showVal val="0"/>
          <c:showCatName val="0"/>
          <c:showSerName val="0"/>
          <c:showPercent val="0"/>
          <c:showBubbleSize val="0"/>
        </c:dLbls>
        <c:gapWidth val="150"/>
        <c:overlap val="100"/>
        <c:axId val="122928640"/>
        <c:axId val="82800576"/>
      </c:barChart>
      <c:catAx>
        <c:axId val="122928640"/>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800576"/>
        <c:crosses val="autoZero"/>
        <c:auto val="1"/>
        <c:lblAlgn val="ctr"/>
        <c:lblOffset val="100"/>
        <c:noMultiLvlLbl val="0"/>
      </c:catAx>
      <c:valAx>
        <c:axId val="8280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29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Modal Split [% Pkm]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percentStacked"/>
        <c:varyColors val="0"/>
        <c:ser>
          <c:idx val="0"/>
          <c:order val="0"/>
          <c:tx>
            <c:strRef>
              <c:f>'THG-Mobilität'!$B$150</c:f>
              <c:strCache>
                <c:ptCount val="1"/>
                <c:pt idx="0">
                  <c:v>zu Fuß</c:v>
                </c:pt>
              </c:strCache>
            </c:strRef>
          </c:tx>
          <c:spPr>
            <a:solidFill>
              <a:srgbClr val="EFF3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'THG-Mobilität'!$C$149:$E$149</c:f>
              <c:strCache>
                <c:ptCount val="3"/>
                <c:pt idx="0">
                  <c:v>Gemeinde</c:v>
                </c:pt>
                <c:pt idx="1">
                  <c:v>Standort 2020</c:v>
                </c:pt>
                <c:pt idx="2">
                  <c:v>Standort 2030</c:v>
                </c:pt>
              </c:strCache>
            </c:strRef>
          </c:cat>
          <c:val>
            <c:numRef>
              <c:f>'THG-Mobilität'!$C$150:$E$150</c:f>
              <c:numCache>
                <c:formatCode>0%</c:formatCode>
                <c:ptCount val="3"/>
                <c:pt idx="0">
                  <c:v>0</c:v>
                </c:pt>
                <c:pt idx="1">
                  <c:v>0</c:v>
                </c:pt>
                <c:pt idx="2">
                  <c:v>0</c:v>
                </c:pt>
              </c:numCache>
            </c:numRef>
          </c:val>
          <c:extLst>
            <c:ext xmlns:c16="http://schemas.microsoft.com/office/drawing/2014/chart" uri="{C3380CC4-5D6E-409C-BE32-E72D297353CC}">
              <c16:uniqueId val="{00000000-4514-4456-B0DD-63D8E7851B02}"/>
            </c:ext>
          </c:extLst>
        </c:ser>
        <c:ser>
          <c:idx val="1"/>
          <c:order val="1"/>
          <c:tx>
            <c:strRef>
              <c:f>'THG-Mobilität'!$B$151</c:f>
              <c:strCache>
                <c:ptCount val="1"/>
                <c:pt idx="0">
                  <c:v>Rad</c:v>
                </c:pt>
              </c:strCache>
            </c:strRef>
          </c:tx>
          <c:spPr>
            <a:solidFill>
              <a:srgbClr val="DEE6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'THG-Mobilität'!$C$149:$E$149</c:f>
              <c:strCache>
                <c:ptCount val="3"/>
                <c:pt idx="0">
                  <c:v>Gemeinde</c:v>
                </c:pt>
                <c:pt idx="1">
                  <c:v>Standort 2020</c:v>
                </c:pt>
                <c:pt idx="2">
                  <c:v>Standort 2030</c:v>
                </c:pt>
              </c:strCache>
            </c:strRef>
          </c:cat>
          <c:val>
            <c:numRef>
              <c:f>'THG-Mobilität'!$C$151:$E$151</c:f>
              <c:numCache>
                <c:formatCode>0%</c:formatCode>
                <c:ptCount val="3"/>
                <c:pt idx="0">
                  <c:v>0</c:v>
                </c:pt>
                <c:pt idx="1">
                  <c:v>0</c:v>
                </c:pt>
                <c:pt idx="2">
                  <c:v>0</c:v>
                </c:pt>
              </c:numCache>
            </c:numRef>
          </c:val>
          <c:extLst>
            <c:ext xmlns:c16="http://schemas.microsoft.com/office/drawing/2014/chart" uri="{C3380CC4-5D6E-409C-BE32-E72D297353CC}">
              <c16:uniqueId val="{00000001-4514-4456-B0DD-63D8E7851B02}"/>
            </c:ext>
          </c:extLst>
        </c:ser>
        <c:ser>
          <c:idx val="2"/>
          <c:order val="2"/>
          <c:tx>
            <c:strRef>
              <c:f>'THG-Mobilität'!$B$152</c:f>
              <c:strCache>
                <c:ptCount val="1"/>
                <c:pt idx="0">
                  <c:v>Öffentlicher Verkehr</c:v>
                </c:pt>
              </c:strCache>
            </c:strRef>
          </c:tx>
          <c:spPr>
            <a:solidFill>
              <a:srgbClr val="CFDA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'THG-Mobilität'!$C$149:$E$149</c:f>
              <c:strCache>
                <c:ptCount val="3"/>
                <c:pt idx="0">
                  <c:v>Gemeinde</c:v>
                </c:pt>
                <c:pt idx="1">
                  <c:v>Standort 2020</c:v>
                </c:pt>
                <c:pt idx="2">
                  <c:v>Standort 2030</c:v>
                </c:pt>
              </c:strCache>
            </c:strRef>
          </c:cat>
          <c:val>
            <c:numRef>
              <c:f>'THG-Mobilität'!$C$152:$E$152</c:f>
              <c:numCache>
                <c:formatCode>0%</c:formatCode>
                <c:ptCount val="3"/>
                <c:pt idx="0">
                  <c:v>0</c:v>
                </c:pt>
                <c:pt idx="1">
                  <c:v>0</c:v>
                </c:pt>
                <c:pt idx="2">
                  <c:v>0</c:v>
                </c:pt>
              </c:numCache>
            </c:numRef>
          </c:val>
          <c:extLst>
            <c:ext xmlns:c16="http://schemas.microsoft.com/office/drawing/2014/chart" uri="{C3380CC4-5D6E-409C-BE32-E72D297353CC}">
              <c16:uniqueId val="{00000002-4514-4456-B0DD-63D8E7851B02}"/>
            </c:ext>
          </c:extLst>
        </c:ser>
        <c:ser>
          <c:idx val="4"/>
          <c:order val="3"/>
          <c:tx>
            <c:strRef>
              <c:f>'THG-Mobilität'!$B$153</c:f>
              <c:strCache>
                <c:ptCount val="1"/>
                <c:pt idx="0">
                  <c:v>MIV elektrisch</c:v>
                </c:pt>
              </c:strCache>
            </c:strRef>
          </c:tx>
          <c:spPr>
            <a:solidFill>
              <a:srgbClr val="BCC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'THG-Mobilität'!$C$149:$E$149</c:f>
              <c:strCache>
                <c:ptCount val="3"/>
                <c:pt idx="0">
                  <c:v>Gemeinde</c:v>
                </c:pt>
                <c:pt idx="1">
                  <c:v>Standort 2020</c:v>
                </c:pt>
                <c:pt idx="2">
                  <c:v>Standort 2030</c:v>
                </c:pt>
              </c:strCache>
            </c:strRef>
          </c:cat>
          <c:val>
            <c:numRef>
              <c:f>'THG-Mobilität'!$C$153:$E$153</c:f>
              <c:numCache>
                <c:formatCode>0%</c:formatCode>
                <c:ptCount val="3"/>
                <c:pt idx="0">
                  <c:v>0</c:v>
                </c:pt>
                <c:pt idx="1">
                  <c:v>0</c:v>
                </c:pt>
                <c:pt idx="2">
                  <c:v>0</c:v>
                </c:pt>
              </c:numCache>
            </c:numRef>
          </c:val>
          <c:extLst>
            <c:ext xmlns:c16="http://schemas.microsoft.com/office/drawing/2014/chart" uri="{C3380CC4-5D6E-409C-BE32-E72D297353CC}">
              <c16:uniqueId val="{00000003-4514-4456-B0DD-63D8E7851B02}"/>
            </c:ext>
          </c:extLst>
        </c:ser>
        <c:ser>
          <c:idx val="3"/>
          <c:order val="4"/>
          <c:tx>
            <c:strRef>
              <c:f>'THG-Mobilität'!$B$154</c:f>
              <c:strCache>
                <c:ptCount val="1"/>
                <c:pt idx="0">
                  <c:v>MIV fossil</c:v>
                </c:pt>
              </c:strCache>
            </c:strRef>
          </c:tx>
          <c:spPr>
            <a:solidFill>
              <a:srgbClr val="F59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'THG-Mobilität'!$C$149:$E$149</c:f>
              <c:strCache>
                <c:ptCount val="3"/>
                <c:pt idx="0">
                  <c:v>Gemeinde</c:v>
                </c:pt>
                <c:pt idx="1">
                  <c:v>Standort 2020</c:v>
                </c:pt>
                <c:pt idx="2">
                  <c:v>Standort 2030</c:v>
                </c:pt>
              </c:strCache>
            </c:strRef>
          </c:cat>
          <c:val>
            <c:numRef>
              <c:f>'THG-Mobilität'!$C$154:$E$154</c:f>
              <c:numCache>
                <c:formatCode>0%</c:formatCode>
                <c:ptCount val="3"/>
                <c:pt idx="0">
                  <c:v>0</c:v>
                </c:pt>
                <c:pt idx="1">
                  <c:v>0</c:v>
                </c:pt>
                <c:pt idx="2">
                  <c:v>0</c:v>
                </c:pt>
              </c:numCache>
            </c:numRef>
          </c:val>
          <c:extLst>
            <c:ext xmlns:c16="http://schemas.microsoft.com/office/drawing/2014/chart" uri="{C3380CC4-5D6E-409C-BE32-E72D297353CC}">
              <c16:uniqueId val="{00000004-4514-4456-B0DD-63D8E7851B02}"/>
            </c:ext>
          </c:extLst>
        </c:ser>
        <c:dLbls>
          <c:showLegendKey val="0"/>
          <c:showVal val="0"/>
          <c:showCatName val="0"/>
          <c:showSerName val="0"/>
          <c:showPercent val="0"/>
          <c:showBubbleSize val="0"/>
        </c:dLbls>
        <c:gapWidth val="150"/>
        <c:overlap val="100"/>
        <c:axId val="122928640"/>
        <c:axId val="82800576"/>
      </c:barChart>
      <c:catAx>
        <c:axId val="122928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2800576"/>
        <c:crosses val="autoZero"/>
        <c:auto val="1"/>
        <c:lblAlgn val="ctr"/>
        <c:lblOffset val="100"/>
        <c:noMultiLvlLbl val="0"/>
      </c:catAx>
      <c:valAx>
        <c:axId val="82800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292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THG-Emissionen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'THG_Ergebnis 2'!$B$38</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8609-4F93-AA95-D07371093E1D}"/>
              </c:ext>
            </c:extLst>
          </c:dPt>
          <c:cat>
            <c:numRef>
              <c:f>'THG_Ergebnis 2'!$C$37:$M$37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2'!$C$38:$M$38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8609-4F93-AA95-D07371093E1D}"/>
            </c:ext>
          </c:extLst>
        </c:ser>
        <c:ser>
          <c:idx val="1"/>
          <c:order val="1"/>
          <c:tx>
            <c:strRef>
              <c:f>'THG_Ergebnis 2'!$B$39</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8609-4F93-AA95-D07371093E1D}"/>
              </c:ext>
            </c:extLst>
          </c:dPt>
          <c:cat>
            <c:numRef>
              <c:f>'THG_Ergebnis 2'!$C$37:$M$37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2'!$C$39:$M$39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8609-4F93-AA95-D07371093E1D}"/>
            </c:ext>
          </c:extLst>
        </c:ser>
        <c:ser>
          <c:idx val="2"/>
          <c:order val="2"/>
          <c:tx>
            <c:strRef>
              <c:f>'THG_Ergebnis 2'!$B$40</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8609-4F93-AA95-D07371093E1D}"/>
              </c:ext>
            </c:extLst>
          </c:dPt>
          <c:cat>
            <c:numRef>
              <c:f>'THG_Ergebnis 2'!$C$37:$M$37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2'!$C$40:$M$40</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8609-4F93-AA95-D07371093E1D}"/>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'THG_Ergebnis 2'!$B$42</c:f>
              <c:strCache>
                <c:ptCount val="1"/>
                <c:pt idx="0">
                  <c:v>Grenzwert</c:v>
                </c:pt>
              </c:strCache>
            </c:strRef>
          </c:tx>
          <c:spPr>
            <a:ln w="15875" cap="rnd">
              <a:solidFill>
                <a:srgbClr val="E6320F"/>
              </a:solidFill>
              <a:prstDash val="solid"/>
              <a:round/>
            </a:ln>
            <a:effectLst/>
          </c:spPr>
          <c:marker>
            <c:symbol val="none"/>
          </c:marker>
          <c:yVal>
            <c:numRef>
              <c:f>'THG_Ergebnis 2'!$C$42:$M$42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9-8609-4F93-AA95-D07371093E1D}"/>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THG-E</a:t>
                </a:r>
                <a:r>
                  <a:rPr lang="de-AT" baseline="0"/>
                  <a:t> [kg CO2-eq./(P·a)]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Primärenergiebedarf</a:t>
            </a:r>
            <a:r>
              <a:rPr lang="de-AT" baseline="0"/>
              <a:t> gesamt</a:t>
            </a:r>
            <a:endParaRPr lang="de-A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'THG_Ergebnis 2'!$B$46</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77AB-4FEF-BB48-823B2F06953C}"/>
              </c:ext>
            </c:extLst>
          </c:dPt>
          <c:cat>
            <c:numRef>
              <c:f>'THG_Ergebnis 2'!$C$45:$M$45</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2'!$C$46:$M$46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77AB-4FEF-BB48-823B2F06953C}"/>
            </c:ext>
          </c:extLst>
        </c:ser>
        <c:ser>
          <c:idx val="1"/>
          <c:order val="1"/>
          <c:tx>
            <c:strRef>
              <c:f>'THG_Ergebnis 2'!$B$47</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77AB-4FEF-BB48-823B2F06953C}"/>
              </c:ext>
            </c:extLst>
          </c:dPt>
          <c:cat>
            <c:numRef>
              <c:f>'THG_Ergebnis 2'!$C$45:$M$45</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2'!$C$47:$M$47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5-77AB-4FEF-BB48-823B2F06953C}"/>
            </c:ext>
          </c:extLst>
        </c:ser>
        <c:ser>
          <c:idx val="2"/>
          <c:order val="2"/>
          <c:tx>
            <c:strRef>
              <c:f>'THG_Ergebnis 2'!$B$48</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77AB-4FEF-BB48-823B2F06953C}"/>
              </c:ext>
            </c:extLst>
          </c:dPt>
          <c:cat>
            <c:numRef>
              <c:f>'THG_Ergebnis 2'!$C$45:$M$45</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'THG_Ergebnis 2'!$C$48:$M$48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77AB-4FEF-BB48-823B2F06953C}"/>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'THG_Ergebnis 2'!$B$50</c:f>
              <c:strCache>
                <c:ptCount val="1"/>
                <c:pt idx="0">
                  <c:v>Grenzwert</c:v>
                </c:pt>
              </c:strCache>
            </c:strRef>
          </c:tx>
          <c:spPr>
            <a:ln w="15875" cap="rnd">
              <a:solidFill>
                <a:srgbClr val="E6320F"/>
              </a:solidFill>
              <a:round/>
            </a:ln>
            <a:effectLst/>
          </c:spPr>
          <c:marker>
            <c:symbol val="none"/>
          </c:marker>
          <c:yVal>
            <c:numRef>
              <c:f>'THG_Ergebnis 2'!$C$50:$M$50</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yVal>
          <c:smooth val="0"/>
          <c:extLst>
            <c:ext xmlns:c16="http://schemas.microsoft.com/office/drawing/2014/chart" uri="{C3380CC4-5D6E-409C-BE32-E72D297353CC}">
              <c16:uniqueId val="{00000009-77AB-4FEF-BB48-823B2F06953C}"/>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PEB ges.</a:t>
                </a:r>
                <a:r>
                  <a:rPr lang="de-AT" baseline="0"/>
                  <a:t> [W/(P·a)]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Entwicklung THG-Emissionen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THG_Varianten!$B$8</c:f>
              <c:strCache>
                <c:ptCount val="1"/>
                <c:pt idx="0">
                  <c:v>Graue Energie</c:v>
                </c:pt>
              </c:strCache>
            </c:strRef>
          </c:tx>
          <c:spPr>
            <a:solidFill>
              <a:srgbClr val="4DA6FF">
                <a:alpha val="60000"/>
              </a:srgbClr>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1-8034-4C41-B8C6-07A0ED8E7B13}"/>
              </c:ext>
            </c:extLst>
          </c:dPt>
          <c:cat>
            <c:strRef>
              <c:f>THG_Varianten!$C$7:$I$7</c:f>
              <c:strCache>
                <c:ptCount val="7"/>
                <c:pt idx="0">
                  <c:v>Bauordnung</c:v>
                </c:pt>
                <c:pt idx="1">
                  <c:v>Bestand</c:v>
                </c:pt>
                <c:pt idx="2">
                  <c:v>Planung</c:v>
                </c:pt>
                <c:pt idx="3">
                  <c:v>0</c:v>
                </c:pt>
                <c:pt idx="4">
                  <c:v>0</c:v>
                </c:pt>
                <c:pt idx="5">
                  <c:v>0</c:v>
                </c:pt>
                <c:pt idx="6">
                  <c:v>0</c:v>
                </c:pt>
              </c:strCache>
            </c:strRef>
          </c:cat>
          <c:val>
            <c:numRef>
              <c:f>THG_Varianten!$C$8:$I$8</c:f>
              <c:numCache>
                <c:formatCode>#,##0</c:formatCode>
                <c:ptCount val="7"/>
                <c:pt idx="0">
                  <c:v>0</c:v>
                </c:pt>
              </c:numCache>
            </c:numRef>
          </c:val>
          <c:extLst>
            <c:ext xmlns:c16="http://schemas.microsoft.com/office/drawing/2014/chart" uri="{C3380CC4-5D6E-409C-BE32-E72D297353CC}">
              <c16:uniqueId val="{00000002-8034-4C41-B8C6-07A0ED8E7B13}"/>
            </c:ext>
          </c:extLst>
        </c:ser>
        <c:ser>
          <c:idx val="1"/>
          <c:order val="1"/>
          <c:tx>
            <c:strRef>
              <c:f>THG_Varianten!$B$9</c:f>
              <c:strCache>
                <c:ptCount val="1"/>
                <c:pt idx="0">
                  <c:v>Betriebsenergie</c:v>
                </c:pt>
              </c:strCache>
            </c:strRef>
          </c:tx>
          <c:spPr>
            <a:solidFill>
              <a:srgbClr val="1F00CC">
                <a:alpha val="60000"/>
              </a:srgbClr>
            </a:solidFill>
            <a:ln>
              <a:noFill/>
            </a:ln>
            <a:effectLst/>
          </c:spPr>
          <c:invertIfNegative val="0"/>
          <c:dPt>
            <c:idx val="0"/>
            <c:invertIfNegative val="0"/>
            <c:bubble3D val="0"/>
            <c:spPr>
              <a:solidFill>
                <a:srgbClr val="1F00CC"/>
              </a:solidFill>
              <a:ln>
                <a:noFill/>
              </a:ln>
              <a:effectLst/>
            </c:spPr>
            <c:extLst>
              <c:ext xmlns:c16="http://schemas.microsoft.com/office/drawing/2014/chart" uri="{C3380CC4-5D6E-409C-BE32-E72D297353CC}">
                <c16:uniqueId val="{00000004-8034-4C41-B8C6-07A0ED8E7B13}"/>
              </c:ext>
            </c:extLst>
          </c:dPt>
          <c:cat>
            <c:strRef>
              <c:f>THG_Varianten!$C$7:$I$7</c:f>
              <c:strCache>
                <c:ptCount val="7"/>
                <c:pt idx="0">
                  <c:v>Bauordnung</c:v>
                </c:pt>
                <c:pt idx="1">
                  <c:v>Bestand</c:v>
                </c:pt>
                <c:pt idx="2">
                  <c:v>Planung</c:v>
                </c:pt>
                <c:pt idx="3">
                  <c:v>0</c:v>
                </c:pt>
                <c:pt idx="4">
                  <c:v>0</c:v>
                </c:pt>
                <c:pt idx="5">
                  <c:v>0</c:v>
                </c:pt>
                <c:pt idx="6">
                  <c:v>0</c:v>
                </c:pt>
              </c:strCache>
            </c:strRef>
          </c:cat>
          <c:val>
            <c:numRef>
              <c:f>THG_Varianten!$C$9:$I$9</c:f>
              <c:numCache>
                <c:formatCode>#,##0</c:formatCode>
                <c:ptCount val="7"/>
                <c:pt idx="0">
                  <c:v>0</c:v>
                </c:pt>
              </c:numCache>
            </c:numRef>
          </c:val>
          <c:extLst>
            <c:ext xmlns:c16="http://schemas.microsoft.com/office/drawing/2014/chart" uri="{C3380CC4-5D6E-409C-BE32-E72D297353CC}">
              <c16:uniqueId val="{00000005-8034-4C41-B8C6-07A0ED8E7B13}"/>
            </c:ext>
          </c:extLst>
        </c:ser>
        <c:ser>
          <c:idx val="2"/>
          <c:order val="2"/>
          <c:tx>
            <c:strRef>
              <c:f>THG_Varianten!$B$10</c:f>
              <c:strCache>
                <c:ptCount val="1"/>
                <c:pt idx="0">
                  <c:v>Alltagsmobilität</c:v>
                </c:pt>
              </c:strCache>
            </c:strRef>
          </c:tx>
          <c:spPr>
            <a:solidFill>
              <a:srgbClr val="FF8C00">
                <a:alpha val="60000"/>
              </a:srgbClr>
            </a:solidFill>
            <a:ln>
              <a:noFill/>
            </a:ln>
            <a:effectLst/>
          </c:spPr>
          <c:invertIfNegative val="0"/>
          <c:dPt>
            <c:idx val="0"/>
            <c:invertIfNegative val="0"/>
            <c:bubble3D val="0"/>
            <c:spPr>
              <a:solidFill>
                <a:srgbClr val="FF8C00"/>
              </a:solidFill>
              <a:ln>
                <a:noFill/>
              </a:ln>
              <a:effectLst/>
            </c:spPr>
            <c:extLst>
              <c:ext xmlns:c16="http://schemas.microsoft.com/office/drawing/2014/chart" uri="{C3380CC4-5D6E-409C-BE32-E72D297353CC}">
                <c16:uniqueId val="{00000007-8034-4C41-B8C6-07A0ED8E7B13}"/>
              </c:ext>
            </c:extLst>
          </c:dPt>
          <c:cat>
            <c:strRef>
              <c:f>THG_Varianten!$C$7:$I$7</c:f>
              <c:strCache>
                <c:ptCount val="7"/>
                <c:pt idx="0">
                  <c:v>Bauordnung</c:v>
                </c:pt>
                <c:pt idx="1">
                  <c:v>Bestand</c:v>
                </c:pt>
                <c:pt idx="2">
                  <c:v>Planung</c:v>
                </c:pt>
                <c:pt idx="3">
                  <c:v>0</c:v>
                </c:pt>
                <c:pt idx="4">
                  <c:v>0</c:v>
                </c:pt>
                <c:pt idx="5">
                  <c:v>0</c:v>
                </c:pt>
                <c:pt idx="6">
                  <c:v>0</c:v>
                </c:pt>
              </c:strCache>
            </c:strRef>
          </c:cat>
          <c:val>
            <c:numRef>
              <c:f>THG_Varianten!$C$10:$I$10</c:f>
              <c:numCache>
                <c:formatCode>#,##0</c:formatCode>
                <c:ptCount val="7"/>
                <c:pt idx="0">
                  <c:v>0</c:v>
                </c:pt>
              </c:numCache>
            </c:numRef>
          </c:val>
          <c:extLst>
            <c:ext xmlns:c16="http://schemas.microsoft.com/office/drawing/2014/chart" uri="{C3380CC4-5D6E-409C-BE32-E72D297353CC}">
              <c16:uniqueId val="{00000008-8034-4C41-B8C6-07A0ED8E7B13}"/>
            </c:ext>
          </c:extLst>
        </c:ser>
        <c:dLbls>
          <c:showLegendKey val="0"/>
          <c:showVal val="0"/>
          <c:showCatName val="0"/>
          <c:showSerName val="0"/>
          <c:showPercent val="0"/>
          <c:showBubbleSize val="0"/>
        </c:dLbls>
        <c:gapWidth val="150"/>
        <c:overlap val="100"/>
        <c:axId val="744265424"/>
        <c:axId val="744260176"/>
      </c:barChart>
      <c:scatterChart>
        <c:scatterStyle val="lineMarker"/>
        <c:varyColors val="0"/>
        <c:ser>
          <c:idx val="3"/>
          <c:order val="3"/>
          <c:tx>
            <c:strRef>
              <c:f>THG_Varianten!$B$12</c:f>
              <c:strCache>
                <c:ptCount val="1"/>
                <c:pt idx="0">
                  <c:v>Grenzwert</c:v>
                </c:pt>
              </c:strCache>
            </c:strRef>
          </c:tx>
          <c:spPr>
            <a:ln w="15875" cap="rnd">
              <a:noFill/>
              <a:prstDash val="solid"/>
              <a:round/>
            </a:ln>
            <a:effectLst/>
          </c:spPr>
          <c:marker>
            <c:symbol val="dash"/>
            <c:size val="12"/>
            <c:spPr>
              <a:solidFill>
                <a:srgbClr val="E6320F"/>
              </a:solidFill>
              <a:ln w="9525">
                <a:noFill/>
              </a:ln>
              <a:effectLst/>
            </c:spPr>
          </c:marker>
          <c:yVal>
            <c:numRef>
              <c:f>THG_Varianten!$C$12:$I$12</c:f>
              <c:numCache>
                <c:formatCode>#,##0</c:formatCode>
                <c:ptCount val="7"/>
                <c:pt idx="0">
                  <c:v>0</c:v>
                </c:pt>
              </c:numCache>
            </c:numRef>
          </c:yVal>
          <c:smooth val="0"/>
          <c:extLst>
            <c:ext xmlns:c16="http://schemas.microsoft.com/office/drawing/2014/chart" uri="{C3380CC4-5D6E-409C-BE32-E72D297353CC}">
              <c16:uniqueId val="{00000009-8034-4C41-B8C6-07A0ED8E7B13}"/>
            </c:ext>
          </c:extLst>
        </c:ser>
        <c:dLbls>
          <c:showLegendKey val="0"/>
          <c:showVal val="0"/>
          <c:showCatName val="0"/>
          <c:showSerName val="0"/>
          <c:showPercent val="0"/>
          <c:showBubbleSize val="0"/>
        </c:dLbls>
        <c:axId val="744265424"/>
        <c:axId val="744260176"/>
      </c:scatterChart>
      <c:catAx>
        <c:axId val="74426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0176"/>
        <c:crosses val="autoZero"/>
        <c:auto val="1"/>
        <c:lblAlgn val="ctr"/>
        <c:lblOffset val="100"/>
        <c:noMultiLvlLbl val="0"/>
      </c:catAx>
      <c:valAx>
        <c:axId val="74426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THG-E</a:t>
                </a:r>
                <a:r>
                  <a:rPr lang="de-AT" baseline="0"/>
                  <a:t> [kg CO2-eq./(P·a)]</a:t>
                </a:r>
                <a:endParaRPr lang="de-A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426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G$3"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5553077</xdr:colOff>
      <xdr:row>4</xdr:row>
      <xdr:rowOff>124470</xdr:rowOff>
    </xdr:from>
    <xdr:to>
      <xdr:col>1</xdr:col>
      <xdr:colOff>7750486</xdr:colOff>
      <xdr:row>8</xdr:row>
      <xdr:rowOff>82472</xdr:rowOff>
    </xdr:to>
    <xdr:pic>
      <xdr:nvPicPr>
        <xdr:cNvPr id="2" name="Grafik 1" descr="Logo Klimaaktiv"/>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664" b="21944"/>
        <a:stretch/>
      </xdr:blipFill>
      <xdr:spPr bwMode="auto">
        <a:xfrm>
          <a:off x="5816846" y="1421335"/>
          <a:ext cx="2197409" cy="720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2891138</xdr:colOff>
      <xdr:row>5</xdr:row>
      <xdr:rowOff>2339</xdr:rowOff>
    </xdr:from>
    <xdr:to>
      <xdr:col>1</xdr:col>
      <xdr:colOff>4822031</xdr:colOff>
      <xdr:row>9</xdr:row>
      <xdr:rowOff>52189</xdr:rowOff>
    </xdr:to>
    <xdr:pic>
      <xdr:nvPicPr>
        <xdr:cNvPr id="8" name="irc_mi" descr="Bildergebnis für klimaaktiv mobil"/>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9029" y="1222730"/>
          <a:ext cx="1930893" cy="81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187844</xdr:colOff>
      <xdr:row>4</xdr:row>
      <xdr:rowOff>92532</xdr:rowOff>
    </xdr:from>
    <xdr:to>
      <xdr:col>1</xdr:col>
      <xdr:colOff>2739900</xdr:colOff>
      <xdr:row>9</xdr:row>
      <xdr:rowOff>151148</xdr:rowOff>
    </xdr:to>
    <xdr:pic>
      <xdr:nvPicPr>
        <xdr:cNvPr id="5" name="Grafik 4" descr="Q:\901en\5202320 klimaaktiv Siedlungen und Quartiere\2_Externe Kommunikation\0_Vorlagen klimaaktiv\2020\BMK_Logo.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87844" y="1122423"/>
          <a:ext cx="2819947" cy="1011116"/>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13</xdr:col>
      <xdr:colOff>917373</xdr:colOff>
      <xdr:row>4</xdr:row>
      <xdr:rowOff>37435</xdr:rowOff>
    </xdr:from>
    <xdr:to>
      <xdr:col>16</xdr:col>
      <xdr:colOff>362026</xdr:colOff>
      <xdr:row>29</xdr:row>
      <xdr:rowOff>55493</xdr:rowOff>
    </xdr:to>
    <xdr:graphicFrame macro="">
      <xdr:nvGraphicFramePr>
        <xdr:cNvPr id="2" name="Diagramm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419100</xdr:colOff>
      <xdr:row>3</xdr:row>
      <xdr:rowOff>0</xdr:rowOff>
    </xdr:from>
    <xdr:to>
      <xdr:col>14</xdr:col>
      <xdr:colOff>140245</xdr:colOff>
      <xdr:row>50</xdr:row>
      <xdr:rowOff>67950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8039100" y="619125"/>
          <a:ext cx="5198020" cy="5040000"/>
        </a:xfrm>
        <a:prstGeom prst="rect">
          <a:avLst/>
        </a:prstGeom>
      </xdr:spPr>
    </xdr:pic>
    <xdr:clientData/>
  </xdr:twoCellAnchor>
  <xdr:twoCellAnchor editAs="oneCell">
    <xdr:from>
      <xdr:col>14</xdr:col>
      <xdr:colOff>171450</xdr:colOff>
      <xdr:row>3</xdr:row>
      <xdr:rowOff>28575</xdr:rowOff>
    </xdr:from>
    <xdr:to>
      <xdr:col>19</xdr:col>
      <xdr:colOff>416218</xdr:colOff>
      <xdr:row>50</xdr:row>
      <xdr:rowOff>96525</xdr:rowOff>
    </xdr:to>
    <xdr:pic>
      <xdr:nvPicPr>
        <xdr:cNvPr id="3" name="Grafik 2"/>
        <xdr:cNvPicPr>
          <a:picLocks noChangeAspect="1"/>
        </xdr:cNvPicPr>
      </xdr:nvPicPr>
      <xdr:blipFill>
        <a:blip xmlns:r="http://schemas.openxmlformats.org/officeDocument/2006/relationships" r:embed="rId2"/>
        <a:stretch>
          <a:fillRect/>
        </a:stretch>
      </xdr:blipFill>
      <xdr:spPr>
        <a:xfrm>
          <a:off x="13268325" y="647700"/>
          <a:ext cx="4435768" cy="504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19955</xdr:colOff>
      <xdr:row>132</xdr:row>
      <xdr:rowOff>43418</xdr:rowOff>
    </xdr:from>
    <xdr:to>
      <xdr:col>5</xdr:col>
      <xdr:colOff>11205</xdr:colOff>
      <xdr:row>146</xdr:row>
      <xdr:rowOff>106010</xdr:rowOff>
    </xdr:to>
    <xdr:graphicFrame macro="">
      <xdr:nvGraphicFramePr>
        <xdr:cNvPr id="2" name="Diagramm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379897</xdr:colOff>
      <xdr:row>156</xdr:row>
      <xdr:rowOff>77441</xdr:rowOff>
    </xdr:from>
    <xdr:to>
      <xdr:col>4</xdr:col>
      <xdr:colOff>1264582</xdr:colOff>
      <xdr:row>170</xdr:row>
      <xdr:rowOff>174606</xdr:rowOff>
    </xdr:to>
    <xdr:graphicFrame macro="">
      <xdr:nvGraphicFramePr>
        <xdr:cNvPr id="3" name="Diagramm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25460</xdr:colOff>
      <xdr:row>1</xdr:row>
      <xdr:rowOff>38100</xdr:rowOff>
    </xdr:from>
    <xdr:to>
      <xdr:col>15</xdr:col>
      <xdr:colOff>11621</xdr:colOff>
      <xdr:row>16</xdr:row>
      <xdr:rowOff>95890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19050</xdr:colOff>
      <xdr:row>18</xdr:row>
      <xdr:rowOff>13560</xdr:rowOff>
    </xdr:from>
    <xdr:to>
      <xdr:col>14</xdr:col>
      <xdr:colOff>393427</xdr:colOff>
      <xdr:row>33</xdr:row>
      <xdr:rowOff>114572</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265586</xdr:colOff>
      <xdr:row>21</xdr:row>
      <xdr:rowOff>184315</xdr:rowOff>
    </xdr:from>
    <xdr:to>
      <xdr:col>6</xdr:col>
      <xdr:colOff>1265444</xdr:colOff>
      <xdr:row>37</xdr:row>
      <xdr:rowOff>16384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15421</xdr:colOff>
      <xdr:row>38</xdr:row>
      <xdr:rowOff>109404</xdr:rowOff>
    </xdr:from>
    <xdr:to>
      <xdr:col>7</xdr:col>
      <xdr:colOff>12915</xdr:colOff>
      <xdr:row>53</xdr:row>
      <xdr:rowOff>142890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15</xdr:col>
      <xdr:colOff>290613</xdr:colOff>
      <xdr:row>2</xdr:row>
      <xdr:rowOff>40734</xdr:rowOff>
    </xdr:from>
    <xdr:to>
      <xdr:col>24</xdr:col>
      <xdr:colOff>149115</xdr:colOff>
      <xdr:row>17</xdr:row>
      <xdr:rowOff>46096</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287556</xdr:colOff>
      <xdr:row>18</xdr:row>
      <xdr:rowOff>156134</xdr:rowOff>
    </xdr:from>
    <xdr:to>
      <xdr:col>24</xdr:col>
      <xdr:colOff>147151</xdr:colOff>
      <xdr:row>33</xdr:row>
      <xdr:rowOff>23793</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3</xdr:col>
          <xdr:colOff>965200</xdr:colOff>
          <xdr:row>1</xdr:row>
          <xdr:rowOff>247650</xdr:rowOff>
        </xdr:from>
        <xdr:to>
          <xdr:col>3</xdr:col>
          <xdr:colOff>1441450</xdr:colOff>
          <xdr:row>3</xdr:row>
          <xdr:rowOff>38100</xdr:rowOff>
        </xdr:to>
        <xdr:sp macro="" textlink="">
          <xdr:nvSpPr>
            <xdr:cNvPr id="5127" name="Check Box 7" hidden="1">
              <a:extLst>
                <a:ext uri="{63B3BB69-23CF-44E3-9099-C40C66FF867C}">
                  <a14:compatExt spid="_x0000_s5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427389</xdr:colOff>
      <xdr:row>69</xdr:row>
      <xdr:rowOff>138545</xdr:rowOff>
    </xdr:from>
    <xdr:to>
      <xdr:col>4</xdr:col>
      <xdr:colOff>225116</xdr:colOff>
      <xdr:row>101</xdr:row>
      <xdr:rowOff>160128</xdr:rowOff>
    </xdr:to>
    <xdr:pic>
      <xdr:nvPicPr>
        <xdr:cNvPr id="3" name="Grafik 2"/>
        <xdr:cNvPicPr>
          <a:picLocks noChangeAspect="1"/>
        </xdr:cNvPicPr>
      </xdr:nvPicPr>
      <xdr:blipFill>
        <a:blip xmlns:r="http://schemas.openxmlformats.org/officeDocument/2006/relationships" r:embed="rId1"/>
        <a:stretch>
          <a:fillRect/>
        </a:stretch>
      </xdr:blipFill>
      <xdr:spPr>
        <a:xfrm>
          <a:off x="427389" y="8693727"/>
          <a:ext cx="5278066" cy="6117583"/>
        </a:xfrm>
        <a:prstGeom prst="rect">
          <a:avLst/>
        </a:prstGeom>
        <a:ln>
          <a:solidFill>
            <a:schemeClr val="bg1">
              <a:lumMod val="75000"/>
            </a:schemeClr>
          </a:solidFill>
        </a:ln>
      </xdr:spPr>
    </xdr:pic>
    <xdr:clientData/>
  </xdr:twoCellAnchor>
  <xdr:twoCellAnchor editAs="oneCell">
    <xdr:from>
      <xdr:col>4</xdr:col>
      <xdr:colOff>385220</xdr:colOff>
      <xdr:row>69</xdr:row>
      <xdr:rowOff>138545</xdr:rowOff>
    </xdr:from>
    <xdr:to>
      <xdr:col>8</xdr:col>
      <xdr:colOff>64750</xdr:colOff>
      <xdr:row>101</xdr:row>
      <xdr:rowOff>177487</xdr:rowOff>
    </xdr:to>
    <xdr:pic>
      <xdr:nvPicPr>
        <xdr:cNvPr id="4" name="Grafik 3"/>
        <xdr:cNvPicPr>
          <a:picLocks noChangeAspect="1"/>
        </xdr:cNvPicPr>
      </xdr:nvPicPr>
      <xdr:blipFill>
        <a:blip xmlns:r="http://schemas.openxmlformats.org/officeDocument/2006/relationships" r:embed="rId2"/>
        <a:stretch>
          <a:fillRect/>
        </a:stretch>
      </xdr:blipFill>
      <xdr:spPr>
        <a:xfrm>
          <a:off x="5875084" y="8693727"/>
          <a:ext cx="5359893" cy="6134942"/>
        </a:xfrm>
        <a:prstGeom prst="rect">
          <a:avLst/>
        </a:prstGeom>
        <a:ln>
          <a:solidFill>
            <a:schemeClr val="bg1">
              <a:lumMod val="75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414618</xdr:colOff>
      <xdr:row>2</xdr:row>
      <xdr:rowOff>23790</xdr:rowOff>
    </xdr:from>
    <xdr:to>
      <xdr:col>28</xdr:col>
      <xdr:colOff>468467</xdr:colOff>
      <xdr:row>38</xdr:row>
      <xdr:rowOff>149058</xdr:rowOff>
    </xdr:to>
    <xdr:pic>
      <xdr:nvPicPr>
        <xdr:cNvPr id="2" name="Grafik 1"/>
        <xdr:cNvPicPr>
          <a:picLocks noChangeAspect="1"/>
        </xdr:cNvPicPr>
      </xdr:nvPicPr>
      <xdr:blipFill>
        <a:blip xmlns:r="http://schemas.openxmlformats.org/officeDocument/2006/relationships" r:embed="rId1"/>
        <a:stretch>
          <a:fillRect/>
        </a:stretch>
      </xdr:blipFill>
      <xdr:spPr>
        <a:xfrm>
          <a:off x="20426643" y="452415"/>
          <a:ext cx="8550149" cy="8356909"/>
        </a:xfrm>
        <a:prstGeom prst="rect">
          <a:avLst/>
        </a:prstGeom>
      </xdr:spPr>
    </xdr:pic>
    <xdr:clientData/>
  </xdr:twoCellAnchor>
  <xdr:twoCellAnchor editAs="oneCell">
    <xdr:from>
      <xdr:col>29</xdr:col>
      <xdr:colOff>26842</xdr:colOff>
      <xdr:row>2</xdr:row>
      <xdr:rowOff>5195</xdr:rowOff>
    </xdr:from>
    <xdr:to>
      <xdr:col>38</xdr:col>
      <xdr:colOff>437167</xdr:colOff>
      <xdr:row>40</xdr:row>
      <xdr:rowOff>183899</xdr:rowOff>
    </xdr:to>
    <xdr:pic>
      <xdr:nvPicPr>
        <xdr:cNvPr id="3" name="Grafik 2"/>
        <xdr:cNvPicPr>
          <a:picLocks noChangeAspect="1"/>
        </xdr:cNvPicPr>
      </xdr:nvPicPr>
      <xdr:blipFill>
        <a:blip xmlns:r="http://schemas.openxmlformats.org/officeDocument/2006/relationships" r:embed="rId2"/>
        <a:stretch>
          <a:fillRect/>
        </a:stretch>
      </xdr:blipFill>
      <xdr:spPr>
        <a:xfrm>
          <a:off x="29373367" y="433820"/>
          <a:ext cx="7954125" cy="87913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149740</xdr:colOff>
      <xdr:row>1</xdr:row>
      <xdr:rowOff>24122</xdr:rowOff>
    </xdr:from>
    <xdr:to>
      <xdr:col>23</xdr:col>
      <xdr:colOff>93415</xdr:colOff>
      <xdr:row>10</xdr:row>
      <xdr:rowOff>61107</xdr:rowOff>
    </xdr:to>
    <xdr:pic>
      <xdr:nvPicPr>
        <xdr:cNvPr id="3" name="Grafik 2"/>
        <xdr:cNvPicPr>
          <a:picLocks noChangeAspect="1"/>
        </xdr:cNvPicPr>
      </xdr:nvPicPr>
      <xdr:blipFill>
        <a:blip xmlns:r="http://schemas.openxmlformats.org/officeDocument/2006/relationships" r:embed="rId1"/>
        <a:stretch>
          <a:fillRect/>
        </a:stretch>
      </xdr:blipFill>
      <xdr:spPr>
        <a:xfrm>
          <a:off x="7188715" y="214622"/>
          <a:ext cx="8640000" cy="1751485"/>
        </a:xfrm>
        <a:prstGeom prst="rect">
          <a:avLst/>
        </a:prstGeom>
        <a:ln>
          <a:solidFill>
            <a:schemeClr val="bg1">
              <a:lumMod val="50000"/>
            </a:schemeClr>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392206</xdr:colOff>
      <xdr:row>98</xdr:row>
      <xdr:rowOff>169769</xdr:rowOff>
    </xdr:from>
    <xdr:to>
      <xdr:col>3</xdr:col>
      <xdr:colOff>37156</xdr:colOff>
      <xdr:row>116</xdr:row>
      <xdr:rowOff>71101</xdr:rowOff>
    </xdr:to>
    <xdr:pic>
      <xdr:nvPicPr>
        <xdr:cNvPr id="2" name="Grafik 1"/>
        <xdr:cNvPicPr>
          <a:picLocks noChangeAspect="1"/>
        </xdr:cNvPicPr>
      </xdr:nvPicPr>
      <xdr:blipFill>
        <a:blip xmlns:r="http://schemas.openxmlformats.org/officeDocument/2006/relationships" r:embed="rId1"/>
        <a:stretch>
          <a:fillRect/>
        </a:stretch>
      </xdr:blipFill>
      <xdr:spPr>
        <a:xfrm>
          <a:off x="392206" y="20004181"/>
          <a:ext cx="5753837" cy="3330332"/>
        </a:xfrm>
        <a:prstGeom prst="rect">
          <a:avLst/>
        </a:prstGeom>
      </xdr:spPr>
    </xdr:pic>
    <xdr:clientData/>
  </xdr:twoCellAnchor>
  <xdr:twoCellAnchor editAs="oneCell">
    <xdr:from>
      <xdr:col>3</xdr:col>
      <xdr:colOff>1161489</xdr:colOff>
      <xdr:row>99</xdr:row>
      <xdr:rowOff>76760</xdr:rowOff>
    </xdr:from>
    <xdr:to>
      <xdr:col>7</xdr:col>
      <xdr:colOff>1054089</xdr:colOff>
      <xdr:row>112</xdr:row>
      <xdr:rowOff>185330</xdr:rowOff>
    </xdr:to>
    <xdr:pic>
      <xdr:nvPicPr>
        <xdr:cNvPr id="3" name="Grafik 2"/>
        <xdr:cNvPicPr>
          <a:picLocks noChangeAspect="1"/>
        </xdr:cNvPicPr>
      </xdr:nvPicPr>
      <xdr:blipFill>
        <a:blip xmlns:r="http://schemas.openxmlformats.org/officeDocument/2006/relationships" r:embed="rId2"/>
        <a:stretch>
          <a:fillRect/>
        </a:stretch>
      </xdr:blipFill>
      <xdr:spPr>
        <a:xfrm>
          <a:off x="7279901" y="20101672"/>
          <a:ext cx="5764482" cy="25850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27069</xdr:colOff>
      <xdr:row>1</xdr:row>
      <xdr:rowOff>179598</xdr:rowOff>
    </xdr:from>
    <xdr:to>
      <xdr:col>4</xdr:col>
      <xdr:colOff>966507</xdr:colOff>
      <xdr:row>27</xdr:row>
      <xdr:rowOff>141308</xdr:rowOff>
    </xdr:to>
    <xdr:graphicFrame macro="">
      <xdr:nvGraphicFramePr>
        <xdr:cNvPr id="4" name="Diagramm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27069</xdr:colOff>
      <xdr:row>1</xdr:row>
      <xdr:rowOff>179598</xdr:rowOff>
    </xdr:from>
    <xdr:to>
      <xdr:col>4</xdr:col>
      <xdr:colOff>966507</xdr:colOff>
      <xdr:row>27</xdr:row>
      <xdr:rowOff>141308</xdr:rowOff>
    </xdr:to>
    <xdr:graphicFrame macro="">
      <xdr:nvGraphicFramePr>
        <xdr:cNvPr id="2" name="Diagramm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10</xdr:col>
      <xdr:colOff>586924</xdr:colOff>
      <xdr:row>1</xdr:row>
      <xdr:rowOff>133158</xdr:rowOff>
    </xdr:from>
    <xdr:to>
      <xdr:col>20</xdr:col>
      <xdr:colOff>545923</xdr:colOff>
      <xdr:row>26</xdr:row>
      <xdr:rowOff>26212</xdr:rowOff>
    </xdr:to>
    <xdr:graphicFrame macro="">
      <xdr:nvGraphicFramePr>
        <xdr:cNvPr id="3" name="Diagramm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iedlungs-check.klimaaktiv.a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5.bin"/><Relationship Id="rId1" Type="http://schemas.openxmlformats.org/officeDocument/2006/relationships/hyperlink" Target="https://siedlungs-check.klimaaktiv.at/handlungsfelder/"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s://www.baubook.at/eco2soft/" TargetMode="External"/><Relationship Id="rId1" Type="http://schemas.openxmlformats.org/officeDocument/2006/relationships/hyperlink" Target="https://www.klimaaktiv.at/erneuerbare/missionzero/gregor.html" TargetMode="Externa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hyperlink" Target="https://www.topprodukte.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klimaaktiv.at/service/tools/erneuerbare/pv_rechner.html"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siedlungs-check.klimaaktiv.at/klimaneutralitaet/"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klimaaktiv.baudock.at/"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e-control.at/publikationen/oeko-energie-und-energie-effizienz/berichte/stromkennzeichnungsbericht" TargetMode="External"/><Relationship Id="rId2" Type="http://schemas.openxmlformats.org/officeDocument/2006/relationships/hyperlink" Target="https://www.e-control.at/publikationen/oeko-energie-und-energie-effizienz/berichte/stromkennzeichnungsbericht" TargetMode="External"/><Relationship Id="rId1" Type="http://schemas.openxmlformats.org/officeDocument/2006/relationships/hyperlink" Target="https://www.e-control.at/publikationen/oeko-energie-und-energie-effizienz/berichte/stromkennzeichnungsbericht" TargetMode="External"/><Relationship Id="rId6" Type="http://schemas.openxmlformats.org/officeDocument/2006/relationships/drawing" Target="../drawings/drawing4.xml"/><Relationship Id="rId5" Type="http://schemas.openxmlformats.org/officeDocument/2006/relationships/printerSettings" Target="../printerSettings/printerSettings7.bin"/><Relationship Id="rId4" Type="http://schemas.openxmlformats.org/officeDocument/2006/relationships/hyperlink" Target="https://www.energieinstitut.at/tools/machvier/"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c.europa.eu/environment/gpp/pdf/criteria/sanitary/DE.pdf" TargetMode="External"/><Relationship Id="rId1" Type="http://schemas.openxmlformats.org/officeDocument/2006/relationships/hyperlink" Target="http://www.topprodukte.at/de/Products-Lists/topprodukte_sort_listing/895871/topprodukte_sort_direction/asc.html"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0" tint="-0.249977111117893"/>
  </sheetPr>
  <dimension ref="A1:DY56"/>
  <sheetViews>
    <sheetView tabSelected="1" zoomScaleNormal="100" workbookViewId="0"/>
  </sheetViews>
  <sheetFormatPr baseColWidth="10" defaultColWidth="11" defaultRowHeight="14.5" x14ac:dyDescent="0.35"/>
  <cols>
    <col min="1" max="1" width="3.5" style="3" customWidth="1"/>
    <col min="2" max="2" width="103.75" style="3" customWidth="1"/>
    <col min="3" max="13" width="11" style="3"/>
    <col min="14" max="129" width="11" style="2"/>
    <col min="130" max="16384" width="11" style="3"/>
  </cols>
  <sheetData>
    <row r="1" spans="1:13" x14ac:dyDescent="0.35">
      <c r="A1" s="1"/>
      <c r="B1" s="2"/>
      <c r="C1" s="2"/>
      <c r="D1" s="2"/>
      <c r="E1" s="2"/>
      <c r="F1" s="2"/>
      <c r="G1" s="2"/>
      <c r="H1" s="2"/>
      <c r="I1" s="2"/>
      <c r="J1" s="2"/>
      <c r="K1" s="2"/>
      <c r="L1" s="2"/>
      <c r="M1" s="2"/>
    </row>
    <row r="2" spans="1:13" ht="21" x14ac:dyDescent="0.35">
      <c r="A2" s="1"/>
      <c r="B2" s="4" t="s">
        <v>5521</v>
      </c>
      <c r="C2" s="2"/>
      <c r="D2" s="2"/>
      <c r="E2" s="2"/>
      <c r="F2" s="2"/>
      <c r="G2" s="2"/>
      <c r="H2" s="2"/>
      <c r="I2" s="2"/>
      <c r="J2" s="2"/>
      <c r="K2" s="2"/>
      <c r="L2" s="2"/>
      <c r="M2" s="2"/>
    </row>
    <row r="3" spans="1:13" x14ac:dyDescent="0.35">
      <c r="A3" s="1"/>
      <c r="B3" s="5" t="s">
        <v>6129</v>
      </c>
      <c r="C3" s="2"/>
      <c r="D3" s="2"/>
      <c r="E3" s="2"/>
      <c r="F3" s="2"/>
      <c r="G3" s="2"/>
      <c r="H3" s="2"/>
      <c r="I3" s="2"/>
      <c r="J3" s="2"/>
      <c r="K3" s="2"/>
      <c r="L3" s="2"/>
      <c r="M3" s="2"/>
    </row>
    <row r="4" spans="1:13" ht="29" x14ac:dyDescent="0.35">
      <c r="A4" s="1"/>
      <c r="B4" s="674" t="s">
        <v>5284</v>
      </c>
      <c r="C4" s="2"/>
      <c r="D4" s="2"/>
      <c r="E4" s="2"/>
      <c r="F4" s="2"/>
      <c r="G4" s="2"/>
      <c r="H4" s="2"/>
      <c r="I4" s="2"/>
      <c r="J4" s="2"/>
      <c r="K4" s="2"/>
      <c r="L4" s="2"/>
      <c r="M4" s="2"/>
    </row>
    <row r="5" spans="1:13" x14ac:dyDescent="0.35">
      <c r="A5" s="1"/>
      <c r="B5" s="7"/>
      <c r="C5" s="2"/>
      <c r="D5" s="2"/>
      <c r="E5" s="2"/>
      <c r="F5" s="2"/>
      <c r="G5" s="2"/>
      <c r="H5" s="2"/>
      <c r="I5" s="2"/>
      <c r="J5" s="2"/>
      <c r="K5" s="2"/>
      <c r="L5" s="2"/>
      <c r="M5" s="2"/>
    </row>
    <row r="6" spans="1:13" x14ac:dyDescent="0.35">
      <c r="A6" s="1"/>
      <c r="B6" s="6"/>
      <c r="C6" s="2"/>
      <c r="D6" s="2"/>
      <c r="E6" s="2"/>
      <c r="F6" s="2"/>
      <c r="G6" s="2"/>
      <c r="H6" s="2"/>
      <c r="I6" s="2"/>
      <c r="J6" s="2"/>
      <c r="K6" s="2"/>
      <c r="L6" s="2"/>
      <c r="M6" s="2"/>
    </row>
    <row r="7" spans="1:13" x14ac:dyDescent="0.35">
      <c r="A7" s="1"/>
      <c r="B7" s="6"/>
      <c r="C7" s="2"/>
      <c r="D7" s="2"/>
      <c r="E7" s="2"/>
      <c r="F7" s="2"/>
      <c r="G7" s="2"/>
      <c r="H7" s="2"/>
      <c r="I7" s="2"/>
      <c r="J7" s="2"/>
      <c r="K7" s="2"/>
      <c r="L7" s="2"/>
      <c r="M7" s="2"/>
    </row>
    <row r="8" spans="1:13" x14ac:dyDescent="0.35">
      <c r="A8" s="1"/>
      <c r="B8" s="6"/>
      <c r="C8" s="2"/>
      <c r="D8" s="2"/>
      <c r="E8" s="2"/>
      <c r="F8" s="2"/>
      <c r="G8" s="2"/>
      <c r="H8" s="2"/>
      <c r="I8" s="2"/>
      <c r="J8" s="2"/>
      <c r="K8" s="2"/>
      <c r="L8" s="2"/>
      <c r="M8" s="2"/>
    </row>
    <row r="9" spans="1:13" x14ac:dyDescent="0.35">
      <c r="A9" s="1"/>
      <c r="B9" s="6"/>
      <c r="C9" s="2"/>
      <c r="D9" s="2"/>
      <c r="E9" s="8"/>
      <c r="F9" s="2"/>
      <c r="G9" s="2"/>
      <c r="H9" s="2"/>
      <c r="I9" s="2"/>
      <c r="J9" s="2"/>
      <c r="K9" s="2"/>
      <c r="L9" s="2"/>
      <c r="M9" s="2"/>
    </row>
    <row r="10" spans="1:13" x14ac:dyDescent="0.35">
      <c r="A10" s="9"/>
      <c r="B10" s="6"/>
      <c r="C10" s="2"/>
      <c r="D10" s="2"/>
      <c r="E10" s="2"/>
      <c r="F10" s="2"/>
      <c r="G10" s="2"/>
      <c r="H10" s="2"/>
      <c r="I10" s="2"/>
      <c r="J10" s="2"/>
      <c r="K10" s="2"/>
      <c r="L10" s="2"/>
      <c r="M10" s="2"/>
    </row>
    <row r="11" spans="1:13" ht="15.5" x14ac:dyDescent="0.35">
      <c r="A11" s="2"/>
      <c r="B11" s="10" t="s">
        <v>36</v>
      </c>
      <c r="C11" s="2"/>
      <c r="D11" s="2"/>
      <c r="E11" s="2"/>
      <c r="F11" s="2"/>
      <c r="G11" s="2"/>
      <c r="H11" s="2"/>
      <c r="I11" s="2"/>
      <c r="J11" s="2"/>
      <c r="K11" s="2"/>
      <c r="L11" s="2"/>
      <c r="M11" s="2"/>
    </row>
    <row r="12" spans="1:13" ht="77.25" customHeight="1" x14ac:dyDescent="0.35">
      <c r="A12" s="2"/>
      <c r="B12" s="674" t="s">
        <v>5194</v>
      </c>
      <c r="C12" s="2"/>
      <c r="D12" s="2"/>
      <c r="E12" s="2"/>
      <c r="F12" s="2"/>
      <c r="G12" s="2"/>
      <c r="H12" s="2"/>
      <c r="I12" s="2"/>
      <c r="J12" s="2"/>
      <c r="K12" s="2"/>
      <c r="L12" s="2"/>
      <c r="M12" s="2"/>
    </row>
    <row r="13" spans="1:13" x14ac:dyDescent="0.35">
      <c r="A13" s="2"/>
      <c r="B13" s="6"/>
      <c r="C13" s="2"/>
      <c r="D13" s="2"/>
      <c r="E13" s="2"/>
      <c r="F13" s="2"/>
      <c r="G13" s="2"/>
      <c r="H13" s="2"/>
      <c r="I13" s="2"/>
      <c r="J13" s="2"/>
      <c r="K13" s="2"/>
      <c r="L13" s="2"/>
      <c r="M13" s="2"/>
    </row>
    <row r="14" spans="1:13" ht="15.5" x14ac:dyDescent="0.35">
      <c r="A14" s="2"/>
      <c r="B14" s="10" t="s">
        <v>6130</v>
      </c>
      <c r="C14" s="2"/>
      <c r="D14" s="2"/>
      <c r="E14" s="2"/>
      <c r="F14" s="2"/>
      <c r="G14" s="2"/>
      <c r="H14" s="2"/>
      <c r="I14" s="2"/>
      <c r="J14" s="2"/>
      <c r="K14" s="2"/>
      <c r="L14" s="2"/>
      <c r="M14" s="2"/>
    </row>
    <row r="15" spans="1:13" x14ac:dyDescent="0.35">
      <c r="A15" s="2"/>
      <c r="B15" s="5" t="s">
        <v>6126</v>
      </c>
      <c r="C15" s="2"/>
      <c r="D15" s="2"/>
      <c r="E15" s="2"/>
      <c r="F15" s="2"/>
      <c r="G15" s="2"/>
      <c r="H15" s="2"/>
      <c r="I15" s="2"/>
      <c r="J15" s="2"/>
      <c r="K15" s="2"/>
      <c r="L15" s="2"/>
      <c r="M15" s="2"/>
    </row>
    <row r="16" spans="1:13" x14ac:dyDescent="0.35">
      <c r="A16" s="2"/>
      <c r="B16" s="5" t="s">
        <v>6127</v>
      </c>
      <c r="C16" s="2"/>
      <c r="D16" s="2"/>
      <c r="E16" s="2"/>
      <c r="F16" s="2"/>
      <c r="G16" s="2"/>
      <c r="H16" s="2"/>
      <c r="I16" s="2"/>
      <c r="J16" s="2"/>
      <c r="K16" s="2"/>
      <c r="L16" s="2"/>
      <c r="M16" s="2"/>
    </row>
    <row r="17" spans="1:13" x14ac:dyDescent="0.35">
      <c r="A17" s="2"/>
      <c r="B17" s="5"/>
      <c r="C17" s="2"/>
      <c r="D17" s="2"/>
      <c r="E17" s="2"/>
      <c r="F17" s="2"/>
      <c r="G17" s="2"/>
      <c r="H17" s="2"/>
      <c r="I17" s="2"/>
      <c r="J17" s="2"/>
      <c r="K17" s="2"/>
      <c r="L17" s="2"/>
      <c r="M17" s="2"/>
    </row>
    <row r="18" spans="1:13" x14ac:dyDescent="0.35">
      <c r="A18" s="2"/>
      <c r="B18" s="5"/>
      <c r="C18" s="2"/>
      <c r="D18" s="2"/>
      <c r="E18" s="2"/>
      <c r="F18" s="2"/>
      <c r="G18" s="2"/>
      <c r="H18" s="2"/>
      <c r="I18" s="2"/>
      <c r="J18" s="2"/>
      <c r="K18" s="2"/>
      <c r="L18" s="2"/>
      <c r="M18" s="2"/>
    </row>
    <row r="19" spans="1:13" ht="15.5" x14ac:dyDescent="0.35">
      <c r="A19" s="2"/>
      <c r="B19" s="10" t="s">
        <v>37</v>
      </c>
      <c r="C19" s="2"/>
      <c r="D19" s="2"/>
      <c r="E19" s="2"/>
      <c r="F19" s="2"/>
      <c r="G19" s="2"/>
      <c r="H19" s="2"/>
      <c r="I19" s="2"/>
      <c r="J19" s="2"/>
      <c r="K19" s="2"/>
      <c r="L19" s="2"/>
      <c r="M19" s="2"/>
    </row>
    <row r="20" spans="1:13" ht="31.5" customHeight="1" x14ac:dyDescent="0.35">
      <c r="A20" s="2"/>
      <c r="B20" s="662" t="s">
        <v>5383</v>
      </c>
      <c r="C20" s="2"/>
      <c r="D20" s="2"/>
      <c r="E20" s="2"/>
      <c r="F20" s="2"/>
      <c r="G20" s="2"/>
      <c r="H20" s="2"/>
      <c r="I20" s="2"/>
      <c r="J20" s="2"/>
      <c r="K20" s="2"/>
      <c r="L20" s="2"/>
      <c r="M20" s="2"/>
    </row>
    <row r="21" spans="1:13" ht="43.5" x14ac:dyDescent="0.35">
      <c r="A21" s="2"/>
      <c r="B21" s="662" t="s">
        <v>5384</v>
      </c>
      <c r="C21" s="2"/>
      <c r="D21" s="2"/>
      <c r="E21" s="2"/>
      <c r="F21" s="2"/>
      <c r="G21" s="2"/>
      <c r="H21" s="2"/>
      <c r="I21" s="2"/>
      <c r="J21" s="2"/>
      <c r="K21" s="2"/>
      <c r="L21" s="2"/>
      <c r="M21" s="2"/>
    </row>
    <row r="22" spans="1:13" x14ac:dyDescent="0.35">
      <c r="A22" s="2"/>
      <c r="B22" s="11" t="s">
        <v>4654</v>
      </c>
      <c r="C22" s="2"/>
      <c r="D22" s="2"/>
      <c r="E22" s="2"/>
      <c r="F22" s="2"/>
      <c r="G22" s="2"/>
      <c r="H22" s="2"/>
      <c r="I22" s="2"/>
      <c r="J22" s="2"/>
      <c r="K22" s="2"/>
      <c r="L22" s="2"/>
      <c r="M22" s="2"/>
    </row>
    <row r="23" spans="1:13" x14ac:dyDescent="0.35">
      <c r="A23" s="2"/>
      <c r="B23" s="12" t="s">
        <v>5385</v>
      </c>
      <c r="C23" s="2"/>
      <c r="D23" s="2"/>
      <c r="E23" s="2"/>
      <c r="F23" s="2"/>
      <c r="G23" s="2"/>
      <c r="H23" s="2"/>
      <c r="I23" s="2"/>
      <c r="J23" s="2"/>
      <c r="K23" s="2"/>
      <c r="L23" s="2"/>
      <c r="M23" s="2"/>
    </row>
    <row r="24" spans="1:13" ht="29" x14ac:dyDescent="0.35">
      <c r="A24" s="2"/>
      <c r="B24" s="662" t="s">
        <v>5386</v>
      </c>
      <c r="C24" s="2"/>
      <c r="D24" s="2"/>
      <c r="E24" s="2"/>
      <c r="F24" s="2"/>
      <c r="G24" s="2"/>
      <c r="H24" s="2"/>
      <c r="I24" s="2"/>
      <c r="J24" s="2"/>
      <c r="K24" s="2"/>
      <c r="L24" s="2"/>
      <c r="M24" s="2"/>
    </row>
    <row r="25" spans="1:13" ht="29" x14ac:dyDescent="0.35">
      <c r="A25" s="2"/>
      <c r="B25" s="662" t="s">
        <v>5406</v>
      </c>
      <c r="C25" s="2"/>
      <c r="D25" s="2"/>
      <c r="E25" s="2"/>
      <c r="F25" s="2"/>
      <c r="G25" s="2"/>
      <c r="H25" s="2"/>
      <c r="I25" s="2"/>
      <c r="J25" s="2"/>
      <c r="K25" s="2"/>
      <c r="L25" s="2"/>
      <c r="M25" s="2"/>
    </row>
    <row r="26" spans="1:13" s="2" customFormat="1" x14ac:dyDescent="0.35">
      <c r="B26" s="6"/>
    </row>
    <row r="27" spans="1:13" ht="15.5" x14ac:dyDescent="0.35">
      <c r="A27" s="2"/>
      <c r="B27" s="10" t="s">
        <v>38</v>
      </c>
      <c r="C27" s="2"/>
      <c r="D27" s="2"/>
      <c r="E27" s="2"/>
      <c r="F27" s="2"/>
      <c r="G27" s="2"/>
      <c r="H27" s="2"/>
      <c r="I27" s="2"/>
      <c r="J27" s="2"/>
      <c r="K27" s="2"/>
      <c r="L27" s="2"/>
      <c r="M27" s="2"/>
    </row>
    <row r="28" spans="1:13" x14ac:dyDescent="0.35">
      <c r="A28" s="2"/>
      <c r="B28" s="13" t="s">
        <v>4604</v>
      </c>
      <c r="C28" s="2"/>
      <c r="D28" s="2"/>
      <c r="E28" s="2"/>
      <c r="F28" s="2"/>
      <c r="G28" s="2"/>
      <c r="H28" s="2"/>
      <c r="I28" s="2"/>
      <c r="J28" s="2"/>
      <c r="K28" s="2"/>
      <c r="L28" s="2"/>
      <c r="M28" s="2"/>
    </row>
    <row r="29" spans="1:13" x14ac:dyDescent="0.35">
      <c r="A29" s="2"/>
      <c r="B29" s="14" t="s">
        <v>4602</v>
      </c>
      <c r="C29" s="2"/>
      <c r="D29" s="2"/>
      <c r="E29" s="2"/>
      <c r="F29" s="2"/>
      <c r="G29" s="2"/>
      <c r="H29" s="2"/>
      <c r="I29" s="2"/>
      <c r="J29" s="2"/>
      <c r="K29" s="2"/>
      <c r="L29" s="2"/>
      <c r="M29" s="2"/>
    </row>
    <row r="30" spans="1:13" x14ac:dyDescent="0.35">
      <c r="A30" s="2"/>
      <c r="B30" s="15" t="s">
        <v>4603</v>
      </c>
      <c r="C30" s="2"/>
      <c r="D30" s="2"/>
      <c r="E30" s="2"/>
      <c r="F30" s="2"/>
      <c r="G30" s="2"/>
      <c r="H30" s="2"/>
      <c r="I30" s="2"/>
      <c r="J30" s="2"/>
      <c r="K30" s="2"/>
      <c r="L30" s="2"/>
      <c r="M30" s="2"/>
    </row>
    <row r="31" spans="1:13" s="2" customFormat="1" x14ac:dyDescent="0.35"/>
    <row r="32" spans="1:13" ht="15.5" x14ac:dyDescent="0.35">
      <c r="A32" s="2"/>
      <c r="B32" s="10" t="s">
        <v>4496</v>
      </c>
      <c r="C32" s="2"/>
      <c r="D32" s="2"/>
      <c r="E32" s="2"/>
      <c r="F32" s="2"/>
      <c r="G32" s="2"/>
      <c r="H32" s="2"/>
      <c r="I32" s="2"/>
      <c r="J32" s="2"/>
      <c r="K32" s="2"/>
      <c r="L32" s="2"/>
      <c r="M32" s="2"/>
    </row>
    <row r="33" spans="1:13" x14ac:dyDescent="0.35">
      <c r="A33" s="2"/>
      <c r="B33" s="2" t="s">
        <v>4497</v>
      </c>
      <c r="C33" s="2"/>
      <c r="D33" s="2"/>
      <c r="E33" s="2"/>
      <c r="F33" s="2"/>
      <c r="G33" s="2"/>
      <c r="H33" s="2"/>
      <c r="I33" s="2"/>
      <c r="J33" s="2"/>
      <c r="K33" s="2"/>
      <c r="L33" s="2"/>
      <c r="M33" s="2"/>
    </row>
    <row r="34" spans="1:13" x14ac:dyDescent="0.35">
      <c r="A34" s="2"/>
      <c r="B34" s="561" t="s">
        <v>5176</v>
      </c>
      <c r="C34" s="2"/>
      <c r="D34" s="2"/>
      <c r="E34" s="2"/>
      <c r="F34" s="2"/>
      <c r="G34" s="2"/>
      <c r="H34" s="2"/>
      <c r="I34" s="2"/>
      <c r="J34" s="2"/>
      <c r="K34" s="2"/>
      <c r="L34" s="2"/>
      <c r="M34" s="2"/>
    </row>
    <row r="35" spans="1:13" x14ac:dyDescent="0.35">
      <c r="A35" s="2"/>
      <c r="B35" s="561" t="s">
        <v>5195</v>
      </c>
      <c r="C35" s="2"/>
      <c r="D35" s="2"/>
      <c r="E35" s="2"/>
      <c r="F35" s="2"/>
      <c r="G35" s="2"/>
      <c r="H35" s="2"/>
      <c r="I35" s="2"/>
      <c r="J35" s="2"/>
      <c r="K35" s="2"/>
      <c r="L35" s="2"/>
      <c r="M35" s="2"/>
    </row>
    <row r="36" spans="1:13" x14ac:dyDescent="0.35">
      <c r="A36" s="2"/>
      <c r="B36" s="1" t="s">
        <v>4498</v>
      </c>
      <c r="C36" s="2"/>
      <c r="D36" s="2"/>
      <c r="E36" s="2"/>
      <c r="F36" s="2"/>
      <c r="G36" s="2"/>
      <c r="H36" s="2"/>
      <c r="I36" s="2"/>
      <c r="J36" s="2"/>
      <c r="K36" s="2"/>
      <c r="L36" s="2"/>
      <c r="M36" s="2"/>
    </row>
    <row r="37" spans="1:13" x14ac:dyDescent="0.35">
      <c r="A37" s="2"/>
      <c r="B37" s="1" t="s">
        <v>4499</v>
      </c>
      <c r="C37" s="2"/>
      <c r="D37" s="2"/>
      <c r="E37" s="2"/>
      <c r="F37" s="2"/>
      <c r="G37" s="2"/>
      <c r="H37" s="2"/>
      <c r="I37" s="2"/>
      <c r="J37" s="2"/>
      <c r="K37" s="2"/>
      <c r="L37" s="2"/>
      <c r="M37" s="2"/>
    </row>
    <row r="38" spans="1:13" x14ac:dyDescent="0.35">
      <c r="A38" s="2"/>
      <c r="B38" s="914" t="s">
        <v>5177</v>
      </c>
      <c r="C38" s="2"/>
      <c r="D38" s="2"/>
      <c r="E38" s="2"/>
      <c r="F38" s="2"/>
      <c r="G38" s="2"/>
      <c r="H38" s="2"/>
      <c r="I38" s="2"/>
      <c r="J38" s="2"/>
      <c r="K38" s="2"/>
      <c r="L38" s="2"/>
      <c r="M38" s="2"/>
    </row>
    <row r="39" spans="1:13" x14ac:dyDescent="0.35">
      <c r="A39" s="2"/>
      <c r="B39" s="2"/>
      <c r="C39" s="2"/>
      <c r="D39" s="2"/>
      <c r="E39" s="2"/>
      <c r="F39" s="2"/>
      <c r="G39" s="2"/>
      <c r="H39" s="2"/>
      <c r="I39" s="2"/>
      <c r="J39" s="2"/>
      <c r="K39" s="2"/>
      <c r="L39" s="2"/>
      <c r="M39" s="2"/>
    </row>
    <row r="40" spans="1:13" x14ac:dyDescent="0.35">
      <c r="A40" s="2"/>
      <c r="B40" s="2"/>
      <c r="C40" s="2"/>
      <c r="D40" s="2"/>
      <c r="E40" s="2"/>
      <c r="F40" s="2"/>
      <c r="G40" s="2"/>
      <c r="H40" s="2"/>
      <c r="I40" s="2"/>
      <c r="J40" s="2"/>
      <c r="K40" s="2"/>
      <c r="L40" s="2"/>
      <c r="M40" s="2"/>
    </row>
    <row r="41" spans="1:13" x14ac:dyDescent="0.35">
      <c r="A41" s="2"/>
      <c r="B41" s="2"/>
      <c r="C41" s="2"/>
      <c r="D41" s="2"/>
      <c r="E41" s="2"/>
      <c r="F41" s="2"/>
      <c r="G41" s="2"/>
      <c r="H41" s="2"/>
      <c r="I41" s="2"/>
      <c r="J41" s="2"/>
      <c r="K41" s="2"/>
      <c r="L41" s="2"/>
      <c r="M41" s="2"/>
    </row>
    <row r="42" spans="1:13" x14ac:dyDescent="0.35">
      <c r="A42" s="2"/>
      <c r="B42" s="2"/>
      <c r="C42" s="2"/>
      <c r="D42" s="2"/>
      <c r="E42" s="2"/>
      <c r="F42" s="2"/>
      <c r="G42" s="2"/>
      <c r="H42" s="2"/>
      <c r="I42" s="2"/>
      <c r="J42" s="2"/>
      <c r="K42" s="2"/>
      <c r="L42" s="2"/>
      <c r="M42" s="2"/>
    </row>
    <row r="43" spans="1:13" x14ac:dyDescent="0.35">
      <c r="A43" s="2"/>
      <c r="B43" s="2"/>
      <c r="C43" s="2"/>
      <c r="D43" s="2"/>
      <c r="E43" s="2"/>
      <c r="F43" s="2"/>
      <c r="G43" s="2"/>
      <c r="H43" s="2"/>
      <c r="I43" s="2"/>
      <c r="J43" s="2"/>
      <c r="K43" s="2"/>
      <c r="L43" s="2"/>
      <c r="M43" s="2"/>
    </row>
    <row r="44" spans="1:13" x14ac:dyDescent="0.35">
      <c r="A44" s="2"/>
      <c r="B44" s="2"/>
      <c r="C44" s="2"/>
      <c r="D44" s="2"/>
      <c r="E44" s="2"/>
      <c r="F44" s="2"/>
      <c r="G44" s="2"/>
      <c r="H44" s="2"/>
      <c r="I44" s="2"/>
      <c r="J44" s="2"/>
      <c r="K44" s="2"/>
      <c r="L44" s="2"/>
      <c r="M44" s="2"/>
    </row>
    <row r="45" spans="1:13" x14ac:dyDescent="0.35">
      <c r="A45" s="2"/>
      <c r="B45" s="2"/>
      <c r="C45" s="2"/>
      <c r="D45" s="2"/>
      <c r="E45" s="2"/>
      <c r="F45" s="2"/>
      <c r="G45" s="2"/>
      <c r="H45" s="2"/>
      <c r="I45" s="2"/>
      <c r="J45" s="2"/>
      <c r="K45" s="2"/>
      <c r="L45" s="2"/>
      <c r="M45" s="2"/>
    </row>
    <row r="46" spans="1:13" x14ac:dyDescent="0.35">
      <c r="A46" s="2"/>
      <c r="B46" s="2"/>
      <c r="C46" s="2"/>
      <c r="D46" s="2"/>
      <c r="E46" s="2"/>
      <c r="F46" s="2"/>
      <c r="G46" s="2"/>
      <c r="H46" s="2"/>
      <c r="I46" s="2"/>
      <c r="J46" s="2"/>
      <c r="K46" s="2"/>
      <c r="L46" s="2"/>
      <c r="M46" s="2"/>
    </row>
    <row r="47" spans="1:13" x14ac:dyDescent="0.35">
      <c r="A47" s="2"/>
      <c r="B47" s="2"/>
      <c r="C47" s="2"/>
      <c r="D47" s="2"/>
      <c r="E47" s="2"/>
      <c r="F47" s="2"/>
      <c r="G47" s="2"/>
      <c r="H47" s="2"/>
      <c r="I47" s="2"/>
      <c r="J47" s="2"/>
      <c r="K47" s="2"/>
      <c r="L47" s="2"/>
      <c r="M47" s="2"/>
    </row>
    <row r="48" spans="1:13" x14ac:dyDescent="0.35">
      <c r="A48" s="2"/>
      <c r="B48" s="2"/>
      <c r="C48" s="2"/>
      <c r="D48" s="2"/>
      <c r="E48" s="2"/>
      <c r="F48" s="2"/>
      <c r="G48" s="2"/>
      <c r="H48" s="2"/>
      <c r="I48" s="2"/>
      <c r="J48" s="2"/>
      <c r="K48" s="2"/>
      <c r="L48" s="2"/>
      <c r="M48" s="2"/>
    </row>
    <row r="49" spans="1:13" x14ac:dyDescent="0.35">
      <c r="A49" s="2"/>
      <c r="B49" s="2"/>
      <c r="C49" s="2"/>
      <c r="D49" s="2"/>
      <c r="E49" s="2"/>
      <c r="F49" s="2"/>
      <c r="G49" s="2"/>
      <c r="H49" s="2"/>
      <c r="I49" s="2"/>
      <c r="J49" s="2"/>
      <c r="K49" s="2"/>
      <c r="L49" s="2"/>
      <c r="M49" s="2"/>
    </row>
    <row r="50" spans="1:13" x14ac:dyDescent="0.35">
      <c r="A50" s="2"/>
      <c r="B50" s="2"/>
      <c r="C50" s="2"/>
      <c r="D50" s="2"/>
      <c r="E50" s="2"/>
      <c r="F50" s="2"/>
      <c r="G50" s="2"/>
      <c r="H50" s="2"/>
      <c r="I50" s="2"/>
      <c r="J50" s="2"/>
      <c r="K50" s="2"/>
      <c r="L50" s="2"/>
      <c r="M50" s="2"/>
    </row>
    <row r="51" spans="1:13" x14ac:dyDescent="0.35">
      <c r="A51" s="2"/>
      <c r="B51" s="2"/>
      <c r="C51" s="2"/>
      <c r="D51" s="2"/>
      <c r="E51" s="2"/>
      <c r="F51" s="2"/>
      <c r="G51" s="2"/>
      <c r="H51" s="2"/>
      <c r="I51" s="2"/>
      <c r="J51" s="2"/>
      <c r="K51" s="2"/>
      <c r="L51" s="2"/>
      <c r="M51" s="2"/>
    </row>
    <row r="52" spans="1:13" x14ac:dyDescent="0.35">
      <c r="A52" s="2"/>
      <c r="B52" s="2"/>
      <c r="C52" s="2"/>
      <c r="D52" s="2"/>
      <c r="E52" s="2"/>
      <c r="F52" s="2"/>
      <c r="G52" s="2"/>
      <c r="H52" s="2"/>
      <c r="I52" s="2"/>
      <c r="J52" s="2"/>
      <c r="K52" s="2"/>
      <c r="L52" s="2"/>
      <c r="M52" s="2"/>
    </row>
    <row r="53" spans="1:13" x14ac:dyDescent="0.35">
      <c r="A53" s="2"/>
      <c r="B53" s="2"/>
      <c r="C53" s="2"/>
      <c r="D53" s="2"/>
      <c r="E53" s="2"/>
      <c r="F53" s="2"/>
      <c r="G53" s="2"/>
      <c r="H53" s="2"/>
      <c r="I53" s="2"/>
      <c r="J53" s="2"/>
      <c r="K53" s="2"/>
      <c r="L53" s="2"/>
      <c r="M53" s="2"/>
    </row>
    <row r="54" spans="1:13" x14ac:dyDescent="0.35">
      <c r="A54" s="2"/>
      <c r="B54" s="2"/>
      <c r="C54" s="2"/>
      <c r="D54" s="2"/>
      <c r="E54" s="2"/>
      <c r="F54" s="2"/>
      <c r="G54" s="2"/>
      <c r="H54" s="2"/>
      <c r="I54" s="2"/>
      <c r="J54" s="2"/>
      <c r="K54" s="2"/>
      <c r="L54" s="2"/>
      <c r="M54" s="2"/>
    </row>
    <row r="55" spans="1:13" x14ac:dyDescent="0.35">
      <c r="A55" s="2"/>
      <c r="B55" s="2"/>
      <c r="C55" s="2"/>
      <c r="D55" s="2"/>
      <c r="E55" s="2"/>
      <c r="F55" s="2"/>
      <c r="G55" s="2"/>
      <c r="H55" s="2"/>
      <c r="I55" s="2"/>
      <c r="J55" s="2"/>
      <c r="K55" s="2"/>
      <c r="L55" s="2"/>
      <c r="M55" s="2"/>
    </row>
    <row r="56" spans="1:13" x14ac:dyDescent="0.35">
      <c r="A56" s="2"/>
      <c r="B56" s="2"/>
      <c r="C56" s="2"/>
      <c r="D56" s="2"/>
      <c r="E56" s="2"/>
      <c r="F56" s="2"/>
      <c r="G56" s="2"/>
      <c r="H56" s="2"/>
      <c r="I56" s="2"/>
      <c r="J56" s="2"/>
      <c r="K56" s="2"/>
      <c r="L56" s="2"/>
      <c r="M56" s="2"/>
    </row>
  </sheetData>
  <hyperlinks>
    <hyperlink ref="B38" r:id="rId1"/>
  </hyperlinks>
  <pageMargins left="0.7" right="0.7" top="0.78740157499999996" bottom="0.78740157499999996"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8C00"/>
  </sheetPr>
  <dimension ref="B2:Y130"/>
  <sheetViews>
    <sheetView zoomScaleNormal="100" workbookViewId="0"/>
  </sheetViews>
  <sheetFormatPr baseColWidth="10" defaultColWidth="5.25" defaultRowHeight="14.5" outlineLevelRow="1" x14ac:dyDescent="0.35"/>
  <cols>
    <col min="1" max="1" width="3.75" style="1" customWidth="1"/>
    <col min="2" max="2" width="52.08203125" style="1" customWidth="1"/>
    <col min="3" max="3" width="23" style="38" bestFit="1" customWidth="1"/>
    <col min="4" max="4" width="15.83203125" style="38" bestFit="1" customWidth="1"/>
    <col min="5" max="5" width="20.25" style="38" bestFit="1" customWidth="1"/>
    <col min="6" max="6" width="22.5" style="38" bestFit="1" customWidth="1"/>
    <col min="7" max="7" width="18.33203125" style="1" bestFit="1" customWidth="1"/>
    <col min="8" max="8" width="27.58203125" style="1" bestFit="1" customWidth="1"/>
    <col min="9" max="9" width="13.75" style="1" bestFit="1" customWidth="1"/>
    <col min="10" max="10" width="11.5" style="1" bestFit="1" customWidth="1"/>
    <col min="11" max="11" width="8.25" style="1" bestFit="1" customWidth="1"/>
    <col min="12" max="12" width="5.5" style="1" bestFit="1" customWidth="1"/>
    <col min="13" max="13" width="4.08203125" style="1" bestFit="1" customWidth="1"/>
    <col min="14" max="14" width="5.83203125" style="1" bestFit="1" customWidth="1"/>
    <col min="15" max="15" width="7.08203125" style="1" bestFit="1" customWidth="1"/>
    <col min="16" max="16" width="8.83203125" style="1" bestFit="1" customWidth="1"/>
    <col min="17" max="17" width="4.08203125" style="1" bestFit="1" customWidth="1"/>
    <col min="18" max="18" width="5.83203125" style="1" bestFit="1" customWidth="1"/>
    <col min="19" max="19" width="7.08203125" style="1" bestFit="1" customWidth="1"/>
    <col min="20" max="20" width="8.83203125" style="1" bestFit="1" customWidth="1"/>
    <col min="21" max="21" width="4.08203125" style="1" bestFit="1" customWidth="1"/>
    <col min="22" max="22" width="5.83203125" style="1" bestFit="1" customWidth="1"/>
    <col min="23" max="23" width="7.08203125" style="1" bestFit="1" customWidth="1"/>
    <col min="24" max="24" width="8.83203125" style="1" bestFit="1" customWidth="1"/>
    <col min="25" max="16384" width="5.25" style="1"/>
  </cols>
  <sheetData>
    <row r="2" spans="2:12" x14ac:dyDescent="0.35">
      <c r="B2" s="767" t="s">
        <v>4852</v>
      </c>
      <c r="C2" s="768"/>
      <c r="D2" s="768"/>
      <c r="E2" s="768"/>
      <c r="F2" s="768"/>
      <c r="G2" s="769"/>
      <c r="H2" s="769"/>
      <c r="I2" s="769"/>
      <c r="J2" s="769"/>
    </row>
    <row r="3" spans="2:12" outlineLevel="1" x14ac:dyDescent="0.35">
      <c r="B3" s="304"/>
      <c r="C3" s="350" t="s">
        <v>4460</v>
      </c>
      <c r="D3" s="350" t="s">
        <v>4461</v>
      </c>
      <c r="E3" s="312"/>
      <c r="F3" s="312"/>
      <c r="G3" s="26"/>
      <c r="H3" s="26"/>
      <c r="I3" s="26"/>
      <c r="J3" s="26"/>
    </row>
    <row r="4" spans="2:12" outlineLevel="1" x14ac:dyDescent="0.35">
      <c r="B4" s="371" t="s">
        <v>4442</v>
      </c>
      <c r="C4" s="374">
        <f>VLOOKUP(Eckdaten!$C$33,Listen!$B$104:$D$114,2,0)</f>
        <v>0.67779999999999996</v>
      </c>
      <c r="D4" s="375">
        <f>C4</f>
        <v>0.67779999999999996</v>
      </c>
    </row>
    <row r="5" spans="2:12" outlineLevel="1" x14ac:dyDescent="0.35">
      <c r="B5" s="292" t="s">
        <v>4406</v>
      </c>
      <c r="C5" s="303" t="s">
        <v>4616</v>
      </c>
      <c r="D5" s="303" t="s">
        <v>4415</v>
      </c>
      <c r="E5" s="303" t="s">
        <v>4637</v>
      </c>
      <c r="F5" s="303" t="s">
        <v>5214</v>
      </c>
      <c r="G5" s="303" t="s">
        <v>4456</v>
      </c>
      <c r="H5" s="303" t="s">
        <v>5631</v>
      </c>
      <c r="I5" s="303" t="s">
        <v>4347</v>
      </c>
      <c r="J5" s="303" t="s">
        <v>39</v>
      </c>
      <c r="K5" s="115"/>
      <c r="L5" s="312"/>
    </row>
    <row r="6" spans="2:12" outlineLevel="1" x14ac:dyDescent="0.35">
      <c r="B6" s="20" t="s">
        <v>4407</v>
      </c>
      <c r="C6" s="309"/>
      <c r="D6" s="141" t="s">
        <v>4416</v>
      </c>
      <c r="E6" s="308"/>
      <c r="F6" s="308"/>
      <c r="G6" s="376" t="str">
        <f>IF(ISNUMBER(C6),C6/E6,"")</f>
        <v/>
      </c>
      <c r="H6" s="376">
        <f>1/60*$D$4</f>
        <v>1.1296666666666667E-2</v>
      </c>
      <c r="I6" s="310" t="str">
        <f>IF(ISNUMBER(G6),(IF((1-H6/G6)&gt;1,1,(1-H6/G6))),"")</f>
        <v/>
      </c>
      <c r="J6" s="310" t="str">
        <f>IF(ISNUMBER(F6),F6/$F$25*I6,"")</f>
        <v/>
      </c>
      <c r="K6" s="328"/>
      <c r="L6" s="312"/>
    </row>
    <row r="7" spans="2:12" outlineLevel="1" x14ac:dyDescent="0.35">
      <c r="B7" s="20" t="s">
        <v>4408</v>
      </c>
      <c r="C7" s="377"/>
      <c r="D7" s="141" t="s">
        <v>4416</v>
      </c>
      <c r="E7" s="308"/>
      <c r="F7" s="308"/>
      <c r="G7" s="376" t="str">
        <f t="shared" ref="G7:G24" si="0">IF(ISNUMBER(C7),C7/E7,"")</f>
        <v/>
      </c>
      <c r="H7" s="376">
        <f>1/80*$D$4</f>
        <v>8.4724999999999991E-3</v>
      </c>
      <c r="I7" s="310" t="str">
        <f t="shared" ref="I7:I24" si="1">IF(ISNUMBER(G7),(IF((1-H7/G7)&gt;1,1,(1-H7/G7))),"")</f>
        <v/>
      </c>
      <c r="J7" s="310" t="str">
        <f t="shared" ref="J7:J24" si="2">IF(ISNUMBER(F7),F7/$F$25*I7,"")</f>
        <v/>
      </c>
      <c r="K7" s="328"/>
      <c r="L7" s="312"/>
    </row>
    <row r="8" spans="2:12" outlineLevel="1" x14ac:dyDescent="0.35">
      <c r="B8" s="20" t="s">
        <v>4635</v>
      </c>
      <c r="C8" s="309"/>
      <c r="D8" s="141" t="s">
        <v>4417</v>
      </c>
      <c r="E8" s="308"/>
      <c r="F8" s="308"/>
      <c r="G8" s="376" t="str">
        <f t="shared" si="0"/>
        <v/>
      </c>
      <c r="H8" s="376">
        <f>1/2*$D$4</f>
        <v>0.33889999999999998</v>
      </c>
      <c r="I8" s="310" t="str">
        <f t="shared" si="1"/>
        <v/>
      </c>
      <c r="J8" s="310" t="str">
        <f t="shared" si="2"/>
        <v/>
      </c>
      <c r="K8" s="328"/>
      <c r="L8" s="312"/>
    </row>
    <row r="9" spans="2:12" ht="15" outlineLevel="1" thickBot="1" x14ac:dyDescent="0.4">
      <c r="B9" s="378" t="s">
        <v>4410</v>
      </c>
      <c r="C9" s="379"/>
      <c r="D9" s="380" t="s">
        <v>4417</v>
      </c>
      <c r="E9" s="381"/>
      <c r="F9" s="381"/>
      <c r="G9" s="382" t="str">
        <f t="shared" si="0"/>
        <v/>
      </c>
      <c r="H9" s="382">
        <f>1/1*$D$4</f>
        <v>0.67779999999999996</v>
      </c>
      <c r="I9" s="383" t="str">
        <f t="shared" si="1"/>
        <v/>
      </c>
      <c r="J9" s="383" t="str">
        <f t="shared" si="2"/>
        <v/>
      </c>
      <c r="K9" s="328"/>
      <c r="L9" s="312"/>
    </row>
    <row r="10" spans="2:12" outlineLevel="1" x14ac:dyDescent="0.35">
      <c r="B10" s="28" t="s">
        <v>4625</v>
      </c>
      <c r="C10" s="384"/>
      <c r="D10" s="385" t="s">
        <v>4418</v>
      </c>
      <c r="E10" s="386"/>
      <c r="F10" s="386"/>
      <c r="G10" s="387" t="str">
        <f t="shared" si="0"/>
        <v/>
      </c>
      <c r="H10" s="387">
        <f>1/1.25*$D$4</f>
        <v>0.54223999999999994</v>
      </c>
      <c r="I10" s="388" t="str">
        <f t="shared" si="1"/>
        <v/>
      </c>
      <c r="J10" s="388" t="str">
        <f t="shared" si="2"/>
        <v/>
      </c>
      <c r="K10" s="328"/>
      <c r="L10" s="312"/>
    </row>
    <row r="11" spans="2:12" outlineLevel="1" x14ac:dyDescent="0.35">
      <c r="B11" s="20" t="s">
        <v>4626</v>
      </c>
      <c r="C11" s="309"/>
      <c r="D11" s="141" t="s">
        <v>4418</v>
      </c>
      <c r="E11" s="308"/>
      <c r="F11" s="308"/>
      <c r="G11" s="376" t="str">
        <f t="shared" si="0"/>
        <v/>
      </c>
      <c r="H11" s="376">
        <f>1/6*$D$4</f>
        <v>0.11296666666666666</v>
      </c>
      <c r="I11" s="310" t="str">
        <f t="shared" si="1"/>
        <v/>
      </c>
      <c r="J11" s="310" t="str">
        <f t="shared" si="2"/>
        <v/>
      </c>
      <c r="K11" s="328"/>
      <c r="L11" s="312"/>
    </row>
    <row r="12" spans="2:12" ht="15" outlineLevel="1" thickBot="1" x14ac:dyDescent="0.4">
      <c r="B12" s="378" t="s">
        <v>4627</v>
      </c>
      <c r="C12" s="379"/>
      <c r="D12" s="380" t="s">
        <v>4419</v>
      </c>
      <c r="E12" s="381"/>
      <c r="F12" s="381"/>
      <c r="G12" s="382" t="str">
        <f t="shared" si="0"/>
        <v/>
      </c>
      <c r="H12" s="382">
        <f>1/80*$D$4</f>
        <v>8.4724999999999991E-3</v>
      </c>
      <c r="I12" s="383" t="str">
        <f t="shared" si="1"/>
        <v/>
      </c>
      <c r="J12" s="383" t="str">
        <f t="shared" si="2"/>
        <v/>
      </c>
      <c r="K12" s="328"/>
      <c r="L12" s="312"/>
    </row>
    <row r="13" spans="2:12" outlineLevel="1" x14ac:dyDescent="0.35">
      <c r="B13" s="28" t="s">
        <v>4628</v>
      </c>
      <c r="C13" s="384"/>
      <c r="D13" s="385" t="s">
        <v>4418</v>
      </c>
      <c r="E13" s="386"/>
      <c r="F13" s="386"/>
      <c r="G13" s="389" t="str">
        <f t="shared" si="0"/>
        <v/>
      </c>
      <c r="H13" s="389">
        <f>1/1.25*$D$4</f>
        <v>0.54223999999999994</v>
      </c>
      <c r="I13" s="390" t="str">
        <f t="shared" si="1"/>
        <v/>
      </c>
      <c r="J13" s="390" t="str">
        <f t="shared" si="2"/>
        <v/>
      </c>
      <c r="K13" s="328"/>
      <c r="L13" s="312"/>
    </row>
    <row r="14" spans="2:12" outlineLevel="1" x14ac:dyDescent="0.35">
      <c r="B14" s="20" t="s">
        <v>4629</v>
      </c>
      <c r="C14" s="309"/>
      <c r="D14" s="141" t="s">
        <v>4418</v>
      </c>
      <c r="E14" s="308"/>
      <c r="F14" s="308"/>
      <c r="G14" s="391" t="str">
        <f t="shared" si="0"/>
        <v/>
      </c>
      <c r="H14" s="391">
        <f>1/2*$D$4</f>
        <v>0.33889999999999998</v>
      </c>
      <c r="I14" s="392" t="str">
        <f t="shared" si="1"/>
        <v/>
      </c>
      <c r="J14" s="392" t="str">
        <f t="shared" si="2"/>
        <v/>
      </c>
      <c r="K14" s="328"/>
      <c r="L14" s="312"/>
    </row>
    <row r="15" spans="2:12" ht="15" outlineLevel="1" thickBot="1" x14ac:dyDescent="0.4">
      <c r="B15" s="378" t="s">
        <v>4630</v>
      </c>
      <c r="C15" s="379"/>
      <c r="D15" s="380" t="s">
        <v>4418</v>
      </c>
      <c r="E15" s="381"/>
      <c r="F15" s="381"/>
      <c r="G15" s="393" t="str">
        <f t="shared" si="0"/>
        <v/>
      </c>
      <c r="H15" s="393">
        <f>1/2.5*$D$4</f>
        <v>0.27111999999999997</v>
      </c>
      <c r="I15" s="394" t="str">
        <f t="shared" si="1"/>
        <v/>
      </c>
      <c r="J15" s="394" t="str">
        <f t="shared" si="2"/>
        <v/>
      </c>
      <c r="K15" s="328"/>
      <c r="L15" s="312"/>
    </row>
    <row r="16" spans="2:12" outlineLevel="1" x14ac:dyDescent="0.35">
      <c r="B16" s="28" t="s">
        <v>4631</v>
      </c>
      <c r="C16" s="384"/>
      <c r="D16" s="385" t="s">
        <v>4636</v>
      </c>
      <c r="E16" s="386"/>
      <c r="F16" s="386"/>
      <c r="G16" s="389" t="str">
        <f t="shared" si="0"/>
        <v/>
      </c>
      <c r="H16" s="389">
        <f>1/40*$D$4</f>
        <v>1.6944999999999998E-2</v>
      </c>
      <c r="I16" s="390" t="str">
        <f t="shared" si="1"/>
        <v/>
      </c>
      <c r="J16" s="390" t="str">
        <f t="shared" si="2"/>
        <v/>
      </c>
      <c r="K16" s="328"/>
      <c r="L16" s="312"/>
    </row>
    <row r="17" spans="2:25" outlineLevel="1" x14ac:dyDescent="0.35">
      <c r="B17" s="20" t="s">
        <v>4632</v>
      </c>
      <c r="C17" s="309"/>
      <c r="D17" s="141" t="s">
        <v>4636</v>
      </c>
      <c r="E17" s="308"/>
      <c r="F17" s="308"/>
      <c r="G17" s="391" t="str">
        <f t="shared" si="0"/>
        <v/>
      </c>
      <c r="H17" s="391">
        <f>1/10*$D$4</f>
        <v>6.7779999999999993E-2</v>
      </c>
      <c r="I17" s="392" t="str">
        <f t="shared" si="1"/>
        <v/>
      </c>
      <c r="J17" s="392" t="str">
        <f t="shared" si="2"/>
        <v/>
      </c>
      <c r="K17" s="328"/>
      <c r="L17" s="312"/>
    </row>
    <row r="18" spans="2:25" ht="15" outlineLevel="1" thickBot="1" x14ac:dyDescent="0.4">
      <c r="B18" s="378" t="s">
        <v>4633</v>
      </c>
      <c r="C18" s="379"/>
      <c r="D18" s="380" t="s">
        <v>4636</v>
      </c>
      <c r="E18" s="381"/>
      <c r="F18" s="381"/>
      <c r="G18" s="393" t="str">
        <f t="shared" si="0"/>
        <v/>
      </c>
      <c r="H18" s="393">
        <f>1/25*$D$4</f>
        <v>2.7111999999999997E-2</v>
      </c>
      <c r="I18" s="394" t="str">
        <f t="shared" si="1"/>
        <v/>
      </c>
      <c r="J18" s="394" t="str">
        <f t="shared" si="2"/>
        <v/>
      </c>
      <c r="K18" s="328"/>
      <c r="L18" s="312"/>
    </row>
    <row r="19" spans="2:25" outlineLevel="1" x14ac:dyDescent="0.35">
      <c r="B19" s="28" t="s">
        <v>4411</v>
      </c>
      <c r="C19" s="384"/>
      <c r="D19" s="385" t="s">
        <v>4420</v>
      </c>
      <c r="E19" s="386"/>
      <c r="F19" s="386"/>
      <c r="G19" s="387" t="str">
        <f t="shared" si="0"/>
        <v/>
      </c>
      <c r="H19" s="387">
        <f>1/3*$D$4</f>
        <v>0.22593333333333332</v>
      </c>
      <c r="I19" s="388" t="str">
        <f t="shared" si="1"/>
        <v/>
      </c>
      <c r="J19" s="388" t="str">
        <f t="shared" si="2"/>
        <v/>
      </c>
      <c r="K19" s="328"/>
      <c r="L19" s="312"/>
    </row>
    <row r="20" spans="2:25" outlineLevel="1" x14ac:dyDescent="0.35">
      <c r="B20" s="20" t="s">
        <v>4412</v>
      </c>
      <c r="C20" s="309"/>
      <c r="D20" s="141" t="s">
        <v>4417</v>
      </c>
      <c r="E20" s="308"/>
      <c r="F20" s="308"/>
      <c r="G20" s="376" t="str">
        <f t="shared" si="0"/>
        <v/>
      </c>
      <c r="H20" s="376">
        <f>1/2*$D$4</f>
        <v>0.33889999999999998</v>
      </c>
      <c r="I20" s="310" t="str">
        <f t="shared" si="1"/>
        <v/>
      </c>
      <c r="J20" s="310" t="str">
        <f t="shared" si="2"/>
        <v/>
      </c>
      <c r="K20" s="328"/>
      <c r="L20" s="312"/>
    </row>
    <row r="21" spans="2:25" outlineLevel="1" x14ac:dyDescent="0.35">
      <c r="B21" s="20" t="s">
        <v>4414</v>
      </c>
      <c r="C21" s="309"/>
      <c r="D21" s="141" t="s">
        <v>4417</v>
      </c>
      <c r="E21" s="308"/>
      <c r="F21" s="308"/>
      <c r="G21" s="376" t="str">
        <f t="shared" si="0"/>
        <v/>
      </c>
      <c r="H21" s="376">
        <f>1/1.5*$D$4</f>
        <v>0.45186666666666664</v>
      </c>
      <c r="I21" s="310" t="str">
        <f t="shared" si="1"/>
        <v/>
      </c>
      <c r="J21" s="310" t="str">
        <f t="shared" si="2"/>
        <v/>
      </c>
      <c r="K21" s="328"/>
      <c r="L21" s="312"/>
    </row>
    <row r="22" spans="2:25" ht="15" outlineLevel="1" thickBot="1" x14ac:dyDescent="0.4">
      <c r="B22" s="378" t="s">
        <v>4413</v>
      </c>
      <c r="C22" s="379"/>
      <c r="D22" s="380" t="s">
        <v>4417</v>
      </c>
      <c r="E22" s="381"/>
      <c r="F22" s="381"/>
      <c r="G22" s="382" t="str">
        <f t="shared" si="0"/>
        <v/>
      </c>
      <c r="H22" s="382">
        <f>1/5*$D$4</f>
        <v>0.13555999999999999</v>
      </c>
      <c r="I22" s="383" t="str">
        <f t="shared" si="1"/>
        <v/>
      </c>
      <c r="J22" s="383" t="str">
        <f t="shared" si="2"/>
        <v/>
      </c>
      <c r="K22" s="328"/>
      <c r="L22" s="312"/>
    </row>
    <row r="23" spans="2:25" outlineLevel="1" x14ac:dyDescent="0.35">
      <c r="B23" s="28" t="s">
        <v>4634</v>
      </c>
      <c r="C23" s="384"/>
      <c r="D23" s="385" t="s">
        <v>4638</v>
      </c>
      <c r="E23" s="386"/>
      <c r="F23" s="386"/>
      <c r="G23" s="387" t="str">
        <f t="shared" si="0"/>
        <v/>
      </c>
      <c r="H23" s="387">
        <f>1/1*$D$4</f>
        <v>0.67779999999999996</v>
      </c>
      <c r="I23" s="388" t="str">
        <f t="shared" si="1"/>
        <v/>
      </c>
      <c r="J23" s="388" t="str">
        <f t="shared" si="2"/>
        <v/>
      </c>
      <c r="K23" s="328"/>
      <c r="L23" s="312"/>
    </row>
    <row r="24" spans="2:25" outlineLevel="1" x14ac:dyDescent="0.35">
      <c r="B24" s="20" t="s">
        <v>4426</v>
      </c>
      <c r="C24" s="309"/>
      <c r="D24" s="141" t="s">
        <v>4639</v>
      </c>
      <c r="E24" s="308"/>
      <c r="F24" s="308"/>
      <c r="G24" s="376" t="str">
        <f t="shared" si="0"/>
        <v/>
      </c>
      <c r="H24" s="376">
        <f>1/1*$D$4</f>
        <v>0.67779999999999996</v>
      </c>
      <c r="I24" s="310" t="str">
        <f t="shared" si="1"/>
        <v/>
      </c>
      <c r="J24" s="310" t="str">
        <f t="shared" si="2"/>
        <v/>
      </c>
      <c r="K24" s="328"/>
      <c r="L24" s="312"/>
    </row>
    <row r="25" spans="2:25" ht="15" outlineLevel="1" thickBot="1" x14ac:dyDescent="0.4">
      <c r="E25" s="948" t="s">
        <v>2085</v>
      </c>
      <c r="F25" s="313">
        <f>SUM(F6:F24)</f>
        <v>0</v>
      </c>
      <c r="H25" s="365"/>
      <c r="J25" s="395">
        <f>IF(SUM(J6:J24)&lt;0,0,(IF(SUM(J6:J24)&gt;0.5,0.5,(SUM(J6:J24)))))</f>
        <v>0</v>
      </c>
      <c r="K25" s="396">
        <v>0</v>
      </c>
      <c r="L25" s="1146">
        <f>Qualitätsprüfung!G1442</f>
        <v>0.5</v>
      </c>
    </row>
    <row r="26" spans="2:25" ht="15" outlineLevel="1" thickBot="1" x14ac:dyDescent="0.4">
      <c r="I26" s="311" t="s">
        <v>5139</v>
      </c>
      <c r="J26" s="397">
        <f>IF((F25&gt;0),(TREND(K25:L25,K26:L26,J25,1)),0)</f>
        <v>0</v>
      </c>
      <c r="K26" s="332">
        <v>0.5</v>
      </c>
      <c r="L26" s="398">
        <v>0</v>
      </c>
    </row>
    <row r="27" spans="2:25" x14ac:dyDescent="0.35">
      <c r="K27" s="332"/>
      <c r="L27" s="398"/>
    </row>
    <row r="28" spans="2:25" x14ac:dyDescent="0.35">
      <c r="B28" s="767" t="s">
        <v>4853</v>
      </c>
      <c r="C28" s="770"/>
      <c r="D28" s="770"/>
      <c r="E28" s="770"/>
      <c r="F28" s="770"/>
      <c r="G28" s="771"/>
      <c r="H28" s="771"/>
      <c r="I28" s="771"/>
      <c r="J28" s="771"/>
      <c r="L28" s="26"/>
      <c r="M28" s="26"/>
      <c r="N28" s="26"/>
      <c r="O28" s="26"/>
      <c r="P28" s="26"/>
      <c r="Q28" s="26"/>
      <c r="R28" s="26"/>
      <c r="S28" s="26"/>
      <c r="T28" s="26"/>
      <c r="U28" s="26"/>
      <c r="V28" s="26"/>
      <c r="W28" s="26"/>
      <c r="X28" s="26"/>
      <c r="Y28" s="26"/>
    </row>
    <row r="29" spans="2:25" outlineLevel="1" x14ac:dyDescent="0.35">
      <c r="L29" s="26"/>
      <c r="M29" s="26"/>
      <c r="N29" s="115"/>
      <c r="O29" s="115"/>
      <c r="P29" s="315"/>
      <c r="Q29" s="26"/>
      <c r="R29" s="26"/>
      <c r="S29" s="26"/>
      <c r="T29" s="26"/>
      <c r="U29" s="26"/>
      <c r="V29" s="26"/>
      <c r="W29" s="26"/>
      <c r="X29" s="26"/>
      <c r="Y29" s="26"/>
    </row>
    <row r="30" spans="2:25" outlineLevel="1" x14ac:dyDescent="0.35">
      <c r="B30" s="292" t="s">
        <v>5215</v>
      </c>
      <c r="C30" s="303" t="s">
        <v>4372</v>
      </c>
      <c r="D30" s="303" t="s">
        <v>4360</v>
      </c>
      <c r="E30" s="303" t="s">
        <v>4362</v>
      </c>
      <c r="F30" s="303" t="s">
        <v>39</v>
      </c>
      <c r="G30" s="320">
        <v>0</v>
      </c>
      <c r="H30" s="1147">
        <f>Qualitätsprüfung!G1486</f>
        <v>1</v>
      </c>
      <c r="L30" s="26"/>
      <c r="M30" s="26"/>
      <c r="N30" s="327"/>
      <c r="O30" s="328"/>
      <c r="P30" s="312"/>
      <c r="Q30" s="26"/>
      <c r="R30" s="115"/>
      <c r="S30" s="115"/>
      <c r="T30" s="315"/>
      <c r="U30" s="26"/>
      <c r="V30" s="26"/>
      <c r="W30" s="26"/>
      <c r="X30" s="26"/>
      <c r="Y30" s="26"/>
    </row>
    <row r="31" spans="2:25" outlineLevel="1" x14ac:dyDescent="0.35">
      <c r="B31" s="20" t="s">
        <v>4370</v>
      </c>
      <c r="C31" s="309"/>
      <c r="D31" s="308"/>
      <c r="E31" s="310" t="str">
        <f>IF(ISNUMBER(C31),(IF(TREND($G$30:$H$30,G31:H31,C31,1)&lt;0,0,(IF(TREND($G$30:$H$30,G31:H31,C31,1)&gt;1,1,(TREND($G$30:$H$30,G31:H31,C31,1)))))),"")</f>
        <v/>
      </c>
      <c r="F31" s="310">
        <f>IF((D31&gt;0),(E31*D31/$D$33),0)</f>
        <v>0</v>
      </c>
      <c r="G31" s="362">
        <v>35</v>
      </c>
      <c r="H31" s="363">
        <v>165</v>
      </c>
      <c r="L31" s="26"/>
      <c r="M31" s="26"/>
      <c r="N31" s="26"/>
      <c r="O31" s="26"/>
      <c r="P31" s="26"/>
      <c r="Q31" s="26"/>
      <c r="R31" s="327"/>
      <c r="S31" s="328"/>
      <c r="T31" s="329"/>
      <c r="U31" s="26"/>
      <c r="V31" s="400"/>
      <c r="W31" s="328"/>
      <c r="X31" s="312"/>
      <c r="Y31" s="26"/>
    </row>
    <row r="32" spans="2:25" ht="15" outlineLevel="1" thickBot="1" x14ac:dyDescent="0.4">
      <c r="B32" s="20" t="s">
        <v>4371</v>
      </c>
      <c r="C32" s="309"/>
      <c r="D32" s="308"/>
      <c r="E32" s="310" t="str">
        <f>IF(ISNUMBER(C32),(IF(TREND($G$30:$H$30,G32:H32,C32,1)&lt;0,0,(IF(TREND($G$30:$H$30,G32:H32,C32,1)&gt;1,1,(TREND($G$30:$H$30,G32:H32,C32,1)))))),"")</f>
        <v/>
      </c>
      <c r="F32" s="310">
        <f>IF((D32&gt;0),(E32*D32/$D$33),0)</f>
        <v>0</v>
      </c>
      <c r="G32" s="401">
        <v>0.85</v>
      </c>
      <c r="H32" s="402">
        <v>2.5499999999999998</v>
      </c>
      <c r="L32" s="26"/>
      <c r="M32" s="26"/>
      <c r="N32" s="26"/>
      <c r="O32" s="26"/>
      <c r="P32" s="26"/>
      <c r="Q32" s="26"/>
      <c r="R32" s="26"/>
      <c r="S32" s="26"/>
      <c r="T32" s="26"/>
      <c r="U32" s="26"/>
      <c r="V32" s="400"/>
      <c r="W32" s="328"/>
      <c r="X32" s="329"/>
      <c r="Y32" s="26"/>
    </row>
    <row r="33" spans="2:25" ht="15" outlineLevel="1" thickBot="1" x14ac:dyDescent="0.4">
      <c r="B33" s="729" t="s">
        <v>11</v>
      </c>
      <c r="C33" s="141"/>
      <c r="D33" s="313">
        <f>SUM(D31:D32)</f>
        <v>0</v>
      </c>
      <c r="E33" s="754" t="s">
        <v>5140</v>
      </c>
      <c r="F33" s="397">
        <f>SUM(F31:F32)</f>
        <v>0</v>
      </c>
      <c r="G33" s="403"/>
      <c r="H33" s="293"/>
      <c r="L33" s="26"/>
      <c r="M33" s="26"/>
      <c r="N33" s="26"/>
      <c r="O33" s="26"/>
      <c r="P33" s="26"/>
      <c r="Q33" s="26"/>
      <c r="R33" s="26"/>
      <c r="S33" s="26"/>
      <c r="T33" s="26"/>
      <c r="U33" s="26"/>
      <c r="V33" s="26"/>
      <c r="W33" s="26"/>
      <c r="X33" s="26"/>
      <c r="Y33" s="26"/>
    </row>
    <row r="34" spans="2:25" x14ac:dyDescent="0.35">
      <c r="J34" s="399"/>
      <c r="K34" s="332"/>
      <c r="L34" s="398"/>
    </row>
    <row r="35" spans="2:25" x14ac:dyDescent="0.35">
      <c r="B35" s="767" t="s">
        <v>4854</v>
      </c>
      <c r="C35" s="768"/>
      <c r="D35" s="768"/>
      <c r="E35" s="768"/>
      <c r="F35" s="768"/>
      <c r="G35" s="769"/>
      <c r="H35" s="769"/>
      <c r="I35" s="769"/>
      <c r="J35" s="769"/>
    </row>
    <row r="36" spans="2:25" outlineLevel="1" x14ac:dyDescent="0.35">
      <c r="B36" s="304"/>
      <c r="C36" s="350" t="s">
        <v>4460</v>
      </c>
      <c r="D36" s="350" t="s">
        <v>4461</v>
      </c>
      <c r="E36" s="312"/>
      <c r="F36" s="312"/>
      <c r="G36" s="26"/>
      <c r="H36" s="26"/>
      <c r="I36" s="26"/>
      <c r="J36" s="26"/>
    </row>
    <row r="37" spans="2:25" outlineLevel="1" x14ac:dyDescent="0.35">
      <c r="B37" s="371" t="s">
        <v>4443</v>
      </c>
      <c r="C37" s="374">
        <f>VLOOKUP(Eckdaten!$C$33,Listen!$B$104:$D$114,3,0)</f>
        <v>6.2E-2</v>
      </c>
      <c r="D37" s="374">
        <v>0.2</v>
      </c>
    </row>
    <row r="38" spans="2:25" outlineLevel="1" x14ac:dyDescent="0.35">
      <c r="B38" s="292" t="s">
        <v>4406</v>
      </c>
      <c r="C38" s="303" t="s">
        <v>4617</v>
      </c>
      <c r="D38" s="303" t="s">
        <v>4415</v>
      </c>
      <c r="E38" s="303" t="s">
        <v>4647</v>
      </c>
      <c r="F38" s="303" t="s">
        <v>5214</v>
      </c>
      <c r="G38" s="303" t="s">
        <v>4456</v>
      </c>
      <c r="H38" s="404" t="s">
        <v>5632</v>
      </c>
      <c r="I38" s="303" t="s">
        <v>4347</v>
      </c>
      <c r="J38" s="303" t="s">
        <v>39</v>
      </c>
    </row>
    <row r="39" spans="2:25" outlineLevel="1" x14ac:dyDescent="0.35">
      <c r="B39" s="20" t="s">
        <v>4421</v>
      </c>
      <c r="C39" s="309"/>
      <c r="D39" s="141" t="s">
        <v>4416</v>
      </c>
      <c r="E39" s="308"/>
      <c r="F39" s="308"/>
      <c r="G39" s="376" t="str">
        <f>IF(ISNUMBER(C39),C39/E39,"")</f>
        <v/>
      </c>
      <c r="H39" s="376">
        <f>1/50</f>
        <v>0.02</v>
      </c>
      <c r="I39" s="310" t="str">
        <f>IF(ISNUMBER(G39),(IF((1-H39/G39)&gt;1,1,(1-H39/G39))),"")</f>
        <v/>
      </c>
      <c r="J39" s="310" t="str">
        <f t="shared" ref="J39:J57" si="3">IF(ISNUMBER(F39),F39/$F$58*I39,"")</f>
        <v/>
      </c>
    </row>
    <row r="40" spans="2:25" outlineLevel="1" x14ac:dyDescent="0.35">
      <c r="B40" s="20" t="s">
        <v>4422</v>
      </c>
      <c r="C40" s="309"/>
      <c r="D40" s="141" t="s">
        <v>4416</v>
      </c>
      <c r="E40" s="308"/>
      <c r="F40" s="308"/>
      <c r="G40" s="376" t="str">
        <f t="shared" ref="G40:G57" si="4">IF(ISNUMBER(C40),C40/E40,"")</f>
        <v/>
      </c>
      <c r="H40" s="376">
        <f>1/300</f>
        <v>3.3333333333333335E-3</v>
      </c>
      <c r="I40" s="310" t="str">
        <f t="shared" ref="I40:I57" si="5">IF(ISNUMBER(G40),(IF((1-H40/G40)&gt;1,1,(1-H40/G40))),"")</f>
        <v/>
      </c>
      <c r="J40" s="310" t="str">
        <f t="shared" si="3"/>
        <v/>
      </c>
    </row>
    <row r="41" spans="2:25" outlineLevel="1" x14ac:dyDescent="0.35">
      <c r="B41" s="20" t="s">
        <v>4409</v>
      </c>
      <c r="C41" s="309"/>
      <c r="D41" s="141" t="s">
        <v>4417</v>
      </c>
      <c r="E41" s="308"/>
      <c r="F41" s="308"/>
      <c r="G41" s="376" t="str">
        <f t="shared" si="4"/>
        <v/>
      </c>
      <c r="H41" s="376">
        <f>1/2</f>
        <v>0.5</v>
      </c>
      <c r="I41" s="310" t="str">
        <f t="shared" si="5"/>
        <v/>
      </c>
      <c r="J41" s="310" t="str">
        <f t="shared" si="3"/>
        <v/>
      </c>
    </row>
    <row r="42" spans="2:25" outlineLevel="1" x14ac:dyDescent="0.35">
      <c r="B42" s="20" t="s">
        <v>4423</v>
      </c>
      <c r="C42" s="309"/>
      <c r="D42" s="141" t="s">
        <v>4417</v>
      </c>
      <c r="E42" s="308"/>
      <c r="F42" s="308"/>
      <c r="G42" s="376" t="str">
        <f t="shared" si="4"/>
        <v/>
      </c>
      <c r="H42" s="376">
        <f>1/5</f>
        <v>0.2</v>
      </c>
      <c r="I42" s="310" t="str">
        <f t="shared" si="5"/>
        <v/>
      </c>
      <c r="J42" s="310" t="str">
        <f t="shared" si="3"/>
        <v/>
      </c>
    </row>
    <row r="43" spans="2:25" outlineLevel="1" x14ac:dyDescent="0.35">
      <c r="B43" s="20" t="s">
        <v>4424</v>
      </c>
      <c r="C43" s="309"/>
      <c r="D43" s="141" t="s">
        <v>4417</v>
      </c>
      <c r="E43" s="308"/>
      <c r="F43" s="308"/>
      <c r="G43" s="376" t="str">
        <f t="shared" si="4"/>
        <v/>
      </c>
      <c r="H43" s="376">
        <f>1/5</f>
        <v>0.2</v>
      </c>
      <c r="I43" s="310" t="str">
        <f t="shared" si="5"/>
        <v/>
      </c>
      <c r="J43" s="310" t="str">
        <f t="shared" si="3"/>
        <v/>
      </c>
    </row>
    <row r="44" spans="2:25" ht="15" outlineLevel="1" thickBot="1" x14ac:dyDescent="0.4">
      <c r="B44" s="27" t="s">
        <v>4425</v>
      </c>
      <c r="C44" s="476"/>
      <c r="D44" s="477" t="s">
        <v>4417</v>
      </c>
      <c r="E44" s="1019"/>
      <c r="F44" s="1019"/>
      <c r="G44" s="478" t="str">
        <f t="shared" si="4"/>
        <v/>
      </c>
      <c r="H44" s="478">
        <f>1/4</f>
        <v>0.25</v>
      </c>
      <c r="I44" s="479" t="str">
        <f t="shared" si="5"/>
        <v/>
      </c>
      <c r="J44" s="479" t="str">
        <f t="shared" si="3"/>
        <v/>
      </c>
    </row>
    <row r="45" spans="2:25" outlineLevel="1" x14ac:dyDescent="0.35">
      <c r="B45" s="926" t="s">
        <v>5218</v>
      </c>
      <c r="C45" s="384"/>
      <c r="D45" s="385" t="s">
        <v>4429</v>
      </c>
      <c r="E45" s="386"/>
      <c r="F45" s="386"/>
      <c r="G45" s="387" t="str">
        <f t="shared" si="4"/>
        <v/>
      </c>
      <c r="H45" s="387">
        <f>1/10</f>
        <v>0.1</v>
      </c>
      <c r="I45" s="388" t="str">
        <f t="shared" si="5"/>
        <v/>
      </c>
      <c r="J45" s="388" t="str">
        <f t="shared" si="3"/>
        <v/>
      </c>
    </row>
    <row r="46" spans="2:25" outlineLevel="1" x14ac:dyDescent="0.35">
      <c r="B46" s="20" t="s">
        <v>4426</v>
      </c>
      <c r="C46" s="309"/>
      <c r="D46" s="141" t="s">
        <v>4430</v>
      </c>
      <c r="E46" s="308"/>
      <c r="F46" s="308"/>
      <c r="G46" s="376" t="str">
        <f t="shared" si="4"/>
        <v/>
      </c>
      <c r="H46" s="376">
        <f>1/5</f>
        <v>0.2</v>
      </c>
      <c r="I46" s="310" t="str">
        <f t="shared" si="5"/>
        <v/>
      </c>
      <c r="J46" s="310" t="str">
        <f t="shared" si="3"/>
        <v/>
      </c>
    </row>
    <row r="47" spans="2:25" outlineLevel="1" x14ac:dyDescent="0.35">
      <c r="B47" s="20" t="s">
        <v>4640</v>
      </c>
      <c r="C47" s="309"/>
      <c r="D47" s="141" t="s">
        <v>4650</v>
      </c>
      <c r="E47" s="308"/>
      <c r="F47" s="308"/>
      <c r="G47" s="376" t="str">
        <f t="shared" si="4"/>
        <v/>
      </c>
      <c r="H47" s="376">
        <f>1/50</f>
        <v>0.02</v>
      </c>
      <c r="I47" s="310" t="str">
        <f t="shared" si="5"/>
        <v/>
      </c>
      <c r="J47" s="310" t="str">
        <f t="shared" si="3"/>
        <v/>
      </c>
    </row>
    <row r="48" spans="2:25" ht="15" outlineLevel="1" thickBot="1" x14ac:dyDescent="0.4">
      <c r="B48" s="27" t="s">
        <v>4641</v>
      </c>
      <c r="C48" s="476"/>
      <c r="D48" s="477" t="s">
        <v>4648</v>
      </c>
      <c r="E48" s="1019"/>
      <c r="F48" s="1019"/>
      <c r="G48" s="478" t="str">
        <f t="shared" si="4"/>
        <v/>
      </c>
      <c r="H48" s="478">
        <f>1/8</f>
        <v>0.125</v>
      </c>
      <c r="I48" s="479" t="str">
        <f t="shared" si="5"/>
        <v/>
      </c>
      <c r="J48" s="479" t="str">
        <f t="shared" si="3"/>
        <v/>
      </c>
    </row>
    <row r="49" spans="2:25" ht="15" outlineLevel="1" thickBot="1" x14ac:dyDescent="0.4">
      <c r="B49" s="480" t="s">
        <v>4418</v>
      </c>
      <c r="C49" s="481"/>
      <c r="D49" s="482" t="s">
        <v>4649</v>
      </c>
      <c r="E49" s="1020"/>
      <c r="F49" s="1020"/>
      <c r="G49" s="483" t="str">
        <f t="shared" si="4"/>
        <v/>
      </c>
      <c r="H49" s="483">
        <f>1/5</f>
        <v>0.2</v>
      </c>
      <c r="I49" s="484" t="str">
        <f t="shared" si="5"/>
        <v/>
      </c>
      <c r="J49" s="484" t="str">
        <f t="shared" si="3"/>
        <v/>
      </c>
    </row>
    <row r="50" spans="2:25" outlineLevel="1" x14ac:dyDescent="0.35">
      <c r="B50" s="28" t="s">
        <v>4642</v>
      </c>
      <c r="C50" s="384"/>
      <c r="D50" s="385" t="s">
        <v>4636</v>
      </c>
      <c r="E50" s="386"/>
      <c r="F50" s="386"/>
      <c r="G50" s="387" t="str">
        <f t="shared" si="4"/>
        <v/>
      </c>
      <c r="H50" s="387">
        <f>1/25</f>
        <v>0.04</v>
      </c>
      <c r="I50" s="388" t="str">
        <f t="shared" si="5"/>
        <v/>
      </c>
      <c r="J50" s="388" t="str">
        <f t="shared" si="3"/>
        <v/>
      </c>
    </row>
    <row r="51" spans="2:25" outlineLevel="1" x14ac:dyDescent="0.35">
      <c r="B51" s="20" t="s">
        <v>4643</v>
      </c>
      <c r="C51" s="309"/>
      <c r="D51" s="141" t="s">
        <v>4636</v>
      </c>
      <c r="E51" s="308"/>
      <c r="F51" s="308"/>
      <c r="G51" s="376" t="str">
        <f t="shared" si="4"/>
        <v/>
      </c>
      <c r="H51" s="376">
        <f>1/50</f>
        <v>0.02</v>
      </c>
      <c r="I51" s="310" t="str">
        <f t="shared" si="5"/>
        <v/>
      </c>
      <c r="J51" s="310" t="str">
        <f t="shared" si="3"/>
        <v/>
      </c>
    </row>
    <row r="52" spans="2:25" outlineLevel="1" x14ac:dyDescent="0.35">
      <c r="B52" s="20" t="s">
        <v>4644</v>
      </c>
      <c r="C52" s="309"/>
      <c r="D52" s="141" t="s">
        <v>4636</v>
      </c>
      <c r="E52" s="308"/>
      <c r="F52" s="308"/>
      <c r="G52" s="376" t="str">
        <f t="shared" si="4"/>
        <v/>
      </c>
      <c r="H52" s="376">
        <f>1/25</f>
        <v>0.04</v>
      </c>
      <c r="I52" s="310" t="str">
        <f t="shared" si="5"/>
        <v/>
      </c>
      <c r="J52" s="310" t="str">
        <f t="shared" si="3"/>
        <v/>
      </c>
    </row>
    <row r="53" spans="2:25" ht="15" outlineLevel="1" thickBot="1" x14ac:dyDescent="0.4">
      <c r="B53" s="27" t="s">
        <v>4645</v>
      </c>
      <c r="C53" s="476"/>
      <c r="D53" s="477" t="s">
        <v>4636</v>
      </c>
      <c r="E53" s="1019"/>
      <c r="F53" s="1019"/>
      <c r="G53" s="478" t="str">
        <f t="shared" si="4"/>
        <v/>
      </c>
      <c r="H53" s="478">
        <f>1/45</f>
        <v>2.2222222222222223E-2</v>
      </c>
      <c r="I53" s="479" t="str">
        <f t="shared" si="5"/>
        <v/>
      </c>
      <c r="J53" s="479" t="str">
        <f t="shared" si="3"/>
        <v/>
      </c>
    </row>
    <row r="54" spans="2:25" outlineLevel="1" x14ac:dyDescent="0.35">
      <c r="B54" s="28" t="s">
        <v>4646</v>
      </c>
      <c r="C54" s="384"/>
      <c r="D54" s="385" t="s">
        <v>4416</v>
      </c>
      <c r="E54" s="386"/>
      <c r="F54" s="386"/>
      <c r="G54" s="387" t="str">
        <f t="shared" si="4"/>
        <v/>
      </c>
      <c r="H54" s="387">
        <f>1/50</f>
        <v>0.02</v>
      </c>
      <c r="I54" s="388" t="str">
        <f t="shared" si="5"/>
        <v/>
      </c>
      <c r="J54" s="388" t="str">
        <f t="shared" si="3"/>
        <v/>
      </c>
    </row>
    <row r="55" spans="2:25" outlineLevel="1" x14ac:dyDescent="0.35">
      <c r="B55" s="20" t="s">
        <v>4427</v>
      </c>
      <c r="C55" s="309"/>
      <c r="D55" s="141" t="s">
        <v>4420</v>
      </c>
      <c r="E55" s="308"/>
      <c r="F55" s="308"/>
      <c r="G55" s="376" t="str">
        <f t="shared" si="4"/>
        <v/>
      </c>
      <c r="H55" s="376">
        <f>1/8</f>
        <v>0.125</v>
      </c>
      <c r="I55" s="310" t="str">
        <f t="shared" si="5"/>
        <v/>
      </c>
      <c r="J55" s="310" t="str">
        <f t="shared" si="3"/>
        <v/>
      </c>
    </row>
    <row r="56" spans="2:25" outlineLevel="1" x14ac:dyDescent="0.35">
      <c r="B56" s="582" t="s">
        <v>5219</v>
      </c>
      <c r="C56" s="309"/>
      <c r="D56" s="141" t="s">
        <v>4417</v>
      </c>
      <c r="E56" s="308"/>
      <c r="F56" s="308"/>
      <c r="G56" s="376" t="str">
        <f t="shared" si="4"/>
        <v/>
      </c>
      <c r="H56" s="376">
        <f>1/20</f>
        <v>0.05</v>
      </c>
      <c r="I56" s="310" t="str">
        <f t="shared" si="5"/>
        <v/>
      </c>
      <c r="J56" s="310" t="str">
        <f t="shared" si="3"/>
        <v/>
      </c>
    </row>
    <row r="57" spans="2:25" outlineLevel="1" x14ac:dyDescent="0.35">
      <c r="B57" s="20" t="s">
        <v>4428</v>
      </c>
      <c r="C57" s="309"/>
      <c r="D57" s="141" t="s">
        <v>4417</v>
      </c>
      <c r="E57" s="308"/>
      <c r="F57" s="308"/>
      <c r="G57" s="376" t="str">
        <f t="shared" si="4"/>
        <v/>
      </c>
      <c r="H57" s="376">
        <f>1/10</f>
        <v>0.1</v>
      </c>
      <c r="I57" s="310" t="str">
        <f t="shared" si="5"/>
        <v/>
      </c>
      <c r="J57" s="310" t="str">
        <f t="shared" si="3"/>
        <v/>
      </c>
    </row>
    <row r="58" spans="2:25" ht="15" outlineLevel="1" thickBot="1" x14ac:dyDescent="0.4">
      <c r="E58" s="948" t="s">
        <v>2085</v>
      </c>
      <c r="F58" s="313">
        <f>SUM(F39:F57)</f>
        <v>0</v>
      </c>
      <c r="J58" s="395">
        <f>IF(SUM(J39:J57)&lt;0,0,(IF(SUM(J39:J57)&gt;0.5,0.5,(SUM(J39:J57)))))</f>
        <v>0</v>
      </c>
      <c r="K58" s="396">
        <v>0</v>
      </c>
      <c r="L58" s="1146">
        <f>Qualitätsprüfung!G1511</f>
        <v>0.35</v>
      </c>
    </row>
    <row r="59" spans="2:25" ht="15" outlineLevel="1" thickBot="1" x14ac:dyDescent="0.4">
      <c r="I59" s="311" t="s">
        <v>5141</v>
      </c>
      <c r="J59" s="405">
        <f>IF((F58&gt;0),(TREND(K58:L58,K59:L59,J58,1)),0)</f>
        <v>0</v>
      </c>
      <c r="K59" s="332">
        <v>0</v>
      </c>
      <c r="L59" s="398">
        <v>0.5</v>
      </c>
      <c r="M59" s="26"/>
      <c r="N59" s="26"/>
      <c r="O59" s="26"/>
      <c r="P59" s="26"/>
      <c r="Q59" s="26"/>
      <c r="R59" s="26"/>
      <c r="S59" s="26"/>
      <c r="T59" s="26"/>
      <c r="U59" s="26"/>
      <c r="V59" s="26"/>
      <c r="W59" s="26"/>
      <c r="X59" s="26"/>
      <c r="Y59" s="26"/>
    </row>
    <row r="60" spans="2:25" x14ac:dyDescent="0.35">
      <c r="L60" s="26"/>
      <c r="M60" s="26"/>
      <c r="N60" s="26"/>
      <c r="O60" s="26"/>
      <c r="P60" s="26"/>
      <c r="Q60" s="26"/>
      <c r="R60" s="26"/>
      <c r="S60" s="26"/>
      <c r="T60" s="26"/>
      <c r="U60" s="26"/>
      <c r="V60" s="26"/>
      <c r="W60" s="26"/>
      <c r="X60" s="26"/>
      <c r="Y60" s="26"/>
    </row>
    <row r="61" spans="2:25" x14ac:dyDescent="0.35">
      <c r="B61" s="767" t="s">
        <v>5649</v>
      </c>
      <c r="C61" s="768"/>
      <c r="D61" s="770"/>
      <c r="E61" s="770"/>
      <c r="F61" s="770"/>
      <c r="G61" s="771"/>
      <c r="H61" s="771"/>
      <c r="I61" s="771"/>
      <c r="J61" s="771"/>
      <c r="L61" s="26"/>
      <c r="M61" s="26"/>
      <c r="N61" s="26"/>
      <c r="O61" s="26"/>
      <c r="P61" s="26"/>
      <c r="Q61" s="26"/>
      <c r="R61" s="26"/>
      <c r="S61" s="26"/>
      <c r="T61" s="26"/>
      <c r="U61" s="26"/>
      <c r="V61" s="26"/>
      <c r="W61" s="26"/>
      <c r="X61" s="26"/>
      <c r="Y61" s="26"/>
    </row>
    <row r="62" spans="2:25" outlineLevel="1" x14ac:dyDescent="0.35">
      <c r="L62" s="26"/>
      <c r="M62" s="26"/>
      <c r="N62" s="26"/>
      <c r="O62" s="26"/>
      <c r="P62" s="26"/>
      <c r="Q62" s="26"/>
      <c r="R62" s="26"/>
      <c r="S62" s="26"/>
      <c r="T62" s="26"/>
      <c r="U62" s="26"/>
      <c r="V62" s="26"/>
      <c r="W62" s="26"/>
      <c r="X62" s="26"/>
      <c r="Y62" s="26"/>
    </row>
    <row r="63" spans="2:25" outlineLevel="1" x14ac:dyDescent="0.35">
      <c r="B63" s="292" t="s">
        <v>5147</v>
      </c>
      <c r="C63" s="410" t="s">
        <v>5154</v>
      </c>
      <c r="D63" s="410" t="s">
        <v>5155</v>
      </c>
      <c r="E63" s="410" t="s">
        <v>5156</v>
      </c>
      <c r="F63" s="410" t="s">
        <v>5157</v>
      </c>
      <c r="G63" s="410" t="s">
        <v>5161</v>
      </c>
      <c r="H63" s="410" t="s">
        <v>5162</v>
      </c>
      <c r="I63" s="410" t="s">
        <v>5163</v>
      </c>
      <c r="J63" s="410" t="s">
        <v>2085</v>
      </c>
      <c r="N63" s="26"/>
      <c r="O63" s="26"/>
      <c r="P63" s="26"/>
      <c r="Q63" s="26"/>
      <c r="R63" s="26"/>
      <c r="S63" s="26"/>
      <c r="T63" s="26"/>
      <c r="U63" s="26"/>
      <c r="V63" s="26"/>
      <c r="W63" s="26"/>
      <c r="X63" s="26"/>
      <c r="Y63" s="26"/>
    </row>
    <row r="64" spans="2:25" outlineLevel="1" x14ac:dyDescent="0.35">
      <c r="B64" s="758" t="s">
        <v>6117</v>
      </c>
      <c r="C64" s="1140"/>
      <c r="D64" s="1141"/>
      <c r="E64" s="1141"/>
      <c r="F64" s="1141"/>
      <c r="G64" s="1141"/>
      <c r="H64" s="1141"/>
      <c r="I64" s="1141"/>
      <c r="J64" s="410"/>
    </row>
    <row r="65" spans="2:12" outlineLevel="1" x14ac:dyDescent="0.35">
      <c r="B65" s="758" t="s">
        <v>5164</v>
      </c>
      <c r="C65" s="760"/>
      <c r="D65" s="760"/>
      <c r="E65" s="760"/>
      <c r="F65" s="760"/>
      <c r="G65" s="760"/>
      <c r="H65" s="760"/>
      <c r="I65" s="760"/>
      <c r="J65" s="410">
        <f>SUM(C65:I65)</f>
        <v>0</v>
      </c>
    </row>
    <row r="66" spans="2:12" outlineLevel="1" x14ac:dyDescent="0.35">
      <c r="B66" s="758" t="s">
        <v>5224</v>
      </c>
      <c r="C66" s="760"/>
      <c r="D66" s="760"/>
      <c r="E66" s="760"/>
      <c r="F66" s="760"/>
      <c r="G66" s="760"/>
      <c r="H66" s="760"/>
      <c r="I66" s="760"/>
      <c r="J66" s="410">
        <f>SUM(C66:I66)</f>
        <v>0</v>
      </c>
    </row>
    <row r="67" spans="2:12" outlineLevel="1" x14ac:dyDescent="0.35">
      <c r="B67" s="521" t="s">
        <v>5159</v>
      </c>
      <c r="C67" s="585">
        <f>IF(C65&gt;0,(C66/C65),0)</f>
        <v>0</v>
      </c>
      <c r="D67" s="585">
        <f t="shared" ref="D67:F67" si="6">IF(D65&gt;0,(D66/D65),0)</f>
        <v>0</v>
      </c>
      <c r="E67" s="585">
        <f t="shared" si="6"/>
        <v>0</v>
      </c>
      <c r="F67" s="585">
        <f t="shared" si="6"/>
        <v>0</v>
      </c>
      <c r="G67" s="585">
        <f t="shared" ref="G67" si="7">IF(G65&gt;0,(G66/G65),0)</f>
        <v>0</v>
      </c>
      <c r="H67" s="585">
        <f t="shared" ref="H67" si="8">IF(H65&gt;0,(H66/H65),0)</f>
        <v>0</v>
      </c>
      <c r="I67" s="585">
        <f t="shared" ref="I67" si="9">IF(I65&gt;0,(I66/I65),0)</f>
        <v>0</v>
      </c>
      <c r="J67" s="585">
        <f>IF(J65&gt;0,(J66/J65),0)</f>
        <v>0</v>
      </c>
    </row>
    <row r="68" spans="2:12" outlineLevel="1" x14ac:dyDescent="0.35">
      <c r="B68" s="758" t="s">
        <v>6118</v>
      </c>
      <c r="C68" s="1142"/>
      <c r="D68" s="1142"/>
      <c r="E68" s="1142"/>
      <c r="F68" s="1142"/>
      <c r="G68" s="1142"/>
      <c r="H68" s="1142"/>
      <c r="I68" s="1142"/>
      <c r="J68" s="766"/>
    </row>
    <row r="69" spans="2:12" ht="29" outlineLevel="1" x14ac:dyDescent="0.35">
      <c r="B69" s="758" t="s">
        <v>5165</v>
      </c>
      <c r="C69" s="760"/>
      <c r="D69" s="760"/>
      <c r="E69" s="760"/>
      <c r="F69" s="760"/>
      <c r="G69" s="760"/>
      <c r="H69" s="760"/>
      <c r="I69" s="760"/>
      <c r="J69" s="410">
        <f>SUM(C69:I69)</f>
        <v>0</v>
      </c>
    </row>
    <row r="70" spans="2:12" ht="29" outlineLevel="1" x14ac:dyDescent="0.35">
      <c r="B70" s="758" t="s">
        <v>5221</v>
      </c>
      <c r="C70" s="760"/>
      <c r="D70" s="760"/>
      <c r="E70" s="760"/>
      <c r="F70" s="760"/>
      <c r="G70" s="760"/>
      <c r="H70" s="760"/>
      <c r="I70" s="760"/>
      <c r="J70" s="410">
        <f>SUM(C70:I70)</f>
        <v>0</v>
      </c>
    </row>
    <row r="71" spans="2:12" outlineLevel="1" x14ac:dyDescent="0.35">
      <c r="B71" s="521" t="s">
        <v>5160</v>
      </c>
      <c r="C71" s="585">
        <f>IF(C69&gt;0,(C70/C69),0)</f>
        <v>0</v>
      </c>
      <c r="D71" s="585">
        <f t="shared" ref="D71" si="10">IF(D69&gt;0,(D70/D69),0)</f>
        <v>0</v>
      </c>
      <c r="E71" s="585">
        <f t="shared" ref="E71" si="11">IF(E69&gt;0,(E70/E69),0)</f>
        <v>0</v>
      </c>
      <c r="F71" s="585">
        <f t="shared" ref="F71" si="12">IF(F69&gt;0,(F70/F69),0)</f>
        <v>0</v>
      </c>
      <c r="G71" s="585">
        <f t="shared" ref="G71" si="13">IF(G69&gt;0,(G70/G69),0)</f>
        <v>0</v>
      </c>
      <c r="H71" s="585">
        <f t="shared" ref="H71" si="14">IF(H69&gt;0,(H70/H69),0)</f>
        <v>0</v>
      </c>
      <c r="I71" s="585">
        <f t="shared" ref="I71" si="15">IF(I69&gt;0,(I70/I69),0)</f>
        <v>0</v>
      </c>
      <c r="J71" s="585">
        <f t="shared" ref="J71" si="16">IF(J69&gt;0,(J70/J69),0)</f>
        <v>0</v>
      </c>
    </row>
    <row r="72" spans="2:12" ht="15" outlineLevel="1" thickBot="1" x14ac:dyDescent="0.4">
      <c r="B72" s="762"/>
      <c r="C72" s="763"/>
      <c r="D72" s="763"/>
      <c r="E72" s="763"/>
      <c r="F72" s="763"/>
      <c r="J72" s="523">
        <f>J67*0.75+J71*0.25</f>
        <v>0</v>
      </c>
      <c r="K72" s="396">
        <v>0</v>
      </c>
      <c r="L72" s="1146">
        <f>Qualitätsprüfung!G1533</f>
        <v>0.5</v>
      </c>
    </row>
    <row r="73" spans="2:12" ht="15" outlineLevel="1" thickBot="1" x14ac:dyDescent="0.4">
      <c r="B73" s="762"/>
      <c r="C73" s="763"/>
      <c r="D73" s="763"/>
      <c r="E73" s="763"/>
      <c r="F73" s="763"/>
      <c r="I73" s="755" t="s">
        <v>5142</v>
      </c>
      <c r="J73" s="405">
        <f>IF((J72&gt;0),(TREND(K72:L72,K73:L73,J72,1)),0)</f>
        <v>0</v>
      </c>
      <c r="K73" s="332">
        <v>0</v>
      </c>
      <c r="L73" s="398">
        <v>1</v>
      </c>
    </row>
    <row r="74" spans="2:12" x14ac:dyDescent="0.35">
      <c r="C74" s="311"/>
    </row>
    <row r="75" spans="2:12" x14ac:dyDescent="0.35">
      <c r="B75" s="767" t="s">
        <v>5650</v>
      </c>
      <c r="C75" s="768"/>
      <c r="D75" s="770"/>
      <c r="E75" s="770"/>
      <c r="F75" s="770"/>
      <c r="G75" s="771"/>
      <c r="H75" s="771"/>
      <c r="I75" s="771"/>
      <c r="J75" s="771"/>
    </row>
    <row r="76" spans="2:12" outlineLevel="1" x14ac:dyDescent="0.35"/>
    <row r="77" spans="2:12" outlineLevel="1" x14ac:dyDescent="0.35">
      <c r="B77" s="292" t="s">
        <v>5147</v>
      </c>
      <c r="C77" s="410" t="s">
        <v>5154</v>
      </c>
      <c r="D77" s="410" t="s">
        <v>5155</v>
      </c>
      <c r="E77" s="410" t="s">
        <v>5156</v>
      </c>
      <c r="F77" s="410" t="s">
        <v>5157</v>
      </c>
      <c r="G77" s="410" t="s">
        <v>5161</v>
      </c>
      <c r="H77" s="410" t="s">
        <v>5162</v>
      </c>
      <c r="I77" s="410" t="s">
        <v>5163</v>
      </c>
      <c r="J77" s="410" t="s">
        <v>2085</v>
      </c>
    </row>
    <row r="78" spans="2:12" outlineLevel="1" x14ac:dyDescent="0.35">
      <c r="B78" s="758" t="s">
        <v>6119</v>
      </c>
      <c r="C78" s="1140"/>
      <c r="D78" s="1141"/>
      <c r="E78" s="1141"/>
      <c r="F78" s="1141"/>
      <c r="G78" s="1141"/>
      <c r="H78" s="1141"/>
      <c r="I78" s="1141"/>
      <c r="J78" s="410"/>
    </row>
    <row r="79" spans="2:12" outlineLevel="1" x14ac:dyDescent="0.35">
      <c r="B79" s="758" t="s">
        <v>5166</v>
      </c>
      <c r="C79" s="760"/>
      <c r="D79" s="760"/>
      <c r="E79" s="760"/>
      <c r="F79" s="760"/>
      <c r="G79" s="760"/>
      <c r="H79" s="760"/>
      <c r="I79" s="760"/>
      <c r="J79" s="410">
        <f>SUM(C79:I79)</f>
        <v>0</v>
      </c>
    </row>
    <row r="80" spans="2:12" outlineLevel="1" x14ac:dyDescent="0.35">
      <c r="B80" s="758" t="s">
        <v>5222</v>
      </c>
      <c r="C80" s="760"/>
      <c r="D80" s="760"/>
      <c r="E80" s="760"/>
      <c r="F80" s="760"/>
      <c r="G80" s="760"/>
      <c r="H80" s="760"/>
      <c r="I80" s="760"/>
      <c r="J80" s="410">
        <f>SUM(C80:I80)</f>
        <v>0</v>
      </c>
    </row>
    <row r="81" spans="2:12" outlineLevel="1" x14ac:dyDescent="0.35">
      <c r="B81" s="521" t="s">
        <v>5167</v>
      </c>
      <c r="C81" s="585">
        <f>IF(C79&gt;0,(C80/C79),0)</f>
        <v>0</v>
      </c>
      <c r="D81" s="585">
        <f t="shared" ref="D81" si="17">IF(D79&gt;0,(D80/D79),0)</f>
        <v>0</v>
      </c>
      <c r="E81" s="585">
        <f t="shared" ref="E81" si="18">IF(E79&gt;0,(E80/E79),0)</f>
        <v>0</v>
      </c>
      <c r="F81" s="585">
        <f t="shared" ref="F81" si="19">IF(F79&gt;0,(F80/F79),0)</f>
        <v>0</v>
      </c>
      <c r="G81" s="585">
        <f t="shared" ref="G81" si="20">IF(G79&gt;0,(G80/G79),0)</f>
        <v>0</v>
      </c>
      <c r="H81" s="585">
        <f t="shared" ref="H81" si="21">IF(H79&gt;0,(H80/H79),0)</f>
        <v>0</v>
      </c>
      <c r="I81" s="585">
        <f t="shared" ref="I81" si="22">IF(I79&gt;0,(I80/I79),0)</f>
        <v>0</v>
      </c>
      <c r="J81" s="585">
        <f>IF(J79&gt;0,(J80/J79),0)</f>
        <v>0</v>
      </c>
    </row>
    <row r="82" spans="2:12" outlineLevel="1" x14ac:dyDescent="0.35">
      <c r="B82" s="758" t="s">
        <v>6120</v>
      </c>
      <c r="C82" s="1142"/>
      <c r="D82" s="1142"/>
      <c r="E82" s="1142"/>
      <c r="F82" s="1142"/>
      <c r="G82" s="1142"/>
      <c r="H82" s="1142"/>
      <c r="I82" s="1142"/>
      <c r="J82" s="766"/>
    </row>
    <row r="83" spans="2:12" ht="29" outlineLevel="1" x14ac:dyDescent="0.35">
      <c r="B83" s="758" t="s">
        <v>5168</v>
      </c>
      <c r="C83" s="760"/>
      <c r="D83" s="760"/>
      <c r="E83" s="760"/>
      <c r="F83" s="760"/>
      <c r="G83" s="760"/>
      <c r="H83" s="760"/>
      <c r="I83" s="760"/>
      <c r="J83" s="410">
        <f>SUM(C83:I83)</f>
        <v>0</v>
      </c>
    </row>
    <row r="84" spans="2:12" ht="29" outlineLevel="1" x14ac:dyDescent="0.35">
      <c r="B84" s="758" t="s">
        <v>5223</v>
      </c>
      <c r="C84" s="760"/>
      <c r="D84" s="760"/>
      <c r="E84" s="760"/>
      <c r="F84" s="760"/>
      <c r="G84" s="760"/>
      <c r="H84" s="760"/>
      <c r="I84" s="760"/>
      <c r="J84" s="410">
        <f>SUM(C84:I84)</f>
        <v>0</v>
      </c>
    </row>
    <row r="85" spans="2:12" outlineLevel="1" x14ac:dyDescent="0.35">
      <c r="B85" s="521" t="s">
        <v>5169</v>
      </c>
      <c r="C85" s="585">
        <f>IF(C83&gt;0,(C84/C83),0)</f>
        <v>0</v>
      </c>
      <c r="D85" s="585">
        <f t="shared" ref="D85" si="23">IF(D83&gt;0,(D84/D83),0)</f>
        <v>0</v>
      </c>
      <c r="E85" s="585">
        <f t="shared" ref="E85" si="24">IF(E83&gt;0,(E84/E83),0)</f>
        <v>0</v>
      </c>
      <c r="F85" s="585">
        <f t="shared" ref="F85" si="25">IF(F83&gt;0,(F84/F83),0)</f>
        <v>0</v>
      </c>
      <c r="G85" s="585">
        <f t="shared" ref="G85" si="26">IF(G83&gt;0,(G84/G83),0)</f>
        <v>0</v>
      </c>
      <c r="H85" s="585">
        <f t="shared" ref="H85" si="27">IF(H83&gt;0,(H84/H83),0)</f>
        <v>0</v>
      </c>
      <c r="I85" s="585">
        <f t="shared" ref="I85:J85" si="28">IF(I83&gt;0,(I84/I83),0)</f>
        <v>0</v>
      </c>
      <c r="J85" s="585">
        <f t="shared" si="28"/>
        <v>0</v>
      </c>
    </row>
    <row r="86" spans="2:12" ht="15" outlineLevel="1" thickBot="1" x14ac:dyDescent="0.4">
      <c r="C86" s="1"/>
      <c r="D86" s="1"/>
      <c r="E86" s="1"/>
      <c r="I86" s="208"/>
      <c r="J86" s="406">
        <f>J81*0.75+J85*0.25</f>
        <v>0</v>
      </c>
      <c r="K86" s="396">
        <v>0</v>
      </c>
      <c r="L86" s="1146">
        <f>Qualitätsprüfung!G1534</f>
        <v>0.5</v>
      </c>
    </row>
    <row r="87" spans="2:12" ht="15" outlineLevel="1" thickBot="1" x14ac:dyDescent="0.4">
      <c r="C87" s="1"/>
      <c r="D87" s="1"/>
      <c r="E87" s="1"/>
      <c r="I87" s="755" t="s">
        <v>5143</v>
      </c>
      <c r="J87" s="405">
        <f>IF((J86&gt;0),(TREND(K86:L86,K87:L87,J86,1)),0)</f>
        <v>0</v>
      </c>
      <c r="K87" s="332">
        <v>0</v>
      </c>
      <c r="L87" s="398">
        <v>1</v>
      </c>
    </row>
    <row r="89" spans="2:12" x14ac:dyDescent="0.35">
      <c r="B89" s="767" t="s">
        <v>5144</v>
      </c>
      <c r="C89" s="768"/>
      <c r="D89" s="770"/>
      <c r="E89" s="770"/>
      <c r="F89" s="770"/>
      <c r="G89" s="771"/>
      <c r="H89" s="771"/>
      <c r="I89" s="771"/>
      <c r="J89" s="771"/>
    </row>
    <row r="91" spans="2:12" outlineLevel="1" x14ac:dyDescent="0.35">
      <c r="B91" s="292" t="s">
        <v>5147</v>
      </c>
      <c r="C91" s="303" t="s">
        <v>4372</v>
      </c>
      <c r="E91" s="292" t="s">
        <v>5171</v>
      </c>
      <c r="F91" s="303" t="s">
        <v>5149</v>
      </c>
      <c r="G91" s="303" t="s">
        <v>5150</v>
      </c>
      <c r="H91" s="303" t="s">
        <v>5151</v>
      </c>
      <c r="I91" s="303" t="s">
        <v>5152</v>
      </c>
      <c r="J91" s="303" t="s">
        <v>2085</v>
      </c>
    </row>
    <row r="92" spans="2:12" outlineLevel="1" x14ac:dyDescent="0.35">
      <c r="B92" s="582" t="s">
        <v>5220</v>
      </c>
      <c r="C92" s="1143"/>
      <c r="E92" s="582" t="s">
        <v>5278</v>
      </c>
      <c r="F92" s="1145"/>
      <c r="G92" s="1145"/>
      <c r="H92" s="1145"/>
      <c r="I92" s="1144"/>
      <c r="J92" s="303"/>
    </row>
    <row r="93" spans="2:12" outlineLevel="1" x14ac:dyDescent="0.35">
      <c r="B93" s="582" t="s">
        <v>5146</v>
      </c>
      <c r="C93" s="1144"/>
      <c r="E93" s="582" t="s">
        <v>5279</v>
      </c>
      <c r="F93" s="757"/>
      <c r="G93" s="757"/>
      <c r="H93" s="757"/>
      <c r="I93" s="309"/>
      <c r="J93" s="303"/>
    </row>
    <row r="94" spans="2:12" s="39" customFormat="1" ht="29" outlineLevel="1" x14ac:dyDescent="0.35">
      <c r="B94" s="758" t="s">
        <v>5170</v>
      </c>
      <c r="C94" s="949" t="e">
        <f>J97</f>
        <v>#DIV/0!</v>
      </c>
      <c r="E94" s="704" t="s">
        <v>5280</v>
      </c>
      <c r="F94" s="759"/>
      <c r="G94" s="759"/>
      <c r="H94" s="759"/>
      <c r="I94" s="760"/>
      <c r="J94" s="410"/>
    </row>
    <row r="95" spans="2:12" outlineLevel="1" x14ac:dyDescent="0.35">
      <c r="B95" s="582" t="s">
        <v>5145</v>
      </c>
      <c r="C95" s="1144"/>
      <c r="D95" s="1"/>
      <c r="E95" s="704" t="s">
        <v>5153</v>
      </c>
      <c r="F95" s="760"/>
      <c r="G95" s="760"/>
      <c r="H95" s="760"/>
      <c r="I95" s="760"/>
      <c r="J95" s="410">
        <f>SUM(F95:I95)</f>
        <v>0</v>
      </c>
    </row>
    <row r="96" spans="2:12" outlineLevel="1" x14ac:dyDescent="0.35">
      <c r="B96" s="582" t="s">
        <v>5282</v>
      </c>
      <c r="C96" s="309"/>
      <c r="E96" s="582" t="s">
        <v>5216</v>
      </c>
      <c r="F96" s="756">
        <f>F94-F93</f>
        <v>0</v>
      </c>
      <c r="G96" s="756">
        <f>G94-G93</f>
        <v>0</v>
      </c>
      <c r="H96" s="756">
        <f>H94-H93</f>
        <v>0</v>
      </c>
      <c r="I96" s="756">
        <f>I94-I93</f>
        <v>0</v>
      </c>
      <c r="J96" s="950"/>
    </row>
    <row r="97" spans="2:10" outlineLevel="1" x14ac:dyDescent="0.35">
      <c r="B97" s="582" t="s">
        <v>5281</v>
      </c>
      <c r="C97" s="309"/>
      <c r="E97" s="292" t="s">
        <v>5217</v>
      </c>
      <c r="F97" s="765" t="str">
        <f>IF(ISNUMBER(F95),F96/F95,"")</f>
        <v/>
      </c>
      <c r="G97" s="765" t="str">
        <f>IF(ISNUMBER(G95),G96/G95,"")</f>
        <v/>
      </c>
      <c r="H97" s="765" t="str">
        <f>IF(ISNUMBER(H95),H96/H95,"")</f>
        <v/>
      </c>
      <c r="I97" s="951" t="str">
        <f>IF(ISNUMBER(I95),I96/I95,"")</f>
        <v/>
      </c>
      <c r="J97" s="765" t="e">
        <f>AVERAGE(F97:I97)</f>
        <v>#DIV/0!</v>
      </c>
    </row>
    <row r="98" spans="2:10" outlineLevel="1" x14ac:dyDescent="0.35">
      <c r="B98" s="582" t="s">
        <v>5283</v>
      </c>
      <c r="C98" s="1139" t="s">
        <v>4484</v>
      </c>
      <c r="D98" s="372" t="s">
        <v>5148</v>
      </c>
      <c r="J98" s="755" t="s">
        <v>5158</v>
      </c>
    </row>
    <row r="99" spans="2:10" outlineLevel="1" x14ac:dyDescent="0.35">
      <c r="E99" s="312"/>
      <c r="F99" s="312"/>
      <c r="G99" s="26"/>
      <c r="H99" s="26"/>
      <c r="I99" s="26"/>
      <c r="J99" s="26"/>
    </row>
    <row r="100" spans="2:10" outlineLevel="1" x14ac:dyDescent="0.35">
      <c r="E100" s="312"/>
      <c r="F100" s="312"/>
      <c r="G100" s="26"/>
      <c r="H100" s="26"/>
      <c r="I100" s="26"/>
      <c r="J100" s="26"/>
    </row>
    <row r="101" spans="2:10" outlineLevel="1" x14ac:dyDescent="0.35"/>
    <row r="102" spans="2:10" outlineLevel="1" x14ac:dyDescent="0.35"/>
    <row r="103" spans="2:10" outlineLevel="1" x14ac:dyDescent="0.35"/>
    <row r="104" spans="2:10" outlineLevel="1" x14ac:dyDescent="0.35"/>
    <row r="105" spans="2:10" outlineLevel="1" x14ac:dyDescent="0.35"/>
    <row r="106" spans="2:10" outlineLevel="1" x14ac:dyDescent="0.35"/>
    <row r="107" spans="2:10" outlineLevel="1" x14ac:dyDescent="0.35"/>
    <row r="108" spans="2:10" outlineLevel="1" x14ac:dyDescent="0.35"/>
    <row r="109" spans="2:10" outlineLevel="1" x14ac:dyDescent="0.35"/>
    <row r="110" spans="2:10" outlineLevel="1" x14ac:dyDescent="0.35"/>
    <row r="111" spans="2:10" outlineLevel="1" x14ac:dyDescent="0.35"/>
    <row r="112" spans="2:10" outlineLevel="1" x14ac:dyDescent="0.35"/>
    <row r="113" outlineLevel="1" x14ac:dyDescent="0.35"/>
    <row r="114" outlineLevel="1" x14ac:dyDescent="0.35"/>
    <row r="115" outlineLevel="1" x14ac:dyDescent="0.35"/>
    <row r="116" outlineLevel="1" x14ac:dyDescent="0.35"/>
    <row r="117" outlineLevel="1" x14ac:dyDescent="0.35"/>
    <row r="118" outlineLevel="1" x14ac:dyDescent="0.35"/>
    <row r="119" outlineLevel="1" x14ac:dyDescent="0.35"/>
    <row r="120" outlineLevel="1" x14ac:dyDescent="0.35"/>
    <row r="121" outlineLevel="1" x14ac:dyDescent="0.35"/>
    <row r="122" outlineLevel="1" x14ac:dyDescent="0.35"/>
    <row r="123" outlineLevel="1" x14ac:dyDescent="0.35"/>
    <row r="124" outlineLevel="1" x14ac:dyDescent="0.35"/>
    <row r="125" outlineLevel="1" x14ac:dyDescent="0.35"/>
    <row r="126" outlineLevel="1" x14ac:dyDescent="0.35"/>
    <row r="127" outlineLevel="1" x14ac:dyDescent="0.35"/>
    <row r="128" outlineLevel="1" x14ac:dyDescent="0.35"/>
    <row r="129" outlineLevel="1" x14ac:dyDescent="0.35"/>
    <row r="130" outlineLevel="1" x14ac:dyDescent="0.35"/>
  </sheetData>
  <dataValidations count="1">
    <dataValidation type="list" allowBlank="1" showInputMessage="1" showErrorMessage="1" sqref="C98">
      <formula1>ÖV</formula1>
    </dataValidation>
  </dataValidations>
  <pageMargins left="0.7" right="0.7" top="0.78740157499999996" bottom="0.78740157499999996" header="0.3" footer="0.3"/>
  <pageSetup paperSize="9" orientation="portrait" r:id="rId1"/>
  <ignoredErrors>
    <ignoredError sqref="H51" formula="1"/>
  </ignoredError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I42"/>
  <sheetViews>
    <sheetView zoomScaleNormal="100" workbookViewId="0"/>
  </sheetViews>
  <sheetFormatPr baseColWidth="10" defaultColWidth="11" defaultRowHeight="14.5" x14ac:dyDescent="0.35"/>
  <cols>
    <col min="1" max="1" width="4.08203125" style="2" customWidth="1"/>
    <col min="2" max="2" width="25.08203125" style="2" bestFit="1" customWidth="1"/>
    <col min="3" max="3" width="41.5" style="17" customWidth="1"/>
    <col min="4" max="4" width="11" style="2"/>
    <col min="5" max="5" width="20.5" style="2" customWidth="1"/>
    <col min="6" max="6" width="11.5" style="2" customWidth="1"/>
    <col min="7" max="8" width="11.83203125" style="2" customWidth="1"/>
    <col min="9" max="9" width="7.5" style="2" customWidth="1"/>
    <col min="10" max="16384" width="11" style="2"/>
  </cols>
  <sheetData>
    <row r="2" spans="2:3" ht="21" x14ac:dyDescent="0.35">
      <c r="B2" s="460" t="s">
        <v>2049</v>
      </c>
      <c r="C2" s="461"/>
    </row>
    <row r="3" spans="2:3" ht="18.5" x14ac:dyDescent="0.35">
      <c r="B3" s="462"/>
    </row>
    <row r="4" spans="2:3" x14ac:dyDescent="0.35">
      <c r="B4" s="463" t="s">
        <v>2050</v>
      </c>
      <c r="C4" s="21"/>
    </row>
    <row r="5" spans="2:3" x14ac:dyDescent="0.35">
      <c r="B5" s="463"/>
    </row>
    <row r="6" spans="2:3" x14ac:dyDescent="0.35">
      <c r="B6" s="463" t="s">
        <v>2051</v>
      </c>
      <c r="C6" s="29"/>
    </row>
    <row r="7" spans="2:3" x14ac:dyDescent="0.35">
      <c r="B7" s="463"/>
    </row>
    <row r="8" spans="2:3" x14ac:dyDescent="0.35">
      <c r="B8" s="463" t="s">
        <v>6</v>
      </c>
      <c r="C8" s="22"/>
    </row>
    <row r="9" spans="2:3" x14ac:dyDescent="0.35">
      <c r="B9" s="463"/>
    </row>
    <row r="10" spans="2:3" x14ac:dyDescent="0.35">
      <c r="B10" s="463" t="s">
        <v>2086</v>
      </c>
      <c r="C10" s="21"/>
    </row>
    <row r="11" spans="2:3" x14ac:dyDescent="0.35">
      <c r="B11" s="463"/>
    </row>
    <row r="12" spans="2:3" x14ac:dyDescent="0.35">
      <c r="B12" s="463" t="s">
        <v>5397</v>
      </c>
      <c r="C12" s="21"/>
    </row>
    <row r="14" spans="2:3" ht="21" x14ac:dyDescent="0.35">
      <c r="B14" s="460" t="s">
        <v>2083</v>
      </c>
      <c r="C14" s="461"/>
    </row>
    <row r="15" spans="2:3" ht="18.5" x14ac:dyDescent="0.35">
      <c r="B15" s="462"/>
    </row>
    <row r="16" spans="2:3" x14ac:dyDescent="0.35">
      <c r="B16" s="463" t="s">
        <v>2050</v>
      </c>
      <c r="C16" s="21"/>
    </row>
    <row r="17" spans="2:9" x14ac:dyDescent="0.35">
      <c r="B17" s="463"/>
    </row>
    <row r="18" spans="2:9" x14ac:dyDescent="0.35">
      <c r="B18" s="463" t="s">
        <v>2051</v>
      </c>
      <c r="C18" s="21"/>
    </row>
    <row r="19" spans="2:9" x14ac:dyDescent="0.35">
      <c r="B19" s="463"/>
    </row>
    <row r="20" spans="2:9" x14ac:dyDescent="0.35">
      <c r="B20" s="463" t="s">
        <v>6</v>
      </c>
      <c r="C20" s="22"/>
    </row>
    <row r="21" spans="2:9" x14ac:dyDescent="0.35">
      <c r="B21" s="463"/>
    </row>
    <row r="22" spans="2:9" x14ac:dyDescent="0.35">
      <c r="B22" s="463" t="s">
        <v>2086</v>
      </c>
      <c r="C22" s="21"/>
    </row>
    <row r="23" spans="2:9" x14ac:dyDescent="0.35">
      <c r="B23" s="463"/>
    </row>
    <row r="24" spans="2:9" x14ac:dyDescent="0.35">
      <c r="B24" s="463" t="s">
        <v>5397</v>
      </c>
      <c r="C24" s="21"/>
    </row>
    <row r="26" spans="2:9" ht="21" x14ac:dyDescent="0.35">
      <c r="B26" s="460" t="s">
        <v>2084</v>
      </c>
      <c r="C26" s="461"/>
    </row>
    <row r="27" spans="2:9" ht="18.5" x14ac:dyDescent="0.35">
      <c r="B27" s="462"/>
    </row>
    <row r="28" spans="2:9" x14ac:dyDescent="0.35">
      <c r="B28" s="463" t="s">
        <v>2050</v>
      </c>
      <c r="C28" s="21"/>
    </row>
    <row r="29" spans="2:9" x14ac:dyDescent="0.35">
      <c r="B29" s="463"/>
    </row>
    <row r="30" spans="2:9" x14ac:dyDescent="0.35">
      <c r="B30" s="463" t="s">
        <v>2051</v>
      </c>
      <c r="C30" s="21"/>
      <c r="F30" s="30" t="s">
        <v>2049</v>
      </c>
      <c r="G30" s="30" t="s">
        <v>2083</v>
      </c>
      <c r="H30" s="30" t="s">
        <v>2084</v>
      </c>
      <c r="I30" s="463" t="s">
        <v>2085</v>
      </c>
    </row>
    <row r="31" spans="2:9" x14ac:dyDescent="0.35">
      <c r="B31" s="463"/>
      <c r="E31" s="2" t="s">
        <v>4899</v>
      </c>
      <c r="F31" s="30">
        <f>IF($C$8=E31,$C$12,0)</f>
        <v>0</v>
      </c>
      <c r="G31" s="30">
        <f>IF($C$20=E31,$C$24,0)</f>
        <v>0</v>
      </c>
      <c r="H31" s="30">
        <f>IF($C$32=E31,$C$36,0)</f>
        <v>0</v>
      </c>
      <c r="I31" s="464">
        <f>F31+G31+H31</f>
        <v>0</v>
      </c>
    </row>
    <row r="32" spans="2:9" x14ac:dyDescent="0.35">
      <c r="B32" s="463" t="s">
        <v>6</v>
      </c>
      <c r="C32" s="22"/>
      <c r="E32" s="2" t="s">
        <v>4900</v>
      </c>
      <c r="F32" s="30">
        <f t="shared" ref="F32:F36" si="0">IF($C$8=E32,$C$12,0)</f>
        <v>0</v>
      </c>
      <c r="G32" s="30">
        <f t="shared" ref="G32:G36" si="1">IF($C$20=E32,$C$24,0)</f>
        <v>0</v>
      </c>
      <c r="H32" s="30">
        <f t="shared" ref="H32:H36" si="2">IF($C$32=E32,$C$36,0)</f>
        <v>0</v>
      </c>
      <c r="I32" s="464">
        <f t="shared" ref="I32:I36" si="3">F32+G32+H32</f>
        <v>0</v>
      </c>
    </row>
    <row r="33" spans="2:9" x14ac:dyDescent="0.35">
      <c r="B33" s="463"/>
      <c r="E33" s="2" t="s">
        <v>4901</v>
      </c>
      <c r="F33" s="30">
        <f t="shared" si="0"/>
        <v>0</v>
      </c>
      <c r="G33" s="30">
        <f t="shared" si="1"/>
        <v>0</v>
      </c>
      <c r="H33" s="30">
        <f t="shared" si="2"/>
        <v>0</v>
      </c>
      <c r="I33" s="464">
        <f t="shared" si="3"/>
        <v>0</v>
      </c>
    </row>
    <row r="34" spans="2:9" x14ac:dyDescent="0.35">
      <c r="B34" s="463" t="s">
        <v>2086</v>
      </c>
      <c r="C34" s="21"/>
      <c r="E34" s="2" t="s">
        <v>4902</v>
      </c>
      <c r="F34" s="30">
        <f t="shared" si="0"/>
        <v>0</v>
      </c>
      <c r="G34" s="30">
        <f t="shared" si="1"/>
        <v>0</v>
      </c>
      <c r="H34" s="30">
        <f t="shared" si="2"/>
        <v>0</v>
      </c>
      <c r="I34" s="464">
        <f t="shared" si="3"/>
        <v>0</v>
      </c>
    </row>
    <row r="35" spans="2:9" x14ac:dyDescent="0.35">
      <c r="B35" s="463"/>
      <c r="E35" s="2" t="s">
        <v>4922</v>
      </c>
      <c r="F35" s="30">
        <f t="shared" si="0"/>
        <v>0</v>
      </c>
      <c r="G35" s="30">
        <f t="shared" si="1"/>
        <v>0</v>
      </c>
      <c r="H35" s="30">
        <f t="shared" si="2"/>
        <v>0</v>
      </c>
      <c r="I35" s="464">
        <f t="shared" si="3"/>
        <v>0</v>
      </c>
    </row>
    <row r="36" spans="2:9" x14ac:dyDescent="0.35">
      <c r="B36" s="463" t="s">
        <v>5397</v>
      </c>
      <c r="C36" s="21"/>
      <c r="E36" s="2" t="s">
        <v>4904</v>
      </c>
      <c r="F36" s="30">
        <f t="shared" si="0"/>
        <v>0</v>
      </c>
      <c r="G36" s="30">
        <f t="shared" si="1"/>
        <v>0</v>
      </c>
      <c r="H36" s="30">
        <f t="shared" si="2"/>
        <v>0</v>
      </c>
      <c r="I36" s="464">
        <f t="shared" si="3"/>
        <v>0</v>
      </c>
    </row>
    <row r="40" spans="2:9" x14ac:dyDescent="0.35">
      <c r="B40" s="463" t="s">
        <v>5398</v>
      </c>
      <c r="C40" s="2" t="s">
        <v>5394</v>
      </c>
    </row>
    <row r="41" spans="2:9" x14ac:dyDescent="0.35">
      <c r="C41" s="2" t="s">
        <v>5395</v>
      </c>
    </row>
    <row r="42" spans="2:9" x14ac:dyDescent="0.35">
      <c r="C42" s="2" t="s">
        <v>5396</v>
      </c>
    </row>
  </sheetData>
  <dataValidations count="1">
    <dataValidation type="list" allowBlank="1" showInputMessage="1" showErrorMessage="1" sqref="C8 C20 C32">
      <formula1>Handlungsfeld</formula1>
    </dataValidation>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0" tint="-0.249977111117893"/>
  </sheetPr>
  <dimension ref="B1:F90"/>
  <sheetViews>
    <sheetView zoomScaleNormal="100" workbookViewId="0"/>
  </sheetViews>
  <sheetFormatPr baseColWidth="10" defaultColWidth="11" defaultRowHeight="14.5" outlineLevelRow="1" x14ac:dyDescent="0.35"/>
  <cols>
    <col min="1" max="1" width="3.25" style="1" customWidth="1"/>
    <col min="2" max="2" width="11" style="1"/>
    <col min="3" max="3" width="45" style="1" bestFit="1" customWidth="1"/>
    <col min="4" max="4" width="21.75" style="1" bestFit="1" customWidth="1"/>
    <col min="5" max="5" width="8.83203125" style="1" bestFit="1" customWidth="1"/>
    <col min="6" max="6" width="12.75" style="1" bestFit="1" customWidth="1"/>
    <col min="7" max="7" width="11" style="1"/>
    <col min="8" max="8" width="40.25" style="1" bestFit="1" customWidth="1"/>
    <col min="9" max="16384" width="11" style="1"/>
  </cols>
  <sheetData>
    <row r="1" spans="2:6" x14ac:dyDescent="0.35">
      <c r="B1" s="1008" t="s">
        <v>6086</v>
      </c>
    </row>
    <row r="3" spans="2:6" ht="30" customHeight="1" x14ac:dyDescent="0.35">
      <c r="B3" s="1737" t="s">
        <v>4696</v>
      </c>
      <c r="C3" s="1738"/>
      <c r="D3" s="1738"/>
      <c r="E3" s="1738"/>
      <c r="F3" s="1739"/>
    </row>
    <row r="4" spans="2:6" ht="30" customHeight="1" x14ac:dyDescent="0.35">
      <c r="B4" s="301" t="s">
        <v>17</v>
      </c>
      <c r="C4" s="299" t="s">
        <v>14</v>
      </c>
      <c r="D4" s="299" t="s">
        <v>15</v>
      </c>
      <c r="E4" s="299" t="s">
        <v>12</v>
      </c>
      <c r="F4" s="299" t="s">
        <v>13</v>
      </c>
    </row>
    <row r="5" spans="2:6" outlineLevel="1" x14ac:dyDescent="0.35">
      <c r="B5" s="465">
        <v>101</v>
      </c>
      <c r="C5" s="360" t="str">
        <f>IFERROR(VLOOKUP(B5,Qualitätsprüfung!$K$43:$O$1619,5,0),"")</f>
        <v/>
      </c>
      <c r="D5" s="33"/>
      <c r="E5" s="33"/>
      <c r="F5" s="33"/>
    </row>
    <row r="6" spans="2:6" outlineLevel="1" x14ac:dyDescent="0.35">
      <c r="B6" s="465">
        <v>102</v>
      </c>
      <c r="C6" s="360" t="str">
        <f>IFERROR(VLOOKUP(B6,Qualitätsprüfung!$K$43:$O$1619,5,0),"")</f>
        <v/>
      </c>
      <c r="D6" s="33"/>
      <c r="E6" s="33"/>
      <c r="F6" s="33"/>
    </row>
    <row r="7" spans="2:6" outlineLevel="1" x14ac:dyDescent="0.35">
      <c r="B7" s="465">
        <v>103</v>
      </c>
      <c r="C7" s="360" t="str">
        <f>IFERROR(VLOOKUP(B7,Qualitätsprüfung!$K$43:$O$1619,5,0),"")</f>
        <v/>
      </c>
      <c r="D7" s="33"/>
      <c r="E7" s="33"/>
      <c r="F7" s="33"/>
    </row>
    <row r="8" spans="2:6" outlineLevel="1" x14ac:dyDescent="0.35">
      <c r="B8" s="465">
        <v>104</v>
      </c>
      <c r="C8" s="360" t="str">
        <f>IFERROR(VLOOKUP(B8,Qualitätsprüfung!$K$43:$O$1619,5,0),"")</f>
        <v/>
      </c>
      <c r="D8" s="33"/>
      <c r="E8" s="33"/>
      <c r="F8" s="33"/>
    </row>
    <row r="9" spans="2:6" outlineLevel="1" x14ac:dyDescent="0.35">
      <c r="B9" s="465">
        <v>105</v>
      </c>
      <c r="C9" s="360" t="str">
        <f>IFERROR(VLOOKUP(B9,Qualitätsprüfung!$K$43:$O$1619,5,0),"")</f>
        <v/>
      </c>
      <c r="D9" s="33"/>
      <c r="E9" s="33"/>
      <c r="F9" s="33"/>
    </row>
    <row r="10" spans="2:6" outlineLevel="1" x14ac:dyDescent="0.35">
      <c r="B10" s="465">
        <v>106</v>
      </c>
      <c r="C10" s="360" t="str">
        <f>IFERROR(VLOOKUP(B10,Qualitätsprüfung!$K$43:$O$1619,5,0),"")</f>
        <v/>
      </c>
      <c r="D10" s="33"/>
      <c r="E10" s="33"/>
      <c r="F10" s="33"/>
    </row>
    <row r="11" spans="2:6" outlineLevel="1" x14ac:dyDescent="0.35">
      <c r="B11" s="465">
        <v>107</v>
      </c>
      <c r="C11" s="360" t="str">
        <f>IFERROR(VLOOKUP(B11,Qualitätsprüfung!$K$43:$O$1619,5,0),"")</f>
        <v/>
      </c>
      <c r="D11" s="33"/>
      <c r="E11" s="33"/>
      <c r="F11" s="33"/>
    </row>
    <row r="12" spans="2:6" outlineLevel="1" x14ac:dyDescent="0.35">
      <c r="B12" s="465">
        <v>108</v>
      </c>
      <c r="C12" s="360" t="str">
        <f>IFERROR(VLOOKUP(B12,Qualitätsprüfung!$K$43:$O$1619,5,0),"")</f>
        <v/>
      </c>
      <c r="D12" s="33"/>
      <c r="E12" s="33"/>
      <c r="F12" s="33"/>
    </row>
    <row r="13" spans="2:6" outlineLevel="1" x14ac:dyDescent="0.35">
      <c r="B13" s="465">
        <v>109</v>
      </c>
      <c r="C13" s="360" t="str">
        <f>IFERROR(VLOOKUP(B13,Qualitätsprüfung!$K$43:$O$1619,5,0),"")</f>
        <v/>
      </c>
      <c r="D13" s="33"/>
      <c r="E13" s="33"/>
      <c r="F13" s="33"/>
    </row>
    <row r="14" spans="2:6" outlineLevel="1" x14ac:dyDescent="0.35">
      <c r="B14" s="465">
        <v>110</v>
      </c>
      <c r="C14" s="360" t="str">
        <f>IFERROR(VLOOKUP(B14,Qualitätsprüfung!$K$43:$O$1619,5,0),"")</f>
        <v/>
      </c>
      <c r="D14" s="33"/>
      <c r="E14" s="33"/>
      <c r="F14" s="33"/>
    </row>
    <row r="15" spans="2:6" ht="15" customHeight="1" outlineLevel="1" x14ac:dyDescent="0.35">
      <c r="B15" s="465">
        <v>111</v>
      </c>
      <c r="C15" s="360" t="str">
        <f>IFERROR(VLOOKUP(B15,Qualitätsprüfung!$K$43:$O$1619,5,0),"")</f>
        <v/>
      </c>
      <c r="D15" s="33"/>
      <c r="E15" s="33"/>
      <c r="F15" s="33"/>
    </row>
    <row r="16" spans="2:6" ht="15" customHeight="1" outlineLevel="1" x14ac:dyDescent="0.35">
      <c r="B16" s="465">
        <v>112</v>
      </c>
      <c r="C16" s="360" t="str">
        <f>IFERROR(VLOOKUP(B16,Qualitätsprüfung!$K$43:$O$1619,5,0),"")</f>
        <v/>
      </c>
      <c r="D16" s="33"/>
      <c r="E16" s="33"/>
      <c r="F16" s="33"/>
    </row>
    <row r="17" spans="2:6" ht="15" customHeight="1" outlineLevel="1" x14ac:dyDescent="0.35">
      <c r="B17" s="465">
        <v>113</v>
      </c>
      <c r="C17" s="360" t="str">
        <f>IFERROR(VLOOKUP(B17,Qualitätsprüfung!$K$43:$O$1619,5,0),"")</f>
        <v/>
      </c>
      <c r="D17" s="33"/>
      <c r="E17" s="33"/>
      <c r="F17" s="33"/>
    </row>
    <row r="18" spans="2:6" ht="15" customHeight="1" outlineLevel="1" x14ac:dyDescent="0.35">
      <c r="B18" s="465">
        <v>114</v>
      </c>
      <c r="C18" s="360" t="str">
        <f>IFERROR(VLOOKUP(B18,Qualitätsprüfung!$K$43:$O$1619,5,0),"")</f>
        <v/>
      </c>
      <c r="D18" s="33"/>
      <c r="E18" s="33"/>
      <c r="F18" s="33"/>
    </row>
    <row r="19" spans="2:6" ht="15" customHeight="1" outlineLevel="1" x14ac:dyDescent="0.35">
      <c r="B19" s="465">
        <v>115</v>
      </c>
      <c r="C19" s="360" t="str">
        <f>IFERROR(VLOOKUP(B19,Qualitätsprüfung!$K$43:$O$1619,5,0),"")</f>
        <v/>
      </c>
      <c r="D19" s="33"/>
      <c r="E19" s="33"/>
      <c r="F19" s="33"/>
    </row>
    <row r="20" spans="2:6" ht="15" customHeight="1" outlineLevel="1" x14ac:dyDescent="0.35">
      <c r="B20" s="465">
        <v>116</v>
      </c>
      <c r="C20" s="360" t="str">
        <f>IFERROR(VLOOKUP(B20,Qualitätsprüfung!$K$43:$O$1619,5,0),"")</f>
        <v/>
      </c>
      <c r="D20" s="33"/>
      <c r="E20" s="33"/>
      <c r="F20" s="33"/>
    </row>
    <row r="21" spans="2:6" ht="15" customHeight="1" outlineLevel="1" x14ac:dyDescent="0.35">
      <c r="B21" s="465">
        <v>117</v>
      </c>
      <c r="C21" s="360" t="str">
        <f>IFERROR(VLOOKUP(B21,Qualitätsprüfung!$K$43:$O$1619,5,0),"")</f>
        <v/>
      </c>
      <c r="D21" s="33"/>
      <c r="E21" s="33"/>
      <c r="F21" s="33"/>
    </row>
    <row r="22" spans="2:6" ht="15" customHeight="1" outlineLevel="1" x14ac:dyDescent="0.35">
      <c r="B22" s="465">
        <v>118</v>
      </c>
      <c r="C22" s="360" t="str">
        <f>IFERROR(VLOOKUP(B22,Qualitätsprüfung!$K$43:$O$1619,5,0),"")</f>
        <v/>
      </c>
      <c r="D22" s="33"/>
      <c r="E22" s="33"/>
      <c r="F22" s="33"/>
    </row>
    <row r="23" spans="2:6" ht="15" customHeight="1" outlineLevel="1" x14ac:dyDescent="0.35">
      <c r="B23" s="465">
        <v>119</v>
      </c>
      <c r="C23" s="360" t="str">
        <f>IFERROR(VLOOKUP(B23,Qualitätsprüfung!$K$43:$O$1619,5,0),"")</f>
        <v/>
      </c>
      <c r="D23" s="33"/>
      <c r="E23" s="33"/>
      <c r="F23" s="33"/>
    </row>
    <row r="24" spans="2:6" ht="15" customHeight="1" outlineLevel="1" x14ac:dyDescent="0.35">
      <c r="B24" s="465">
        <v>120</v>
      </c>
      <c r="C24" s="360" t="str">
        <f>IFERROR(VLOOKUP(B24,Qualitätsprüfung!$K$43:$O$1619,5,0),"")</f>
        <v/>
      </c>
      <c r="D24" s="33"/>
      <c r="E24" s="33"/>
      <c r="F24" s="33"/>
    </row>
    <row r="25" spans="2:6" ht="45" customHeight="1" x14ac:dyDescent="0.35">
      <c r="B25" s="1737" t="s">
        <v>4697</v>
      </c>
      <c r="C25" s="1738"/>
      <c r="D25" s="1738"/>
      <c r="E25" s="1738"/>
      <c r="F25" s="1739"/>
    </row>
    <row r="26" spans="2:6" ht="30" customHeight="1" x14ac:dyDescent="0.35">
      <c r="B26" s="301" t="s">
        <v>17</v>
      </c>
      <c r="C26" s="299" t="s">
        <v>14</v>
      </c>
      <c r="D26" s="299" t="s">
        <v>15</v>
      </c>
      <c r="E26" s="299" t="s">
        <v>12</v>
      </c>
      <c r="F26" s="299" t="s">
        <v>13</v>
      </c>
    </row>
    <row r="27" spans="2:6" outlineLevel="1" x14ac:dyDescent="0.35">
      <c r="B27" s="465">
        <v>201</v>
      </c>
      <c r="C27" s="360" t="str">
        <f>IFERROR(VLOOKUP(B27,Qualitätsprüfung!$L$43:$O$1619,4,0),"")</f>
        <v/>
      </c>
      <c r="D27" s="33"/>
      <c r="E27" s="33"/>
      <c r="F27" s="33"/>
    </row>
    <row r="28" spans="2:6" outlineLevel="1" x14ac:dyDescent="0.35">
      <c r="B28" s="465">
        <v>202</v>
      </c>
      <c r="C28" s="360" t="str">
        <f>IFERROR(VLOOKUP(B28,Qualitätsprüfung!$L$43:$O$1619,4,0),"")</f>
        <v/>
      </c>
      <c r="D28" s="33"/>
      <c r="E28" s="33"/>
      <c r="F28" s="33"/>
    </row>
    <row r="29" spans="2:6" outlineLevel="1" x14ac:dyDescent="0.35">
      <c r="B29" s="465">
        <v>203</v>
      </c>
      <c r="C29" s="360" t="str">
        <f>IFERROR(VLOOKUP(B29,Qualitätsprüfung!$L$43:$O$1619,4,0),"")</f>
        <v/>
      </c>
      <c r="D29" s="33"/>
      <c r="E29" s="33"/>
      <c r="F29" s="33"/>
    </row>
    <row r="30" spans="2:6" outlineLevel="1" x14ac:dyDescent="0.35">
      <c r="B30" s="465">
        <v>204</v>
      </c>
      <c r="C30" s="360" t="str">
        <f>IFERROR(VLOOKUP(B30,Qualitätsprüfung!$L$43:$O$1619,4,0),"")</f>
        <v/>
      </c>
      <c r="D30" s="33"/>
      <c r="E30" s="33"/>
      <c r="F30" s="33"/>
    </row>
    <row r="31" spans="2:6" outlineLevel="1" x14ac:dyDescent="0.35">
      <c r="B31" s="465">
        <v>205</v>
      </c>
      <c r="C31" s="360" t="str">
        <f>IFERROR(VLOOKUP(B31,Qualitätsprüfung!$L$43:$O$1619,4,0),"")</f>
        <v/>
      </c>
      <c r="D31" s="33"/>
      <c r="E31" s="33"/>
      <c r="F31" s="33"/>
    </row>
    <row r="32" spans="2:6" outlineLevel="1" x14ac:dyDescent="0.35">
      <c r="B32" s="465">
        <v>206</v>
      </c>
      <c r="C32" s="360" t="str">
        <f>IFERROR(VLOOKUP(B32,Qualitätsprüfung!$L$43:$O$1619,4,0),"")</f>
        <v/>
      </c>
      <c r="D32" s="33"/>
      <c r="E32" s="33"/>
      <c r="F32" s="33"/>
    </row>
    <row r="33" spans="2:6" outlineLevel="1" x14ac:dyDescent="0.35">
      <c r="B33" s="465">
        <v>207</v>
      </c>
      <c r="C33" s="360" t="str">
        <f>IFERROR(VLOOKUP(B33,Qualitätsprüfung!$L$43:$O$1619,4,0),"")</f>
        <v/>
      </c>
      <c r="D33" s="33"/>
      <c r="E33" s="33"/>
      <c r="F33" s="33"/>
    </row>
    <row r="34" spans="2:6" outlineLevel="1" x14ac:dyDescent="0.35">
      <c r="B34" s="465">
        <v>208</v>
      </c>
      <c r="C34" s="360" t="str">
        <f>IFERROR(VLOOKUP(B34,Qualitätsprüfung!$L$43:$O$1619,4,0),"")</f>
        <v/>
      </c>
      <c r="D34" s="33"/>
      <c r="E34" s="33"/>
      <c r="F34" s="33"/>
    </row>
    <row r="35" spans="2:6" outlineLevel="1" x14ac:dyDescent="0.35">
      <c r="B35" s="465">
        <v>209</v>
      </c>
      <c r="C35" s="360" t="str">
        <f>IFERROR(VLOOKUP(B35,Qualitätsprüfung!$L$43:$O$1619,4,0),"")</f>
        <v/>
      </c>
      <c r="D35" s="33"/>
      <c r="E35" s="33"/>
      <c r="F35" s="33"/>
    </row>
    <row r="36" spans="2:6" outlineLevel="1" x14ac:dyDescent="0.35">
      <c r="B36" s="465">
        <v>210</v>
      </c>
      <c r="C36" s="360" t="str">
        <f>IFERROR(VLOOKUP(B36,Qualitätsprüfung!$L$43:$O$1619,4,0),"")</f>
        <v/>
      </c>
      <c r="D36" s="33"/>
      <c r="E36" s="33"/>
      <c r="F36" s="33"/>
    </row>
    <row r="37" spans="2:6" outlineLevel="1" x14ac:dyDescent="0.35">
      <c r="B37" s="465">
        <v>211</v>
      </c>
      <c r="C37" s="360" t="str">
        <f>IFERROR(VLOOKUP(B37,Qualitätsprüfung!$L$43:$O$1619,4,0),"")</f>
        <v/>
      </c>
      <c r="D37" s="33"/>
      <c r="E37" s="33"/>
      <c r="F37" s="33"/>
    </row>
    <row r="38" spans="2:6" outlineLevel="1" x14ac:dyDescent="0.35">
      <c r="B38" s="465">
        <v>212</v>
      </c>
      <c r="C38" s="360" t="str">
        <f>IFERROR(VLOOKUP(B38,Qualitätsprüfung!$L$43:$O$1619,4,0),"")</f>
        <v/>
      </c>
      <c r="D38" s="33"/>
      <c r="E38" s="33"/>
      <c r="F38" s="33"/>
    </row>
    <row r="39" spans="2:6" outlineLevel="1" x14ac:dyDescent="0.35">
      <c r="B39" s="465">
        <v>213</v>
      </c>
      <c r="C39" s="360" t="str">
        <f>IFERROR(VLOOKUP(B39,Qualitätsprüfung!$L$43:$O$1619,4,0),"")</f>
        <v/>
      </c>
      <c r="D39" s="33"/>
      <c r="E39" s="33"/>
      <c r="F39" s="33"/>
    </row>
    <row r="40" spans="2:6" outlineLevel="1" x14ac:dyDescent="0.35">
      <c r="B40" s="465">
        <v>214</v>
      </c>
      <c r="C40" s="360" t="str">
        <f>IFERROR(VLOOKUP(B40,Qualitätsprüfung!$L$43:$O$1619,4,0),"")</f>
        <v/>
      </c>
      <c r="D40" s="33"/>
      <c r="E40" s="33"/>
      <c r="F40" s="33"/>
    </row>
    <row r="41" spans="2:6" outlineLevel="1" x14ac:dyDescent="0.35">
      <c r="B41" s="465">
        <v>215</v>
      </c>
      <c r="C41" s="360" t="str">
        <f>IFERROR(VLOOKUP(B41,Qualitätsprüfung!$L$43:$O$1619,4,0),"")</f>
        <v/>
      </c>
      <c r="D41" s="33"/>
      <c r="E41" s="33"/>
      <c r="F41" s="33"/>
    </row>
    <row r="42" spans="2:6" outlineLevel="1" x14ac:dyDescent="0.35">
      <c r="B42" s="465">
        <v>216</v>
      </c>
      <c r="C42" s="360" t="str">
        <f>IFERROR(VLOOKUP(B42,Qualitätsprüfung!$L$43:$O$1619,4,0),"")</f>
        <v/>
      </c>
      <c r="D42" s="33"/>
      <c r="E42" s="33"/>
      <c r="F42" s="33"/>
    </row>
    <row r="43" spans="2:6" ht="15" customHeight="1" outlineLevel="1" x14ac:dyDescent="0.35">
      <c r="B43" s="465">
        <v>217</v>
      </c>
      <c r="C43" s="360" t="str">
        <f>IFERROR(VLOOKUP(B43,Qualitätsprüfung!$L$43:$O$1619,4,0),"")</f>
        <v/>
      </c>
      <c r="D43" s="33"/>
      <c r="E43" s="33"/>
      <c r="F43" s="33"/>
    </row>
    <row r="44" spans="2:6" ht="15" customHeight="1" outlineLevel="1" x14ac:dyDescent="0.35">
      <c r="B44" s="465">
        <v>218</v>
      </c>
      <c r="C44" s="360" t="str">
        <f>IFERROR(VLOOKUP(B44,Qualitätsprüfung!$L$43:$O$1619,4,0),"")</f>
        <v/>
      </c>
      <c r="D44" s="33"/>
      <c r="E44" s="33"/>
      <c r="F44" s="33"/>
    </row>
    <row r="45" spans="2:6" ht="15" customHeight="1" outlineLevel="1" x14ac:dyDescent="0.35">
      <c r="B45" s="465">
        <v>219</v>
      </c>
      <c r="C45" s="360" t="str">
        <f>IFERROR(VLOOKUP(B45,Qualitätsprüfung!$L$43:$O$1619,4,0),"")</f>
        <v/>
      </c>
      <c r="D45" s="33"/>
      <c r="E45" s="33"/>
      <c r="F45" s="33"/>
    </row>
    <row r="46" spans="2:6" ht="15" customHeight="1" outlineLevel="1" x14ac:dyDescent="0.35">
      <c r="B46" s="465">
        <v>220</v>
      </c>
      <c r="C46" s="360" t="str">
        <f>IFERROR(VLOOKUP(B46,Qualitätsprüfung!$L$43:$O$1619,4,0),"")</f>
        <v/>
      </c>
      <c r="D46" s="33"/>
      <c r="E46" s="33"/>
      <c r="F46" s="33"/>
    </row>
    <row r="47" spans="2:6" ht="30" customHeight="1" x14ac:dyDescent="0.35">
      <c r="B47" s="1737" t="s">
        <v>4698</v>
      </c>
      <c r="C47" s="1738"/>
      <c r="D47" s="1738"/>
      <c r="E47" s="1738"/>
      <c r="F47" s="1739"/>
    </row>
    <row r="48" spans="2:6" ht="30" customHeight="1" x14ac:dyDescent="0.35">
      <c r="B48" s="301" t="s">
        <v>17</v>
      </c>
      <c r="C48" s="299" t="s">
        <v>14</v>
      </c>
      <c r="D48" s="299" t="s">
        <v>15</v>
      </c>
      <c r="E48" s="299" t="s">
        <v>12</v>
      </c>
      <c r="F48" s="299" t="s">
        <v>13</v>
      </c>
    </row>
    <row r="49" spans="2:6" outlineLevel="1" x14ac:dyDescent="0.35">
      <c r="B49" s="465">
        <v>301</v>
      </c>
      <c r="C49" s="360" t="str">
        <f>IFERROR(VLOOKUP(B49,Qualitätsprüfung!$M$43:$O$1619,3,0),"")</f>
        <v/>
      </c>
      <c r="D49" s="33"/>
      <c r="E49" s="33"/>
      <c r="F49" s="33"/>
    </row>
    <row r="50" spans="2:6" outlineLevel="1" x14ac:dyDescent="0.35">
      <c r="B50" s="465">
        <v>302</v>
      </c>
      <c r="C50" s="360" t="str">
        <f>IFERROR(VLOOKUP(B50,Qualitätsprüfung!$M$43:$O$1619,3,0),"")</f>
        <v/>
      </c>
      <c r="D50" s="33"/>
      <c r="E50" s="33"/>
      <c r="F50" s="33"/>
    </row>
    <row r="51" spans="2:6" outlineLevel="1" x14ac:dyDescent="0.35">
      <c r="B51" s="465">
        <v>303</v>
      </c>
      <c r="C51" s="360" t="str">
        <f>IFERROR(VLOOKUP(B51,Qualitätsprüfung!$M$43:$O$1619,3,0),"")</f>
        <v/>
      </c>
      <c r="D51" s="33"/>
      <c r="E51" s="33"/>
      <c r="F51" s="33"/>
    </row>
    <row r="52" spans="2:6" outlineLevel="1" x14ac:dyDescent="0.35">
      <c r="B52" s="465">
        <v>304</v>
      </c>
      <c r="C52" s="360" t="str">
        <f>IFERROR(VLOOKUP(B52,Qualitätsprüfung!$M$43:$O$1619,3,0),"")</f>
        <v/>
      </c>
      <c r="D52" s="33"/>
      <c r="E52" s="33"/>
      <c r="F52" s="33"/>
    </row>
    <row r="53" spans="2:6" outlineLevel="1" x14ac:dyDescent="0.35">
      <c r="B53" s="465">
        <v>305</v>
      </c>
      <c r="C53" s="360" t="str">
        <f>IFERROR(VLOOKUP(B53,Qualitätsprüfung!$M$43:$O$1619,3,0),"")</f>
        <v/>
      </c>
      <c r="D53" s="33"/>
      <c r="E53" s="33"/>
      <c r="F53" s="33"/>
    </row>
    <row r="54" spans="2:6" outlineLevel="1" x14ac:dyDescent="0.35">
      <c r="B54" s="465">
        <v>306</v>
      </c>
      <c r="C54" s="360" t="str">
        <f>IFERROR(VLOOKUP(B54,Qualitätsprüfung!$M$43:$O$1619,3,0),"")</f>
        <v/>
      </c>
      <c r="D54" s="33"/>
      <c r="E54" s="33"/>
      <c r="F54" s="33"/>
    </row>
    <row r="55" spans="2:6" outlineLevel="1" x14ac:dyDescent="0.35">
      <c r="B55" s="465">
        <v>307</v>
      </c>
      <c r="C55" s="360" t="str">
        <f>IFERROR(VLOOKUP(B55,Qualitätsprüfung!$M$43:$O$1619,3,0),"")</f>
        <v/>
      </c>
      <c r="D55" s="33"/>
      <c r="E55" s="33"/>
      <c r="F55" s="33"/>
    </row>
    <row r="56" spans="2:6" outlineLevel="1" x14ac:dyDescent="0.35">
      <c r="B56" s="465">
        <v>308</v>
      </c>
      <c r="C56" s="360" t="str">
        <f>IFERROR(VLOOKUP(B56,Qualitätsprüfung!$M$43:$O$1619,3,0),"")</f>
        <v/>
      </c>
      <c r="D56" s="33"/>
      <c r="E56" s="33"/>
      <c r="F56" s="33"/>
    </row>
    <row r="57" spans="2:6" outlineLevel="1" x14ac:dyDescent="0.35">
      <c r="B57" s="465">
        <v>309</v>
      </c>
      <c r="C57" s="360" t="str">
        <f>IFERROR(VLOOKUP(B57,Qualitätsprüfung!$M$43:$O$1619,3,0),"")</f>
        <v/>
      </c>
      <c r="D57" s="33"/>
      <c r="E57" s="33"/>
      <c r="F57" s="33"/>
    </row>
    <row r="58" spans="2:6" outlineLevel="1" x14ac:dyDescent="0.35">
      <c r="B58" s="465">
        <v>310</v>
      </c>
      <c r="C58" s="360" t="str">
        <f>IFERROR(VLOOKUP(B58,Qualitätsprüfung!$M$43:$O$1619,3,0),"")</f>
        <v/>
      </c>
      <c r="D58" s="33"/>
      <c r="E58" s="33"/>
      <c r="F58" s="33"/>
    </row>
    <row r="59" spans="2:6" outlineLevel="1" x14ac:dyDescent="0.35">
      <c r="B59" s="465">
        <v>311</v>
      </c>
      <c r="C59" s="360" t="str">
        <f>IFERROR(VLOOKUP(B59,Qualitätsprüfung!$M$43:$O$1619,3,0),"")</f>
        <v/>
      </c>
      <c r="D59" s="33"/>
      <c r="E59" s="33"/>
      <c r="F59" s="33"/>
    </row>
    <row r="60" spans="2:6" outlineLevel="1" x14ac:dyDescent="0.35">
      <c r="B60" s="465">
        <v>312</v>
      </c>
      <c r="C60" s="360" t="str">
        <f>IFERROR(VLOOKUP(B60,Qualitätsprüfung!$M$43:$O$1619,3,0),"")</f>
        <v/>
      </c>
      <c r="D60" s="33"/>
      <c r="E60" s="33"/>
      <c r="F60" s="33"/>
    </row>
    <row r="61" spans="2:6" outlineLevel="1" x14ac:dyDescent="0.35">
      <c r="B61" s="465">
        <v>313</v>
      </c>
      <c r="C61" s="360" t="str">
        <f>IFERROR(VLOOKUP(B61,Qualitätsprüfung!$M$43:$O$1619,3,0),"")</f>
        <v/>
      </c>
      <c r="D61" s="33"/>
      <c r="E61" s="33"/>
      <c r="F61" s="33"/>
    </row>
    <row r="62" spans="2:6" outlineLevel="1" x14ac:dyDescent="0.35">
      <c r="B62" s="465">
        <v>314</v>
      </c>
      <c r="C62" s="360" t="str">
        <f>IFERROR(VLOOKUP(B62,Qualitätsprüfung!$M$43:$O$1619,3,0),"")</f>
        <v/>
      </c>
      <c r="D62" s="33"/>
      <c r="E62" s="33"/>
      <c r="F62" s="33"/>
    </row>
    <row r="63" spans="2:6" ht="15" customHeight="1" outlineLevel="1" x14ac:dyDescent="0.35">
      <c r="B63" s="465">
        <v>315</v>
      </c>
      <c r="C63" s="360" t="str">
        <f>IFERROR(VLOOKUP(B63,Qualitätsprüfung!$M$43:$O$1619,3,0),"")</f>
        <v/>
      </c>
      <c r="D63" s="33"/>
      <c r="E63" s="33"/>
      <c r="F63" s="33"/>
    </row>
    <row r="64" spans="2:6" ht="15" customHeight="1" outlineLevel="1" x14ac:dyDescent="0.35">
      <c r="B64" s="465">
        <v>316</v>
      </c>
      <c r="C64" s="360" t="str">
        <f>IFERROR(VLOOKUP(B64,Qualitätsprüfung!$M$43:$O$1619,3,0),"")</f>
        <v/>
      </c>
      <c r="D64" s="33"/>
      <c r="E64" s="33"/>
      <c r="F64" s="33"/>
    </row>
    <row r="65" spans="2:6" ht="15" customHeight="1" outlineLevel="1" x14ac:dyDescent="0.35">
      <c r="B65" s="465">
        <v>317</v>
      </c>
      <c r="C65" s="360" t="str">
        <f>IFERROR(VLOOKUP(B65,Qualitätsprüfung!$M$43:$O$1619,3,0),"")</f>
        <v/>
      </c>
      <c r="D65" s="33"/>
      <c r="E65" s="33"/>
      <c r="F65" s="33"/>
    </row>
    <row r="66" spans="2:6" ht="15" customHeight="1" outlineLevel="1" x14ac:dyDescent="0.35">
      <c r="B66" s="465">
        <v>318</v>
      </c>
      <c r="C66" s="360" t="str">
        <f>IFERROR(VLOOKUP(B66,Qualitätsprüfung!$M$43:$O$1619,3,0),"")</f>
        <v/>
      </c>
      <c r="D66" s="33"/>
      <c r="E66" s="33"/>
      <c r="F66" s="33"/>
    </row>
    <row r="67" spans="2:6" ht="15" customHeight="1" outlineLevel="1" x14ac:dyDescent="0.35">
      <c r="B67" s="465">
        <v>319</v>
      </c>
      <c r="C67" s="360" t="str">
        <f>IFERROR(VLOOKUP(B67,Qualitätsprüfung!$M$43:$O$1619,3,0),"")</f>
        <v/>
      </c>
      <c r="D67" s="33"/>
      <c r="E67" s="33"/>
      <c r="F67" s="33"/>
    </row>
    <row r="68" spans="2:6" ht="15" customHeight="1" outlineLevel="1" x14ac:dyDescent="0.35">
      <c r="B68" s="465">
        <v>320</v>
      </c>
      <c r="C68" s="360" t="str">
        <f>IFERROR(VLOOKUP(B68,Qualitätsprüfung!$M$43:$O$1619,3,0),"")</f>
        <v/>
      </c>
      <c r="D68" s="33"/>
      <c r="E68" s="33"/>
      <c r="F68" s="33"/>
    </row>
    <row r="69" spans="2:6" ht="30" customHeight="1" x14ac:dyDescent="0.35">
      <c r="B69" s="1737" t="s">
        <v>4699</v>
      </c>
      <c r="C69" s="1740"/>
      <c r="D69" s="1740"/>
      <c r="E69" s="1740"/>
      <c r="F69" s="1741"/>
    </row>
    <row r="70" spans="2:6" ht="30" customHeight="1" x14ac:dyDescent="0.35">
      <c r="B70" s="301" t="s">
        <v>17</v>
      </c>
      <c r="C70" s="299" t="s">
        <v>14</v>
      </c>
      <c r="D70" s="299" t="s">
        <v>15</v>
      </c>
      <c r="E70" s="299" t="s">
        <v>12</v>
      </c>
      <c r="F70" s="299" t="s">
        <v>13</v>
      </c>
    </row>
    <row r="71" spans="2:6" ht="15" customHeight="1" outlineLevel="1" x14ac:dyDescent="0.35">
      <c r="B71" s="465">
        <v>401</v>
      </c>
      <c r="C71" s="360" t="str">
        <f>IFERROR(VLOOKUP(B71,Qualitätsprüfung!$N$43:$O$1619,2,0),"")</f>
        <v/>
      </c>
      <c r="D71" s="33"/>
      <c r="E71" s="33"/>
      <c r="F71" s="33"/>
    </row>
    <row r="72" spans="2:6" ht="15" customHeight="1" outlineLevel="1" x14ac:dyDescent="0.35">
      <c r="B72" s="465">
        <v>402</v>
      </c>
      <c r="C72" s="360" t="str">
        <f>IFERROR(VLOOKUP(B72,Qualitätsprüfung!$N$43:$O$1619,2,0),"")</f>
        <v/>
      </c>
      <c r="D72" s="33"/>
      <c r="E72" s="33"/>
      <c r="F72" s="33"/>
    </row>
    <row r="73" spans="2:6" ht="15" customHeight="1" outlineLevel="1" x14ac:dyDescent="0.35">
      <c r="B73" s="465">
        <v>403</v>
      </c>
      <c r="C73" s="360" t="str">
        <f>IFERROR(VLOOKUP(B73,Qualitätsprüfung!$N$43:$O$1619,2,0),"")</f>
        <v/>
      </c>
      <c r="D73" s="33"/>
      <c r="E73" s="33"/>
      <c r="F73" s="33"/>
    </row>
    <row r="74" spans="2:6" ht="15" customHeight="1" outlineLevel="1" x14ac:dyDescent="0.35">
      <c r="B74" s="465">
        <v>404</v>
      </c>
      <c r="C74" s="360" t="str">
        <f>IFERROR(VLOOKUP(B74,Qualitätsprüfung!$N$43:$O$1619,2,0),"")</f>
        <v/>
      </c>
      <c r="D74" s="33"/>
      <c r="E74" s="33"/>
      <c r="F74" s="33"/>
    </row>
    <row r="75" spans="2:6" ht="15" customHeight="1" outlineLevel="1" x14ac:dyDescent="0.35">
      <c r="B75" s="465">
        <v>405</v>
      </c>
      <c r="C75" s="360" t="str">
        <f>IFERROR(VLOOKUP(B75,Qualitätsprüfung!$N$43:$O$1619,2,0),"")</f>
        <v/>
      </c>
      <c r="D75" s="33"/>
      <c r="E75" s="33"/>
      <c r="F75" s="33"/>
    </row>
    <row r="76" spans="2:6" ht="15" customHeight="1" outlineLevel="1" x14ac:dyDescent="0.35">
      <c r="B76" s="465">
        <v>406</v>
      </c>
      <c r="C76" s="360" t="str">
        <f>IFERROR(VLOOKUP(B76,Qualitätsprüfung!$N$43:$O$1619,2,0),"")</f>
        <v/>
      </c>
      <c r="D76" s="33"/>
      <c r="E76" s="33"/>
      <c r="F76" s="33"/>
    </row>
    <row r="77" spans="2:6" ht="15" customHeight="1" outlineLevel="1" x14ac:dyDescent="0.35">
      <c r="B77" s="465">
        <v>407</v>
      </c>
      <c r="C77" s="360" t="str">
        <f>IFERROR(VLOOKUP(B77,Qualitätsprüfung!$N$43:$O$1619,2,0),"")</f>
        <v/>
      </c>
      <c r="D77" s="33"/>
      <c r="E77" s="33"/>
      <c r="F77" s="33"/>
    </row>
    <row r="78" spans="2:6" ht="15" customHeight="1" outlineLevel="1" x14ac:dyDescent="0.35">
      <c r="B78" s="465">
        <v>408</v>
      </c>
      <c r="C78" s="360" t="str">
        <f>IFERROR(VLOOKUP(B78,Qualitätsprüfung!$N$43:$O$1619,2,0),"")</f>
        <v/>
      </c>
      <c r="D78" s="33"/>
      <c r="E78" s="33"/>
      <c r="F78" s="33"/>
    </row>
    <row r="79" spans="2:6" ht="15" customHeight="1" outlineLevel="1" x14ac:dyDescent="0.35">
      <c r="B79" s="465">
        <v>409</v>
      </c>
      <c r="C79" s="360" t="str">
        <f>IFERROR(VLOOKUP(B79,Qualitätsprüfung!$N$43:$O$1619,2,0),"")</f>
        <v/>
      </c>
      <c r="D79" s="33"/>
      <c r="E79" s="33"/>
      <c r="F79" s="33"/>
    </row>
    <row r="80" spans="2:6" ht="15" customHeight="1" outlineLevel="1" x14ac:dyDescent="0.35">
      <c r="B80" s="465">
        <v>410</v>
      </c>
      <c r="C80" s="360" t="str">
        <f>IFERROR(VLOOKUP(B80,Qualitätsprüfung!$N$43:$O$1619,2,0),"")</f>
        <v/>
      </c>
      <c r="D80" s="33"/>
      <c r="E80" s="33"/>
      <c r="F80" s="33"/>
    </row>
    <row r="81" spans="2:6" ht="15" customHeight="1" outlineLevel="1" x14ac:dyDescent="0.35">
      <c r="B81" s="465">
        <v>411</v>
      </c>
      <c r="C81" s="360" t="str">
        <f>IFERROR(VLOOKUP(B81,Qualitätsprüfung!$N$43:$O$1619,2,0),"")</f>
        <v/>
      </c>
      <c r="D81" s="33"/>
      <c r="E81" s="33"/>
      <c r="F81" s="33"/>
    </row>
    <row r="82" spans="2:6" ht="15" customHeight="1" outlineLevel="1" x14ac:dyDescent="0.35">
      <c r="B82" s="465">
        <v>412</v>
      </c>
      <c r="C82" s="360" t="str">
        <f>IFERROR(VLOOKUP(B82,Qualitätsprüfung!$N$43:$O$1619,2,0),"")</f>
        <v/>
      </c>
      <c r="D82" s="33"/>
      <c r="E82" s="33"/>
      <c r="F82" s="33"/>
    </row>
    <row r="83" spans="2:6" ht="15" customHeight="1" outlineLevel="1" x14ac:dyDescent="0.35">
      <c r="B83" s="465">
        <v>413</v>
      </c>
      <c r="C83" s="360" t="str">
        <f>IFERROR(VLOOKUP(B83,Qualitätsprüfung!$N$43:$O$1619,2,0),"")</f>
        <v/>
      </c>
      <c r="D83" s="33"/>
      <c r="E83" s="33"/>
      <c r="F83" s="33"/>
    </row>
    <row r="84" spans="2:6" ht="15" customHeight="1" outlineLevel="1" x14ac:dyDescent="0.35">
      <c r="B84" s="465">
        <v>414</v>
      </c>
      <c r="C84" s="360" t="str">
        <f>IFERROR(VLOOKUP(B84,Qualitätsprüfung!$N$43:$O$1619,2,0),"")</f>
        <v/>
      </c>
      <c r="D84" s="33"/>
      <c r="E84" s="33"/>
      <c r="F84" s="33"/>
    </row>
    <row r="85" spans="2:6" ht="15" customHeight="1" outlineLevel="1" x14ac:dyDescent="0.35">
      <c r="B85" s="465">
        <v>415</v>
      </c>
      <c r="C85" s="360" t="str">
        <f>IFERROR(VLOOKUP(B85,Qualitätsprüfung!$N$43:$O$1619,2,0),"")</f>
        <v/>
      </c>
      <c r="D85" s="33"/>
      <c r="E85" s="33"/>
      <c r="F85" s="33"/>
    </row>
    <row r="86" spans="2:6" ht="15" customHeight="1" outlineLevel="1" x14ac:dyDescent="0.35">
      <c r="B86" s="465">
        <v>416</v>
      </c>
      <c r="C86" s="360" t="str">
        <f>IFERROR(VLOOKUP(B86,Qualitätsprüfung!$N$43:$O$1619,2,0),"")</f>
        <v/>
      </c>
      <c r="D86" s="33"/>
      <c r="E86" s="33"/>
      <c r="F86" s="33"/>
    </row>
    <row r="87" spans="2:6" ht="15" customHeight="1" outlineLevel="1" x14ac:dyDescent="0.35">
      <c r="B87" s="465">
        <v>417</v>
      </c>
      <c r="C87" s="360" t="str">
        <f>IFERROR(VLOOKUP(B87,Qualitätsprüfung!$N$43:$O$1619,2,0),"")</f>
        <v/>
      </c>
      <c r="D87" s="33"/>
      <c r="E87" s="33"/>
      <c r="F87" s="33"/>
    </row>
    <row r="88" spans="2:6" ht="15" customHeight="1" outlineLevel="1" x14ac:dyDescent="0.35">
      <c r="B88" s="465">
        <v>418</v>
      </c>
      <c r="C88" s="360" t="str">
        <f>IFERROR(VLOOKUP(B88,Qualitätsprüfung!$N$43:$O$1619,2,0),"")</f>
        <v/>
      </c>
      <c r="D88" s="33"/>
      <c r="E88" s="33"/>
      <c r="F88" s="33"/>
    </row>
    <row r="89" spans="2:6" ht="15" customHeight="1" outlineLevel="1" x14ac:dyDescent="0.35">
      <c r="B89" s="465">
        <v>419</v>
      </c>
      <c r="C89" s="360" t="str">
        <f>IFERROR(VLOOKUP(B89,Qualitätsprüfung!$N$43:$O$1619,2,0),"")</f>
        <v/>
      </c>
      <c r="D89" s="33"/>
      <c r="E89" s="33"/>
      <c r="F89" s="33"/>
    </row>
    <row r="90" spans="2:6" ht="15" customHeight="1" outlineLevel="1" x14ac:dyDescent="0.35">
      <c r="B90" s="465">
        <v>420</v>
      </c>
      <c r="C90" s="360" t="str">
        <f>IFERROR(VLOOKUP(B90,Qualitätsprüfung!$N$43:$O$1619,2,0),"")</f>
        <v/>
      </c>
      <c r="D90" s="33"/>
      <c r="E90" s="33"/>
      <c r="F90" s="33"/>
    </row>
  </sheetData>
  <mergeCells count="4">
    <mergeCell ref="B3:F3"/>
    <mergeCell ref="B25:F25"/>
    <mergeCell ref="B47:F47"/>
    <mergeCell ref="B69:F69"/>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FF0000"/>
  </sheetPr>
  <dimension ref="B17:J285"/>
  <sheetViews>
    <sheetView zoomScaleNormal="100" workbookViewId="0"/>
  </sheetViews>
  <sheetFormatPr baseColWidth="10" defaultColWidth="11" defaultRowHeight="14.5" outlineLevelRow="1" x14ac:dyDescent="0.35"/>
  <cols>
    <col min="1" max="1" width="3.5" style="1" customWidth="1"/>
    <col min="2" max="2" width="53" style="1" bestFit="1" customWidth="1"/>
    <col min="3" max="3" width="19.25" style="1" customWidth="1"/>
    <col min="4" max="4" width="19" style="1" hidden="1" customWidth="1"/>
    <col min="5" max="5" width="19" style="1" customWidth="1"/>
    <col min="6" max="6" width="19" style="1" bestFit="1" customWidth="1"/>
    <col min="7" max="7" width="13.33203125" style="1" bestFit="1" customWidth="1"/>
    <col min="8" max="8" width="15" style="416" bestFit="1" customWidth="1"/>
    <col min="9" max="9" width="24.25" style="1" customWidth="1"/>
    <col min="10" max="10" width="18.08203125" style="1" bestFit="1" customWidth="1"/>
    <col min="11" max="11" width="16.58203125" style="1" customWidth="1"/>
    <col min="12" max="14" width="13.33203125" style="1" customWidth="1"/>
    <col min="15" max="16384" width="11" style="1"/>
  </cols>
  <sheetData>
    <row r="17" spans="2:10" x14ac:dyDescent="0.35">
      <c r="H17" s="407"/>
    </row>
    <row r="28" spans="2:10" x14ac:dyDescent="0.35">
      <c r="H28" s="408"/>
    </row>
    <row r="30" spans="2:10" x14ac:dyDescent="0.35">
      <c r="I30" s="1611" t="str">
        <f>CONCATENATE("Erfüllungsgrad je Handlungsfeld (Gesamt: ",ROUND(G38*100,0)," %)")</f>
        <v>Erfüllungsgrad je Handlungsfeld (Gesamt: 0 %)</v>
      </c>
    </row>
    <row r="31" spans="2:10" ht="29" x14ac:dyDescent="0.35">
      <c r="B31" s="409" t="s">
        <v>6</v>
      </c>
      <c r="C31" s="410" t="s">
        <v>7</v>
      </c>
      <c r="D31" s="410" t="s">
        <v>5499</v>
      </c>
      <c r="E31" s="410" t="s">
        <v>8</v>
      </c>
      <c r="F31" s="411" t="s">
        <v>9</v>
      </c>
      <c r="G31" s="410" t="s">
        <v>39</v>
      </c>
      <c r="H31" s="412" t="s">
        <v>4450</v>
      </c>
      <c r="I31" s="412" t="s">
        <v>4601</v>
      </c>
    </row>
    <row r="32" spans="2:10" x14ac:dyDescent="0.35">
      <c r="B32" s="785" t="str">
        <f>B43</f>
        <v>A. Management</v>
      </c>
      <c r="C32" s="786">
        <f>C43</f>
        <v>150</v>
      </c>
      <c r="D32" s="787">
        <f t="shared" ref="D32:E32" si="0">D43</f>
        <v>0</v>
      </c>
      <c r="E32" s="787">
        <f t="shared" si="0"/>
        <v>150</v>
      </c>
      <c r="F32" s="788">
        <f t="shared" ref="F32:F37" si="1">I32+H32</f>
        <v>0</v>
      </c>
      <c r="G32" s="789">
        <f t="shared" ref="G32:G38" si="2">F32/E32</f>
        <v>0</v>
      </c>
      <c r="H32" s="790">
        <f>Joker!I31</f>
        <v>0</v>
      </c>
      <c r="I32" s="790">
        <f>F43</f>
        <v>0</v>
      </c>
      <c r="J32" s="772"/>
    </row>
    <row r="33" spans="2:10" x14ac:dyDescent="0.35">
      <c r="B33" s="779" t="str">
        <f>B71</f>
        <v>B. Kommunikation</v>
      </c>
      <c r="C33" s="780">
        <f>C71</f>
        <v>100</v>
      </c>
      <c r="D33" s="781">
        <f t="shared" ref="D33:E33" si="3">D71</f>
        <v>0</v>
      </c>
      <c r="E33" s="781">
        <f t="shared" si="3"/>
        <v>100</v>
      </c>
      <c r="F33" s="782">
        <f t="shared" si="1"/>
        <v>0</v>
      </c>
      <c r="G33" s="783">
        <f t="shared" si="2"/>
        <v>0</v>
      </c>
      <c r="H33" s="784">
        <f>Joker!I32</f>
        <v>0</v>
      </c>
      <c r="I33" s="784">
        <f>F71</f>
        <v>0</v>
      </c>
      <c r="J33" s="772"/>
    </row>
    <row r="34" spans="2:10" x14ac:dyDescent="0.35">
      <c r="B34" s="791" t="str">
        <f>B85</f>
        <v>C. Städtebau</v>
      </c>
      <c r="C34" s="792">
        <f>C85</f>
        <v>250</v>
      </c>
      <c r="D34" s="793">
        <f t="shared" ref="D34:E34" si="4">D85</f>
        <v>0</v>
      </c>
      <c r="E34" s="793">
        <f t="shared" si="4"/>
        <v>250</v>
      </c>
      <c r="F34" s="794">
        <f t="shared" si="1"/>
        <v>0</v>
      </c>
      <c r="G34" s="795">
        <f t="shared" si="2"/>
        <v>0</v>
      </c>
      <c r="H34" s="796">
        <f>Joker!I33</f>
        <v>0</v>
      </c>
      <c r="I34" s="796">
        <f>F85</f>
        <v>0</v>
      </c>
      <c r="J34" s="772"/>
    </row>
    <row r="35" spans="2:10" x14ac:dyDescent="0.35">
      <c r="B35" s="802" t="str">
        <f>B108</f>
        <v>D. Gebäude</v>
      </c>
      <c r="C35" s="797">
        <f>C108</f>
        <v>150</v>
      </c>
      <c r="D35" s="798">
        <f t="shared" ref="D35:E35" si="5">D108</f>
        <v>0</v>
      </c>
      <c r="E35" s="798">
        <f t="shared" si="5"/>
        <v>150</v>
      </c>
      <c r="F35" s="799">
        <f t="shared" si="1"/>
        <v>0</v>
      </c>
      <c r="G35" s="800">
        <f t="shared" si="2"/>
        <v>0</v>
      </c>
      <c r="H35" s="801">
        <f>Joker!I34</f>
        <v>0</v>
      </c>
      <c r="I35" s="801">
        <f>F108</f>
        <v>0</v>
      </c>
      <c r="J35" s="772"/>
    </row>
    <row r="36" spans="2:10" x14ac:dyDescent="0.35">
      <c r="B36" s="803" t="str">
        <f>B117</f>
        <v>E. Versorgung</v>
      </c>
      <c r="C36" s="804">
        <f>C117</f>
        <v>145</v>
      </c>
      <c r="D36" s="805">
        <f t="shared" ref="D36:E36" si="6">D117</f>
        <v>0</v>
      </c>
      <c r="E36" s="805">
        <f t="shared" si="6"/>
        <v>145</v>
      </c>
      <c r="F36" s="805">
        <f t="shared" si="1"/>
        <v>0</v>
      </c>
      <c r="G36" s="806">
        <f t="shared" si="2"/>
        <v>0</v>
      </c>
      <c r="H36" s="807">
        <f>Joker!I35</f>
        <v>0</v>
      </c>
      <c r="I36" s="807">
        <f>F117</f>
        <v>0</v>
      </c>
      <c r="J36" s="772"/>
    </row>
    <row r="37" spans="2:10" x14ac:dyDescent="0.35">
      <c r="B37" s="773" t="str">
        <f>B134</f>
        <v>F. Mobilität</v>
      </c>
      <c r="C37" s="774">
        <f>C134</f>
        <v>205</v>
      </c>
      <c r="D37" s="775">
        <f t="shared" ref="D37:E37" si="7">D134</f>
        <v>0</v>
      </c>
      <c r="E37" s="775">
        <f t="shared" si="7"/>
        <v>205</v>
      </c>
      <c r="F37" s="776">
        <f t="shared" si="1"/>
        <v>0</v>
      </c>
      <c r="G37" s="777">
        <f t="shared" si="2"/>
        <v>0</v>
      </c>
      <c r="H37" s="778">
        <f>Joker!I36</f>
        <v>0</v>
      </c>
      <c r="I37" s="778">
        <f>F134</f>
        <v>0</v>
      </c>
      <c r="J37" s="772"/>
    </row>
    <row r="38" spans="2:10" s="39" customFormat="1" ht="21" x14ac:dyDescent="0.35">
      <c r="B38" s="409" t="s">
        <v>11</v>
      </c>
      <c r="C38" s="413">
        <f>SUM(C32:C37)</f>
        <v>1000</v>
      </c>
      <c r="D38" s="413">
        <f>SUM(D32:D37)</f>
        <v>0</v>
      </c>
      <c r="E38" s="413">
        <f t="shared" ref="E38" si="8">SUM(E32:E37)</f>
        <v>1000</v>
      </c>
      <c r="F38" s="411">
        <f>SUM(F32:F37)</f>
        <v>0</v>
      </c>
      <c r="G38" s="414">
        <f t="shared" si="2"/>
        <v>0</v>
      </c>
      <c r="H38" s="413">
        <f>SUM(H32:H37)</f>
        <v>0</v>
      </c>
      <c r="I38" s="413">
        <f>SUM(I32:I37)</f>
        <v>0</v>
      </c>
    </row>
    <row r="40" spans="2:10" ht="21" x14ac:dyDescent="0.5">
      <c r="B40" s="103" t="s">
        <v>16</v>
      </c>
    </row>
    <row r="42" spans="2:10" x14ac:dyDescent="0.35">
      <c r="C42" s="175" t="s">
        <v>7</v>
      </c>
      <c r="D42" s="175" t="s">
        <v>5499</v>
      </c>
      <c r="E42" s="175" t="s">
        <v>8</v>
      </c>
      <c r="F42" s="418" t="s">
        <v>9</v>
      </c>
      <c r="G42" s="175" t="s">
        <v>10</v>
      </c>
      <c r="H42" s="419" t="s">
        <v>4449</v>
      </c>
    </row>
    <row r="43" spans="2:10" s="39" customFormat="1" ht="23.5" x14ac:dyDescent="0.35">
      <c r="B43" s="828" t="s">
        <v>4899</v>
      </c>
      <c r="C43" s="829">
        <f>C47+C53+C60+C44+C66</f>
        <v>150</v>
      </c>
      <c r="D43" s="829">
        <f>D47+D53+D60+D44+D66</f>
        <v>0</v>
      </c>
      <c r="E43" s="829">
        <f>E47+E53+E60+E44+E66</f>
        <v>150</v>
      </c>
      <c r="F43" s="829">
        <f>F47+F53+F60+F44+F66</f>
        <v>0</v>
      </c>
      <c r="G43" s="830">
        <f>F43/E43</f>
        <v>0</v>
      </c>
      <c r="H43" s="831"/>
      <c r="I43" s="420" t="str">
        <f t="shared" ref="I43:I74" si="9">B43</f>
        <v>A. Management</v>
      </c>
    </row>
    <row r="44" spans="2:10" s="39" customFormat="1" x14ac:dyDescent="0.35">
      <c r="B44" s="421" t="str">
        <f>Qualitätsprüfung!O38</f>
        <v>A.1 Strukturen etablieren</v>
      </c>
      <c r="C44" s="422">
        <f>SUM(C45:C46)</f>
        <v>25</v>
      </c>
      <c r="D44" s="427">
        <f t="shared" ref="D44:F44" si="10">SUM(D45:D46)</f>
        <v>0</v>
      </c>
      <c r="E44" s="1042">
        <f t="shared" si="10"/>
        <v>25</v>
      </c>
      <c r="F44" s="427">
        <f t="shared" si="10"/>
        <v>0</v>
      </c>
      <c r="G44" s="423">
        <f>IFERROR(F44/E44,0%)</f>
        <v>0</v>
      </c>
      <c r="H44" s="424"/>
      <c r="I44" s="420" t="str">
        <f t="shared" si="9"/>
        <v>A.1 Strukturen etablieren</v>
      </c>
    </row>
    <row r="45" spans="2:10" s="39" customFormat="1" outlineLevel="1" x14ac:dyDescent="0.35">
      <c r="B45" s="39" t="str">
        <f>Qualitätsprüfung!O40</f>
        <v>A.1.1 Steuerungsgruppe</v>
      </c>
      <c r="C45" s="18">
        <f>Qualitätsprüfung!H56</f>
        <v>10</v>
      </c>
      <c r="D45" s="425" t="str">
        <f>IF(ISBLANK(Qualitätsprüfung!H57),"",Qualitätsprüfung!H57)</f>
        <v/>
      </c>
      <c r="E45" s="456">
        <f>IF(ISNUMBER(D45),D45,C45)</f>
        <v>10</v>
      </c>
      <c r="F45" s="425">
        <f>Qualitätsprüfung!H59</f>
        <v>0</v>
      </c>
      <c r="G45" s="31">
        <f t="shared" ref="G45" si="11">IF(E45=0,"n.B.",(F45/E45))</f>
        <v>0</v>
      </c>
      <c r="H45" s="426"/>
      <c r="I45" s="420" t="str">
        <f t="shared" si="9"/>
        <v>A.1.1 Steuerungsgruppe</v>
      </c>
    </row>
    <row r="46" spans="2:10" s="39" customFormat="1" outlineLevel="1" x14ac:dyDescent="0.35">
      <c r="B46" s="39" t="str">
        <f>Qualitätsprüfung!O62</f>
        <v>A.1.2 Ressourcen</v>
      </c>
      <c r="C46" s="18">
        <f>Qualitätsprüfung!H78</f>
        <v>15</v>
      </c>
      <c r="D46" s="425" t="str">
        <f>IF(ISBLANK(Qualitätsprüfung!H79),"",Qualitätsprüfung!H79)</f>
        <v/>
      </c>
      <c r="E46" s="456">
        <f>IF(ISNUMBER(D46),D46,C46)</f>
        <v>15</v>
      </c>
      <c r="F46" s="425">
        <f>Qualitätsprüfung!H81</f>
        <v>0</v>
      </c>
      <c r="G46" s="31">
        <f>IF(E46=0,"n.B.",(F46/E46))</f>
        <v>0</v>
      </c>
      <c r="H46" s="426"/>
      <c r="I46" s="420" t="str">
        <f t="shared" si="9"/>
        <v>A.1.2 Ressourcen</v>
      </c>
    </row>
    <row r="47" spans="2:10" s="39" customFormat="1" x14ac:dyDescent="0.35">
      <c r="B47" s="421" t="str">
        <f>Qualitätsprüfung!O84</f>
        <v>A.2 Ziele setzen</v>
      </c>
      <c r="C47" s="422">
        <f>SUM(C48:C52)</f>
        <v>45</v>
      </c>
      <c r="D47" s="427">
        <f>SUM(D48:D52)</f>
        <v>0</v>
      </c>
      <c r="E47" s="1042">
        <f>SUM(E48:E52)</f>
        <v>45</v>
      </c>
      <c r="F47" s="427">
        <f>SUM(F48:F52)</f>
        <v>0</v>
      </c>
      <c r="G47" s="423">
        <f>IFERROR(F47/E47,0%)</f>
        <v>0</v>
      </c>
      <c r="H47" s="424"/>
      <c r="I47" s="420" t="str">
        <f t="shared" si="9"/>
        <v>A.2 Ziele setzen</v>
      </c>
    </row>
    <row r="48" spans="2:10" s="39" customFormat="1" outlineLevel="1" x14ac:dyDescent="0.35">
      <c r="B48" s="39" t="str">
        <f>Qualitätsprüfung!O86</f>
        <v>A.2.1 Städtebauliche Rahmenbedingungen und Nutzungskonzept</v>
      </c>
      <c r="C48" s="18">
        <f>Qualitätsprüfung!H102</f>
        <v>10</v>
      </c>
      <c r="D48" s="425" t="str">
        <f>IF(ISBLANK(Qualitätsprüfung!H103),"",Qualitätsprüfung!H103)</f>
        <v/>
      </c>
      <c r="E48" s="456">
        <f>IF(ISNUMBER(D48),D48,C48)</f>
        <v>10</v>
      </c>
      <c r="F48" s="425">
        <f>Qualitätsprüfung!H105</f>
        <v>0</v>
      </c>
      <c r="G48" s="31">
        <f>IF(E48=0,"n.B.",(F48/E48))</f>
        <v>0</v>
      </c>
      <c r="H48" s="426"/>
      <c r="I48" s="420" t="str">
        <f t="shared" si="9"/>
        <v>A.2.1 Städtebauliche Rahmenbedingungen und Nutzungskonzept</v>
      </c>
    </row>
    <row r="49" spans="2:9" s="39" customFormat="1" outlineLevel="1" x14ac:dyDescent="0.35">
      <c r="B49" s="39" t="str">
        <f>Qualitätsprüfung!O108</f>
        <v>A.2.2 Gebäudekonzept</v>
      </c>
      <c r="C49" s="18">
        <f>Qualitätsprüfung!H124</f>
        <v>10</v>
      </c>
      <c r="D49" s="425" t="str">
        <f>IF(ISBLANK(Qualitätsprüfung!H125),"",Qualitätsprüfung!H125)</f>
        <v/>
      </c>
      <c r="E49" s="456">
        <f>IF(ISNUMBER(D49),D49,C49)</f>
        <v>10</v>
      </c>
      <c r="F49" s="425">
        <f>Qualitätsprüfung!H127</f>
        <v>0</v>
      </c>
      <c r="G49" s="31">
        <f t="shared" ref="G49:G52" si="12">IF(E49=0,"n.B.",(F49/E49))</f>
        <v>0</v>
      </c>
      <c r="H49" s="426"/>
      <c r="I49" s="420" t="str">
        <f t="shared" si="9"/>
        <v>A.2.2 Gebäudekonzept</v>
      </c>
    </row>
    <row r="50" spans="2:9" s="39" customFormat="1" outlineLevel="1" x14ac:dyDescent="0.35">
      <c r="B50" s="39" t="str">
        <f>Qualitätsprüfung!O130</f>
        <v>A.2.3 Versorgungskonzept</v>
      </c>
      <c r="C50" s="18">
        <f>Qualitätsprüfung!H146</f>
        <v>10</v>
      </c>
      <c r="D50" s="425" t="str">
        <f>IF(ISBLANK(Qualitätsprüfung!H147),"",Qualitätsprüfung!H147)</f>
        <v/>
      </c>
      <c r="E50" s="456">
        <f>IF(ISNUMBER(D50),D50,C50)</f>
        <v>10</v>
      </c>
      <c r="F50" s="425">
        <f>Qualitätsprüfung!H149</f>
        <v>0</v>
      </c>
      <c r="G50" s="31">
        <f t="shared" si="12"/>
        <v>0</v>
      </c>
      <c r="H50" s="426"/>
      <c r="I50" s="420" t="str">
        <f t="shared" si="9"/>
        <v>A.2.3 Versorgungskonzept</v>
      </c>
    </row>
    <row r="51" spans="2:9" s="39" customFormat="1" outlineLevel="1" x14ac:dyDescent="0.35">
      <c r="B51" s="39" t="str">
        <f>Qualitätsprüfung!O152</f>
        <v>A.2.4 Mobilitätskonzept</v>
      </c>
      <c r="C51" s="18">
        <f>Qualitätsprüfung!H168</f>
        <v>10</v>
      </c>
      <c r="D51" s="425" t="str">
        <f>IF(ISBLANK(Qualitätsprüfung!H169),"",Qualitätsprüfung!H169)</f>
        <v/>
      </c>
      <c r="E51" s="456">
        <f>IF(ISNUMBER(D51),D51,C51)</f>
        <v>10</v>
      </c>
      <c r="F51" s="425">
        <f>Qualitätsprüfung!H171</f>
        <v>0</v>
      </c>
      <c r="G51" s="31">
        <f t="shared" si="12"/>
        <v>0</v>
      </c>
      <c r="H51" s="426"/>
      <c r="I51" s="420" t="str">
        <f t="shared" si="9"/>
        <v>A.2.4 Mobilitätskonzept</v>
      </c>
    </row>
    <row r="52" spans="2:9" s="39" customFormat="1" outlineLevel="1" x14ac:dyDescent="0.35">
      <c r="B52" s="39" t="str">
        <f>Qualitätsprüfung!O173</f>
        <v>A.2.5 Schrittweise Umsetzung der Konzepte *</v>
      </c>
      <c r="C52" s="18">
        <f>Qualitätsprüfung!H189</f>
        <v>5</v>
      </c>
      <c r="D52" s="425" t="str">
        <f>IF(ISBLANK(Qualitätsprüfung!H190),"",Qualitätsprüfung!H190)</f>
        <v/>
      </c>
      <c r="E52" s="456">
        <f>IF(ISNUMBER(D52),D52,C52)</f>
        <v>5</v>
      </c>
      <c r="F52" s="1675">
        <f>Qualitätsprüfung!H192</f>
        <v>0</v>
      </c>
      <c r="G52" s="31">
        <f t="shared" si="12"/>
        <v>0</v>
      </c>
      <c r="H52" s="426"/>
      <c r="I52" s="420" t="str">
        <f t="shared" si="9"/>
        <v>A.2.5 Schrittweise Umsetzung der Konzepte *</v>
      </c>
    </row>
    <row r="53" spans="2:9" s="39" customFormat="1" x14ac:dyDescent="0.35">
      <c r="B53" s="421" t="str">
        <f>Qualitätsprüfung!O195</f>
        <v>A.3 Ziele übertragen und verbindlich machen</v>
      </c>
      <c r="C53" s="422">
        <f>SUM(C54:C59)</f>
        <v>30</v>
      </c>
      <c r="D53" s="427">
        <f t="shared" ref="D53:F53" si="13">SUM(D54:D59)</f>
        <v>0</v>
      </c>
      <c r="E53" s="1042">
        <f t="shared" si="13"/>
        <v>30</v>
      </c>
      <c r="F53" s="427">
        <f t="shared" si="13"/>
        <v>0</v>
      </c>
      <c r="G53" s="423">
        <f>IFERROR(F53/E53,0%)</f>
        <v>0</v>
      </c>
      <c r="H53" s="424"/>
      <c r="I53" s="420" t="str">
        <f t="shared" si="9"/>
        <v>A.3 Ziele übertragen und verbindlich machen</v>
      </c>
    </row>
    <row r="54" spans="2:9" s="39" customFormat="1" outlineLevel="1" x14ac:dyDescent="0.35">
      <c r="B54" s="39" t="str">
        <f>Qualitätsprüfung!O198</f>
        <v>A.3.1 Grundeigentümerverbindliche Instrumente *</v>
      </c>
      <c r="C54" s="18">
        <f>Qualitätsprüfung!H214</f>
        <v>5</v>
      </c>
      <c r="D54" s="425" t="str">
        <f>IF(ISBLANK(Qualitätsprüfung!H215),"",Qualitätsprüfung!H215)</f>
        <v/>
      </c>
      <c r="E54" s="456">
        <f t="shared" ref="E54:E59" si="14">IF(ISNUMBER(D54),D54,C54)</f>
        <v>5</v>
      </c>
      <c r="F54" s="1675">
        <f>Qualitätsprüfung!H217</f>
        <v>0</v>
      </c>
      <c r="G54" s="31">
        <f>IF(E54=0,"n.B.",(F54/E54))</f>
        <v>0</v>
      </c>
      <c r="H54" s="426"/>
      <c r="I54" s="420" t="str">
        <f t="shared" si="9"/>
        <v>A.3.1 Grundeigentümerverbindliche Instrumente *</v>
      </c>
    </row>
    <row r="55" spans="2:9" s="39" customFormat="1" outlineLevel="1" x14ac:dyDescent="0.35">
      <c r="B55" s="428" t="str">
        <f>Qualitätsprüfung!O220</f>
        <v>A.3.2 Kauf- bzw. Mietverträge Flächen *</v>
      </c>
      <c r="C55" s="18">
        <f>Qualitätsprüfung!H236</f>
        <v>5</v>
      </c>
      <c r="D55" s="425" t="str">
        <f>IF(ISBLANK(Qualitätsprüfung!H237),"",Qualitätsprüfung!H237)</f>
        <v/>
      </c>
      <c r="E55" s="456">
        <f t="shared" si="14"/>
        <v>5</v>
      </c>
      <c r="F55" s="1675">
        <f>Qualitätsprüfung!H239</f>
        <v>0</v>
      </c>
      <c r="G55" s="31">
        <f t="shared" ref="G55:G58" si="15">IF(E55=0,"n.B.",(F55/E55))</f>
        <v>0</v>
      </c>
      <c r="H55" s="429"/>
      <c r="I55" s="420" t="str">
        <f t="shared" si="9"/>
        <v>A.3.2 Kauf- bzw. Mietverträge Flächen *</v>
      </c>
    </row>
    <row r="56" spans="2:9" s="39" customFormat="1" outlineLevel="1" x14ac:dyDescent="0.35">
      <c r="B56" s="39" t="str">
        <f>Qualitätsprüfung!O242</f>
        <v>A.3.3 Auswahl- bzw. Planungsverfahren | Werterhaltungsstrategie</v>
      </c>
      <c r="C56" s="18">
        <f>Qualitätsprüfung!H258</f>
        <v>5</v>
      </c>
      <c r="D56" s="425" t="str">
        <f>IF(ISBLANK(Qualitätsprüfung!H259),"",Qualitätsprüfung!H259)</f>
        <v/>
      </c>
      <c r="E56" s="456">
        <f t="shared" si="14"/>
        <v>5</v>
      </c>
      <c r="F56" s="1675">
        <f>Qualitätsprüfung!H261</f>
        <v>0</v>
      </c>
      <c r="G56" s="31">
        <f t="shared" si="15"/>
        <v>0</v>
      </c>
      <c r="H56" s="426"/>
      <c r="I56" s="420" t="str">
        <f t="shared" si="9"/>
        <v>A.3.3 Auswahl- bzw. Planungsverfahren | Werterhaltungsstrategie</v>
      </c>
    </row>
    <row r="57" spans="2:9" s="39" customFormat="1" outlineLevel="1" x14ac:dyDescent="0.35">
      <c r="B57" s="39" t="str">
        <f>Qualitätsprüfung!O266</f>
        <v>A.3.4 Ausschreibungen</v>
      </c>
      <c r="C57" s="18">
        <f>Qualitätsprüfung!H282</f>
        <v>5</v>
      </c>
      <c r="D57" s="425" t="str">
        <f>IF(ISBLANK(Qualitätsprüfung!H283),"",Qualitätsprüfung!H283)</f>
        <v/>
      </c>
      <c r="E57" s="456">
        <f t="shared" si="14"/>
        <v>5</v>
      </c>
      <c r="F57" s="1675">
        <f>Qualitätsprüfung!H285</f>
        <v>0</v>
      </c>
      <c r="G57" s="31">
        <f t="shared" si="15"/>
        <v>0</v>
      </c>
      <c r="H57" s="426"/>
      <c r="I57" s="420" t="str">
        <f t="shared" si="9"/>
        <v>A.3.4 Ausschreibungen</v>
      </c>
    </row>
    <row r="58" spans="2:9" s="39" customFormat="1" outlineLevel="1" x14ac:dyDescent="0.35">
      <c r="B58" s="39" t="str">
        <f>Qualitätsprüfung!O288</f>
        <v>A.3.5 Kauf- bzw. Mietverträge Wohneinheiten</v>
      </c>
      <c r="C58" s="18">
        <f>Qualitätsprüfung!H304</f>
        <v>5</v>
      </c>
      <c r="D58" s="425" t="str">
        <f>IF(ISBLANK(Qualitätsprüfung!H305),"",Qualitätsprüfung!H305)</f>
        <v/>
      </c>
      <c r="E58" s="456">
        <f t="shared" si="14"/>
        <v>5</v>
      </c>
      <c r="F58" s="1675">
        <f>Qualitätsprüfung!H307</f>
        <v>0</v>
      </c>
      <c r="G58" s="31">
        <f t="shared" si="15"/>
        <v>0</v>
      </c>
      <c r="H58" s="426"/>
      <c r="I58" s="420" t="str">
        <f t="shared" si="9"/>
        <v>A.3.5 Kauf- bzw. Mietverträge Wohneinheiten</v>
      </c>
    </row>
    <row r="59" spans="2:9" s="39" customFormat="1" outlineLevel="1" x14ac:dyDescent="0.35">
      <c r="B59" s="39" t="str">
        <f>Qualitätsprüfung!O310</f>
        <v>A.3.6 Förderungen</v>
      </c>
      <c r="C59" s="18">
        <f>Qualitätsprüfung!H326</f>
        <v>5</v>
      </c>
      <c r="D59" s="425" t="str">
        <f>IF(ISBLANK(Qualitätsprüfung!H327),"",Qualitätsprüfung!H327)</f>
        <v/>
      </c>
      <c r="E59" s="456">
        <f t="shared" si="14"/>
        <v>5</v>
      </c>
      <c r="F59" s="1675">
        <f>Qualitätsprüfung!H329</f>
        <v>0</v>
      </c>
      <c r="G59" s="31">
        <f>IF(E59=0,"n.B.",(F59/E59))</f>
        <v>0</v>
      </c>
      <c r="H59" s="426"/>
      <c r="I59" s="420" t="str">
        <f t="shared" si="9"/>
        <v>A.3.6 Förderungen</v>
      </c>
    </row>
    <row r="60" spans="2:9" s="39" customFormat="1" x14ac:dyDescent="0.35">
      <c r="B60" s="421" t="str">
        <f>Qualitätsprüfung!O332</f>
        <v>A.4 Monitoring installieren</v>
      </c>
      <c r="C60" s="422">
        <f>SUM(C61:C65)</f>
        <v>25</v>
      </c>
      <c r="D60" s="427">
        <f>SUM(D61:D65)</f>
        <v>0</v>
      </c>
      <c r="E60" s="1042">
        <f t="shared" ref="E60:F60" si="16">SUM(E61:E65)</f>
        <v>25</v>
      </c>
      <c r="F60" s="427">
        <f t="shared" si="16"/>
        <v>0</v>
      </c>
      <c r="G60" s="423">
        <f>IFERROR(F60/E60,0%)</f>
        <v>0</v>
      </c>
      <c r="H60" s="424"/>
      <c r="I60" s="420" t="str">
        <f t="shared" si="9"/>
        <v>A.4 Monitoring installieren</v>
      </c>
    </row>
    <row r="61" spans="2:9" s="39" customFormat="1" outlineLevel="1" x14ac:dyDescent="0.35">
      <c r="B61" s="39" t="str">
        <f>Qualitätsprüfung!O335</f>
        <v>A.4.1 Miet- und Eigentümerbefragung</v>
      </c>
      <c r="C61" s="18">
        <f>Qualitätsprüfung!H351</f>
        <v>5</v>
      </c>
      <c r="D61" s="425" t="str">
        <f>IF(ISBLANK(Qualitätsprüfung!H352),"",Qualitätsprüfung!H352)</f>
        <v/>
      </c>
      <c r="E61" s="456">
        <f>IF(ISNUMBER(D61),D61,C61)</f>
        <v>5</v>
      </c>
      <c r="F61" s="1675">
        <f>Qualitätsprüfung!H354</f>
        <v>0</v>
      </c>
      <c r="G61" s="31">
        <f>IF(E61=0,"n.B.",(F61/E61))</f>
        <v>0</v>
      </c>
      <c r="H61" s="426"/>
      <c r="I61" s="420" t="str">
        <f t="shared" si="9"/>
        <v>A.4.1 Miet- und Eigentümerbefragung</v>
      </c>
    </row>
    <row r="62" spans="2:9" s="39" customFormat="1" outlineLevel="1" x14ac:dyDescent="0.35">
      <c r="B62" s="39" t="str">
        <f>Qualitätsprüfung!O357</f>
        <v>A.4.2 Monitoring Betriebsenergie</v>
      </c>
      <c r="C62" s="18">
        <f>Qualitätsprüfung!H373</f>
        <v>5</v>
      </c>
      <c r="D62" s="425" t="str">
        <f>IF(ISBLANK(Qualitätsprüfung!H374),"",Qualitätsprüfung!H374)</f>
        <v/>
      </c>
      <c r="E62" s="456">
        <f>IF(ISNUMBER(D62),D62,C62)</f>
        <v>5</v>
      </c>
      <c r="F62" s="1675">
        <f>Qualitätsprüfung!H376</f>
        <v>0</v>
      </c>
      <c r="G62" s="31">
        <f t="shared" ref="G62:G64" si="17">IF(E62=0,"n.B.",(F62/E62))</f>
        <v>0</v>
      </c>
      <c r="H62" s="426"/>
      <c r="I62" s="420" t="str">
        <f t="shared" si="9"/>
        <v>A.4.2 Monitoring Betriebsenergie</v>
      </c>
    </row>
    <row r="63" spans="2:9" s="39" customFormat="1" outlineLevel="1" x14ac:dyDescent="0.35">
      <c r="B63" s="39" t="str">
        <f>Qualitätsprüfung!O379</f>
        <v>A.4.3 Monitoring Wasserverbrauch</v>
      </c>
      <c r="C63" s="18">
        <f>Qualitätsprüfung!H395</f>
        <v>5</v>
      </c>
      <c r="D63" s="425" t="str">
        <f>IF(ISBLANK(Qualitätsprüfung!H396),"",Qualitätsprüfung!H396)</f>
        <v/>
      </c>
      <c r="E63" s="456">
        <f>IF(ISNUMBER(D63),D63,C63)</f>
        <v>5</v>
      </c>
      <c r="F63" s="1675">
        <f>Qualitätsprüfung!H398</f>
        <v>0</v>
      </c>
      <c r="G63" s="31">
        <f t="shared" si="17"/>
        <v>0</v>
      </c>
      <c r="H63" s="426"/>
      <c r="I63" s="420" t="str">
        <f t="shared" si="9"/>
        <v>A.4.3 Monitoring Wasserverbrauch</v>
      </c>
    </row>
    <row r="64" spans="2:9" s="39" customFormat="1" outlineLevel="1" x14ac:dyDescent="0.35">
      <c r="B64" s="39" t="str">
        <f>Qualitätsprüfung!O401</f>
        <v>A.4.4 Monitoring Abfallmengen</v>
      </c>
      <c r="C64" s="18">
        <f>Qualitätsprüfung!H417</f>
        <v>5</v>
      </c>
      <c r="D64" s="425" t="str">
        <f>IF(ISBLANK(Qualitätsprüfung!H418),"",Qualitätsprüfung!H418)</f>
        <v/>
      </c>
      <c r="E64" s="456">
        <f>IF(ISNUMBER(D64),D64,C64)</f>
        <v>5</v>
      </c>
      <c r="F64" s="1675">
        <f>Qualitätsprüfung!H420</f>
        <v>0</v>
      </c>
      <c r="G64" s="31">
        <f t="shared" si="17"/>
        <v>0</v>
      </c>
      <c r="H64" s="426"/>
      <c r="I64" s="420" t="str">
        <f t="shared" si="9"/>
        <v>A.4.4 Monitoring Abfallmengen</v>
      </c>
    </row>
    <row r="65" spans="2:9" s="39" customFormat="1" outlineLevel="1" x14ac:dyDescent="0.35">
      <c r="B65" s="39" t="str">
        <f>Qualitätsprüfung!O423</f>
        <v>A.4.5 Monitoring Mobilität</v>
      </c>
      <c r="C65" s="18">
        <f>Qualitätsprüfung!H439</f>
        <v>5</v>
      </c>
      <c r="D65" s="425" t="str">
        <f>IF(ISBLANK(Qualitätsprüfung!H440),"",Qualitätsprüfung!H440)</f>
        <v/>
      </c>
      <c r="E65" s="456">
        <f>IF(ISNUMBER(D65),D65,C65)</f>
        <v>5</v>
      </c>
      <c r="F65" s="1675">
        <f>Qualitätsprüfung!H442</f>
        <v>0</v>
      </c>
      <c r="G65" s="31">
        <f>IF(E65=0,"n.B.",(F65/E65))</f>
        <v>0</v>
      </c>
      <c r="H65" s="426"/>
      <c r="I65" s="420" t="str">
        <f t="shared" si="9"/>
        <v>A.4.5 Monitoring Mobilität</v>
      </c>
    </row>
    <row r="66" spans="2:9" s="39" customFormat="1" x14ac:dyDescent="0.35">
      <c r="B66" s="421" t="str">
        <f>Qualitätsprüfung!O445</f>
        <v>A.5 Projektcontrolling durchführen</v>
      </c>
      <c r="C66" s="422">
        <f>SUM(C67:C69)</f>
        <v>25</v>
      </c>
      <c r="D66" s="427">
        <f>SUM(D67:D69)</f>
        <v>0</v>
      </c>
      <c r="E66" s="1042">
        <f>SUM(E67:E69)</f>
        <v>25</v>
      </c>
      <c r="F66" s="427">
        <f>SUM(F67:F69)</f>
        <v>0</v>
      </c>
      <c r="G66" s="423">
        <f>IFERROR(F66/E66,0%)</f>
        <v>0</v>
      </c>
      <c r="H66" s="424"/>
      <c r="I66" s="420" t="str">
        <f t="shared" si="9"/>
        <v>A.5 Projektcontrolling durchführen</v>
      </c>
    </row>
    <row r="67" spans="2:9" s="39" customFormat="1" outlineLevel="1" x14ac:dyDescent="0.35">
      <c r="B67" s="39" t="str">
        <f>Qualitätsprüfung!O448</f>
        <v>A.5.1 Umweltanalyse</v>
      </c>
      <c r="C67" s="18">
        <f>Qualitätsprüfung!H464</f>
        <v>5</v>
      </c>
      <c r="D67" s="425" t="str">
        <f>IF(ISBLANK(Qualitätsprüfung!H465),"",Qualitätsprüfung!H465)</f>
        <v/>
      </c>
      <c r="E67" s="456">
        <f>IF(ISNUMBER(D67),D67,C67)</f>
        <v>5</v>
      </c>
      <c r="F67" s="1675">
        <f>Qualitätsprüfung!H467</f>
        <v>0</v>
      </c>
      <c r="G67" s="31">
        <f>IF(E67=0,"n.B.",(F67/E67))</f>
        <v>0</v>
      </c>
      <c r="H67" s="426"/>
      <c r="I67" s="420" t="str">
        <f t="shared" si="9"/>
        <v>A.5.1 Umweltanalyse</v>
      </c>
    </row>
    <row r="68" spans="2:9" s="39" customFormat="1" outlineLevel="1" x14ac:dyDescent="0.35">
      <c r="B68" s="39" t="str">
        <f>Qualitätsprüfung!O470</f>
        <v>A.5.2 Erfolgskontrolle und Planung</v>
      </c>
      <c r="C68" s="18">
        <f>Qualitätsprüfung!H486</f>
        <v>10</v>
      </c>
      <c r="D68" s="425" t="str">
        <f>IF(ISBLANK(Qualitätsprüfung!H487),"",Qualitätsprüfung!H487)</f>
        <v/>
      </c>
      <c r="E68" s="456">
        <f>IF(ISNUMBER(D68),D68,C68)</f>
        <v>10</v>
      </c>
      <c r="F68" s="425">
        <f>Qualitätsprüfung!H489</f>
        <v>0</v>
      </c>
      <c r="G68" s="31">
        <f t="shared" ref="G68" si="18">IF(E68=0,"n.B.",(F68/E68))</f>
        <v>0</v>
      </c>
      <c r="H68" s="426"/>
      <c r="I68" s="420" t="str">
        <f t="shared" si="9"/>
        <v>A.5.2 Erfolgskontrolle und Planung</v>
      </c>
    </row>
    <row r="69" spans="2:9" s="39" customFormat="1" outlineLevel="1" x14ac:dyDescent="0.35">
      <c r="B69" s="39" t="str">
        <f>Qualitätsprüfung!O492</f>
        <v>A.5.3 Qualitätssicherungsverfahren</v>
      </c>
      <c r="C69" s="18">
        <f>Qualitätsprüfung!H508</f>
        <v>10</v>
      </c>
      <c r="D69" s="425" t="str">
        <f>IF(ISBLANK(Qualitätsprüfung!H509),"",Qualitätsprüfung!H509)</f>
        <v/>
      </c>
      <c r="E69" s="456">
        <f>IF(ISNUMBER(D69),D69,C69)</f>
        <v>10</v>
      </c>
      <c r="F69" s="425">
        <f>Qualitätsprüfung!H511</f>
        <v>0</v>
      </c>
      <c r="G69" s="31">
        <f>IF(E69=0,"n.B.",(F69/E69))</f>
        <v>0</v>
      </c>
      <c r="H69" s="426"/>
      <c r="I69" s="420" t="str">
        <f t="shared" si="9"/>
        <v>A.5.3 Qualitätssicherungsverfahren</v>
      </c>
    </row>
    <row r="70" spans="2:9" s="39" customFormat="1" outlineLevel="1" x14ac:dyDescent="0.35">
      <c r="C70" s="175" t="s">
        <v>7</v>
      </c>
      <c r="D70" s="175" t="s">
        <v>5499</v>
      </c>
      <c r="E70" s="1043" t="s">
        <v>8</v>
      </c>
      <c r="F70" s="418" t="s">
        <v>9</v>
      </c>
      <c r="G70" s="175" t="s">
        <v>10</v>
      </c>
      <c r="H70" s="419" t="s">
        <v>4449</v>
      </c>
      <c r="I70" s="420">
        <f t="shared" si="9"/>
        <v>0</v>
      </c>
    </row>
    <row r="71" spans="2:9" s="39" customFormat="1" ht="21" x14ac:dyDescent="0.35">
      <c r="B71" s="820" t="s">
        <v>4900</v>
      </c>
      <c r="C71" s="821">
        <f>C72+C78+C81</f>
        <v>100</v>
      </c>
      <c r="D71" s="821">
        <f t="shared" ref="D71:E71" si="19">D72+D78+D81</f>
        <v>0</v>
      </c>
      <c r="E71" s="821">
        <f t="shared" si="19"/>
        <v>100</v>
      </c>
      <c r="F71" s="821">
        <f>F72+F78+F81</f>
        <v>0</v>
      </c>
      <c r="G71" s="822">
        <f>F71/E71</f>
        <v>0</v>
      </c>
      <c r="H71" s="823"/>
      <c r="I71" s="420" t="str">
        <f t="shared" si="9"/>
        <v>B. Kommunikation</v>
      </c>
    </row>
    <row r="72" spans="2:9" s="39" customFormat="1" x14ac:dyDescent="0.35">
      <c r="B72" s="430" t="str">
        <f>Qualitätsprüfung!O517</f>
        <v>B.1 Partizipation</v>
      </c>
      <c r="C72" s="431">
        <f>SUM(C73:C77)</f>
        <v>55</v>
      </c>
      <c r="D72" s="432">
        <f t="shared" ref="D72:F72" si="20">SUM(D73:D77)</f>
        <v>0</v>
      </c>
      <c r="E72" s="1044">
        <f t="shared" si="20"/>
        <v>55</v>
      </c>
      <c r="F72" s="432">
        <f t="shared" si="20"/>
        <v>0</v>
      </c>
      <c r="G72" s="433">
        <f>IFERROR(F72/E72,0)</f>
        <v>0</v>
      </c>
      <c r="H72" s="434"/>
      <c r="I72" s="420" t="str">
        <f t="shared" si="9"/>
        <v>B.1 Partizipation</v>
      </c>
    </row>
    <row r="73" spans="2:9" s="39" customFormat="1" outlineLevel="1" x14ac:dyDescent="0.35">
      <c r="B73" s="39" t="str">
        <f>Qualitätsprüfung!O520</f>
        <v>B.1.1 Stakeholderanalyse</v>
      </c>
      <c r="C73" s="18">
        <f>Qualitätsprüfung!H536</f>
        <v>5</v>
      </c>
      <c r="D73" s="425" t="str">
        <f>IF(ISBLANK(Qualitätsprüfung!H537),"",Qualitätsprüfung!H537)</f>
        <v/>
      </c>
      <c r="E73" s="456">
        <f>IF(ISNUMBER(D73),D73,C73)</f>
        <v>5</v>
      </c>
      <c r="F73" s="1675">
        <f>Qualitätsprüfung!H539</f>
        <v>0</v>
      </c>
      <c r="G73" s="31">
        <f>IF(E73=0,"n.B.",(F73/E73))</f>
        <v>0</v>
      </c>
      <c r="H73" s="416"/>
      <c r="I73" s="420" t="str">
        <f t="shared" si="9"/>
        <v>B.1.1 Stakeholderanalyse</v>
      </c>
    </row>
    <row r="74" spans="2:9" s="39" customFormat="1" outlineLevel="1" x14ac:dyDescent="0.35">
      <c r="B74" s="39" t="str">
        <f>Qualitätsprüfung!O542</f>
        <v>B.1.2 Dialog, Austausch - Struktur</v>
      </c>
      <c r="C74" s="18">
        <f>Qualitätsprüfung!H558</f>
        <v>10</v>
      </c>
      <c r="D74" s="425" t="str">
        <f>IF(ISBLANK(Qualitätsprüfung!H559),"",Qualitätsprüfung!H559)</f>
        <v/>
      </c>
      <c r="E74" s="456">
        <f>IF(ISNUMBER(D74),D74,C74)</f>
        <v>10</v>
      </c>
      <c r="F74" s="425">
        <f>Qualitätsprüfung!H561</f>
        <v>0</v>
      </c>
      <c r="G74" s="31">
        <f t="shared" ref="G74:G75" si="21">IF(E74=0,"n.B.",(F74/E74))</f>
        <v>0</v>
      </c>
      <c r="H74" s="416"/>
      <c r="I74" s="420" t="str">
        <f t="shared" si="9"/>
        <v>B.1.2 Dialog, Austausch - Struktur</v>
      </c>
    </row>
    <row r="75" spans="2:9" s="39" customFormat="1" outlineLevel="1" x14ac:dyDescent="0.35">
      <c r="B75" s="39" t="str">
        <f>Qualitätsprüfung!O564</f>
        <v>B.1.3 Dialog, Austausch - Häufigkeit</v>
      </c>
      <c r="C75" s="18">
        <f>Qualitätsprüfung!H580</f>
        <v>15</v>
      </c>
      <c r="D75" s="425" t="str">
        <f>IF(ISBLANK(Qualitätsprüfung!H581),"",Qualitätsprüfung!H581)</f>
        <v/>
      </c>
      <c r="E75" s="456">
        <f>IF(ISNUMBER(D75),D75,C75)</f>
        <v>15</v>
      </c>
      <c r="F75" s="425">
        <f>Qualitätsprüfung!H583</f>
        <v>0</v>
      </c>
      <c r="G75" s="31">
        <f t="shared" si="21"/>
        <v>0</v>
      </c>
      <c r="H75" s="416"/>
      <c r="I75" s="420" t="str">
        <f t="shared" ref="I75:I106" si="22">B75</f>
        <v>B.1.3 Dialog, Austausch - Häufigkeit</v>
      </c>
    </row>
    <row r="76" spans="2:9" s="39" customFormat="1" outlineLevel="1" x14ac:dyDescent="0.35">
      <c r="B76" s="39" t="str">
        <f>Qualitätsprüfung!O586</f>
        <v>B.1.4 Mitbestimmung - Beteiligungsformat</v>
      </c>
      <c r="C76" s="18">
        <f>Qualitätsprüfung!H602</f>
        <v>10</v>
      </c>
      <c r="D76" s="425" t="str">
        <f>IF(ISBLANK(Qualitätsprüfung!H603),"",Qualitätsprüfung!H603)</f>
        <v/>
      </c>
      <c r="E76" s="456">
        <f>IF(ISNUMBER(D76),D76,C76)</f>
        <v>10</v>
      </c>
      <c r="F76" s="425">
        <f>Qualitätsprüfung!H605</f>
        <v>0</v>
      </c>
      <c r="G76" s="31">
        <f>IF(E76=0,"n.B.",(F76/E76))</f>
        <v>0</v>
      </c>
      <c r="H76" s="416"/>
      <c r="I76" s="420" t="str">
        <f t="shared" si="22"/>
        <v>B.1.4 Mitbestimmung - Beteiligungsformat</v>
      </c>
    </row>
    <row r="77" spans="2:9" s="39" customFormat="1" outlineLevel="1" x14ac:dyDescent="0.35">
      <c r="B77" s="39" t="str">
        <f>Qualitätsprüfung!O608</f>
        <v>B.1.5 Mitbestimmung - Relevante Auswirkung</v>
      </c>
      <c r="C77" s="18">
        <f>Qualitätsprüfung!H624</f>
        <v>15</v>
      </c>
      <c r="D77" s="425" t="str">
        <f>IF(ISBLANK(Qualitätsprüfung!H625),"",Qualitätsprüfung!H625)</f>
        <v/>
      </c>
      <c r="E77" s="456">
        <f>IF(ISNUMBER(D77),D77,C77)</f>
        <v>15</v>
      </c>
      <c r="F77" s="425">
        <f>Qualitätsprüfung!H627</f>
        <v>0</v>
      </c>
      <c r="G77" s="31">
        <f>IF(E77=0,"n.B.",(F77/E77))</f>
        <v>0</v>
      </c>
      <c r="H77" s="416"/>
      <c r="I77" s="420" t="str">
        <f t="shared" si="22"/>
        <v>B.1.5 Mitbestimmung - Relevante Auswirkung</v>
      </c>
    </row>
    <row r="78" spans="2:9" s="39" customFormat="1" x14ac:dyDescent="0.35">
      <c r="B78" s="430" t="str">
        <f>Qualitätsprüfung!O630</f>
        <v>B.2 Sensibilisierung zu Energie- und Mobilitätsthemen</v>
      </c>
      <c r="C78" s="431">
        <f>SUM(C79:C80)</f>
        <v>35</v>
      </c>
      <c r="D78" s="432">
        <f t="shared" ref="D78:F78" si="23">SUM(D79:D80)</f>
        <v>0</v>
      </c>
      <c r="E78" s="1044">
        <f t="shared" si="23"/>
        <v>35</v>
      </c>
      <c r="F78" s="432">
        <f t="shared" si="23"/>
        <v>0</v>
      </c>
      <c r="G78" s="433">
        <f>IFERROR(F78/E78,0)</f>
        <v>0</v>
      </c>
      <c r="H78" s="434"/>
      <c r="I78" s="420" t="str">
        <f t="shared" si="22"/>
        <v>B.2 Sensibilisierung zu Energie- und Mobilitätsthemen</v>
      </c>
    </row>
    <row r="79" spans="2:9" s="39" customFormat="1" outlineLevel="1" x14ac:dyDescent="0.35">
      <c r="B79" s="39" t="str">
        <f>Qualitätsprüfung!O633</f>
        <v>B.2.1 Konzept "Energie-, Wasser- und Abfallmarketing"</v>
      </c>
      <c r="C79" s="18">
        <f>Qualitätsprüfung!H649</f>
        <v>15</v>
      </c>
      <c r="D79" s="425" t="str">
        <f>IF(ISBLANK(Qualitätsprüfung!H650),"",Qualitätsprüfung!H650)</f>
        <v/>
      </c>
      <c r="E79" s="456">
        <f>IF(ISNUMBER(D79),D79,C79)</f>
        <v>15</v>
      </c>
      <c r="F79" s="425">
        <f>Qualitätsprüfung!H652</f>
        <v>0</v>
      </c>
      <c r="G79" s="31">
        <f>IF(E79=0,"n.B.",(F79/E79))</f>
        <v>0</v>
      </c>
      <c r="H79" s="416"/>
      <c r="I79" s="420" t="str">
        <f t="shared" si="22"/>
        <v>B.2.1 Konzept "Energie-, Wasser- und Abfallmarketing"</v>
      </c>
    </row>
    <row r="80" spans="2:9" s="39" customFormat="1" outlineLevel="1" x14ac:dyDescent="0.35">
      <c r="B80" s="39" t="str">
        <f>Qualitätsprüfung!O655</f>
        <v>B.2.2 Konzept "Mobilitätsmarketing"</v>
      </c>
      <c r="C80" s="18">
        <f>Qualitätsprüfung!H671</f>
        <v>20</v>
      </c>
      <c r="D80" s="425" t="str">
        <f>IF(ISBLANK(Qualitätsprüfung!H672),"",Qualitätsprüfung!H672)</f>
        <v/>
      </c>
      <c r="E80" s="456">
        <f>IF(ISNUMBER(D80),D80,C80)</f>
        <v>20</v>
      </c>
      <c r="F80" s="425">
        <f>Qualitätsprüfung!H674</f>
        <v>0</v>
      </c>
      <c r="G80" s="31">
        <f t="shared" ref="G80" si="24">IF(E80=0,"n.B.",(F80/E80))</f>
        <v>0</v>
      </c>
      <c r="H80" s="416"/>
      <c r="I80" s="420" t="str">
        <f t="shared" si="22"/>
        <v>B.2.2 Konzept "Mobilitätsmarketing"</v>
      </c>
    </row>
    <row r="81" spans="2:9" s="39" customFormat="1" x14ac:dyDescent="0.35">
      <c r="B81" s="430" t="str">
        <f>Qualitätsprüfung!O677</f>
        <v>B.3 Vorbildwirkung</v>
      </c>
      <c r="C81" s="431">
        <f>SUM(C82:C83)</f>
        <v>10</v>
      </c>
      <c r="D81" s="432">
        <f t="shared" ref="D81:F81" si="25">SUM(D82:D83)</f>
        <v>0</v>
      </c>
      <c r="E81" s="1044">
        <f t="shared" si="25"/>
        <v>10</v>
      </c>
      <c r="F81" s="432">
        <f t="shared" si="25"/>
        <v>0</v>
      </c>
      <c r="G81" s="433">
        <f>IFERROR(F81/E81,0)</f>
        <v>0</v>
      </c>
      <c r="H81" s="434"/>
      <c r="I81" s="420" t="str">
        <f t="shared" si="22"/>
        <v>B.3 Vorbildwirkung</v>
      </c>
    </row>
    <row r="82" spans="2:9" s="39" customFormat="1" outlineLevel="1" x14ac:dyDescent="0.35">
      <c r="B82" s="39" t="str">
        <f>Qualitätsprüfung!O680</f>
        <v>B.3.1 Qualität der Information</v>
      </c>
      <c r="C82" s="18">
        <f>Qualitätsprüfung!H696</f>
        <v>5</v>
      </c>
      <c r="D82" s="425" t="str">
        <f>IF(ISBLANK(Qualitätsprüfung!H697),"",Qualitätsprüfung!H697)</f>
        <v/>
      </c>
      <c r="E82" s="456">
        <f>IF(ISNUMBER(D82),D82,C82)</f>
        <v>5</v>
      </c>
      <c r="F82" s="1675">
        <f>Qualitätsprüfung!H699</f>
        <v>0</v>
      </c>
      <c r="G82" s="31">
        <f>IF(E82=0,"n.B.",(F82/E82))</f>
        <v>0</v>
      </c>
      <c r="H82" s="416"/>
      <c r="I82" s="420" t="str">
        <f t="shared" si="22"/>
        <v>B.3.1 Qualität der Information</v>
      </c>
    </row>
    <row r="83" spans="2:9" s="39" customFormat="1" outlineLevel="1" x14ac:dyDescent="0.35">
      <c r="B83" s="39" t="str">
        <f>Qualitätsprüfung!O702</f>
        <v>B.3.2 Häufigkeit der Kommunikation</v>
      </c>
      <c r="C83" s="18">
        <f>Qualitätsprüfung!H718</f>
        <v>5</v>
      </c>
      <c r="D83" s="425" t="str">
        <f>IF(ISBLANK(Qualitätsprüfung!H719),"",Qualitätsprüfung!H719)</f>
        <v/>
      </c>
      <c r="E83" s="456">
        <f>IF(ISNUMBER(D83),D83,C83)</f>
        <v>5</v>
      </c>
      <c r="F83" s="1675">
        <f>Qualitätsprüfung!H721</f>
        <v>0</v>
      </c>
      <c r="G83" s="31">
        <f t="shared" ref="G83" si="26">IF(E83=0,"n.B.",(F83/E83))</f>
        <v>0</v>
      </c>
      <c r="H83" s="416"/>
      <c r="I83" s="420" t="str">
        <f t="shared" si="22"/>
        <v>B.3.2 Häufigkeit der Kommunikation</v>
      </c>
    </row>
    <row r="84" spans="2:9" s="39" customFormat="1" outlineLevel="1" x14ac:dyDescent="0.35">
      <c r="C84" s="175" t="s">
        <v>7</v>
      </c>
      <c r="D84" s="175" t="s">
        <v>5499</v>
      </c>
      <c r="E84" s="1043" t="s">
        <v>8</v>
      </c>
      <c r="F84" s="418" t="s">
        <v>9</v>
      </c>
      <c r="G84" s="175" t="s">
        <v>10</v>
      </c>
      <c r="H84" s="419" t="s">
        <v>4449</v>
      </c>
      <c r="I84" s="420">
        <f t="shared" si="22"/>
        <v>0</v>
      </c>
    </row>
    <row r="85" spans="2:9" s="39" customFormat="1" ht="21" x14ac:dyDescent="0.35">
      <c r="B85" s="824" t="s">
        <v>4901</v>
      </c>
      <c r="C85" s="825">
        <f>C86+C88+C92+C97+C102+C105</f>
        <v>250</v>
      </c>
      <c r="D85" s="825">
        <f t="shared" ref="D85:F85" si="27">D86+D88+D92+D97+D102+D105</f>
        <v>0</v>
      </c>
      <c r="E85" s="825">
        <f t="shared" si="27"/>
        <v>250</v>
      </c>
      <c r="F85" s="825">
        <f t="shared" si="27"/>
        <v>0</v>
      </c>
      <c r="G85" s="826">
        <f>F85/E85</f>
        <v>0</v>
      </c>
      <c r="H85" s="827"/>
      <c r="I85" s="420" t="str">
        <f t="shared" si="22"/>
        <v>C. Städtebau</v>
      </c>
    </row>
    <row r="86" spans="2:9" s="39" customFormat="1" x14ac:dyDescent="0.35">
      <c r="B86" s="435" t="str">
        <f>Qualitätsprüfung!O727</f>
        <v>C.1 Bauliche Dichte</v>
      </c>
      <c r="C86" s="436">
        <f>SUM(C87:C87)</f>
        <v>53</v>
      </c>
      <c r="D86" s="437">
        <f>SUM(D87:D87)</f>
        <v>0</v>
      </c>
      <c r="E86" s="1045">
        <f>SUM(E87:E87)</f>
        <v>53</v>
      </c>
      <c r="F86" s="437">
        <f>SUM(F87:F87)</f>
        <v>0</v>
      </c>
      <c r="G86" s="438">
        <f>IFERROR(F86/E86,0)</f>
        <v>0</v>
      </c>
      <c r="H86" s="439"/>
      <c r="I86" s="420" t="str">
        <f t="shared" si="22"/>
        <v>C.1 Bauliche Dichte</v>
      </c>
    </row>
    <row r="87" spans="2:9" s="39" customFormat="1" outlineLevel="1" x14ac:dyDescent="0.35">
      <c r="B87" s="39" t="str">
        <f>Qualitätsprüfung!O730</f>
        <v>C.1.1 Umgang mit Dichte</v>
      </c>
      <c r="C87" s="18">
        <f>Qualitätsprüfung!H746</f>
        <v>53</v>
      </c>
      <c r="D87" s="425" t="str">
        <f>IF(ISBLANK(Qualitätsprüfung!H747),"",Qualitätsprüfung!H747)</f>
        <v/>
      </c>
      <c r="E87" s="456">
        <f>IF(ISNUMBER(D87),D87,C87)</f>
        <v>53</v>
      </c>
      <c r="F87" s="425">
        <f>Qualitätsprüfung!H749</f>
        <v>0</v>
      </c>
      <c r="G87" s="31">
        <f>IF(E87=0,"n.B.",(F87/E87))</f>
        <v>0</v>
      </c>
      <c r="H87" s="426"/>
      <c r="I87" s="420" t="str">
        <f t="shared" si="22"/>
        <v>C.1.1 Umgang mit Dichte</v>
      </c>
    </row>
    <row r="88" spans="2:9" s="39" customFormat="1" x14ac:dyDescent="0.35">
      <c r="B88" s="435" t="str">
        <f>Qualitätsprüfung!O752</f>
        <v>C.2 Mikroklima</v>
      </c>
      <c r="C88" s="436">
        <f>SUM(C89:C91)</f>
        <v>24</v>
      </c>
      <c r="D88" s="437">
        <f>SUM(D89:D91)</f>
        <v>0</v>
      </c>
      <c r="E88" s="1045">
        <f>SUM(E89:E91)</f>
        <v>24</v>
      </c>
      <c r="F88" s="437">
        <f>SUM(F89:F91)</f>
        <v>0</v>
      </c>
      <c r="G88" s="438">
        <f>IFERROR(F88/E88,0)</f>
        <v>0</v>
      </c>
      <c r="H88" s="439"/>
      <c r="I88" s="420" t="str">
        <f t="shared" si="22"/>
        <v>C.2 Mikroklima</v>
      </c>
    </row>
    <row r="89" spans="2:9" s="39" customFormat="1" outlineLevel="1" x14ac:dyDescent="0.35">
      <c r="B89" s="39" t="str">
        <f>Qualitätsprüfung!O755</f>
        <v>C.2.1 Abklärung zu Mikroklima</v>
      </c>
      <c r="C89" s="18">
        <f>Qualitätsprüfung!H771</f>
        <v>6</v>
      </c>
      <c r="D89" s="425" t="str">
        <f>IF(ISBLANK(Qualitätsprüfung!H772),"",Qualitätsprüfung!H772)</f>
        <v/>
      </c>
      <c r="E89" s="456">
        <f>IF(ISNUMBER(D89),D89,C89)</f>
        <v>6</v>
      </c>
      <c r="F89" s="1675">
        <f>Qualitätsprüfung!H774</f>
        <v>0</v>
      </c>
      <c r="G89" s="31">
        <f>IF(E89=0,"n.B.",(F89/E89))</f>
        <v>0</v>
      </c>
      <c r="H89" s="416"/>
      <c r="I89" s="420" t="str">
        <f t="shared" si="22"/>
        <v>C.2.1 Abklärung zu Mikroklima</v>
      </c>
    </row>
    <row r="90" spans="2:9" s="39" customFormat="1" outlineLevel="1" x14ac:dyDescent="0.35">
      <c r="B90" s="39" t="str">
        <f>Qualitätsprüfung!O777</f>
        <v>C.2.2 Durchlüftung *</v>
      </c>
      <c r="C90" s="18">
        <f>Qualitätsprüfung!H793</f>
        <v>6</v>
      </c>
      <c r="D90" s="425" t="str">
        <f>IF(ISBLANK(Qualitätsprüfung!H794),"",Qualitätsprüfung!H794)</f>
        <v/>
      </c>
      <c r="E90" s="456">
        <f>IF(ISNUMBER(D90),D90,C90)</f>
        <v>6</v>
      </c>
      <c r="F90" s="1675">
        <f>Qualitätsprüfung!H796</f>
        <v>0</v>
      </c>
      <c r="G90" s="31">
        <f t="shared" ref="G90" si="28">IF(E90=0,"n.B.",(F90/E90))</f>
        <v>0</v>
      </c>
      <c r="H90" s="416"/>
      <c r="I90" s="420" t="str">
        <f t="shared" si="22"/>
        <v>C.2.2 Durchlüftung *</v>
      </c>
    </row>
    <row r="91" spans="2:9" s="39" customFormat="1" outlineLevel="1" x14ac:dyDescent="0.35">
      <c r="B91" s="39" t="str">
        <f>Qualitätsprüfung!O799</f>
        <v>C.2.3 Aufheizung und Verdunstung</v>
      </c>
      <c r="C91" s="18">
        <f>Qualitätsprüfung!H815</f>
        <v>12</v>
      </c>
      <c r="D91" s="425" t="str">
        <f>IF(ISBLANK(Qualitätsprüfung!H816),"",Qualitätsprüfung!H816)</f>
        <v/>
      </c>
      <c r="E91" s="456">
        <f>IF(ISNUMBER(D91),D91,C91)</f>
        <v>12</v>
      </c>
      <c r="F91" s="425">
        <f>Qualitätsprüfung!H818</f>
        <v>0</v>
      </c>
      <c r="G91" s="31">
        <f>IF(E91=0,"n.B.",(F91/E91))</f>
        <v>0</v>
      </c>
      <c r="H91" s="416"/>
      <c r="I91" s="420" t="str">
        <f t="shared" si="22"/>
        <v>C.2.3 Aufheizung und Verdunstung</v>
      </c>
    </row>
    <row r="92" spans="2:9" s="39" customFormat="1" x14ac:dyDescent="0.35">
      <c r="B92" s="435" t="str">
        <f>Qualitätsprüfung!O821</f>
        <v>C.3 Vielfalt der Nutzungen und der Nutzenden</v>
      </c>
      <c r="C92" s="436">
        <f>SUM(C93:C96)</f>
        <v>42</v>
      </c>
      <c r="D92" s="437">
        <f t="shared" ref="D92:F92" si="29">SUM(D93:D96)</f>
        <v>0</v>
      </c>
      <c r="E92" s="1045">
        <f t="shared" si="29"/>
        <v>42</v>
      </c>
      <c r="F92" s="437">
        <f t="shared" si="29"/>
        <v>0</v>
      </c>
      <c r="G92" s="438">
        <f>IFERROR(F92/E92,0)</f>
        <v>0</v>
      </c>
      <c r="H92" s="439"/>
      <c r="I92" s="420" t="str">
        <f t="shared" si="22"/>
        <v>C.3 Vielfalt der Nutzungen und der Nutzenden</v>
      </c>
    </row>
    <row r="93" spans="2:9" s="39" customFormat="1" outlineLevel="1" x14ac:dyDescent="0.35">
      <c r="B93" s="39" t="str">
        <f>Qualitätsprüfung!O824</f>
        <v>C.3.1 Zielgruppen</v>
      </c>
      <c r="C93" s="18">
        <f>Qualitätsprüfung!H840</f>
        <v>13</v>
      </c>
      <c r="D93" s="425" t="str">
        <f>IF(ISBLANK(Qualitätsprüfung!H841),"",Qualitätsprüfung!H841)</f>
        <v/>
      </c>
      <c r="E93" s="456">
        <f>IF(ISNUMBER(D93),D93,C93)</f>
        <v>13</v>
      </c>
      <c r="F93" s="425">
        <f>Qualitätsprüfung!H843</f>
        <v>0</v>
      </c>
      <c r="G93" s="31">
        <f>IF(E93=0,"n.B.",(F93/E93))</f>
        <v>0</v>
      </c>
      <c r="H93" s="416"/>
      <c r="I93" s="420" t="str">
        <f t="shared" si="22"/>
        <v>C.3.1 Zielgruppen</v>
      </c>
    </row>
    <row r="94" spans="2:9" s="39" customFormat="1" outlineLevel="1" x14ac:dyDescent="0.35">
      <c r="B94" s="39" t="str">
        <f>Qualitätsprüfung!O846</f>
        <v>C.3.2 Durchmischte Wohnnutzungen</v>
      </c>
      <c r="C94" s="18">
        <f>Qualitätsprüfung!H862</f>
        <v>13</v>
      </c>
      <c r="D94" s="425" t="str">
        <f>IF(ISBLANK(Qualitätsprüfung!H863),"",Qualitätsprüfung!H863)</f>
        <v/>
      </c>
      <c r="E94" s="456">
        <f>IF(ISNUMBER(D94),D94,C94)</f>
        <v>13</v>
      </c>
      <c r="F94" s="425">
        <f>Qualitätsprüfung!H865</f>
        <v>0</v>
      </c>
      <c r="G94" s="31">
        <f t="shared" ref="G94" si="30">IF(E94=0,"n.B.",(F94/E94))</f>
        <v>0</v>
      </c>
      <c r="H94" s="416"/>
      <c r="I94" s="420" t="str">
        <f t="shared" si="22"/>
        <v>C.3.2 Durchmischte Wohnnutzungen</v>
      </c>
    </row>
    <row r="95" spans="2:9" s="39" customFormat="1" outlineLevel="1" x14ac:dyDescent="0.35">
      <c r="B95" s="39" t="str">
        <f>Qualitätsprüfung!O868</f>
        <v>C.3.3 Mischnutzung</v>
      </c>
      <c r="C95" s="18">
        <f>Qualitätsprüfung!H884</f>
        <v>8</v>
      </c>
      <c r="D95" s="425" t="str">
        <f>IF(ISBLANK(Qualitätsprüfung!H885),"",Qualitätsprüfung!H885)</f>
        <v/>
      </c>
      <c r="E95" s="456">
        <f>IF(ISNUMBER(D95),D95,C95)</f>
        <v>8</v>
      </c>
      <c r="F95" s="1675">
        <f>Qualitätsprüfung!H887</f>
        <v>0</v>
      </c>
      <c r="G95" s="31">
        <f>IF(E95=0,"n.B.",(F95/E95))</f>
        <v>0</v>
      </c>
      <c r="H95" s="416"/>
      <c r="I95" s="420" t="str">
        <f t="shared" si="22"/>
        <v>C.3.3 Mischnutzung</v>
      </c>
    </row>
    <row r="96" spans="2:9" s="39" customFormat="1" outlineLevel="1" x14ac:dyDescent="0.35">
      <c r="B96" s="39" t="str">
        <f>Qualitätsprüfung!O890</f>
        <v>C.3.4 Wirkung auf Umfeld</v>
      </c>
      <c r="C96" s="18">
        <f>Qualitätsprüfung!H906</f>
        <v>8</v>
      </c>
      <c r="D96" s="425" t="str">
        <f>IF(ISBLANK(Qualitätsprüfung!H907),"",Qualitätsprüfung!H907)</f>
        <v/>
      </c>
      <c r="E96" s="456">
        <f>IF(ISNUMBER(D96),D96,C96)</f>
        <v>8</v>
      </c>
      <c r="F96" s="1675">
        <f>Qualitätsprüfung!H909</f>
        <v>0</v>
      </c>
      <c r="G96" s="31">
        <f>IF(E96=0,"n.B.",(F96/E96))</f>
        <v>0</v>
      </c>
      <c r="H96" s="416"/>
      <c r="I96" s="420" t="str">
        <f t="shared" si="22"/>
        <v>C.3.4 Wirkung auf Umfeld</v>
      </c>
    </row>
    <row r="97" spans="2:9" s="39" customFormat="1" x14ac:dyDescent="0.35">
      <c r="B97" s="435" t="str">
        <f>Qualitätsprüfung!O912</f>
        <v>C.4 Halböffentliche und öffentliche Räume</v>
      </c>
      <c r="C97" s="436">
        <f>SUM(C98:C101)</f>
        <v>57</v>
      </c>
      <c r="D97" s="437">
        <f>SUM(D98:D101)</f>
        <v>0</v>
      </c>
      <c r="E97" s="1045">
        <f>SUM(E98:E101)</f>
        <v>57</v>
      </c>
      <c r="F97" s="437">
        <f>SUM(F98:F101)</f>
        <v>0</v>
      </c>
      <c r="G97" s="438">
        <f>IFERROR(F97/E97,0)</f>
        <v>0</v>
      </c>
      <c r="H97" s="439"/>
      <c r="I97" s="420" t="str">
        <f t="shared" si="22"/>
        <v>C.4 Halböffentliche und öffentliche Räume</v>
      </c>
    </row>
    <row r="98" spans="2:9" s="39" customFormat="1" outlineLevel="1" x14ac:dyDescent="0.35">
      <c r="B98" s="39" t="str">
        <f>Qualitätsprüfung!O915</f>
        <v>C.4.1 Erdgeschossnutzungen</v>
      </c>
      <c r="C98" s="18">
        <f>Qualitätsprüfung!H931</f>
        <v>13</v>
      </c>
      <c r="D98" s="425" t="str">
        <f>IF(ISBLANK(Qualitätsprüfung!H932),"",Qualitätsprüfung!H932)</f>
        <v/>
      </c>
      <c r="E98" s="456">
        <f>IF(ISNUMBER(D98),D98,C98)</f>
        <v>13</v>
      </c>
      <c r="F98" s="425">
        <f>Qualitätsprüfung!H934</f>
        <v>0</v>
      </c>
      <c r="G98" s="31">
        <f>IF(E98=0,"n.B.",(F98/E98))</f>
        <v>0</v>
      </c>
      <c r="H98" s="416"/>
      <c r="I98" s="420" t="str">
        <f t="shared" si="22"/>
        <v>C.4.1 Erdgeschossnutzungen</v>
      </c>
    </row>
    <row r="99" spans="2:9" s="39" customFormat="1" outlineLevel="1" x14ac:dyDescent="0.35">
      <c r="B99" s="39" t="str">
        <f>Qualitätsprüfung!O937</f>
        <v>C.4.2 Zugang</v>
      </c>
      <c r="C99" s="18">
        <f>Qualitätsprüfung!H953</f>
        <v>13</v>
      </c>
      <c r="D99" s="425" t="str">
        <f>IF(ISBLANK(Qualitätsprüfung!H954),"",Qualitätsprüfung!H954)</f>
        <v/>
      </c>
      <c r="E99" s="456">
        <f>IF(ISNUMBER(D99),D99,C99)</f>
        <v>13</v>
      </c>
      <c r="F99" s="425">
        <f>Qualitätsprüfung!H956</f>
        <v>0</v>
      </c>
      <c r="G99" s="31">
        <f t="shared" ref="G99" si="31">IF(E99=0,"n.B.",(F99/E99))</f>
        <v>0</v>
      </c>
      <c r="H99" s="416"/>
      <c r="I99" s="420" t="str">
        <f t="shared" si="22"/>
        <v>C.4.2 Zugang</v>
      </c>
    </row>
    <row r="100" spans="2:9" s="39" customFormat="1" outlineLevel="1" x14ac:dyDescent="0.35">
      <c r="B100" s="39" t="str">
        <f>Qualitätsprüfung!O959</f>
        <v>C.4.3 Raumangebot</v>
      </c>
      <c r="C100" s="18">
        <f>Qualitätsprüfung!H975</f>
        <v>18</v>
      </c>
      <c r="D100" s="425" t="str">
        <f>IF(ISBLANK(Qualitätsprüfung!H976),"",Qualitätsprüfung!H976)</f>
        <v/>
      </c>
      <c r="E100" s="456">
        <f>IF(ISNUMBER(D100),D100,C100)</f>
        <v>18</v>
      </c>
      <c r="F100" s="425">
        <f>Qualitätsprüfung!H978</f>
        <v>0</v>
      </c>
      <c r="G100" s="31">
        <f>IF(E100=0,"n.B.",(F100/E100))</f>
        <v>0</v>
      </c>
      <c r="H100" s="416"/>
      <c r="I100" s="420" t="str">
        <f t="shared" si="22"/>
        <v>C.4.3 Raumangebot</v>
      </c>
    </row>
    <row r="101" spans="2:9" s="39" customFormat="1" outlineLevel="1" x14ac:dyDescent="0.35">
      <c r="B101" s="39" t="str">
        <f>Qualitätsprüfung!O981</f>
        <v>C.4.4 Dachflächen *</v>
      </c>
      <c r="C101" s="18">
        <f>Qualitätsprüfung!H997</f>
        <v>13</v>
      </c>
      <c r="D101" s="425" t="str">
        <f>IF(ISBLANK(Qualitätsprüfung!H998),"",Qualitätsprüfung!H998)</f>
        <v/>
      </c>
      <c r="E101" s="456">
        <f>IF(ISNUMBER(D101),D101,C101)</f>
        <v>13</v>
      </c>
      <c r="F101" s="425">
        <f>Qualitätsprüfung!H1000</f>
        <v>0</v>
      </c>
      <c r="G101" s="31">
        <f>IF(E101=0,"n.B.",(F101/E101))</f>
        <v>0</v>
      </c>
      <c r="H101" s="416"/>
      <c r="I101" s="420" t="str">
        <f t="shared" si="22"/>
        <v>C.4.4 Dachflächen *</v>
      </c>
    </row>
    <row r="102" spans="2:9" s="39" customFormat="1" x14ac:dyDescent="0.35">
      <c r="B102" s="435" t="str">
        <f>Qualitätsprüfung!O1003</f>
        <v>C.5 Freiraum</v>
      </c>
      <c r="C102" s="436">
        <f>SUM(C103:C104)</f>
        <v>46</v>
      </c>
      <c r="D102" s="437">
        <f>SUM(D103:D104)</f>
        <v>0</v>
      </c>
      <c r="E102" s="1045">
        <f>SUM(E103:E104)</f>
        <v>46</v>
      </c>
      <c r="F102" s="437">
        <f>SUM(F103:F104)</f>
        <v>0</v>
      </c>
      <c r="G102" s="438">
        <f>IFERROR(F102/E102,0)</f>
        <v>0</v>
      </c>
      <c r="H102" s="439"/>
      <c r="I102" s="420" t="str">
        <f t="shared" si="22"/>
        <v>C.5 Freiraum</v>
      </c>
    </row>
    <row r="103" spans="2:9" s="39" customFormat="1" outlineLevel="1" x14ac:dyDescent="0.35">
      <c r="B103" s="39" t="str">
        <f>Qualitätsprüfung!O1006</f>
        <v>C.5.1 Angebote für Erholung und Freiraum</v>
      </c>
      <c r="C103" s="18">
        <f>Qualitätsprüfung!H1022</f>
        <v>28</v>
      </c>
      <c r="D103" s="425" t="str">
        <f>IF(ISBLANK(Qualitätsprüfung!H1023),"",Qualitätsprüfung!H1023)</f>
        <v/>
      </c>
      <c r="E103" s="456">
        <f>IF(ISNUMBER(D103),D103,C103)</f>
        <v>28</v>
      </c>
      <c r="F103" s="425">
        <f>Qualitätsprüfung!H1025</f>
        <v>0</v>
      </c>
      <c r="G103" s="31">
        <f>IF(E103=0,"n.B.",(F103/E103))</f>
        <v>0</v>
      </c>
      <c r="H103" s="416"/>
      <c r="I103" s="420" t="str">
        <f t="shared" si="22"/>
        <v>C.5.1 Angebote für Erholung und Freiraum</v>
      </c>
    </row>
    <row r="104" spans="2:9" s="39" customFormat="1" outlineLevel="1" x14ac:dyDescent="0.35">
      <c r="B104" s="39" t="str">
        <f>Qualitätsprüfung!O1028</f>
        <v>C.5.2 Nutzung und Bewirtschaftung</v>
      </c>
      <c r="C104" s="18">
        <f>Qualitätsprüfung!H1044</f>
        <v>18</v>
      </c>
      <c r="D104" s="425" t="str">
        <f>IF(ISBLANK(Qualitätsprüfung!H1045),"",Qualitätsprüfung!H1045)</f>
        <v/>
      </c>
      <c r="E104" s="456">
        <f>IF(ISNUMBER(D104),D104,C104)</f>
        <v>18</v>
      </c>
      <c r="F104" s="425">
        <f>Qualitätsprüfung!H1047</f>
        <v>0</v>
      </c>
      <c r="G104" s="31">
        <f t="shared" ref="G104" si="32">IF(E104=0,"n.B.",(F104/E104))</f>
        <v>0</v>
      </c>
      <c r="H104" s="416"/>
      <c r="I104" s="420" t="str">
        <f t="shared" si="22"/>
        <v>C.5.2 Nutzung und Bewirtschaftung</v>
      </c>
    </row>
    <row r="105" spans="2:9" s="39" customFormat="1" x14ac:dyDescent="0.35">
      <c r="B105" s="435" t="str">
        <f>Qualitätsprüfung!O1050</f>
        <v>C.6 Angebote für den täglichen Bedarf</v>
      </c>
      <c r="C105" s="436">
        <f>SUM(C106:C106)</f>
        <v>28</v>
      </c>
      <c r="D105" s="437">
        <f>SUM(D106:D106)</f>
        <v>0</v>
      </c>
      <c r="E105" s="1045">
        <f>SUM(E106:E106)</f>
        <v>28</v>
      </c>
      <c r="F105" s="437">
        <f>SUM(F106:F106)</f>
        <v>0</v>
      </c>
      <c r="G105" s="438">
        <f>IFERROR(F105/E105,0)</f>
        <v>0</v>
      </c>
      <c r="H105" s="439"/>
      <c r="I105" s="420" t="str">
        <f t="shared" si="22"/>
        <v>C.6 Angebote für den täglichen Bedarf</v>
      </c>
    </row>
    <row r="106" spans="2:9" s="39" customFormat="1" outlineLevel="1" x14ac:dyDescent="0.35">
      <c r="B106" s="428" t="str">
        <f>Qualitätsprüfung!O1053</f>
        <v>C.6.1 Güter und Dienstleistungen des täglichen Bedarfs</v>
      </c>
      <c r="C106" s="23">
        <f>Qualitätsprüfung!H1069</f>
        <v>28</v>
      </c>
      <c r="D106" s="425" t="str">
        <f>IF(ISBLANK(Qualitätsprüfung!H1070),"",Qualitätsprüfung!H1070)</f>
        <v/>
      </c>
      <c r="E106" s="456">
        <f>IF(ISNUMBER(D106),D106,C106)</f>
        <v>28</v>
      </c>
      <c r="F106" s="440">
        <f>Qualitätsprüfung!H1072</f>
        <v>0</v>
      </c>
      <c r="G106" s="31">
        <f>IF(E106=0,"n.B.",(F106/E106))</f>
        <v>0</v>
      </c>
      <c r="H106" s="429"/>
      <c r="I106" s="420" t="str">
        <f t="shared" si="22"/>
        <v>C.6.1 Güter und Dienstleistungen des täglichen Bedarfs</v>
      </c>
    </row>
    <row r="107" spans="2:9" s="39" customFormat="1" outlineLevel="1" x14ac:dyDescent="0.35">
      <c r="B107" s="428"/>
      <c r="C107" s="175" t="s">
        <v>7</v>
      </c>
      <c r="D107" s="175" t="s">
        <v>5499</v>
      </c>
      <c r="E107" s="1043" t="s">
        <v>8</v>
      </c>
      <c r="F107" s="418" t="s">
        <v>9</v>
      </c>
      <c r="G107" s="175" t="s">
        <v>10</v>
      </c>
      <c r="H107" s="419" t="s">
        <v>4449</v>
      </c>
      <c r="I107" s="420">
        <f t="shared" ref="I107:I138" si="33">B107</f>
        <v>0</v>
      </c>
    </row>
    <row r="108" spans="2:9" s="39" customFormat="1" ht="21" x14ac:dyDescent="0.35">
      <c r="B108" s="816" t="s">
        <v>4902</v>
      </c>
      <c r="C108" s="817">
        <f>C109+C111+C113</f>
        <v>150</v>
      </c>
      <c r="D108" s="817">
        <f t="shared" ref="D108:F108" si="34">D109+D111+D113</f>
        <v>0</v>
      </c>
      <c r="E108" s="817">
        <f t="shared" si="34"/>
        <v>150</v>
      </c>
      <c r="F108" s="817">
        <f t="shared" si="34"/>
        <v>0</v>
      </c>
      <c r="G108" s="818">
        <f>F108/E108</f>
        <v>0</v>
      </c>
      <c r="H108" s="819"/>
      <c r="I108" s="420" t="str">
        <f t="shared" si="33"/>
        <v>D. Gebäude</v>
      </c>
    </row>
    <row r="109" spans="2:9" s="39" customFormat="1" x14ac:dyDescent="0.35">
      <c r="B109" s="441" t="str">
        <f>Qualitätsprüfung!O1078</f>
        <v>D.1 Lebenszykluskosten</v>
      </c>
      <c r="C109" s="442">
        <f>SUM(C110)</f>
        <v>30</v>
      </c>
      <c r="D109" s="443">
        <f t="shared" ref="D109:F109" si="35">SUM(D110)</f>
        <v>0</v>
      </c>
      <c r="E109" s="1046">
        <f t="shared" si="35"/>
        <v>30</v>
      </c>
      <c r="F109" s="443">
        <f t="shared" si="35"/>
        <v>0</v>
      </c>
      <c r="G109" s="444">
        <f>IFERROR(F109/E109,0)</f>
        <v>0</v>
      </c>
      <c r="H109" s="445"/>
      <c r="I109" s="420" t="str">
        <f t="shared" si="33"/>
        <v>D.1 Lebenszykluskosten</v>
      </c>
    </row>
    <row r="110" spans="2:9" s="39" customFormat="1" outlineLevel="1" x14ac:dyDescent="0.35">
      <c r="B110" s="39" t="str">
        <f>Qualitätsprüfung!O1081</f>
        <v>D.1.1 Lebenszykluskosten und Wirtschaftlichkeitsbewertung</v>
      </c>
      <c r="C110" s="18">
        <f>Qualitätsprüfung!H1097</f>
        <v>30</v>
      </c>
      <c r="D110" s="425" t="str">
        <f>IF(ISBLANK(Qualitätsprüfung!H1098),"",Qualitätsprüfung!H1098)</f>
        <v/>
      </c>
      <c r="E110" s="456">
        <f>IF(ISNUMBER(D110),D110,C110)</f>
        <v>30</v>
      </c>
      <c r="F110" s="425">
        <f>Qualitätsprüfung!H1100</f>
        <v>0</v>
      </c>
      <c r="G110" s="31">
        <f>IF(E110=0,"n.B.",(F110/E110))</f>
        <v>0</v>
      </c>
      <c r="H110" s="416"/>
      <c r="I110" s="420" t="str">
        <f t="shared" si="33"/>
        <v>D.1.1 Lebenszykluskosten und Wirtschaftlichkeitsbewertung</v>
      </c>
    </row>
    <row r="111" spans="2:9" s="39" customFormat="1" x14ac:dyDescent="0.35">
      <c r="B111" s="441" t="str">
        <f>Qualitätsprüfung!O1103</f>
        <v>D.2 Gebäudestandards</v>
      </c>
      <c r="C111" s="442">
        <f>SUM(C112:C112)</f>
        <v>75</v>
      </c>
      <c r="D111" s="443">
        <f>SUM(D112:D112)</f>
        <v>0</v>
      </c>
      <c r="E111" s="1046">
        <f>SUM(E112:E112)</f>
        <v>75</v>
      </c>
      <c r="F111" s="443">
        <f>SUM(F112:F112)</f>
        <v>0</v>
      </c>
      <c r="G111" s="444">
        <f>IFERROR(F111/E111,0)</f>
        <v>0</v>
      </c>
      <c r="H111" s="445"/>
      <c r="I111" s="420" t="str">
        <f t="shared" si="33"/>
        <v>D.2 Gebäudestandards</v>
      </c>
    </row>
    <row r="112" spans="2:9" s="39" customFormat="1" outlineLevel="1" x14ac:dyDescent="0.35">
      <c r="B112" s="39" t="str">
        <f>Qualitätsprüfung!O1106</f>
        <v>D.2.1 Gebäudestandards</v>
      </c>
      <c r="C112" s="18">
        <f>Qualitätsprüfung!H1122</f>
        <v>75</v>
      </c>
      <c r="D112" s="425" t="str">
        <f>IF(ISBLANK(Qualitätsprüfung!H1123),"",Qualitätsprüfung!H1123)</f>
        <v/>
      </c>
      <c r="E112" s="456">
        <f>IF(ISNUMBER(D112),D112,C112)</f>
        <v>75</v>
      </c>
      <c r="F112" s="425">
        <f>Qualitätsprüfung!H1125</f>
        <v>0</v>
      </c>
      <c r="G112" s="31">
        <f>IF(E112=0,"n.B.",(F112/E112))</f>
        <v>0</v>
      </c>
      <c r="H112" s="416"/>
      <c r="I112" s="420" t="str">
        <f t="shared" si="33"/>
        <v>D.2.1 Gebäudestandards</v>
      </c>
    </row>
    <row r="113" spans="2:9" s="39" customFormat="1" x14ac:dyDescent="0.35">
      <c r="B113" s="441" t="str">
        <f>Qualitätsprüfung!O1128</f>
        <v>D.3 Angemessene Nutzungsdichte</v>
      </c>
      <c r="C113" s="442">
        <f>SUM(C114:C115)</f>
        <v>45</v>
      </c>
      <c r="D113" s="443">
        <f>SUM(D114:D115)</f>
        <v>0</v>
      </c>
      <c r="E113" s="1046">
        <f>SUM(E114:E115)</f>
        <v>45</v>
      </c>
      <c r="F113" s="443">
        <f>SUM(F114:F115)</f>
        <v>0</v>
      </c>
      <c r="G113" s="444">
        <f>IFERROR(F113/E113,0)</f>
        <v>0</v>
      </c>
      <c r="H113" s="445"/>
      <c r="I113" s="420" t="str">
        <f t="shared" si="33"/>
        <v>D.3 Angemessene Nutzungsdichte</v>
      </c>
    </row>
    <row r="114" spans="2:9" s="39" customFormat="1" outlineLevel="1" x14ac:dyDescent="0.35">
      <c r="B114" s="39" t="str">
        <f>Qualitätsprüfung!O1131</f>
        <v>D.3.1 Personenfläche</v>
      </c>
      <c r="C114" s="18">
        <f>Qualitätsprüfung!H1147</f>
        <v>25</v>
      </c>
      <c r="D114" s="425" t="str">
        <f>IF(ISBLANK(Qualitätsprüfung!H1148),"",Qualitätsprüfung!H1148)</f>
        <v/>
      </c>
      <c r="E114" s="456">
        <f>IF(ISNUMBER(D114),D114,C114)</f>
        <v>25</v>
      </c>
      <c r="F114" s="425">
        <f>Qualitätsprüfung!H1150</f>
        <v>0</v>
      </c>
      <c r="G114" s="31">
        <f>IF(E114=0,"n.B.",(F114/E114))</f>
        <v>0</v>
      </c>
      <c r="H114" s="416"/>
      <c r="I114" s="420" t="str">
        <f t="shared" si="33"/>
        <v>D.3.1 Personenfläche</v>
      </c>
    </row>
    <row r="115" spans="2:9" outlineLevel="1" x14ac:dyDescent="0.35">
      <c r="B115" s="1" t="str">
        <f>Qualitätsprüfung!O1153</f>
        <v>D.3.2 Flexibel nutzbare Raumangebote</v>
      </c>
      <c r="C115" s="38">
        <f>Qualitätsprüfung!H1169</f>
        <v>20</v>
      </c>
      <c r="D115" s="446" t="str">
        <f>IF(ISBLANK(Qualitätsprüfung!H1170),"",Qualitätsprüfung!H1170)</f>
        <v/>
      </c>
      <c r="E115" s="456">
        <f>IF(ISNUMBER(D115),D115,C115)</f>
        <v>20</v>
      </c>
      <c r="F115" s="446">
        <f>Qualitätsprüfung!H1172</f>
        <v>0</v>
      </c>
      <c r="G115" s="31">
        <f t="shared" ref="G115" si="36">IF(E115=0,"n.B.",(F115/E115))</f>
        <v>0</v>
      </c>
      <c r="I115" s="420" t="str">
        <f t="shared" si="33"/>
        <v>D.3.2 Flexibel nutzbare Raumangebote</v>
      </c>
    </row>
    <row r="116" spans="2:9" outlineLevel="1" x14ac:dyDescent="0.35">
      <c r="C116" s="175" t="s">
        <v>7</v>
      </c>
      <c r="D116" s="175" t="s">
        <v>5499</v>
      </c>
      <c r="E116" s="1043" t="s">
        <v>8</v>
      </c>
      <c r="F116" s="418" t="s">
        <v>9</v>
      </c>
      <c r="G116" s="175" t="s">
        <v>10</v>
      </c>
      <c r="H116" s="419" t="s">
        <v>4449</v>
      </c>
      <c r="I116" s="420">
        <f t="shared" si="33"/>
        <v>0</v>
      </c>
    </row>
    <row r="117" spans="2:9" ht="21" x14ac:dyDescent="0.35">
      <c r="B117" s="812" t="s">
        <v>4903</v>
      </c>
      <c r="C117" s="813">
        <f>C118+C122+C126+C130</f>
        <v>145</v>
      </c>
      <c r="D117" s="813">
        <f>D118+D122+D126+D130</f>
        <v>0</v>
      </c>
      <c r="E117" s="813">
        <f>E118+E122+E126+E130</f>
        <v>145</v>
      </c>
      <c r="F117" s="813">
        <f>F118+F122+F126+F130</f>
        <v>0</v>
      </c>
      <c r="G117" s="814">
        <f>F117/E117</f>
        <v>0</v>
      </c>
      <c r="H117" s="815"/>
      <c r="I117" s="420" t="str">
        <f t="shared" si="33"/>
        <v>E. Versorgung</v>
      </c>
    </row>
    <row r="118" spans="2:9" x14ac:dyDescent="0.35">
      <c r="B118" s="447" t="str">
        <f>Qualitätsprüfung!O1178</f>
        <v>E.1 Wärmeversorgung</v>
      </c>
      <c r="C118" s="448">
        <f>SUM(C119:C121)</f>
        <v>35</v>
      </c>
      <c r="D118" s="448">
        <f t="shared" ref="D118:F118" si="37">SUM(D119:D121)</f>
        <v>0</v>
      </c>
      <c r="E118" s="1047">
        <f t="shared" si="37"/>
        <v>35</v>
      </c>
      <c r="F118" s="449">
        <f t="shared" si="37"/>
        <v>0</v>
      </c>
      <c r="G118" s="450">
        <f>IFERROR(F118/E118,0)</f>
        <v>0</v>
      </c>
      <c r="H118" s="451"/>
      <c r="I118" s="420" t="str">
        <f t="shared" si="33"/>
        <v>E.1 Wärmeversorgung</v>
      </c>
    </row>
    <row r="119" spans="2:9" outlineLevel="1" x14ac:dyDescent="0.35">
      <c r="B119" s="39" t="str">
        <f>Qualitätsprüfung!O1181</f>
        <v>E.1.1 Wärme aus EE und vor Ort produziert</v>
      </c>
      <c r="C119" s="18">
        <f>Qualitätsprüfung!H1197</f>
        <v>15</v>
      </c>
      <c r="D119" s="425" t="str">
        <f>IF(ISBLANK(Qualitätsprüfung!H1198),"",Qualitätsprüfung!H1198)</f>
        <v/>
      </c>
      <c r="E119" s="456">
        <f>IF(ISNUMBER(D119),D119,C119)</f>
        <v>15</v>
      </c>
      <c r="F119" s="425">
        <f>Qualitätsprüfung!H1200</f>
        <v>0</v>
      </c>
      <c r="G119" s="31">
        <f>IF(E119=0,"n.B.",(F119/E119))</f>
        <v>0</v>
      </c>
      <c r="I119" s="420" t="str">
        <f t="shared" si="33"/>
        <v>E.1.1 Wärme aus EE und vor Ort produziert</v>
      </c>
    </row>
    <row r="120" spans="2:9" outlineLevel="1" x14ac:dyDescent="0.35">
      <c r="B120" s="1" t="str">
        <f>Qualitätsprüfung!O1203</f>
        <v>E.1.2 Qualität der Wärmeversorgung</v>
      </c>
      <c r="C120" s="38">
        <f>Qualitätsprüfung!H1219</f>
        <v>15</v>
      </c>
      <c r="D120" s="425" t="str">
        <f>IF(ISBLANK(Qualitätsprüfung!H1220),"",Qualitätsprüfung!H1220)</f>
        <v/>
      </c>
      <c r="E120" s="456">
        <f>IF(ISNUMBER(D120),D120,C120)</f>
        <v>15</v>
      </c>
      <c r="F120" s="446">
        <f>Qualitätsprüfung!H1222</f>
        <v>0</v>
      </c>
      <c r="G120" s="31">
        <f t="shared" ref="G120:G121" si="38">IF(E120=0,"n.B.",(F120/E120))</f>
        <v>0</v>
      </c>
      <c r="I120" s="420" t="str">
        <f t="shared" si="33"/>
        <v>E.1.2 Qualität der Wärmeversorgung</v>
      </c>
    </row>
    <row r="121" spans="2:9" outlineLevel="1" x14ac:dyDescent="0.35">
      <c r="B121" s="1" t="str">
        <f>Qualitätsprüfung!O1225</f>
        <v>E.1.3 Qualität der HLK-Planung</v>
      </c>
      <c r="C121" s="38">
        <f>Qualitätsprüfung!H1242</f>
        <v>5</v>
      </c>
      <c r="D121" s="425" t="str">
        <f>IF(ISBLANK(Qualitätsprüfung!H1243),"",Qualitätsprüfung!H1243)</f>
        <v/>
      </c>
      <c r="E121" s="456">
        <f>IF(ISNUMBER(D121),D121,C121)</f>
        <v>5</v>
      </c>
      <c r="F121" s="1673">
        <f>Qualitätsprüfung!H1245</f>
        <v>0</v>
      </c>
      <c r="G121" s="31">
        <f t="shared" si="38"/>
        <v>0</v>
      </c>
      <c r="I121" s="420" t="str">
        <f t="shared" si="33"/>
        <v>E.1.3 Qualität der HLK-Planung</v>
      </c>
    </row>
    <row r="122" spans="2:9" x14ac:dyDescent="0.35">
      <c r="B122" s="447" t="str">
        <f>Qualitätsprüfung!O1248</f>
        <v>E.2 Stromversorgung</v>
      </c>
      <c r="C122" s="448">
        <f>SUM(C123:C125)</f>
        <v>45</v>
      </c>
      <c r="D122" s="448">
        <f t="shared" ref="D122:F122" si="39">SUM(D123:D125)</f>
        <v>0</v>
      </c>
      <c r="E122" s="1047">
        <f t="shared" si="39"/>
        <v>45</v>
      </c>
      <c r="F122" s="449">
        <f t="shared" si="39"/>
        <v>0</v>
      </c>
      <c r="G122" s="450">
        <f>IFERROR(F122/E122,0)</f>
        <v>0</v>
      </c>
      <c r="H122" s="451"/>
      <c r="I122" s="420" t="str">
        <f t="shared" si="33"/>
        <v>E.2 Stromversorgung</v>
      </c>
    </row>
    <row r="123" spans="2:9" outlineLevel="1" x14ac:dyDescent="0.35">
      <c r="B123" s="1" t="str">
        <f>Qualitätsprüfung!O1251</f>
        <v>E.2.1 Strom aus EE und vor Ort produziert</v>
      </c>
      <c r="C123" s="38">
        <f>Qualitätsprüfung!H1267</f>
        <v>20</v>
      </c>
      <c r="D123" s="425" t="str">
        <f>IF(ISBLANK(Qualitätsprüfung!H1268),"",Qualitätsprüfung!H1268)</f>
        <v/>
      </c>
      <c r="E123" s="456">
        <f>IF(ISNUMBER(D123),D123,C123)</f>
        <v>20</v>
      </c>
      <c r="F123" s="446">
        <f>Qualitätsprüfung!H1270</f>
        <v>0</v>
      </c>
      <c r="G123" s="31">
        <f>IF(E123=0,"n.B.",(F123/E123))</f>
        <v>0</v>
      </c>
      <c r="I123" s="420" t="str">
        <f t="shared" si="33"/>
        <v>E.2.1 Strom aus EE und vor Ort produziert</v>
      </c>
    </row>
    <row r="124" spans="2:9" outlineLevel="1" x14ac:dyDescent="0.35">
      <c r="B124" s="1" t="str">
        <f>Qualitätsprüfung!O1273</f>
        <v>E.2.2 Qualität der Stromversorgung</v>
      </c>
      <c r="C124" s="38">
        <f>Qualitätsprüfung!H1289</f>
        <v>20</v>
      </c>
      <c r="D124" s="425" t="str">
        <f>IF(ISBLANK(Qualitätsprüfung!H1290),"",Qualitätsprüfung!H1290)</f>
        <v/>
      </c>
      <c r="E124" s="456">
        <f>IF(ISNUMBER(D124),D124,C124)</f>
        <v>20</v>
      </c>
      <c r="F124" s="446">
        <f>Qualitätsprüfung!H1292</f>
        <v>0</v>
      </c>
      <c r="G124" s="31">
        <f t="shared" ref="G124:G125" si="40">IF(E124=0,"n.B.",(F124/E124))</f>
        <v>0</v>
      </c>
      <c r="I124" s="420" t="str">
        <f t="shared" si="33"/>
        <v>E.2.2 Qualität der Stromversorgung</v>
      </c>
    </row>
    <row r="125" spans="2:9" outlineLevel="1" x14ac:dyDescent="0.35">
      <c r="B125" s="1" t="str">
        <f>Qualitätsprüfung!O1295</f>
        <v>E.2.3 Qualität der Elektroplanung</v>
      </c>
      <c r="C125" s="38">
        <f>Qualitätsprüfung!H1311</f>
        <v>5</v>
      </c>
      <c r="D125" s="425" t="str">
        <f>IF(ISBLANK(Qualitätsprüfung!H1312),"",Qualitätsprüfung!H1312)</f>
        <v/>
      </c>
      <c r="E125" s="456">
        <f>IF(ISNUMBER(D125),D125,C125)</f>
        <v>5</v>
      </c>
      <c r="F125" s="1673">
        <f>Qualitätsprüfung!H1314</f>
        <v>0</v>
      </c>
      <c r="G125" s="31">
        <f t="shared" si="40"/>
        <v>0</v>
      </c>
      <c r="I125" s="420" t="str">
        <f t="shared" si="33"/>
        <v>E.2.3 Qualität der Elektroplanung</v>
      </c>
    </row>
    <row r="126" spans="2:9" x14ac:dyDescent="0.35">
      <c r="B126" s="447" t="str">
        <f>Qualitätsprüfung!O1317</f>
        <v>E.3 Effizienz der Wassernutzung</v>
      </c>
      <c r="C126" s="448">
        <f>SUM(C127:C129)</f>
        <v>35</v>
      </c>
      <c r="D126" s="448">
        <f t="shared" ref="D126:F126" si="41">SUM(D127:D129)</f>
        <v>0</v>
      </c>
      <c r="E126" s="1047">
        <f t="shared" si="41"/>
        <v>35</v>
      </c>
      <c r="F126" s="449">
        <f t="shared" si="41"/>
        <v>0</v>
      </c>
      <c r="G126" s="450">
        <f>IFERROR(F126/E126,0)</f>
        <v>0</v>
      </c>
      <c r="H126" s="451"/>
      <c r="I126" s="420" t="str">
        <f t="shared" si="33"/>
        <v>E.3 Effizienz der Wassernutzung</v>
      </c>
    </row>
    <row r="127" spans="2:9" outlineLevel="1" x14ac:dyDescent="0.35">
      <c r="B127" s="1" t="str">
        <f>Qualitätsprüfung!O1320</f>
        <v>E.3.1 Wassernutzung Haushalte</v>
      </c>
      <c r="C127" s="38">
        <f>Qualitätsprüfung!H1336</f>
        <v>15</v>
      </c>
      <c r="D127" s="425" t="str">
        <f>IF(ISBLANK(Qualitätsprüfung!H1337),"",Qualitätsprüfung!H1337)</f>
        <v/>
      </c>
      <c r="E127" s="456">
        <f>IF(ISNUMBER(D127),D127,C127)</f>
        <v>15</v>
      </c>
      <c r="F127" s="446">
        <f>Qualitätsprüfung!H1339</f>
        <v>0</v>
      </c>
      <c r="G127" s="31">
        <f>IF(E127=0,"n.B.",(F127/E127))</f>
        <v>0</v>
      </c>
      <c r="I127" s="420" t="str">
        <f t="shared" si="33"/>
        <v>E.3.1 Wassernutzung Haushalte</v>
      </c>
    </row>
    <row r="128" spans="2:9" outlineLevel="1" x14ac:dyDescent="0.35">
      <c r="B128" s="1" t="str">
        <f>Qualitätsprüfung!O1342</f>
        <v>E.3.2 Wassernutzung Außenraum *</v>
      </c>
      <c r="C128" s="38">
        <f>Qualitätsprüfung!H1358</f>
        <v>10</v>
      </c>
      <c r="D128" s="425" t="str">
        <f>IF(ISBLANK(Qualitätsprüfung!H1359),"",Qualitätsprüfung!H1359)</f>
        <v/>
      </c>
      <c r="E128" s="456">
        <f>IF(ISNUMBER(D128),D128,C128)</f>
        <v>10</v>
      </c>
      <c r="F128" s="446">
        <f>Qualitätsprüfung!H1361</f>
        <v>0</v>
      </c>
      <c r="G128" s="31">
        <f t="shared" ref="G128:G129" si="42">IF(E128=0,"n.B.",(F128/E128))</f>
        <v>0</v>
      </c>
      <c r="I128" s="420" t="str">
        <f t="shared" si="33"/>
        <v>E.3.2 Wassernutzung Außenraum *</v>
      </c>
    </row>
    <row r="129" spans="2:9" outlineLevel="1" x14ac:dyDescent="0.35">
      <c r="B129" s="1" t="str">
        <f>Qualitätsprüfung!O1364</f>
        <v>E.3.3 Wassernutzung Dienstleistungsgebäude *</v>
      </c>
      <c r="C129" s="38">
        <f>Qualitätsprüfung!H1380</f>
        <v>10</v>
      </c>
      <c r="D129" s="425" t="str">
        <f>IF(ISBLANK(Qualitätsprüfung!H1381),"",Qualitätsprüfung!H1381)</f>
        <v/>
      </c>
      <c r="E129" s="456">
        <f>IF(ISNUMBER(D129),D129,C129)</f>
        <v>10</v>
      </c>
      <c r="F129" s="446">
        <f>Qualitätsprüfung!H1383</f>
        <v>0</v>
      </c>
      <c r="G129" s="31">
        <f t="shared" si="42"/>
        <v>0</v>
      </c>
      <c r="I129" s="420" t="str">
        <f t="shared" si="33"/>
        <v>E.3.3 Wassernutzung Dienstleistungsgebäude *</v>
      </c>
    </row>
    <row r="130" spans="2:9" x14ac:dyDescent="0.35">
      <c r="B130" s="447" t="str">
        <f>Qualitätsprüfung!O1386</f>
        <v>E.4 Abfallvermeidung</v>
      </c>
      <c r="C130" s="448">
        <f>SUM(C131:C132)</f>
        <v>30</v>
      </c>
      <c r="D130" s="448">
        <f t="shared" ref="D130:F130" si="43">SUM(D131:D132)</f>
        <v>0</v>
      </c>
      <c r="E130" s="1047">
        <f t="shared" si="43"/>
        <v>30</v>
      </c>
      <c r="F130" s="449">
        <f t="shared" si="43"/>
        <v>0</v>
      </c>
      <c r="G130" s="450">
        <f>IFERROR(F130/E130,0)</f>
        <v>0</v>
      </c>
      <c r="H130" s="451"/>
      <c r="I130" s="420" t="str">
        <f t="shared" si="33"/>
        <v>E.4 Abfallvermeidung</v>
      </c>
    </row>
    <row r="131" spans="2:9" outlineLevel="1" x14ac:dyDescent="0.35">
      <c r="B131" s="1" t="str">
        <f>Qualitätsprüfung!O1389</f>
        <v>E.4.1 Vermeidung von gemischten Siedlungsabfällen</v>
      </c>
      <c r="C131" s="38">
        <f>Qualitätsprüfung!H1405</f>
        <v>15</v>
      </c>
      <c r="D131" s="425" t="str">
        <f>IF(ISBLANK(Qualitätsprüfung!H1406),"",Qualitätsprüfung!H1406)</f>
        <v/>
      </c>
      <c r="E131" s="456">
        <f>IF(ISNUMBER(D131),D131,C131)</f>
        <v>15</v>
      </c>
      <c r="F131" s="446">
        <f>Qualitätsprüfung!H1408</f>
        <v>0</v>
      </c>
      <c r="G131" s="31">
        <f>IF(E131=0,"n.B.",(F131/E131))</f>
        <v>0</v>
      </c>
      <c r="I131" s="420" t="str">
        <f t="shared" si="33"/>
        <v>E.4.1 Vermeidung von gemischten Siedlungsabfällen</v>
      </c>
    </row>
    <row r="132" spans="2:9" outlineLevel="1" x14ac:dyDescent="0.35">
      <c r="B132" s="1" t="str">
        <f>Qualitätsprüfung!O1411</f>
        <v>E.4.2 Vermeidung von nicht gemischten Siedlungsabfällen</v>
      </c>
      <c r="C132" s="38">
        <f>Qualitätsprüfung!H1427</f>
        <v>15</v>
      </c>
      <c r="D132" s="425" t="str">
        <f>IF(ISBLANK(Qualitätsprüfung!H1428),"",Qualitätsprüfung!H1428)</f>
        <v/>
      </c>
      <c r="E132" s="456">
        <f>IF(ISNUMBER(D132),D132,C132)</f>
        <v>15</v>
      </c>
      <c r="F132" s="446">
        <f>Qualitätsprüfung!H1430</f>
        <v>0</v>
      </c>
      <c r="G132" s="31">
        <f t="shared" ref="G132" si="44">IF(E132=0,"n.B.",(F132/E132))</f>
        <v>0</v>
      </c>
      <c r="I132" s="420" t="str">
        <f t="shared" si="33"/>
        <v>E.4.2 Vermeidung von nicht gemischten Siedlungsabfällen</v>
      </c>
    </row>
    <row r="133" spans="2:9" outlineLevel="1" x14ac:dyDescent="0.35">
      <c r="C133" s="175" t="s">
        <v>7</v>
      </c>
      <c r="D133" s="175" t="s">
        <v>5499</v>
      </c>
      <c r="E133" s="1043" t="s">
        <v>8</v>
      </c>
      <c r="F133" s="418" t="s">
        <v>9</v>
      </c>
      <c r="G133" s="175" t="s">
        <v>10</v>
      </c>
      <c r="H133" s="419" t="s">
        <v>4449</v>
      </c>
      <c r="I133" s="420">
        <f t="shared" si="33"/>
        <v>0</v>
      </c>
    </row>
    <row r="134" spans="2:9" ht="21" x14ac:dyDescent="0.35">
      <c r="B134" s="808" t="s">
        <v>4904</v>
      </c>
      <c r="C134" s="809">
        <f>C135+C139+C143</f>
        <v>205</v>
      </c>
      <c r="D134" s="809">
        <f t="shared" ref="D134:F134" si="45">D135+D139+D143</f>
        <v>0</v>
      </c>
      <c r="E134" s="809">
        <f t="shared" si="45"/>
        <v>205</v>
      </c>
      <c r="F134" s="809">
        <f t="shared" si="45"/>
        <v>0</v>
      </c>
      <c r="G134" s="810">
        <f>F134/E134</f>
        <v>0</v>
      </c>
      <c r="H134" s="811"/>
      <c r="I134" s="420" t="str">
        <f t="shared" si="33"/>
        <v>F. Mobilität</v>
      </c>
    </row>
    <row r="135" spans="2:9" x14ac:dyDescent="0.35">
      <c r="B135" s="452" t="str">
        <f>Qualitätsprüfung!O1436</f>
        <v>F.1 Motorisierter Individualverkehr</v>
      </c>
      <c r="C135" s="453">
        <f>SUM(C136:C138)</f>
        <v>26</v>
      </c>
      <c r="D135" s="453">
        <f>SUM(D136:D138)</f>
        <v>0</v>
      </c>
      <c r="E135" s="454">
        <f>SUM(E136:E138)</f>
        <v>26</v>
      </c>
      <c r="F135" s="454">
        <f>SUM(F136:F138)</f>
        <v>0</v>
      </c>
      <c r="G135" s="1573">
        <f>IFERROR(F135/E135,0)</f>
        <v>0</v>
      </c>
      <c r="H135" s="455"/>
      <c r="I135" s="420" t="str">
        <f t="shared" si="33"/>
        <v>F.1 Motorisierter Individualverkehr</v>
      </c>
    </row>
    <row r="136" spans="2:9" outlineLevel="1" x14ac:dyDescent="0.35">
      <c r="B136" s="39" t="str">
        <f>Qualitätsprüfung!O1439</f>
        <v>F.1.1 Abstellanlagen für Pkw</v>
      </c>
      <c r="C136" s="18">
        <f>Qualitätsprüfung!H1455</f>
        <v>17</v>
      </c>
      <c r="D136" s="425" t="str">
        <f>IF(ISBLANK(Qualitätsprüfung!H1456),"",Qualitätsprüfung!H1456)</f>
        <v/>
      </c>
      <c r="E136" s="456">
        <f>IF(ISNUMBER(D136),D136,C136)</f>
        <v>17</v>
      </c>
      <c r="F136" s="456">
        <f>Qualitätsprüfung!H1458</f>
        <v>0</v>
      </c>
      <c r="G136" s="1574">
        <f>IF(E136=0,"n.B.",(F136/E136))</f>
        <v>0</v>
      </c>
      <c r="I136" s="420" t="str">
        <f t="shared" si="33"/>
        <v>F.1.1 Abstellanlagen für Pkw</v>
      </c>
    </row>
    <row r="137" spans="2:9" outlineLevel="1" x14ac:dyDescent="0.35">
      <c r="B137" s="1" t="str">
        <f>Qualitätsprüfung!O1461</f>
        <v>F.1.2 Parkplatzbewirtschaftung *</v>
      </c>
      <c r="C137" s="38">
        <f>Qualitätsprüfung!H1477</f>
        <v>7</v>
      </c>
      <c r="D137" s="425" t="str">
        <f>IF(ISBLANK(Qualitätsprüfung!H1478),"",Qualitätsprüfung!H1478)</f>
        <v/>
      </c>
      <c r="E137" s="456">
        <f>IF(ISNUMBER(D137),D137,C137)</f>
        <v>7</v>
      </c>
      <c r="F137" s="1674">
        <f>Qualitätsprüfung!H1480</f>
        <v>0</v>
      </c>
      <c r="G137" s="1574">
        <f t="shared" ref="G137" si="46">IF(E137=0,"n.B.",(F137/E137))</f>
        <v>0</v>
      </c>
      <c r="I137" s="420" t="str">
        <f t="shared" si="33"/>
        <v>F.1.2 Parkplatzbewirtschaftung *</v>
      </c>
    </row>
    <row r="138" spans="2:9" outlineLevel="1" x14ac:dyDescent="0.35">
      <c r="B138" s="1" t="str">
        <f>Qualitätsprüfung!O1483</f>
        <v>F.1.3 Gebühren / Mietpreise *</v>
      </c>
      <c r="C138" s="38">
        <f>Qualitätsprüfung!H1499</f>
        <v>2</v>
      </c>
      <c r="D138" s="425" t="str">
        <f>IF(ISBLANK(Qualitätsprüfung!H1500),"",Qualitätsprüfung!H1500)</f>
        <v/>
      </c>
      <c r="E138" s="456">
        <f>IF(ISNUMBER(D138),D138,C138)</f>
        <v>2</v>
      </c>
      <c r="F138" s="1674">
        <f>Qualitätsprüfung!H1502</f>
        <v>0</v>
      </c>
      <c r="G138" s="1574">
        <f>IF(E138=0,"n.B.",(F138/E138))</f>
        <v>0</v>
      </c>
      <c r="I138" s="420" t="str">
        <f t="shared" si="33"/>
        <v>F.1.3 Gebühren / Mietpreise *</v>
      </c>
    </row>
    <row r="139" spans="2:9" x14ac:dyDescent="0.35">
      <c r="B139" s="452" t="str">
        <f>Qualitätsprüfung!O1505</f>
        <v>F.2 Fuß- und Radverkehr</v>
      </c>
      <c r="C139" s="453">
        <f>SUM(C140:C142)</f>
        <v>96</v>
      </c>
      <c r="D139" s="453">
        <f t="shared" ref="D139:F139" si="47">SUM(D140:D142)</f>
        <v>0</v>
      </c>
      <c r="E139" s="454">
        <f t="shared" si="47"/>
        <v>96</v>
      </c>
      <c r="F139" s="454">
        <f t="shared" si="47"/>
        <v>0</v>
      </c>
      <c r="G139" s="1573">
        <f>IFERROR(F139/E139,0)</f>
        <v>0</v>
      </c>
      <c r="H139" s="455"/>
      <c r="I139" s="420" t="str">
        <f t="shared" ref="I139:I145" si="48">B139</f>
        <v>F.2 Fuß- und Radverkehr</v>
      </c>
    </row>
    <row r="140" spans="2:9" outlineLevel="1" x14ac:dyDescent="0.35">
      <c r="B140" s="1" t="str">
        <f>Qualitätsprüfung!O1508</f>
        <v>F.2.1 Abstellanlagen für Fahrräder</v>
      </c>
      <c r="C140" s="38">
        <f>Qualitätsprüfung!H1524</f>
        <v>17</v>
      </c>
      <c r="D140" s="425" t="str">
        <f>IF(ISBLANK(Qualitätsprüfung!H1525),"",Qualitätsprüfung!H1525)</f>
        <v/>
      </c>
      <c r="E140" s="456">
        <f>IF(ISNUMBER(D140),D140,C140)</f>
        <v>17</v>
      </c>
      <c r="F140" s="365">
        <f>Qualitätsprüfung!H1527</f>
        <v>0</v>
      </c>
      <c r="G140" s="1574">
        <f>IF(E140=0,"n.B.",(F140/E140))</f>
        <v>0</v>
      </c>
      <c r="I140" s="420" t="str">
        <f t="shared" si="48"/>
        <v>F.2.1 Abstellanlagen für Fahrräder</v>
      </c>
    </row>
    <row r="141" spans="2:9" outlineLevel="1" x14ac:dyDescent="0.35">
      <c r="B141" s="1" t="str">
        <f>Qualitätsprüfung!O1530</f>
        <v>F.2.2 Fuß- und Radwegnetz</v>
      </c>
      <c r="C141" s="38">
        <f>Qualitätsprüfung!H1546</f>
        <v>27</v>
      </c>
      <c r="D141" s="425" t="str">
        <f>IF(ISBLANK(Qualitätsprüfung!H1547),"",Qualitätsprüfung!H1547)</f>
        <v/>
      </c>
      <c r="E141" s="456">
        <f>IF(ISNUMBER(D141),D141,C141)</f>
        <v>27</v>
      </c>
      <c r="F141" s="456">
        <f>Qualitätsprüfung!H1549</f>
        <v>0</v>
      </c>
      <c r="G141" s="1574">
        <f t="shared" ref="G141:G142" si="49">IF(E141=0,"n.B.",(F141/E141))</f>
        <v>0</v>
      </c>
      <c r="I141" s="420" t="str">
        <f t="shared" si="48"/>
        <v>F.2.2 Fuß- und Radwegnetz</v>
      </c>
    </row>
    <row r="142" spans="2:9" outlineLevel="1" x14ac:dyDescent="0.35">
      <c r="B142" s="1" t="str">
        <f>Qualitätsprüfung!O1552</f>
        <v>F.2.3 Gestaltung und Barrierefreiheit</v>
      </c>
      <c r="C142" s="38">
        <f>Qualitätsprüfung!H1568</f>
        <v>52</v>
      </c>
      <c r="D142" s="425" t="str">
        <f>IF(ISBLANK(Qualitätsprüfung!H1569),"",Qualitätsprüfung!H1569)</f>
        <v/>
      </c>
      <c r="E142" s="456">
        <f>IF(ISNUMBER(D142),D142,C142)</f>
        <v>52</v>
      </c>
      <c r="F142" s="456">
        <f>Qualitätsprüfung!H1571</f>
        <v>0</v>
      </c>
      <c r="G142" s="1574">
        <f t="shared" si="49"/>
        <v>0</v>
      </c>
      <c r="I142" s="420" t="str">
        <f t="shared" si="48"/>
        <v>F.2.3 Gestaltung und Barrierefreiheit</v>
      </c>
    </row>
    <row r="143" spans="2:9" x14ac:dyDescent="0.35">
      <c r="B143" s="452" t="str">
        <f>Qualitätsprüfung!O1574</f>
        <v>F.3 ÖV-Angebote und alternative Angebote</v>
      </c>
      <c r="C143" s="453">
        <f>SUM(C144:C145)</f>
        <v>83</v>
      </c>
      <c r="D143" s="453">
        <f t="shared" ref="D143:F143" si="50">SUM(D144:D145)</f>
        <v>0</v>
      </c>
      <c r="E143" s="454">
        <f t="shared" si="50"/>
        <v>83</v>
      </c>
      <c r="F143" s="454">
        <f t="shared" si="50"/>
        <v>0</v>
      </c>
      <c r="G143" s="1573">
        <f>IFERROR(F143/E143,0)</f>
        <v>0</v>
      </c>
      <c r="H143" s="455"/>
      <c r="I143" s="420" t="str">
        <f t="shared" si="48"/>
        <v>F.3 ÖV-Angebote und alternative Angebote</v>
      </c>
    </row>
    <row r="144" spans="2:9" outlineLevel="1" x14ac:dyDescent="0.35">
      <c r="B144" s="1" t="str">
        <f>Qualitätsprüfung!O1577</f>
        <v>F.3.1 Angebote an öffentlichen Verkehrsmittel</v>
      </c>
      <c r="C144" s="38">
        <f>Qualitätsprüfung!H1593</f>
        <v>46</v>
      </c>
      <c r="D144" s="425" t="str">
        <f>IF(ISBLANK(Qualitätsprüfung!H1594),"",Qualitätsprüfung!H1594)</f>
        <v/>
      </c>
      <c r="E144" s="456">
        <f>IF(ISNUMBER(D144),D144,C144)</f>
        <v>46</v>
      </c>
      <c r="F144" s="446">
        <f>Qualitätsprüfung!H1596</f>
        <v>0</v>
      </c>
      <c r="G144" s="1574">
        <f>IF(E144=0,"n.B.",(F144/E144))</f>
        <v>0</v>
      </c>
      <c r="I144" s="420" t="str">
        <f t="shared" si="48"/>
        <v>F.3.1 Angebote an öffentlichen Verkehrsmittel</v>
      </c>
    </row>
    <row r="145" spans="2:9" outlineLevel="1" x14ac:dyDescent="0.35">
      <c r="B145" s="1" t="str">
        <f>Qualitätsprüfung!O1599</f>
        <v>F.3.2 Alternative Mobilitätsangebote</v>
      </c>
      <c r="C145" s="38">
        <f>Qualitätsprüfung!H1616</f>
        <v>37</v>
      </c>
      <c r="D145" s="425" t="str">
        <f>IF(ISBLANK(Qualitätsprüfung!H1617),"",Qualitätsprüfung!H1617)</f>
        <v/>
      </c>
      <c r="E145" s="456">
        <f>IF(ISNUMBER(D145),D145,C145)</f>
        <v>37</v>
      </c>
      <c r="F145" s="446">
        <f>Qualitätsprüfung!H1619</f>
        <v>0</v>
      </c>
      <c r="G145" s="1574">
        <f>IF(E145=0,"n.B.",(F145/E145))</f>
        <v>0</v>
      </c>
      <c r="I145" s="420" t="str">
        <f t="shared" si="48"/>
        <v>F.3.2 Alternative Mobilitätsangebote</v>
      </c>
    </row>
    <row r="147" spans="2:9" x14ac:dyDescent="0.35">
      <c r="B147" s="1026" t="s">
        <v>5373</v>
      </c>
      <c r="G147" s="1006"/>
    </row>
    <row r="148" spans="2:9" x14ac:dyDescent="0.35">
      <c r="B148" s="1026"/>
      <c r="G148" s="1006"/>
    </row>
    <row r="151" spans="2:9" ht="21" x14ac:dyDescent="0.5">
      <c r="B151" s="953" t="s">
        <v>4624</v>
      </c>
    </row>
    <row r="152" spans="2:9" x14ac:dyDescent="0.35">
      <c r="B152" s="292" t="s">
        <v>5233</v>
      </c>
      <c r="C152" s="303" t="s">
        <v>4372</v>
      </c>
      <c r="D152" s="303"/>
      <c r="E152" s="303" t="s">
        <v>5234</v>
      </c>
    </row>
    <row r="153" spans="2:9" ht="29" x14ac:dyDescent="0.35">
      <c r="B153" s="647" t="s">
        <v>5227</v>
      </c>
      <c r="C153" s="1671">
        <f>Qualitätsprüfung!H77</f>
        <v>0</v>
      </c>
      <c r="D153" s="761"/>
      <c r="E153" s="761"/>
    </row>
    <row r="154" spans="2:9" ht="43.5" x14ac:dyDescent="0.35">
      <c r="B154" s="647" t="s">
        <v>5228</v>
      </c>
      <c r="C154" s="1671">
        <f>Qualitätsprüfung!H557</f>
        <v>0</v>
      </c>
      <c r="D154" s="761"/>
      <c r="E154" s="761"/>
    </row>
    <row r="155" spans="2:9" x14ac:dyDescent="0.35">
      <c r="B155" s="647" t="s">
        <v>5229</v>
      </c>
      <c r="C155" s="1671">
        <f>Qualitätsprüfung!R736</f>
        <v>0</v>
      </c>
      <c r="D155" s="761"/>
      <c r="E155" s="1670" t="e">
        <f>Eckdaten!C23</f>
        <v>#DIV/0!</v>
      </c>
    </row>
    <row r="156" spans="2:9" x14ac:dyDescent="0.35">
      <c r="B156" s="647" t="s">
        <v>5230</v>
      </c>
      <c r="C156" s="1671">
        <f>Qualitätsprüfung!H1121</f>
        <v>0</v>
      </c>
      <c r="D156" s="761"/>
      <c r="E156" s="761"/>
    </row>
    <row r="157" spans="2:9" ht="29" x14ac:dyDescent="0.35">
      <c r="B157" s="647" t="s">
        <v>5231</v>
      </c>
      <c r="C157" s="1671">
        <f>Qualitätsprüfung!H1254</f>
        <v>0</v>
      </c>
      <c r="D157" s="761"/>
      <c r="E157" s="952">
        <f>'RH Wärme-Strom'!C155</f>
        <v>0</v>
      </c>
    </row>
    <row r="158" spans="2:9" ht="29" x14ac:dyDescent="0.35">
      <c r="B158" s="647" t="s">
        <v>5232</v>
      </c>
      <c r="C158" s="1672">
        <f>Qualitätsprüfung!H1580</f>
        <v>0</v>
      </c>
      <c r="D158" s="761"/>
      <c r="E158" s="1007" t="str">
        <f>Qualitätsprüfung!F1580</f>
        <v>G - Basiserschließung</v>
      </c>
    </row>
    <row r="159" spans="2:9" x14ac:dyDescent="0.35">
      <c r="B159" s="39"/>
      <c r="C159" s="18"/>
    </row>
    <row r="160" spans="2:9" x14ac:dyDescent="0.35">
      <c r="B160" s="428"/>
      <c r="C160" s="175"/>
    </row>
    <row r="161" spans="2:3" x14ac:dyDescent="0.35">
      <c r="B161" s="39"/>
      <c r="C161" s="18"/>
    </row>
    <row r="162" spans="2:3" x14ac:dyDescent="0.35">
      <c r="B162" s="428"/>
      <c r="C162" s="18"/>
    </row>
    <row r="163" spans="2:3" x14ac:dyDescent="0.35">
      <c r="B163" s="39"/>
      <c r="C163" s="18"/>
    </row>
    <row r="164" spans="2:3" x14ac:dyDescent="0.35">
      <c r="B164" s="39"/>
      <c r="C164" s="18"/>
    </row>
    <row r="165" spans="2:3" x14ac:dyDescent="0.35">
      <c r="B165" s="39"/>
      <c r="C165" s="18"/>
    </row>
    <row r="166" spans="2:3" x14ac:dyDescent="0.35">
      <c r="B166" s="428"/>
      <c r="C166" s="175"/>
    </row>
    <row r="167" spans="2:3" x14ac:dyDescent="0.35">
      <c r="B167" s="39"/>
      <c r="C167" s="18"/>
    </row>
    <row r="168" spans="2:3" x14ac:dyDescent="0.35">
      <c r="B168" s="39"/>
      <c r="C168" s="18"/>
    </row>
    <row r="169" spans="2:3" x14ac:dyDescent="0.35">
      <c r="B169" s="39"/>
      <c r="C169" s="18"/>
    </row>
    <row r="170" spans="2:3" x14ac:dyDescent="0.35">
      <c r="B170" s="39"/>
      <c r="C170" s="18"/>
    </row>
    <row r="171" spans="2:3" x14ac:dyDescent="0.35">
      <c r="B171" s="39"/>
      <c r="C171" s="18"/>
    </row>
    <row r="172" spans="2:3" x14ac:dyDescent="0.35">
      <c r="B172" s="428"/>
      <c r="C172" s="175"/>
    </row>
    <row r="173" spans="2:3" x14ac:dyDescent="0.35">
      <c r="B173" s="39"/>
      <c r="C173" s="18"/>
    </row>
    <row r="174" spans="2:3" x14ac:dyDescent="0.35">
      <c r="B174" s="39"/>
      <c r="C174" s="18"/>
    </row>
    <row r="175" spans="2:3" x14ac:dyDescent="0.35">
      <c r="B175" s="39"/>
      <c r="C175" s="18"/>
    </row>
    <row r="176" spans="2:3" x14ac:dyDescent="0.35">
      <c r="B176" s="428"/>
      <c r="C176" s="175"/>
    </row>
    <row r="177" spans="2:3" x14ac:dyDescent="0.35">
      <c r="B177" s="39"/>
      <c r="C177" s="18"/>
    </row>
    <row r="178" spans="2:3" x14ac:dyDescent="0.35">
      <c r="B178" s="39"/>
      <c r="C178" s="18"/>
    </row>
    <row r="179" spans="2:3" x14ac:dyDescent="0.35">
      <c r="B179" s="39"/>
      <c r="C179" s="18"/>
    </row>
    <row r="180" spans="2:3" x14ac:dyDescent="0.35">
      <c r="B180" s="39"/>
      <c r="C180" s="18"/>
    </row>
    <row r="181" spans="2:3" ht="21" x14ac:dyDescent="0.35">
      <c r="B181" s="457"/>
      <c r="C181" s="458"/>
    </row>
    <row r="182" spans="2:3" x14ac:dyDescent="0.35">
      <c r="B182" s="459"/>
      <c r="C182" s="175"/>
    </row>
    <row r="183" spans="2:3" x14ac:dyDescent="0.35">
      <c r="B183" s="428"/>
      <c r="C183" s="175"/>
    </row>
    <row r="184" spans="2:3" x14ac:dyDescent="0.35">
      <c r="B184" s="39"/>
      <c r="C184" s="18"/>
    </row>
    <row r="185" spans="2:3" x14ac:dyDescent="0.35">
      <c r="B185" s="39"/>
      <c r="C185" s="18"/>
    </row>
    <row r="186" spans="2:3" x14ac:dyDescent="0.35">
      <c r="B186" s="39"/>
      <c r="C186" s="18"/>
    </row>
    <row r="187" spans="2:3" x14ac:dyDescent="0.35">
      <c r="B187" s="39"/>
      <c r="C187" s="18"/>
    </row>
    <row r="188" spans="2:3" x14ac:dyDescent="0.35">
      <c r="B188" s="39"/>
      <c r="C188" s="18"/>
    </row>
    <row r="189" spans="2:3" x14ac:dyDescent="0.35">
      <c r="B189" s="428"/>
      <c r="C189" s="175"/>
    </row>
    <row r="190" spans="2:3" x14ac:dyDescent="0.35">
      <c r="B190" s="39"/>
      <c r="C190" s="18"/>
    </row>
    <row r="191" spans="2:3" x14ac:dyDescent="0.35">
      <c r="B191" s="39"/>
      <c r="C191" s="18"/>
    </row>
    <row r="192" spans="2:3" x14ac:dyDescent="0.35">
      <c r="B192" s="428"/>
      <c r="C192" s="175"/>
    </row>
    <row r="193" spans="2:3" x14ac:dyDescent="0.35">
      <c r="B193" s="39"/>
      <c r="C193" s="18"/>
    </row>
    <row r="194" spans="2:3" x14ac:dyDescent="0.35">
      <c r="B194" s="39"/>
      <c r="C194" s="18"/>
    </row>
    <row r="195" spans="2:3" ht="21" x14ac:dyDescent="0.35">
      <c r="B195" s="457"/>
      <c r="C195" s="458"/>
    </row>
    <row r="196" spans="2:3" x14ac:dyDescent="0.35">
      <c r="B196" s="459"/>
      <c r="C196" s="175"/>
    </row>
    <row r="197" spans="2:3" x14ac:dyDescent="0.35">
      <c r="B197" s="428"/>
      <c r="C197" s="175"/>
    </row>
    <row r="198" spans="2:3" x14ac:dyDescent="0.35">
      <c r="B198" s="39"/>
      <c r="C198" s="18"/>
    </row>
    <row r="199" spans="2:3" x14ac:dyDescent="0.35">
      <c r="B199" s="39"/>
      <c r="C199" s="18"/>
    </row>
    <row r="200" spans="2:3" x14ac:dyDescent="0.35">
      <c r="B200" s="39"/>
      <c r="C200" s="18"/>
    </row>
    <row r="201" spans="2:3" x14ac:dyDescent="0.35">
      <c r="B201" s="39"/>
      <c r="C201" s="18"/>
    </row>
    <row r="202" spans="2:3" x14ac:dyDescent="0.35">
      <c r="B202" s="428"/>
      <c r="C202" s="175"/>
    </row>
    <row r="203" spans="2:3" x14ac:dyDescent="0.35">
      <c r="B203" s="39"/>
      <c r="C203" s="18"/>
    </row>
    <row r="204" spans="2:3" x14ac:dyDescent="0.35">
      <c r="B204" s="39"/>
      <c r="C204" s="18"/>
    </row>
    <row r="205" spans="2:3" x14ac:dyDescent="0.35">
      <c r="B205" s="39"/>
      <c r="C205" s="18"/>
    </row>
    <row r="206" spans="2:3" x14ac:dyDescent="0.35">
      <c r="B206" s="428"/>
      <c r="C206" s="175"/>
    </row>
    <row r="207" spans="2:3" x14ac:dyDescent="0.35">
      <c r="B207" s="39"/>
      <c r="C207" s="18"/>
    </row>
    <row r="208" spans="2:3" x14ac:dyDescent="0.35">
      <c r="B208" s="39"/>
      <c r="C208" s="18"/>
    </row>
    <row r="209" spans="2:3" x14ac:dyDescent="0.35">
      <c r="B209" s="39"/>
      <c r="C209" s="18"/>
    </row>
    <row r="210" spans="2:3" x14ac:dyDescent="0.35">
      <c r="B210" s="39"/>
      <c r="C210" s="18"/>
    </row>
    <row r="211" spans="2:3" x14ac:dyDescent="0.35">
      <c r="B211" s="428"/>
      <c r="C211" s="175"/>
    </row>
    <row r="212" spans="2:3" x14ac:dyDescent="0.35">
      <c r="B212" s="39"/>
      <c r="C212" s="18"/>
    </row>
    <row r="213" spans="2:3" x14ac:dyDescent="0.35">
      <c r="B213" s="39"/>
      <c r="C213" s="18"/>
    </row>
    <row r="214" spans="2:3" x14ac:dyDescent="0.35">
      <c r="B214" s="428"/>
      <c r="C214" s="175"/>
    </row>
    <row r="215" spans="2:3" x14ac:dyDescent="0.35">
      <c r="B215" s="39"/>
      <c r="C215" s="18"/>
    </row>
    <row r="216" spans="2:3" x14ac:dyDescent="0.35">
      <c r="B216" s="39"/>
      <c r="C216" s="18"/>
    </row>
    <row r="217" spans="2:3" x14ac:dyDescent="0.35">
      <c r="B217" s="39"/>
      <c r="C217" s="18"/>
    </row>
    <row r="218" spans="2:3" x14ac:dyDescent="0.35">
      <c r="B218" s="428"/>
      <c r="C218" s="175"/>
    </row>
    <row r="219" spans="2:3" x14ac:dyDescent="0.35">
      <c r="B219" s="39"/>
      <c r="C219" s="18"/>
    </row>
    <row r="220" spans="2:3" x14ac:dyDescent="0.35">
      <c r="B220" s="39"/>
      <c r="C220" s="18"/>
    </row>
    <row r="221" spans="2:3" x14ac:dyDescent="0.35">
      <c r="B221" s="39"/>
      <c r="C221" s="18"/>
    </row>
    <row r="222" spans="2:3" x14ac:dyDescent="0.35">
      <c r="B222" s="39"/>
      <c r="C222" s="18"/>
    </row>
    <row r="223" spans="2:3" x14ac:dyDescent="0.35">
      <c r="B223" s="428"/>
      <c r="C223" s="175"/>
    </row>
    <row r="224" spans="2:3" x14ac:dyDescent="0.35">
      <c r="B224" s="39"/>
      <c r="C224" s="18"/>
    </row>
    <row r="225" spans="2:3" x14ac:dyDescent="0.35">
      <c r="B225" s="39"/>
      <c r="C225" s="18"/>
    </row>
    <row r="226" spans="2:3" x14ac:dyDescent="0.35">
      <c r="B226" s="39"/>
      <c r="C226" s="18"/>
    </row>
    <row r="227" spans="2:3" x14ac:dyDescent="0.35">
      <c r="B227" s="39"/>
      <c r="C227" s="18"/>
    </row>
    <row r="228" spans="2:3" x14ac:dyDescent="0.35">
      <c r="B228" s="39"/>
      <c r="C228" s="18"/>
    </row>
    <row r="229" spans="2:3" x14ac:dyDescent="0.35">
      <c r="B229" s="39"/>
      <c r="C229" s="18"/>
    </row>
    <row r="230" spans="2:3" x14ac:dyDescent="0.35">
      <c r="B230" s="428"/>
      <c r="C230" s="175"/>
    </row>
    <row r="231" spans="2:3" x14ac:dyDescent="0.35">
      <c r="B231" s="428"/>
      <c r="C231" s="175"/>
    </row>
    <row r="232" spans="2:3" x14ac:dyDescent="0.35">
      <c r="B232" s="428"/>
      <c r="C232" s="175"/>
    </row>
    <row r="233" spans="2:3" ht="21" x14ac:dyDescent="0.35">
      <c r="B233" s="457"/>
      <c r="C233" s="458"/>
    </row>
    <row r="234" spans="2:3" x14ac:dyDescent="0.35">
      <c r="B234" s="459"/>
      <c r="C234" s="175"/>
    </row>
    <row r="235" spans="2:3" x14ac:dyDescent="0.35">
      <c r="B235" s="428"/>
      <c r="C235" s="175"/>
    </row>
    <row r="236" spans="2:3" x14ac:dyDescent="0.35">
      <c r="B236" s="39"/>
      <c r="C236" s="18"/>
    </row>
    <row r="237" spans="2:3" x14ac:dyDescent="0.35">
      <c r="B237" s="428"/>
      <c r="C237" s="175"/>
    </row>
    <row r="238" spans="2:3" x14ac:dyDescent="0.35">
      <c r="B238" s="39"/>
      <c r="C238" s="18"/>
    </row>
    <row r="239" spans="2:3" x14ac:dyDescent="0.35">
      <c r="B239" s="39"/>
      <c r="C239" s="18"/>
    </row>
    <row r="240" spans="2:3" x14ac:dyDescent="0.35">
      <c r="B240" s="428"/>
      <c r="C240" s="175"/>
    </row>
    <row r="241" spans="2:3" x14ac:dyDescent="0.35">
      <c r="B241" s="39"/>
      <c r="C241" s="18"/>
    </row>
    <row r="242" spans="2:3" x14ac:dyDescent="0.35">
      <c r="B242" s="39"/>
      <c r="C242" s="18"/>
    </row>
    <row r="243" spans="2:3" x14ac:dyDescent="0.35">
      <c r="B243" s="428"/>
      <c r="C243" s="175"/>
    </row>
    <row r="244" spans="2:3" x14ac:dyDescent="0.35">
      <c r="B244" s="39"/>
      <c r="C244" s="18"/>
    </row>
    <row r="245" spans="2:3" x14ac:dyDescent="0.35">
      <c r="C245" s="38"/>
    </row>
    <row r="246" spans="2:3" x14ac:dyDescent="0.35">
      <c r="C246" s="38"/>
    </row>
    <row r="247" spans="2:3" ht="21" x14ac:dyDescent="0.35">
      <c r="B247" s="457"/>
      <c r="C247" s="458"/>
    </row>
    <row r="248" spans="2:3" x14ac:dyDescent="0.35">
      <c r="B248" s="459"/>
      <c r="C248" s="175"/>
    </row>
    <row r="249" spans="2:3" x14ac:dyDescent="0.35">
      <c r="B249" s="428"/>
      <c r="C249" s="175"/>
    </row>
    <row r="250" spans="2:3" x14ac:dyDescent="0.35">
      <c r="B250" s="39"/>
      <c r="C250" s="18"/>
    </row>
    <row r="251" spans="2:3" x14ac:dyDescent="0.35">
      <c r="C251" s="38"/>
    </row>
    <row r="252" spans="2:3" x14ac:dyDescent="0.35">
      <c r="C252" s="38"/>
    </row>
    <row r="253" spans="2:3" x14ac:dyDescent="0.35">
      <c r="B253" s="428"/>
      <c r="C253" s="175"/>
    </row>
    <row r="254" spans="2:3" x14ac:dyDescent="0.35">
      <c r="C254" s="38"/>
    </row>
    <row r="255" spans="2:3" x14ac:dyDescent="0.35">
      <c r="C255" s="38"/>
    </row>
    <row r="256" spans="2:3" x14ac:dyDescent="0.35">
      <c r="C256" s="38"/>
    </row>
    <row r="257" spans="2:3" x14ac:dyDescent="0.35">
      <c r="B257" s="428"/>
      <c r="C257" s="175"/>
    </row>
    <row r="258" spans="2:3" x14ac:dyDescent="0.35">
      <c r="C258" s="38"/>
    </row>
    <row r="259" spans="2:3" x14ac:dyDescent="0.35">
      <c r="C259" s="38"/>
    </row>
    <row r="260" spans="2:3" x14ac:dyDescent="0.35">
      <c r="C260" s="38"/>
    </row>
    <row r="261" spans="2:3" x14ac:dyDescent="0.35">
      <c r="B261" s="428"/>
      <c r="C261" s="175"/>
    </row>
    <row r="262" spans="2:3" x14ac:dyDescent="0.35">
      <c r="C262" s="38"/>
    </row>
    <row r="263" spans="2:3" x14ac:dyDescent="0.35">
      <c r="C263" s="38"/>
    </row>
    <row r="264" spans="2:3" ht="21" x14ac:dyDescent="0.35">
      <c r="B264" s="457"/>
      <c r="C264" s="458"/>
    </row>
    <row r="265" spans="2:3" x14ac:dyDescent="0.35">
      <c r="B265" s="459"/>
      <c r="C265" s="175"/>
    </row>
    <row r="266" spans="2:3" x14ac:dyDescent="0.35">
      <c r="B266" s="428"/>
      <c r="C266" s="175"/>
    </row>
    <row r="267" spans="2:3" x14ac:dyDescent="0.35">
      <c r="B267" s="39"/>
      <c r="C267" s="18"/>
    </row>
    <row r="268" spans="2:3" x14ac:dyDescent="0.35">
      <c r="C268" s="38"/>
    </row>
    <row r="269" spans="2:3" x14ac:dyDescent="0.35">
      <c r="C269" s="38"/>
    </row>
    <row r="270" spans="2:3" x14ac:dyDescent="0.35">
      <c r="C270" s="38"/>
    </row>
    <row r="271" spans="2:3" x14ac:dyDescent="0.35">
      <c r="B271" s="428"/>
      <c r="C271" s="175"/>
    </row>
    <row r="272" spans="2:3" x14ac:dyDescent="0.35">
      <c r="C272" s="38"/>
    </row>
    <row r="273" spans="2:3" x14ac:dyDescent="0.35">
      <c r="C273" s="38"/>
    </row>
    <row r="274" spans="2:3" x14ac:dyDescent="0.35">
      <c r="C274" s="38"/>
    </row>
    <row r="275" spans="2:3" x14ac:dyDescent="0.35">
      <c r="B275" s="428"/>
      <c r="C275" s="175"/>
    </row>
    <row r="276" spans="2:3" x14ac:dyDescent="0.35">
      <c r="C276" s="38"/>
    </row>
    <row r="277" spans="2:3" x14ac:dyDescent="0.35">
      <c r="C277" s="38"/>
    </row>
    <row r="278" spans="2:3" x14ac:dyDescent="0.35">
      <c r="C278" s="38"/>
    </row>
    <row r="279" spans="2:3" x14ac:dyDescent="0.35">
      <c r="C279" s="38"/>
    </row>
    <row r="280" spans="2:3" x14ac:dyDescent="0.35">
      <c r="C280" s="38"/>
    </row>
    <row r="281" spans="2:3" x14ac:dyDescent="0.35">
      <c r="B281" s="428"/>
      <c r="C281" s="175"/>
    </row>
    <row r="282" spans="2:3" x14ac:dyDescent="0.35">
      <c r="C282" s="38"/>
    </row>
    <row r="283" spans="2:3" x14ac:dyDescent="0.35">
      <c r="B283" s="428"/>
      <c r="C283" s="175"/>
    </row>
    <row r="284" spans="2:3" x14ac:dyDescent="0.35">
      <c r="C284" s="38"/>
    </row>
    <row r="285" spans="2:3" x14ac:dyDescent="0.35">
      <c r="C285" s="38"/>
    </row>
  </sheetData>
  <pageMargins left="0.7" right="0.7" top="0.78740157499999996" bottom="0.78740157499999996" header="0.3" footer="0.3"/>
  <pageSetup paperSize="9" orientation="portrait" r:id="rId1"/>
  <ignoredErrors>
    <ignoredError sqref="E88 E78 E81 E66 E60 E53 E92 E97 E105 E111 E113 E122 E126 E130 E143 G117 G71 G38 G58:G60 G53:G56 G87:G88 G105:G106 G110:G111 G143:G145 G134 E47 E102 E139 G61:G66 G67:G69 G73:G78 G79:G81 G82:G83 G89:G92 G93:G97 G98:G102 G112:G113 G114:G115 G119:G130 G131:G132 G136:G139 G140 G47"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7:J209"/>
  <sheetViews>
    <sheetView zoomScaleNormal="100" workbookViewId="0"/>
  </sheetViews>
  <sheetFormatPr baseColWidth="10" defaultColWidth="11" defaultRowHeight="14.5" x14ac:dyDescent="0.35"/>
  <cols>
    <col min="1" max="1" width="3.5" style="1" customWidth="1"/>
    <col min="2" max="2" width="53" style="1" bestFit="1" customWidth="1"/>
    <col min="3" max="3" width="19.25" style="1" customWidth="1"/>
    <col min="4" max="4" width="19" style="1" hidden="1" customWidth="1"/>
    <col min="5" max="5" width="19" style="1" customWidth="1"/>
    <col min="6" max="6" width="19" style="1" bestFit="1" customWidth="1"/>
    <col min="7" max="7" width="13.33203125" style="1" bestFit="1" customWidth="1"/>
    <col min="8" max="8" width="15" style="416" bestFit="1" customWidth="1"/>
    <col min="9" max="9" width="24.25" style="1" customWidth="1"/>
    <col min="10" max="10" width="18.08203125" style="1" bestFit="1" customWidth="1"/>
    <col min="11" max="11" width="16.58203125" style="1" customWidth="1"/>
    <col min="12" max="14" width="13.33203125" style="1" customWidth="1"/>
    <col min="15" max="16384" width="11" style="1"/>
  </cols>
  <sheetData>
    <row r="17" spans="2:9" x14ac:dyDescent="0.35">
      <c r="H17" s="407"/>
    </row>
    <row r="28" spans="2:9" x14ac:dyDescent="0.35">
      <c r="H28" s="408"/>
    </row>
    <row r="30" spans="2:9" x14ac:dyDescent="0.35">
      <c r="I30" s="1611" t="str">
        <f>CONCATENATE("Erfüllungsgrad je Handlungsfeld (Gesamt: ",ROUND(G36*100,0)," %)")</f>
        <v>Erfüllungsgrad je Handlungsfeld (Gesamt: 0 %)</v>
      </c>
    </row>
    <row r="31" spans="2:9" ht="29" x14ac:dyDescent="0.35">
      <c r="B31" s="409" t="s">
        <v>6</v>
      </c>
      <c r="C31" s="1612" t="s">
        <v>7</v>
      </c>
      <c r="D31" s="1612" t="s">
        <v>5499</v>
      </c>
      <c r="E31" s="1612" t="s">
        <v>8</v>
      </c>
      <c r="F31" s="411" t="s">
        <v>9</v>
      </c>
      <c r="G31" s="1612" t="s">
        <v>39</v>
      </c>
      <c r="H31" s="412" t="s">
        <v>4450</v>
      </c>
      <c r="I31" s="412" t="s">
        <v>4601</v>
      </c>
    </row>
    <row r="32" spans="2:9" x14ac:dyDescent="0.35">
      <c r="B32" s="1655" t="s">
        <v>6125</v>
      </c>
      <c r="C32" s="1656">
        <f>C40</f>
        <v>135</v>
      </c>
      <c r="D32" s="1680">
        <f>D40</f>
        <v>0</v>
      </c>
      <c r="E32" s="1656">
        <f>E40</f>
        <v>135</v>
      </c>
      <c r="F32" s="1773">
        <f>H32+I32</f>
        <v>0</v>
      </c>
      <c r="G32" s="1657">
        <f>F32/E32</f>
        <v>0</v>
      </c>
      <c r="H32" s="1656">
        <v>0</v>
      </c>
      <c r="I32" s="1680">
        <f>F40</f>
        <v>0</v>
      </c>
    </row>
    <row r="33" spans="2:10" x14ac:dyDescent="0.35">
      <c r="B33" s="1628" t="str">
        <f>B46</f>
        <v>Qualität durch Bauträger beinflussbar</v>
      </c>
      <c r="C33" s="1629">
        <f>C46</f>
        <v>366</v>
      </c>
      <c r="D33" s="1630">
        <f>D46</f>
        <v>0</v>
      </c>
      <c r="E33" s="1630">
        <f>E46</f>
        <v>366</v>
      </c>
      <c r="F33" s="1632">
        <f>H33+I33</f>
        <v>0</v>
      </c>
      <c r="G33" s="1631">
        <f>F33/E33</f>
        <v>0</v>
      </c>
      <c r="H33" s="1632">
        <f>Joker!I34</f>
        <v>0</v>
      </c>
      <c r="I33" s="1632">
        <f>F46</f>
        <v>0</v>
      </c>
      <c r="J33" s="772"/>
    </row>
    <row r="34" spans="2:10" x14ac:dyDescent="0.35">
      <c r="B34" s="1633" t="str">
        <f>B72</f>
        <v>Qualität durch Gemeinde beinflussbar</v>
      </c>
      <c r="C34" s="1634">
        <f>C72</f>
        <v>233</v>
      </c>
      <c r="D34" s="1635">
        <f>D72</f>
        <v>0</v>
      </c>
      <c r="E34" s="1635">
        <f>E72</f>
        <v>233</v>
      </c>
      <c r="F34" s="1637">
        <f t="shared" ref="F34:F35" si="0">H34+I34</f>
        <v>0</v>
      </c>
      <c r="G34" s="1636">
        <f>F34/E34</f>
        <v>0</v>
      </c>
      <c r="H34" s="1637">
        <f>Joker!I36</f>
        <v>0</v>
      </c>
      <c r="I34" s="1637">
        <f>F72</f>
        <v>0</v>
      </c>
      <c r="J34" s="772"/>
    </row>
    <row r="35" spans="2:10" x14ac:dyDescent="0.35">
      <c r="B35" s="1638" t="str">
        <f>B90</f>
        <v>Qualität durch StGr. beeinflussbar</v>
      </c>
      <c r="C35" s="1639">
        <f>C90</f>
        <v>266</v>
      </c>
      <c r="D35" s="1640">
        <f>D90</f>
        <v>0</v>
      </c>
      <c r="E35" s="1640">
        <f>E90</f>
        <v>266</v>
      </c>
      <c r="F35" s="1642">
        <f t="shared" si="0"/>
        <v>0</v>
      </c>
      <c r="G35" s="1641">
        <f t="shared" ref="G35:G36" si="1">F35/E35</f>
        <v>0</v>
      </c>
      <c r="H35" s="1642">
        <f>Joker!I31+Joker!I32+Joker!I33+Joker!I35</f>
        <v>0</v>
      </c>
      <c r="I35" s="1642">
        <f>F90</f>
        <v>0</v>
      </c>
      <c r="J35" s="772"/>
    </row>
    <row r="36" spans="2:10" s="39" customFormat="1" ht="21" x14ac:dyDescent="0.35">
      <c r="B36" s="409" t="s">
        <v>11</v>
      </c>
      <c r="C36" s="413">
        <f>SUM(C32:C35)</f>
        <v>1000</v>
      </c>
      <c r="D36" s="413">
        <f>SUM(D32:D35)</f>
        <v>0</v>
      </c>
      <c r="E36" s="413">
        <f>SUM(E32:E35)</f>
        <v>1000</v>
      </c>
      <c r="F36" s="413">
        <f>SUM(F32:F35)</f>
        <v>0</v>
      </c>
      <c r="G36" s="414">
        <f t="shared" si="1"/>
        <v>0</v>
      </c>
      <c r="H36" s="413">
        <f>SUM(H33:H35)</f>
        <v>0</v>
      </c>
      <c r="I36" s="413">
        <f>SUM(I33:I35)</f>
        <v>0</v>
      </c>
    </row>
    <row r="38" spans="2:10" ht="21" x14ac:dyDescent="0.5">
      <c r="B38" s="103" t="s">
        <v>16</v>
      </c>
    </row>
    <row r="39" spans="2:10" s="39" customFormat="1" x14ac:dyDescent="0.35">
      <c r="C39" s="175" t="s">
        <v>7</v>
      </c>
      <c r="D39" s="175" t="s">
        <v>5499</v>
      </c>
      <c r="E39" s="1043" t="s">
        <v>8</v>
      </c>
      <c r="F39" s="418" t="s">
        <v>9</v>
      </c>
      <c r="G39" s="175" t="s">
        <v>10</v>
      </c>
      <c r="H39" s="419" t="s">
        <v>4449</v>
      </c>
      <c r="I39" s="420"/>
    </row>
    <row r="40" spans="2:10" s="39" customFormat="1" ht="21" x14ac:dyDescent="0.5">
      <c r="B40" s="1676" t="s">
        <v>6122</v>
      </c>
      <c r="C40" s="1677">
        <f>SUM(C41:C44)</f>
        <v>135</v>
      </c>
      <c r="D40" s="1679">
        <f>SUM(D41:D44)</f>
        <v>0</v>
      </c>
      <c r="E40" s="1681">
        <f>SUM(E41:E44)</f>
        <v>135</v>
      </c>
      <c r="F40" s="1681">
        <f>SUM(F41:F44)</f>
        <v>0</v>
      </c>
      <c r="G40" s="1678">
        <f>F40/E40</f>
        <v>0</v>
      </c>
      <c r="H40" s="1676"/>
      <c r="I40" s="420" t="str">
        <f>B40</f>
        <v>Qualität durch Bauträger beinflussbar</v>
      </c>
    </row>
    <row r="41" spans="2:10" s="39" customFormat="1" x14ac:dyDescent="0.35">
      <c r="B41" s="39" t="str">
        <f>Qualitätsprüfung!O730</f>
        <v>C.1.1 Umgang mit Dichte</v>
      </c>
      <c r="C41" s="18">
        <f>Qualität_Ergebnis_HF!C87</f>
        <v>53</v>
      </c>
      <c r="D41" s="425" t="str">
        <f>Qualität_Ergebnis_HF!D87</f>
        <v/>
      </c>
      <c r="E41" s="456">
        <f>Qualität_Ergebnis_HF!E87</f>
        <v>53</v>
      </c>
      <c r="F41" s="456">
        <f>Qualität_Ergebnis_HF!F87</f>
        <v>0</v>
      </c>
      <c r="G41" s="31">
        <f>Qualität_Ergebnis_HF!G87</f>
        <v>0</v>
      </c>
      <c r="H41" s="426"/>
      <c r="I41" s="420" t="str">
        <f>B41</f>
        <v>C.1.1 Umgang mit Dichte</v>
      </c>
    </row>
    <row r="42" spans="2:10" s="39" customFormat="1" x14ac:dyDescent="0.35">
      <c r="B42" s="39" t="str">
        <f>Qualitätsprüfung!O868</f>
        <v>C.3.3 Mischnutzung</v>
      </c>
      <c r="C42" s="18">
        <f>Qualität_Ergebnis_HF!C95</f>
        <v>8</v>
      </c>
      <c r="D42" s="18" t="str">
        <f>Qualität_Ergebnis_HF!D95</f>
        <v/>
      </c>
      <c r="E42" s="18">
        <f>Qualität_Ergebnis_HF!E95</f>
        <v>8</v>
      </c>
      <c r="F42" s="456">
        <f>Qualität_Ergebnis_HF!F95</f>
        <v>0</v>
      </c>
      <c r="G42" s="31">
        <f>Qualität_Ergebnis_HF!G95</f>
        <v>0</v>
      </c>
      <c r="H42" s="416"/>
      <c r="I42" s="420" t="str">
        <f>B42</f>
        <v>C.3.3 Mischnutzung</v>
      </c>
    </row>
    <row r="43" spans="2:10" s="39" customFormat="1" x14ac:dyDescent="0.35">
      <c r="B43" s="1669" t="str">
        <f>Qualitätsprüfung!O1053</f>
        <v>C.6.1 Güter und Dienstleistungen des täglichen Bedarfs</v>
      </c>
      <c r="C43" s="1658">
        <f>Qualität_Ergebnis_HF!C106</f>
        <v>28</v>
      </c>
      <c r="D43" s="1658" t="str">
        <f>Qualität_Ergebnis_HF!D106</f>
        <v/>
      </c>
      <c r="E43" s="1658">
        <f>Qualität_Ergebnis_HF!E106</f>
        <v>28</v>
      </c>
      <c r="F43" s="1774">
        <f>Qualität_Ergebnis_HF!F106</f>
        <v>0</v>
      </c>
      <c r="G43" s="1659">
        <f>Qualität_Ergebnis_HF!G106</f>
        <v>0</v>
      </c>
      <c r="H43" s="1661"/>
      <c r="I43" s="420" t="str">
        <f>B43</f>
        <v>C.6.1 Güter und Dienstleistungen des täglichen Bedarfs</v>
      </c>
    </row>
    <row r="44" spans="2:10" x14ac:dyDescent="0.35">
      <c r="B44" s="1" t="str">
        <f>Qualitätsprüfung!O1577</f>
        <v>F.3.1 Angebote an öffentlichen Verkehrsmittel</v>
      </c>
      <c r="C44" s="38">
        <f>Qualität_Ergebnis_HF!C144</f>
        <v>46</v>
      </c>
      <c r="D44" s="38" t="str">
        <f>Qualität_Ergebnis_HF!D144</f>
        <v/>
      </c>
      <c r="E44" s="38">
        <f>Qualität_Ergebnis_HF!E144</f>
        <v>46</v>
      </c>
      <c r="F44" s="365">
        <f>Qualität_Ergebnis_HF!F144</f>
        <v>0</v>
      </c>
      <c r="G44" s="1682">
        <f>Qualität_Ergebnis_HF!G144</f>
        <v>0</v>
      </c>
      <c r="I44" s="420" t="str">
        <f>B44</f>
        <v>F.3.1 Angebote an öffentlichen Verkehrsmittel</v>
      </c>
    </row>
    <row r="45" spans="2:10" s="39" customFormat="1" x14ac:dyDescent="0.35">
      <c r="C45" s="175" t="s">
        <v>7</v>
      </c>
      <c r="D45" s="175" t="s">
        <v>5499</v>
      </c>
      <c r="E45" s="1043" t="s">
        <v>8</v>
      </c>
      <c r="F45" s="418" t="s">
        <v>9</v>
      </c>
      <c r="G45" s="175" t="s">
        <v>10</v>
      </c>
      <c r="H45" s="419" t="s">
        <v>4449</v>
      </c>
      <c r="I45" s="420">
        <f t="shared" ref="I45" si="2">B45</f>
        <v>0</v>
      </c>
    </row>
    <row r="46" spans="2:10" s="39" customFormat="1" ht="21" x14ac:dyDescent="0.35">
      <c r="B46" s="1643" t="s">
        <v>6122</v>
      </c>
      <c r="C46" s="1644">
        <f>SUM(C47:C70)</f>
        <v>366</v>
      </c>
      <c r="D46" s="1644">
        <f>SUM(D47:D70)</f>
        <v>0</v>
      </c>
      <c r="E46" s="1644">
        <f>SUM(E47:E70)</f>
        <v>366</v>
      </c>
      <c r="F46" s="1644">
        <f>SUM(F47:F70)</f>
        <v>0</v>
      </c>
      <c r="G46" s="1645">
        <f>F46/E46</f>
        <v>0</v>
      </c>
      <c r="H46" s="1646"/>
      <c r="I46" s="420" t="str">
        <f t="shared" ref="I46" si="3">B46</f>
        <v>Qualität durch Bauträger beinflussbar</v>
      </c>
    </row>
    <row r="47" spans="2:10" s="39" customFormat="1" x14ac:dyDescent="0.35">
      <c r="B47" s="39" t="str">
        <f>Qualitätsprüfung!O108</f>
        <v>A.2.2 Gebäudekonzept</v>
      </c>
      <c r="C47" s="18">
        <f>Qualität_Ergebnis_HF!C49</f>
        <v>10</v>
      </c>
      <c r="D47" s="18" t="str">
        <f>Qualität_Ergebnis_HF!D49</f>
        <v/>
      </c>
      <c r="E47" s="18">
        <f>Qualität_Ergebnis_HF!E49</f>
        <v>10</v>
      </c>
      <c r="F47" s="456">
        <f>Qualität_Ergebnis_HF!F49</f>
        <v>0</v>
      </c>
      <c r="G47" s="31">
        <f>Qualität_Ergebnis_HF!G49</f>
        <v>0</v>
      </c>
      <c r="H47" s="426"/>
      <c r="I47" s="420" t="str">
        <f t="shared" ref="I47:I70" si="4">B47</f>
        <v>A.2.2 Gebäudekonzept</v>
      </c>
    </row>
    <row r="48" spans="2:10" s="39" customFormat="1" x14ac:dyDescent="0.35">
      <c r="B48" s="39" t="str">
        <f>Qualitätsprüfung!O266</f>
        <v>A.3.4 Ausschreibungen</v>
      </c>
      <c r="C48" s="18">
        <f>Qualität_Ergebnis_HF!C57</f>
        <v>5</v>
      </c>
      <c r="D48" s="18" t="str">
        <f>Qualität_Ergebnis_HF!D57</f>
        <v/>
      </c>
      <c r="E48" s="18">
        <f>Qualität_Ergebnis_HF!E57</f>
        <v>5</v>
      </c>
      <c r="F48" s="456">
        <f>Qualität_Ergebnis_HF!F57</f>
        <v>0</v>
      </c>
      <c r="G48" s="31">
        <f>Qualität_Ergebnis_HF!G57</f>
        <v>0</v>
      </c>
      <c r="H48" s="426"/>
      <c r="I48" s="420" t="str">
        <f t="shared" si="4"/>
        <v>A.3.4 Ausschreibungen</v>
      </c>
    </row>
    <row r="49" spans="2:9" s="39" customFormat="1" x14ac:dyDescent="0.35">
      <c r="B49" s="39" t="str">
        <f>Qualitätsprüfung!O288</f>
        <v>A.3.5 Kauf- bzw. Mietverträge Wohneinheiten</v>
      </c>
      <c r="C49" s="18">
        <f>Qualität_Ergebnis_HF!C58</f>
        <v>5</v>
      </c>
      <c r="D49" s="18" t="str">
        <f>Qualität_Ergebnis_HF!D58</f>
        <v/>
      </c>
      <c r="E49" s="18">
        <f>Qualität_Ergebnis_HF!E58</f>
        <v>5</v>
      </c>
      <c r="F49" s="456">
        <f>Qualität_Ergebnis_HF!F58</f>
        <v>0</v>
      </c>
      <c r="G49" s="31">
        <f>Qualität_Ergebnis_HF!G58</f>
        <v>0</v>
      </c>
      <c r="H49" s="426"/>
      <c r="I49" s="420" t="str">
        <f t="shared" si="4"/>
        <v>A.3.5 Kauf- bzw. Mietverträge Wohneinheiten</v>
      </c>
    </row>
    <row r="50" spans="2:9" s="39" customFormat="1" x14ac:dyDescent="0.35">
      <c r="B50" s="39" t="str">
        <f>Qualitätsprüfung!O335</f>
        <v>A.4.1 Miet- und Eigentümerbefragung</v>
      </c>
      <c r="C50" s="18">
        <f>Qualität_Ergebnis_HF!C61</f>
        <v>5</v>
      </c>
      <c r="D50" s="18" t="str">
        <f>Qualität_Ergebnis_HF!D61</f>
        <v/>
      </c>
      <c r="E50" s="18">
        <f>Qualität_Ergebnis_HF!E61</f>
        <v>5</v>
      </c>
      <c r="F50" s="456">
        <f>Qualität_Ergebnis_HF!F61</f>
        <v>0</v>
      </c>
      <c r="G50" s="31">
        <f>Qualität_Ergebnis_HF!G61</f>
        <v>0</v>
      </c>
      <c r="H50" s="426"/>
      <c r="I50" s="420" t="str">
        <f>B50</f>
        <v>A.4.1 Miet- und Eigentümerbefragung</v>
      </c>
    </row>
    <row r="51" spans="2:9" s="39" customFormat="1" x14ac:dyDescent="0.35">
      <c r="B51" s="459" t="str">
        <f>Qualitätsprüfung!O357</f>
        <v>A.4.2 Monitoring Betriebsenergie</v>
      </c>
      <c r="C51" s="23">
        <f>Qualität_Ergebnis_HF!C62</f>
        <v>5</v>
      </c>
      <c r="D51" s="23" t="str">
        <f>Qualität_Ergebnis_HF!D62</f>
        <v/>
      </c>
      <c r="E51" s="23">
        <f>Qualität_Ergebnis_HF!E62</f>
        <v>5</v>
      </c>
      <c r="F51" s="1775">
        <f>Qualität_Ergebnis_HF!F62</f>
        <v>0</v>
      </c>
      <c r="G51" s="1574">
        <f>Qualität_Ergebnis_HF!G62</f>
        <v>0</v>
      </c>
      <c r="H51" s="429"/>
      <c r="I51" s="420" t="str">
        <f t="shared" si="4"/>
        <v>A.4.2 Monitoring Betriebsenergie</v>
      </c>
    </row>
    <row r="52" spans="2:9" s="39" customFormat="1" x14ac:dyDescent="0.35">
      <c r="B52" s="1660" t="str">
        <f>Qualitätsprüfung!O379</f>
        <v>A.4.3 Monitoring Wasserverbrauch</v>
      </c>
      <c r="C52" s="1658">
        <f>Qualität_Ergebnis_HF!C63</f>
        <v>5</v>
      </c>
      <c r="D52" s="1658" t="str">
        <f>Qualität_Ergebnis_HF!D63</f>
        <v/>
      </c>
      <c r="E52" s="1658">
        <f>Qualität_Ergebnis_HF!E63</f>
        <v>5</v>
      </c>
      <c r="F52" s="1774">
        <f>Qualität_Ergebnis_HF!F63</f>
        <v>0</v>
      </c>
      <c r="G52" s="1659">
        <f>Qualität_Ergebnis_HF!G63</f>
        <v>0</v>
      </c>
      <c r="H52" s="1661"/>
      <c r="I52" s="420" t="str">
        <f t="shared" si="4"/>
        <v>A.4.3 Monitoring Wasserverbrauch</v>
      </c>
    </row>
    <row r="53" spans="2:9" s="39" customFormat="1" x14ac:dyDescent="0.35">
      <c r="B53" s="1662" t="str">
        <f>Qualitätsprüfung!O633</f>
        <v>B.2.1 Konzept "Energie-, Wasser- und Abfallmarketing"</v>
      </c>
      <c r="C53" s="1663">
        <f>Qualität_Ergebnis_HF!C79</f>
        <v>15</v>
      </c>
      <c r="D53" s="1663" t="str">
        <f>Qualität_Ergebnis_HF!D79</f>
        <v/>
      </c>
      <c r="E53" s="1663">
        <f>Qualität_Ergebnis_HF!E79</f>
        <v>15</v>
      </c>
      <c r="F53" s="1776">
        <f>Qualität_Ergebnis_HF!F79</f>
        <v>0</v>
      </c>
      <c r="G53" s="1664">
        <f>Qualität_Ergebnis_HF!G79</f>
        <v>0</v>
      </c>
      <c r="H53" s="1665"/>
      <c r="I53" s="420" t="str">
        <f t="shared" si="4"/>
        <v>B.2.1 Konzept "Energie-, Wasser- und Abfallmarketing"</v>
      </c>
    </row>
    <row r="54" spans="2:9" s="39" customFormat="1" x14ac:dyDescent="0.35">
      <c r="B54" s="39" t="str">
        <f>Qualitätsprüfung!O799</f>
        <v>C.2.3 Aufheizung und Verdunstung</v>
      </c>
      <c r="C54" s="18">
        <f>Qualität_Ergebnis_HF!C91</f>
        <v>12</v>
      </c>
      <c r="D54" s="18" t="str">
        <f>Qualität_Ergebnis_HF!D91</f>
        <v/>
      </c>
      <c r="E54" s="18">
        <f>Qualität_Ergebnis_HF!E91</f>
        <v>12</v>
      </c>
      <c r="F54" s="456">
        <f>Qualität_Ergebnis_HF!F91</f>
        <v>0</v>
      </c>
      <c r="G54" s="31">
        <f>Qualität_Ergebnis_HF!G91</f>
        <v>0</v>
      </c>
      <c r="H54" s="416"/>
      <c r="I54" s="420" t="str">
        <f t="shared" si="4"/>
        <v>C.2.3 Aufheizung und Verdunstung</v>
      </c>
    </row>
    <row r="55" spans="2:9" s="39" customFormat="1" x14ac:dyDescent="0.35">
      <c r="B55" s="39" t="str">
        <f>Qualitätsprüfung!O959</f>
        <v>C.4.3 Raumangebot</v>
      </c>
      <c r="C55" s="18">
        <f>Qualität_Ergebnis_HF!C100</f>
        <v>18</v>
      </c>
      <c r="D55" s="18" t="str">
        <f>Qualität_Ergebnis_HF!D100</f>
        <v/>
      </c>
      <c r="E55" s="18">
        <f>Qualität_Ergebnis_HF!E100</f>
        <v>18</v>
      </c>
      <c r="F55" s="456">
        <f>Qualität_Ergebnis_HF!F100</f>
        <v>0</v>
      </c>
      <c r="G55" s="31">
        <f>Qualität_Ergebnis_HF!G100</f>
        <v>0</v>
      </c>
      <c r="H55" s="416"/>
      <c r="I55" s="420" t="str">
        <f t="shared" si="4"/>
        <v>C.4.3 Raumangebot</v>
      </c>
    </row>
    <row r="56" spans="2:9" s="39" customFormat="1" x14ac:dyDescent="0.35">
      <c r="B56" s="39" t="str">
        <f>Qualitätsprüfung!O981</f>
        <v>C.4.4 Dachflächen *</v>
      </c>
      <c r="C56" s="18">
        <f>Qualität_Ergebnis_HF!C101</f>
        <v>13</v>
      </c>
      <c r="D56" s="18" t="str">
        <f>Qualität_Ergebnis_HF!D101</f>
        <v/>
      </c>
      <c r="E56" s="18">
        <f>Qualität_Ergebnis_HF!E101</f>
        <v>13</v>
      </c>
      <c r="F56" s="456">
        <f>Qualität_Ergebnis_HF!F101</f>
        <v>0</v>
      </c>
      <c r="G56" s="31">
        <f>Qualität_Ergebnis_HF!G101</f>
        <v>0</v>
      </c>
      <c r="H56" s="416"/>
      <c r="I56" s="420" t="str">
        <f t="shared" si="4"/>
        <v>C.4.4 Dachflächen *</v>
      </c>
    </row>
    <row r="57" spans="2:9" s="39" customFormat="1" x14ac:dyDescent="0.35">
      <c r="B57" s="39" t="str">
        <f>Qualitätsprüfung!O1006</f>
        <v>C.5.1 Angebote für Erholung und Freiraum</v>
      </c>
      <c r="C57" s="18">
        <f>Qualität_Ergebnis_HF!C103</f>
        <v>28</v>
      </c>
      <c r="D57" s="18" t="str">
        <f>Qualität_Ergebnis_HF!D103</f>
        <v/>
      </c>
      <c r="E57" s="18">
        <f>Qualität_Ergebnis_HF!E103</f>
        <v>28</v>
      </c>
      <c r="F57" s="456">
        <f>Qualität_Ergebnis_HF!F103</f>
        <v>0</v>
      </c>
      <c r="G57" s="31">
        <f>Qualität_Ergebnis_HF!G103</f>
        <v>0</v>
      </c>
      <c r="H57" s="416"/>
      <c r="I57" s="420" t="str">
        <f t="shared" si="4"/>
        <v>C.5.1 Angebote für Erholung und Freiraum</v>
      </c>
    </row>
    <row r="58" spans="2:9" s="39" customFormat="1" x14ac:dyDescent="0.35">
      <c r="B58" s="1660" t="str">
        <f>Qualitätsprüfung!O1028</f>
        <v>C.5.2 Nutzung und Bewirtschaftung</v>
      </c>
      <c r="C58" s="1658">
        <f>Qualität_Ergebnis_HF!C104</f>
        <v>18</v>
      </c>
      <c r="D58" s="1658" t="str">
        <f>Qualität_Ergebnis_HF!D104</f>
        <v/>
      </c>
      <c r="E58" s="1658">
        <f>Qualität_Ergebnis_HF!E104</f>
        <v>18</v>
      </c>
      <c r="F58" s="1774">
        <f>Qualität_Ergebnis_HF!F104</f>
        <v>0</v>
      </c>
      <c r="G58" s="1659">
        <f>Qualität_Ergebnis_HF!G104</f>
        <v>0</v>
      </c>
      <c r="H58" s="1666"/>
      <c r="I58" s="420" t="str">
        <f t="shared" si="4"/>
        <v>C.5.2 Nutzung und Bewirtschaftung</v>
      </c>
    </row>
    <row r="59" spans="2:9" s="39" customFormat="1" x14ac:dyDescent="0.35">
      <c r="B59" s="39" t="str">
        <f>Qualitätsprüfung!O1081</f>
        <v>D.1.1 Lebenszykluskosten und Wirtschaftlichkeitsbewertung</v>
      </c>
      <c r="C59" s="18">
        <f>Qualität_Ergebnis_HF!C110</f>
        <v>30</v>
      </c>
      <c r="D59" s="18" t="str">
        <f>Qualität_Ergebnis_HF!D110</f>
        <v/>
      </c>
      <c r="E59" s="18">
        <f>Qualität_Ergebnis_HF!E110</f>
        <v>30</v>
      </c>
      <c r="F59" s="456">
        <f>Qualität_Ergebnis_HF!F110</f>
        <v>0</v>
      </c>
      <c r="G59" s="31">
        <f>Qualität_Ergebnis_HF!G110</f>
        <v>0</v>
      </c>
      <c r="H59" s="416"/>
      <c r="I59" s="420" t="str">
        <f t="shared" si="4"/>
        <v>D.1.1 Lebenszykluskosten und Wirtschaftlichkeitsbewertung</v>
      </c>
    </row>
    <row r="60" spans="2:9" s="39" customFormat="1" x14ac:dyDescent="0.35">
      <c r="B60" s="39" t="str">
        <f>Qualitätsprüfung!O1106</f>
        <v>D.2.1 Gebäudestandards</v>
      </c>
      <c r="C60" s="18">
        <f>Qualität_Ergebnis_HF!C112</f>
        <v>75</v>
      </c>
      <c r="D60" s="18" t="str">
        <f>Qualität_Ergebnis_HF!D112</f>
        <v/>
      </c>
      <c r="E60" s="18">
        <f>Qualität_Ergebnis_HF!E112</f>
        <v>75</v>
      </c>
      <c r="F60" s="456">
        <f>Qualität_Ergebnis_HF!F112</f>
        <v>0</v>
      </c>
      <c r="G60" s="31">
        <f>Qualität_Ergebnis_HF!G112</f>
        <v>0</v>
      </c>
      <c r="H60" s="416"/>
      <c r="I60" s="420" t="str">
        <f t="shared" si="4"/>
        <v>D.2.1 Gebäudestandards</v>
      </c>
    </row>
    <row r="61" spans="2:9" x14ac:dyDescent="0.35">
      <c r="B61" s="1667" t="str">
        <f>Qualitätsprüfung!O1153</f>
        <v>D.3.2 Flexibel nutzbare Raumangebote</v>
      </c>
      <c r="C61" s="1668">
        <f>Qualität_Ergebnis_HF!C115</f>
        <v>20</v>
      </c>
      <c r="D61" s="1668" t="str">
        <f>Qualität_Ergebnis_HF!D115</f>
        <v/>
      </c>
      <c r="E61" s="1668">
        <f>Qualität_Ergebnis_HF!E115</f>
        <v>20</v>
      </c>
      <c r="F61" s="1777">
        <f>Qualität_Ergebnis_HF!F115</f>
        <v>0</v>
      </c>
      <c r="G61" s="1683">
        <f>Qualität_Ergebnis_HF!G115</f>
        <v>0</v>
      </c>
      <c r="H61" s="1666"/>
      <c r="I61" s="420" t="str">
        <f t="shared" si="4"/>
        <v>D.3.2 Flexibel nutzbare Raumangebote</v>
      </c>
    </row>
    <row r="62" spans="2:9" x14ac:dyDescent="0.35">
      <c r="B62" s="1" t="str">
        <f>Qualitätsprüfung!O1203</f>
        <v>E.1.2 Qualität der Wärmeversorgung</v>
      </c>
      <c r="C62" s="38">
        <f>Qualität_Ergebnis_HF!C120</f>
        <v>15</v>
      </c>
      <c r="D62" s="38" t="str">
        <f>Qualität_Ergebnis_HF!D120</f>
        <v/>
      </c>
      <c r="E62" s="38">
        <f>Qualität_Ergebnis_HF!E120</f>
        <v>15</v>
      </c>
      <c r="F62" s="365">
        <f>Qualität_Ergebnis_HF!F120</f>
        <v>0</v>
      </c>
      <c r="G62" s="1682">
        <f>Qualität_Ergebnis_HF!G120</f>
        <v>0</v>
      </c>
      <c r="I62" s="420" t="str">
        <f t="shared" si="4"/>
        <v>E.1.2 Qualität der Wärmeversorgung</v>
      </c>
    </row>
    <row r="63" spans="2:9" x14ac:dyDescent="0.35">
      <c r="B63" s="1" t="str">
        <f>Qualitätsprüfung!O1225</f>
        <v>E.1.3 Qualität der HLK-Planung</v>
      </c>
      <c r="C63" s="38">
        <f>Qualität_Ergebnis_HF!C121</f>
        <v>5</v>
      </c>
      <c r="D63" s="38" t="str">
        <f>Qualität_Ergebnis_HF!D121</f>
        <v/>
      </c>
      <c r="E63" s="38">
        <f>Qualität_Ergebnis_HF!E121</f>
        <v>5</v>
      </c>
      <c r="F63" s="365">
        <f>Qualität_Ergebnis_HF!F121</f>
        <v>0</v>
      </c>
      <c r="G63" s="1682">
        <f>Qualität_Ergebnis_HF!G121</f>
        <v>0</v>
      </c>
      <c r="I63" s="420" t="str">
        <f t="shared" si="4"/>
        <v>E.1.3 Qualität der HLK-Planung</v>
      </c>
    </row>
    <row r="64" spans="2:9" x14ac:dyDescent="0.35">
      <c r="B64" s="1" t="str">
        <f>Qualitätsprüfung!O1251</f>
        <v>E.2.1 Strom aus EE und vor Ort produziert</v>
      </c>
      <c r="C64" s="38">
        <f>Qualität_Ergebnis_HF!C123</f>
        <v>20</v>
      </c>
      <c r="D64" s="38" t="str">
        <f>Qualität_Ergebnis_HF!D123</f>
        <v/>
      </c>
      <c r="E64" s="38">
        <f>Qualität_Ergebnis_HF!E123</f>
        <v>20</v>
      </c>
      <c r="F64" s="365">
        <f>Qualität_Ergebnis_HF!F123</f>
        <v>0</v>
      </c>
      <c r="G64" s="1682">
        <f>Qualität_Ergebnis_HF!G123</f>
        <v>0</v>
      </c>
      <c r="I64" s="420" t="str">
        <f t="shared" si="4"/>
        <v>E.2.1 Strom aus EE und vor Ort produziert</v>
      </c>
    </row>
    <row r="65" spans="2:9" x14ac:dyDescent="0.35">
      <c r="B65" s="1" t="str">
        <f>Qualitätsprüfung!O1273</f>
        <v>E.2.2 Qualität der Stromversorgung</v>
      </c>
      <c r="C65" s="38">
        <f>Qualität_Ergebnis_HF!C124</f>
        <v>20</v>
      </c>
      <c r="D65" s="38" t="str">
        <f>Qualität_Ergebnis_HF!D124</f>
        <v/>
      </c>
      <c r="E65" s="38">
        <f>Qualität_Ergebnis_HF!E124</f>
        <v>20</v>
      </c>
      <c r="F65" s="365">
        <f>Qualität_Ergebnis_HF!F124</f>
        <v>0</v>
      </c>
      <c r="G65" s="1682">
        <f>Qualität_Ergebnis_HF!G124</f>
        <v>0</v>
      </c>
      <c r="I65" s="420" t="str">
        <f t="shared" si="4"/>
        <v>E.2.2 Qualität der Stromversorgung</v>
      </c>
    </row>
    <row r="66" spans="2:9" x14ac:dyDescent="0.35">
      <c r="B66" s="1" t="str">
        <f>Qualitätsprüfung!O1295</f>
        <v>E.2.3 Qualität der Elektroplanung</v>
      </c>
      <c r="C66" s="38">
        <f>Qualität_Ergebnis_HF!C125</f>
        <v>5</v>
      </c>
      <c r="D66" s="38" t="str">
        <f>Qualität_Ergebnis_HF!D125</f>
        <v/>
      </c>
      <c r="E66" s="38">
        <f>Qualität_Ergebnis_HF!E125</f>
        <v>5</v>
      </c>
      <c r="F66" s="365">
        <f>Qualität_Ergebnis_HF!F125</f>
        <v>0</v>
      </c>
      <c r="G66" s="1682">
        <f>Qualität_Ergebnis_HF!G125</f>
        <v>0</v>
      </c>
      <c r="I66" s="420" t="str">
        <f t="shared" si="4"/>
        <v>E.2.3 Qualität der Elektroplanung</v>
      </c>
    </row>
    <row r="67" spans="2:9" x14ac:dyDescent="0.35">
      <c r="B67" s="1" t="str">
        <f>Qualitätsprüfung!O1320</f>
        <v>E.3.1 Wassernutzung Haushalte</v>
      </c>
      <c r="C67" s="38">
        <f>Qualität_Ergebnis_HF!C127</f>
        <v>15</v>
      </c>
      <c r="D67" s="38" t="str">
        <f>Qualität_Ergebnis_HF!D127</f>
        <v/>
      </c>
      <c r="E67" s="38">
        <f>Qualität_Ergebnis_HF!E127</f>
        <v>15</v>
      </c>
      <c r="F67" s="365">
        <f>Qualität_Ergebnis_HF!F127</f>
        <v>0</v>
      </c>
      <c r="G67" s="1682">
        <f>Qualität_Ergebnis_HF!G127</f>
        <v>0</v>
      </c>
      <c r="I67" s="420" t="str">
        <f t="shared" si="4"/>
        <v>E.3.1 Wassernutzung Haushalte</v>
      </c>
    </row>
    <row r="68" spans="2:9" x14ac:dyDescent="0.35">
      <c r="B68" s="1" t="str">
        <f>Qualitätsprüfung!O1342</f>
        <v>E.3.2 Wassernutzung Außenraum *</v>
      </c>
      <c r="C68" s="38">
        <f>Qualität_Ergebnis_HF!C128</f>
        <v>10</v>
      </c>
      <c r="D68" s="38" t="str">
        <f>Qualität_Ergebnis_HF!D128</f>
        <v/>
      </c>
      <c r="E68" s="38">
        <f>Qualität_Ergebnis_HF!E128</f>
        <v>10</v>
      </c>
      <c r="F68" s="365">
        <f>Qualität_Ergebnis_HF!F128</f>
        <v>0</v>
      </c>
      <c r="G68" s="1682">
        <f>Qualität_Ergebnis_HF!G128</f>
        <v>0</v>
      </c>
      <c r="I68" s="420" t="str">
        <f t="shared" si="4"/>
        <v>E.3.2 Wassernutzung Außenraum *</v>
      </c>
    </row>
    <row r="69" spans="2:9" x14ac:dyDescent="0.35">
      <c r="B69" s="1667" t="str">
        <f>Qualitätsprüfung!O1364</f>
        <v>E.3.3 Wassernutzung Dienstleistungsgebäude *</v>
      </c>
      <c r="C69" s="1668">
        <f>Qualität_Ergebnis_HF!C129</f>
        <v>10</v>
      </c>
      <c r="D69" s="1668" t="str">
        <f>Qualität_Ergebnis_HF!D129</f>
        <v/>
      </c>
      <c r="E69" s="1668">
        <f>Qualität_Ergebnis_HF!E129</f>
        <v>10</v>
      </c>
      <c r="F69" s="1777">
        <f>Qualität_Ergebnis_HF!F129</f>
        <v>0</v>
      </c>
      <c r="G69" s="1683">
        <f>Qualität_Ergebnis_HF!G129</f>
        <v>0</v>
      </c>
      <c r="H69" s="1666"/>
      <c r="I69" s="420" t="str">
        <f t="shared" si="4"/>
        <v>E.3.3 Wassernutzung Dienstleistungsgebäude *</v>
      </c>
    </row>
    <row r="70" spans="2:9" x14ac:dyDescent="0.35">
      <c r="B70" s="1" t="str">
        <f>Qualitätsprüfung!O1483</f>
        <v>F.1.3 Gebühren / Mietpreise *</v>
      </c>
      <c r="C70" s="38">
        <f>Qualität_Ergebnis_HF!C138</f>
        <v>2</v>
      </c>
      <c r="D70" s="38" t="str">
        <f>Qualität_Ergebnis_HF!D138</f>
        <v/>
      </c>
      <c r="E70" s="38">
        <f>Qualität_Ergebnis_HF!E138</f>
        <v>2</v>
      </c>
      <c r="F70" s="365">
        <f>Qualität_Ergebnis_HF!F138</f>
        <v>0</v>
      </c>
      <c r="G70" s="1682">
        <f>Qualität_Ergebnis_HF!G138</f>
        <v>0</v>
      </c>
      <c r="I70" s="420" t="str">
        <f t="shared" si="4"/>
        <v>F.1.3 Gebühren / Mietpreise *</v>
      </c>
    </row>
    <row r="71" spans="2:9" x14ac:dyDescent="0.35">
      <c r="B71" s="39"/>
      <c r="C71" s="175" t="s">
        <v>7</v>
      </c>
      <c r="D71" s="175" t="s">
        <v>5499</v>
      </c>
      <c r="E71" s="1043" t="s">
        <v>8</v>
      </c>
      <c r="F71" s="1043" t="s">
        <v>9</v>
      </c>
      <c r="G71" s="175" t="s">
        <v>10</v>
      </c>
      <c r="H71" s="419" t="s">
        <v>4449</v>
      </c>
      <c r="I71" s="420">
        <f t="shared" ref="I71:I88" si="5">B71</f>
        <v>0</v>
      </c>
    </row>
    <row r="72" spans="2:9" ht="21" x14ac:dyDescent="0.35">
      <c r="B72" s="1647" t="s">
        <v>6123</v>
      </c>
      <c r="C72" s="1648">
        <f>SUM(C73:C88)</f>
        <v>233</v>
      </c>
      <c r="D72" s="1648">
        <f>SUM(D73:D88)</f>
        <v>0</v>
      </c>
      <c r="E72" s="1648">
        <f>SUM(E73:E88)</f>
        <v>233</v>
      </c>
      <c r="F72" s="1648">
        <f>SUM(F73:F88)</f>
        <v>0</v>
      </c>
      <c r="G72" s="1649">
        <f>F72/E72</f>
        <v>0</v>
      </c>
      <c r="H72" s="1650"/>
      <c r="I72" s="420" t="str">
        <f t="shared" si="5"/>
        <v>Qualität durch Gemeinde beinflussbar</v>
      </c>
    </row>
    <row r="73" spans="2:9" s="39" customFormat="1" x14ac:dyDescent="0.35">
      <c r="B73" s="39" t="str">
        <f>Qualitätsprüfung!O86</f>
        <v>A.2.1 Städtebauliche Rahmenbedingungen und Nutzungskonzept</v>
      </c>
      <c r="C73" s="18">
        <f>Qualität_Ergebnis_HF!C48</f>
        <v>10</v>
      </c>
      <c r="D73" s="18" t="str">
        <f>Qualität_Ergebnis_HF!D48</f>
        <v/>
      </c>
      <c r="E73" s="18">
        <f>Qualität_Ergebnis_HF!E48</f>
        <v>10</v>
      </c>
      <c r="F73" s="456">
        <f>Qualität_Ergebnis_HF!F48</f>
        <v>0</v>
      </c>
      <c r="G73" s="31">
        <f>Qualität_Ergebnis_HF!G48</f>
        <v>0</v>
      </c>
      <c r="H73" s="426"/>
      <c r="I73" s="420" t="str">
        <f t="shared" si="5"/>
        <v>A.2.1 Städtebauliche Rahmenbedingungen und Nutzungskonzept</v>
      </c>
    </row>
    <row r="74" spans="2:9" s="39" customFormat="1" x14ac:dyDescent="0.35">
      <c r="B74" s="39" t="str">
        <f>Qualitätsprüfung!O152</f>
        <v>A.2.4 Mobilitätskonzept</v>
      </c>
      <c r="C74" s="18">
        <f>Qualität_Ergebnis_HF!C51</f>
        <v>10</v>
      </c>
      <c r="D74" s="18" t="str">
        <f>Qualität_Ergebnis_HF!D51</f>
        <v/>
      </c>
      <c r="E74" s="18">
        <f>Qualität_Ergebnis_HF!E51</f>
        <v>10</v>
      </c>
      <c r="F74" s="456">
        <f>Qualität_Ergebnis_HF!F51</f>
        <v>0</v>
      </c>
      <c r="G74" s="31">
        <f>Qualität_Ergebnis_HF!G51</f>
        <v>0</v>
      </c>
      <c r="H74" s="426"/>
      <c r="I74" s="420" t="str">
        <f t="shared" si="5"/>
        <v>A.2.4 Mobilitätskonzept</v>
      </c>
    </row>
    <row r="75" spans="2:9" s="39" customFormat="1" x14ac:dyDescent="0.35">
      <c r="B75" s="39" t="str">
        <f>Qualitätsprüfung!O198</f>
        <v>A.3.1 Grundeigentümerverbindliche Instrumente *</v>
      </c>
      <c r="C75" s="18">
        <f>Qualität_Ergebnis_HF!C54</f>
        <v>5</v>
      </c>
      <c r="D75" s="18" t="str">
        <f>Qualität_Ergebnis_HF!D54</f>
        <v/>
      </c>
      <c r="E75" s="18">
        <f>Qualität_Ergebnis_HF!E54</f>
        <v>5</v>
      </c>
      <c r="F75" s="456">
        <f>Qualität_Ergebnis_HF!F54</f>
        <v>0</v>
      </c>
      <c r="G75" s="31">
        <f>Qualität_Ergebnis_HF!G54</f>
        <v>0</v>
      </c>
      <c r="H75" s="426"/>
      <c r="I75" s="420" t="str">
        <f t="shared" si="5"/>
        <v>A.3.1 Grundeigentümerverbindliche Instrumente *</v>
      </c>
    </row>
    <row r="76" spans="2:9" s="39" customFormat="1" x14ac:dyDescent="0.35">
      <c r="B76" s="428" t="str">
        <f>Qualitätsprüfung!O220</f>
        <v>A.3.2 Kauf- bzw. Mietverträge Flächen *</v>
      </c>
      <c r="C76" s="18">
        <f>Qualität_Ergebnis_HF!C55</f>
        <v>5</v>
      </c>
      <c r="D76" s="18" t="str">
        <f>Qualität_Ergebnis_HF!D55</f>
        <v/>
      </c>
      <c r="E76" s="18">
        <f>Qualität_Ergebnis_HF!E55</f>
        <v>5</v>
      </c>
      <c r="F76" s="456">
        <f>Qualität_Ergebnis_HF!F55</f>
        <v>0</v>
      </c>
      <c r="G76" s="31">
        <f>Qualität_Ergebnis_HF!G55</f>
        <v>0</v>
      </c>
      <c r="H76" s="429"/>
      <c r="I76" s="420" t="str">
        <f t="shared" si="5"/>
        <v>A.3.2 Kauf- bzw. Mietverträge Flächen *</v>
      </c>
    </row>
    <row r="77" spans="2:9" s="39" customFormat="1" x14ac:dyDescent="0.35">
      <c r="B77" s="39" t="str">
        <f>Qualitätsprüfung!O401</f>
        <v>A.4.4 Monitoring Abfallmengen</v>
      </c>
      <c r="C77" s="18">
        <f>Qualität_Ergebnis_HF!C64</f>
        <v>5</v>
      </c>
      <c r="D77" s="18" t="str">
        <f>Qualität_Ergebnis_HF!D64</f>
        <v/>
      </c>
      <c r="E77" s="18">
        <f>Qualität_Ergebnis_HF!E64</f>
        <v>5</v>
      </c>
      <c r="F77" s="456">
        <f>Qualität_Ergebnis_HF!F64</f>
        <v>0</v>
      </c>
      <c r="G77" s="31">
        <f>Qualität_Ergebnis_HF!G64</f>
        <v>0</v>
      </c>
      <c r="H77" s="426"/>
      <c r="I77" s="420" t="str">
        <f t="shared" si="5"/>
        <v>A.4.4 Monitoring Abfallmengen</v>
      </c>
    </row>
    <row r="78" spans="2:9" s="39" customFormat="1" x14ac:dyDescent="0.35">
      <c r="B78" s="1660" t="str">
        <f>Qualitätsprüfung!O423</f>
        <v>A.4.5 Monitoring Mobilität</v>
      </c>
      <c r="C78" s="1658">
        <f>Qualität_Ergebnis_HF!C65</f>
        <v>5</v>
      </c>
      <c r="D78" s="1658" t="str">
        <f>Qualität_Ergebnis_HF!D65</f>
        <v/>
      </c>
      <c r="E78" s="1658">
        <f>Qualität_Ergebnis_HF!E65</f>
        <v>5</v>
      </c>
      <c r="F78" s="1774">
        <f>Qualität_Ergebnis_HF!F65</f>
        <v>0</v>
      </c>
      <c r="G78" s="1659">
        <f>Qualität_Ergebnis_HF!G65</f>
        <v>0</v>
      </c>
      <c r="H78" s="1661"/>
      <c r="I78" s="420" t="str">
        <f t="shared" si="5"/>
        <v>A.4.5 Monitoring Mobilität</v>
      </c>
    </row>
    <row r="79" spans="2:9" s="39" customFormat="1" x14ac:dyDescent="0.35">
      <c r="B79" s="1662" t="str">
        <f>Qualitätsprüfung!O655</f>
        <v>B.2.2 Konzept "Mobilitätsmarketing"</v>
      </c>
      <c r="C79" s="1663">
        <f>Qualität_Ergebnis_HF!C80</f>
        <v>20</v>
      </c>
      <c r="D79" s="1663" t="str">
        <f>Qualität_Ergebnis_HF!D80</f>
        <v/>
      </c>
      <c r="E79" s="1663">
        <f>Qualität_Ergebnis_HF!E80</f>
        <v>20</v>
      </c>
      <c r="F79" s="1776">
        <f>Qualität_Ergebnis_HF!F80</f>
        <v>0</v>
      </c>
      <c r="G79" s="1664">
        <f>Qualität_Ergebnis_HF!G80</f>
        <v>0</v>
      </c>
      <c r="H79" s="1665"/>
      <c r="I79" s="420" t="str">
        <f t="shared" si="5"/>
        <v>B.2.2 Konzept "Mobilitätsmarketing"</v>
      </c>
    </row>
    <row r="80" spans="2:9" s="39" customFormat="1" x14ac:dyDescent="0.35">
      <c r="B80" s="39" t="str">
        <f>Qualitätsprüfung!O755</f>
        <v>C.2.1 Abklärung zu Mikroklima</v>
      </c>
      <c r="C80" s="18">
        <f>Qualität_Ergebnis_HF!C89</f>
        <v>6</v>
      </c>
      <c r="D80" s="18" t="str">
        <f>Qualität_Ergebnis_HF!D89</f>
        <v/>
      </c>
      <c r="E80" s="18">
        <f>Qualität_Ergebnis_HF!E89</f>
        <v>6</v>
      </c>
      <c r="F80" s="456">
        <f>Qualität_Ergebnis_HF!F89</f>
        <v>0</v>
      </c>
      <c r="G80" s="31">
        <f>Qualität_Ergebnis_HF!G89</f>
        <v>0</v>
      </c>
      <c r="H80" s="416"/>
      <c r="I80" s="420" t="str">
        <f t="shared" si="5"/>
        <v>C.2.1 Abklärung zu Mikroklima</v>
      </c>
    </row>
    <row r="81" spans="2:9" s="39" customFormat="1" x14ac:dyDescent="0.35">
      <c r="B81" s="39" t="str">
        <f>Qualitätsprüfung!O777</f>
        <v>C.2.2 Durchlüftung *</v>
      </c>
      <c r="C81" s="18">
        <f>Qualität_Ergebnis_HF!C90</f>
        <v>6</v>
      </c>
      <c r="D81" s="18" t="str">
        <f>Qualität_Ergebnis_HF!D90</f>
        <v/>
      </c>
      <c r="E81" s="18">
        <f>Qualität_Ergebnis_HF!E90</f>
        <v>6</v>
      </c>
      <c r="F81" s="456">
        <f>Qualität_Ergebnis_HF!F90</f>
        <v>0</v>
      </c>
      <c r="G81" s="31">
        <f>Qualität_Ergebnis_HF!G90</f>
        <v>0</v>
      </c>
      <c r="H81" s="416"/>
      <c r="I81" s="420" t="str">
        <f t="shared" si="5"/>
        <v>C.2.2 Durchlüftung *</v>
      </c>
    </row>
    <row r="82" spans="2:9" s="39" customFormat="1" x14ac:dyDescent="0.35">
      <c r="B82" s="39" t="str">
        <f>Qualitätsprüfung!O890</f>
        <v>C.3.4 Wirkung auf Umfeld</v>
      </c>
      <c r="C82" s="18">
        <f>Qualität_Ergebnis_HF!C96</f>
        <v>8</v>
      </c>
      <c r="D82" s="18" t="str">
        <f>Qualität_Ergebnis_HF!D96</f>
        <v/>
      </c>
      <c r="E82" s="18">
        <f>Qualität_Ergebnis_HF!E96</f>
        <v>8</v>
      </c>
      <c r="F82" s="456">
        <f>Qualität_Ergebnis_HF!F96</f>
        <v>0</v>
      </c>
      <c r="G82" s="31">
        <f>Qualität_Ergebnis_HF!G96</f>
        <v>0</v>
      </c>
      <c r="H82" s="416"/>
      <c r="I82" s="420" t="str">
        <f>B82</f>
        <v>C.3.4 Wirkung auf Umfeld</v>
      </c>
    </row>
    <row r="83" spans="2:9" x14ac:dyDescent="0.35">
      <c r="B83" s="1" t="str">
        <f>Qualitätsprüfung!O1389</f>
        <v>E.4.1 Vermeidung von gemischten Siedlungsabfällen</v>
      </c>
      <c r="C83" s="38">
        <f>Qualität_Ergebnis_HF!C131</f>
        <v>15</v>
      </c>
      <c r="D83" s="38" t="str">
        <f>Qualität_Ergebnis_HF!D131</f>
        <v/>
      </c>
      <c r="E83" s="38">
        <f>Qualität_Ergebnis_HF!E131</f>
        <v>15</v>
      </c>
      <c r="F83" s="365">
        <f>Qualität_Ergebnis_HF!F131</f>
        <v>0</v>
      </c>
      <c r="G83" s="1682">
        <f>Qualität_Ergebnis_HF!G131</f>
        <v>0</v>
      </c>
      <c r="I83" s="420" t="str">
        <f t="shared" si="5"/>
        <v>E.4.1 Vermeidung von gemischten Siedlungsabfällen</v>
      </c>
    </row>
    <row r="84" spans="2:9" x14ac:dyDescent="0.35">
      <c r="B84" s="1667" t="str">
        <f>Qualitätsprüfung!O1411</f>
        <v>E.4.2 Vermeidung von nicht gemischten Siedlungsabfällen</v>
      </c>
      <c r="C84" s="1668">
        <f>Qualität_Ergebnis_HF!C132</f>
        <v>15</v>
      </c>
      <c r="D84" s="1668" t="str">
        <f>Qualität_Ergebnis_HF!D132</f>
        <v/>
      </c>
      <c r="E84" s="1668">
        <f>Qualität_Ergebnis_HF!E132</f>
        <v>15</v>
      </c>
      <c r="F84" s="1777">
        <f>Qualität_Ergebnis_HF!F132</f>
        <v>0</v>
      </c>
      <c r="G84" s="1683">
        <f>Qualität_Ergebnis_HF!G132</f>
        <v>0</v>
      </c>
      <c r="H84" s="1666"/>
      <c r="I84" s="420" t="str">
        <f t="shared" si="5"/>
        <v>E.4.2 Vermeidung von nicht gemischten Siedlungsabfällen</v>
      </c>
    </row>
    <row r="85" spans="2:9" x14ac:dyDescent="0.35">
      <c r="B85" s="1" t="str">
        <f>Qualitätsprüfung!O1461</f>
        <v>F.1.2 Parkplatzbewirtschaftung *</v>
      </c>
      <c r="C85" s="38">
        <f>Qualität_Ergebnis_HF!C137</f>
        <v>7</v>
      </c>
      <c r="D85" s="38" t="str">
        <f>Qualität_Ergebnis_HF!D137</f>
        <v/>
      </c>
      <c r="E85" s="38">
        <f>Qualität_Ergebnis_HF!E137</f>
        <v>7</v>
      </c>
      <c r="F85" s="365">
        <f>Qualität_Ergebnis_HF!F137</f>
        <v>0</v>
      </c>
      <c r="G85" s="1682">
        <f>Qualität_Ergebnis_HF!G137</f>
        <v>0</v>
      </c>
      <c r="I85" s="420" t="str">
        <f t="shared" si="5"/>
        <v>F.1.2 Parkplatzbewirtschaftung *</v>
      </c>
    </row>
    <row r="86" spans="2:9" x14ac:dyDescent="0.35">
      <c r="B86" s="1" t="str">
        <f>Qualitätsprüfung!O1530</f>
        <v>F.2.2 Fuß- und Radwegnetz</v>
      </c>
      <c r="C86" s="38">
        <f>Qualität_Ergebnis_HF!C141</f>
        <v>27</v>
      </c>
      <c r="D86" s="38" t="str">
        <f>Qualität_Ergebnis_HF!D141</f>
        <v/>
      </c>
      <c r="E86" s="38">
        <f>Qualität_Ergebnis_HF!E141</f>
        <v>27</v>
      </c>
      <c r="F86" s="365">
        <f>Qualität_Ergebnis_HF!F141</f>
        <v>0</v>
      </c>
      <c r="G86" s="1682">
        <f>Qualität_Ergebnis_HF!G141</f>
        <v>0</v>
      </c>
      <c r="I86" s="420" t="str">
        <f t="shared" si="5"/>
        <v>F.2.2 Fuß- und Radwegnetz</v>
      </c>
    </row>
    <row r="87" spans="2:9" x14ac:dyDescent="0.35">
      <c r="B87" s="1" t="str">
        <f>Qualitätsprüfung!O1552</f>
        <v>F.2.3 Gestaltung und Barrierefreiheit</v>
      </c>
      <c r="C87" s="38">
        <f>Qualität_Ergebnis_HF!C142</f>
        <v>52</v>
      </c>
      <c r="D87" s="38" t="str">
        <f>Qualität_Ergebnis_HF!D142</f>
        <v/>
      </c>
      <c r="E87" s="38">
        <f>Qualität_Ergebnis_HF!E142</f>
        <v>52</v>
      </c>
      <c r="F87" s="365">
        <f>Qualität_Ergebnis_HF!F142</f>
        <v>0</v>
      </c>
      <c r="G87" s="1682">
        <f>Qualität_Ergebnis_HF!G142</f>
        <v>0</v>
      </c>
      <c r="I87" s="420" t="str">
        <f t="shared" si="5"/>
        <v>F.2.3 Gestaltung und Barrierefreiheit</v>
      </c>
    </row>
    <row r="88" spans="2:9" x14ac:dyDescent="0.35">
      <c r="B88" s="1" t="str">
        <f>Qualitätsprüfung!O1599</f>
        <v>F.3.2 Alternative Mobilitätsangebote</v>
      </c>
      <c r="C88" s="38">
        <f>Qualität_Ergebnis_HF!C145</f>
        <v>37</v>
      </c>
      <c r="D88" s="38" t="str">
        <f>Qualität_Ergebnis_HF!D145</f>
        <v/>
      </c>
      <c r="E88" s="38">
        <f>Qualität_Ergebnis_HF!E145</f>
        <v>37</v>
      </c>
      <c r="F88" s="365">
        <f>Qualität_Ergebnis_HF!F145</f>
        <v>0</v>
      </c>
      <c r="G88" s="1682">
        <f>Qualität_Ergebnis_HF!G145</f>
        <v>0</v>
      </c>
      <c r="I88" s="420" t="str">
        <f t="shared" si="5"/>
        <v>F.3.2 Alternative Mobilitätsangebote</v>
      </c>
    </row>
    <row r="89" spans="2:9" x14ac:dyDescent="0.35">
      <c r="C89" s="175" t="s">
        <v>7</v>
      </c>
      <c r="D89" s="175" t="s">
        <v>5499</v>
      </c>
      <c r="E89" s="175" t="s">
        <v>8</v>
      </c>
      <c r="F89" s="1043" t="s">
        <v>9</v>
      </c>
      <c r="G89" s="175" t="s">
        <v>10</v>
      </c>
      <c r="H89" s="419" t="s">
        <v>4449</v>
      </c>
    </row>
    <row r="90" spans="2:9" s="39" customFormat="1" ht="23.5" x14ac:dyDescent="0.35">
      <c r="B90" s="1651" t="s">
        <v>6124</v>
      </c>
      <c r="C90" s="1652">
        <f>SUM(C91:C114)</f>
        <v>266</v>
      </c>
      <c r="D90" s="1652">
        <f>SUM(D91:D114)</f>
        <v>0</v>
      </c>
      <c r="E90" s="1652">
        <f>SUM(E91:E114)</f>
        <v>266</v>
      </c>
      <c r="F90" s="1652">
        <f>SUM(F91:F114)</f>
        <v>0</v>
      </c>
      <c r="G90" s="1653">
        <f>F90/E90</f>
        <v>0</v>
      </c>
      <c r="H90" s="1654"/>
      <c r="I90" s="420" t="str">
        <f t="shared" ref="I90:I114" si="6">B90</f>
        <v>Qualität durch StGr. beeinflussbar</v>
      </c>
    </row>
    <row r="91" spans="2:9" s="39" customFormat="1" x14ac:dyDescent="0.35">
      <c r="B91" s="39" t="str">
        <f>Qualitätsprüfung!O40</f>
        <v>A.1.1 Steuerungsgruppe</v>
      </c>
      <c r="C91" s="18">
        <f>Qualität_Ergebnis_HF!C45</f>
        <v>10</v>
      </c>
      <c r="D91" s="18" t="str">
        <f>Qualität_Ergebnis_HF!D45</f>
        <v/>
      </c>
      <c r="E91" s="18">
        <f>Qualität_Ergebnis_HF!E45</f>
        <v>10</v>
      </c>
      <c r="F91" s="456">
        <f>Qualität_Ergebnis_HF!F45</f>
        <v>0</v>
      </c>
      <c r="G91" s="31">
        <f>Qualität_Ergebnis_HF!G45</f>
        <v>0</v>
      </c>
      <c r="H91" s="426"/>
      <c r="I91" s="420" t="str">
        <f t="shared" si="6"/>
        <v>A.1.1 Steuerungsgruppe</v>
      </c>
    </row>
    <row r="92" spans="2:9" s="39" customFormat="1" x14ac:dyDescent="0.35">
      <c r="B92" s="39" t="str">
        <f>Qualitätsprüfung!O62</f>
        <v>A.1.2 Ressourcen</v>
      </c>
      <c r="C92" s="18">
        <f>Qualität_Ergebnis_HF!C46</f>
        <v>15</v>
      </c>
      <c r="D92" s="18" t="str">
        <f>Qualität_Ergebnis_HF!D46</f>
        <v/>
      </c>
      <c r="E92" s="18">
        <f>Qualität_Ergebnis_HF!E46</f>
        <v>15</v>
      </c>
      <c r="F92" s="456">
        <f>Qualität_Ergebnis_HF!F46</f>
        <v>0</v>
      </c>
      <c r="G92" s="31">
        <f>Qualität_Ergebnis_HF!G46</f>
        <v>0</v>
      </c>
      <c r="H92" s="426"/>
      <c r="I92" s="420" t="str">
        <f t="shared" si="6"/>
        <v>A.1.2 Ressourcen</v>
      </c>
    </row>
    <row r="93" spans="2:9" s="39" customFormat="1" x14ac:dyDescent="0.35">
      <c r="B93" s="39" t="str">
        <f>Qualitätsprüfung!O130</f>
        <v>A.2.3 Versorgungskonzept</v>
      </c>
      <c r="C93" s="18">
        <f>Qualität_Ergebnis_HF!C50</f>
        <v>10</v>
      </c>
      <c r="D93" s="18" t="str">
        <f>Qualität_Ergebnis_HF!D50</f>
        <v/>
      </c>
      <c r="E93" s="18">
        <f>Qualität_Ergebnis_HF!E50</f>
        <v>10</v>
      </c>
      <c r="F93" s="456">
        <f>Qualität_Ergebnis_HF!F50</f>
        <v>0</v>
      </c>
      <c r="G93" s="31">
        <f>Qualität_Ergebnis_HF!G50</f>
        <v>0</v>
      </c>
      <c r="H93" s="426"/>
      <c r="I93" s="420" t="str">
        <f t="shared" si="6"/>
        <v>A.2.3 Versorgungskonzept</v>
      </c>
    </row>
    <row r="94" spans="2:9" s="39" customFormat="1" x14ac:dyDescent="0.35">
      <c r="B94" s="39" t="str">
        <f>Qualitätsprüfung!O173</f>
        <v>A.2.5 Schrittweise Umsetzung der Konzepte *</v>
      </c>
      <c r="C94" s="18">
        <f>Qualität_Ergebnis_HF!C52</f>
        <v>5</v>
      </c>
      <c r="D94" s="18" t="str">
        <f>Qualität_Ergebnis_HF!D52</f>
        <v/>
      </c>
      <c r="E94" s="18">
        <f>Qualität_Ergebnis_HF!E52</f>
        <v>5</v>
      </c>
      <c r="F94" s="456">
        <f>Qualität_Ergebnis_HF!F52</f>
        <v>0</v>
      </c>
      <c r="G94" s="31">
        <f>Qualität_Ergebnis_HF!G52</f>
        <v>0</v>
      </c>
      <c r="H94" s="426"/>
      <c r="I94" s="420" t="str">
        <f t="shared" si="6"/>
        <v>A.2.5 Schrittweise Umsetzung der Konzepte *</v>
      </c>
    </row>
    <row r="95" spans="2:9" s="39" customFormat="1" x14ac:dyDescent="0.35">
      <c r="B95" s="39" t="str">
        <f>Qualitätsprüfung!O242</f>
        <v>A.3.3 Auswahl- bzw. Planungsverfahren | Werterhaltungsstrategie</v>
      </c>
      <c r="C95" s="18">
        <f>Qualität_Ergebnis_HF!C56</f>
        <v>5</v>
      </c>
      <c r="D95" s="18" t="str">
        <f>Qualität_Ergebnis_HF!D56</f>
        <v/>
      </c>
      <c r="E95" s="18">
        <f>Qualität_Ergebnis_HF!E56</f>
        <v>5</v>
      </c>
      <c r="F95" s="456">
        <f>Qualität_Ergebnis_HF!F56</f>
        <v>0</v>
      </c>
      <c r="G95" s="31">
        <f>Qualität_Ergebnis_HF!G56</f>
        <v>0</v>
      </c>
      <c r="H95" s="426"/>
      <c r="I95" s="420" t="str">
        <f>B95</f>
        <v>A.3.3 Auswahl- bzw. Planungsverfahren | Werterhaltungsstrategie</v>
      </c>
    </row>
    <row r="96" spans="2:9" s="39" customFormat="1" x14ac:dyDescent="0.35">
      <c r="B96" s="39" t="str">
        <f>Qualitätsprüfung!O310</f>
        <v>A.3.6 Förderungen</v>
      </c>
      <c r="C96" s="18">
        <f>Qualität_Ergebnis_HF!C59</f>
        <v>5</v>
      </c>
      <c r="D96" s="18" t="str">
        <f>Qualität_Ergebnis_HF!D59</f>
        <v/>
      </c>
      <c r="E96" s="18">
        <f>Qualität_Ergebnis_HF!E59</f>
        <v>5</v>
      </c>
      <c r="F96" s="456">
        <f>Qualität_Ergebnis_HF!F59</f>
        <v>0</v>
      </c>
      <c r="G96" s="31">
        <f>Qualität_Ergebnis_HF!G59</f>
        <v>0</v>
      </c>
      <c r="H96" s="426"/>
      <c r="I96" s="420" t="str">
        <f t="shared" si="6"/>
        <v>A.3.6 Förderungen</v>
      </c>
    </row>
    <row r="97" spans="2:9" s="39" customFormat="1" x14ac:dyDescent="0.35">
      <c r="B97" s="39" t="str">
        <f>Qualitätsprüfung!O448</f>
        <v>A.5.1 Umweltanalyse</v>
      </c>
      <c r="C97" s="18">
        <f>Qualität_Ergebnis_HF!C67</f>
        <v>5</v>
      </c>
      <c r="D97" s="18" t="str">
        <f>Qualität_Ergebnis_HF!D67</f>
        <v/>
      </c>
      <c r="E97" s="18">
        <f>Qualität_Ergebnis_HF!E67</f>
        <v>5</v>
      </c>
      <c r="F97" s="456">
        <f>Qualität_Ergebnis_HF!F67</f>
        <v>0</v>
      </c>
      <c r="G97" s="31">
        <f>Qualität_Ergebnis_HF!G67</f>
        <v>0</v>
      </c>
      <c r="H97" s="426"/>
      <c r="I97" s="420" t="str">
        <f t="shared" si="6"/>
        <v>A.5.1 Umweltanalyse</v>
      </c>
    </row>
    <row r="98" spans="2:9" s="39" customFormat="1" x14ac:dyDescent="0.35">
      <c r="B98" s="39" t="str">
        <f>Qualitätsprüfung!O470</f>
        <v>A.5.2 Erfolgskontrolle und Planung</v>
      </c>
      <c r="C98" s="18">
        <f>Qualität_Ergebnis_HF!C68</f>
        <v>10</v>
      </c>
      <c r="D98" s="18" t="str">
        <f>Qualität_Ergebnis_HF!D68</f>
        <v/>
      </c>
      <c r="E98" s="18">
        <f>Qualität_Ergebnis_HF!E68</f>
        <v>10</v>
      </c>
      <c r="F98" s="456">
        <f>Qualität_Ergebnis_HF!F68</f>
        <v>0</v>
      </c>
      <c r="G98" s="31">
        <f>Qualität_Ergebnis_HF!G68</f>
        <v>0</v>
      </c>
      <c r="H98" s="426"/>
      <c r="I98" s="420" t="str">
        <f t="shared" si="6"/>
        <v>A.5.2 Erfolgskontrolle und Planung</v>
      </c>
    </row>
    <row r="99" spans="2:9" s="39" customFormat="1" x14ac:dyDescent="0.35">
      <c r="B99" s="1660" t="str">
        <f>Qualitätsprüfung!O492</f>
        <v>A.5.3 Qualitätssicherungsverfahren</v>
      </c>
      <c r="C99" s="1658">
        <f>Qualität_Ergebnis_HF!C69</f>
        <v>10</v>
      </c>
      <c r="D99" s="1658" t="str">
        <f>Qualität_Ergebnis_HF!D69</f>
        <v/>
      </c>
      <c r="E99" s="1658">
        <f>Qualität_Ergebnis_HF!E69</f>
        <v>10</v>
      </c>
      <c r="F99" s="1774">
        <f>Qualität_Ergebnis_HF!F69</f>
        <v>0</v>
      </c>
      <c r="G99" s="1659">
        <f>Qualität_Ergebnis_HF!G69</f>
        <v>0</v>
      </c>
      <c r="H99" s="1661"/>
      <c r="I99" s="420" t="str">
        <f t="shared" si="6"/>
        <v>A.5.3 Qualitätssicherungsverfahren</v>
      </c>
    </row>
    <row r="100" spans="2:9" s="39" customFormat="1" x14ac:dyDescent="0.35">
      <c r="B100" s="39" t="str">
        <f>Qualitätsprüfung!O520</f>
        <v>B.1.1 Stakeholderanalyse</v>
      </c>
      <c r="C100" s="18">
        <f>Qualität_Ergebnis_HF!C73</f>
        <v>5</v>
      </c>
      <c r="D100" s="18" t="str">
        <f>Qualität_Ergebnis_HF!D73</f>
        <v/>
      </c>
      <c r="E100" s="18">
        <f>Qualität_Ergebnis_HF!E73</f>
        <v>5</v>
      </c>
      <c r="F100" s="456">
        <f>Qualität_Ergebnis_HF!F73</f>
        <v>0</v>
      </c>
      <c r="G100" s="31">
        <f>Qualität_Ergebnis_HF!G73</f>
        <v>0</v>
      </c>
      <c r="H100" s="416"/>
      <c r="I100" s="420" t="str">
        <f t="shared" si="6"/>
        <v>B.1.1 Stakeholderanalyse</v>
      </c>
    </row>
    <row r="101" spans="2:9" s="39" customFormat="1" x14ac:dyDescent="0.35">
      <c r="B101" s="39" t="str">
        <f>Qualitätsprüfung!O542</f>
        <v>B.1.2 Dialog, Austausch - Struktur</v>
      </c>
      <c r="C101" s="18">
        <f>Qualität_Ergebnis_HF!C74</f>
        <v>10</v>
      </c>
      <c r="D101" s="18" t="str">
        <f>Qualität_Ergebnis_HF!D74</f>
        <v/>
      </c>
      <c r="E101" s="18">
        <f>Qualität_Ergebnis_HF!E74</f>
        <v>10</v>
      </c>
      <c r="F101" s="456">
        <f>Qualität_Ergebnis_HF!F74</f>
        <v>0</v>
      </c>
      <c r="G101" s="31">
        <f>Qualität_Ergebnis_HF!G74</f>
        <v>0</v>
      </c>
      <c r="H101" s="416"/>
      <c r="I101" s="420" t="str">
        <f t="shared" si="6"/>
        <v>B.1.2 Dialog, Austausch - Struktur</v>
      </c>
    </row>
    <row r="102" spans="2:9" s="39" customFormat="1" x14ac:dyDescent="0.35">
      <c r="B102" s="39" t="str">
        <f>Qualitätsprüfung!O564</f>
        <v>B.1.3 Dialog, Austausch - Häufigkeit</v>
      </c>
      <c r="C102" s="18">
        <f>Qualität_Ergebnis_HF!C75</f>
        <v>15</v>
      </c>
      <c r="D102" s="18" t="str">
        <f>Qualität_Ergebnis_HF!D75</f>
        <v/>
      </c>
      <c r="E102" s="18">
        <f>Qualität_Ergebnis_HF!E75</f>
        <v>15</v>
      </c>
      <c r="F102" s="456">
        <f>Qualität_Ergebnis_HF!F75</f>
        <v>0</v>
      </c>
      <c r="G102" s="31">
        <f>Qualität_Ergebnis_HF!G75</f>
        <v>0</v>
      </c>
      <c r="H102" s="416"/>
      <c r="I102" s="420" t="str">
        <f t="shared" si="6"/>
        <v>B.1.3 Dialog, Austausch - Häufigkeit</v>
      </c>
    </row>
    <row r="103" spans="2:9" s="39" customFormat="1" x14ac:dyDescent="0.35">
      <c r="B103" s="39" t="str">
        <f>Qualitätsprüfung!O586</f>
        <v>B.1.4 Mitbestimmung - Beteiligungsformat</v>
      </c>
      <c r="C103" s="18">
        <f>Qualität_Ergebnis_HF!C76</f>
        <v>10</v>
      </c>
      <c r="D103" s="18" t="str">
        <f>Qualität_Ergebnis_HF!D76</f>
        <v/>
      </c>
      <c r="E103" s="18">
        <f>Qualität_Ergebnis_HF!E76</f>
        <v>10</v>
      </c>
      <c r="F103" s="456">
        <f>Qualität_Ergebnis_HF!F76</f>
        <v>0</v>
      </c>
      <c r="G103" s="31">
        <f>Qualität_Ergebnis_HF!G76</f>
        <v>0</v>
      </c>
      <c r="H103" s="416"/>
      <c r="I103" s="420" t="str">
        <f t="shared" si="6"/>
        <v>B.1.4 Mitbestimmung - Beteiligungsformat</v>
      </c>
    </row>
    <row r="104" spans="2:9" s="39" customFormat="1" x14ac:dyDescent="0.35">
      <c r="B104" s="39" t="str">
        <f>Qualitätsprüfung!O608</f>
        <v>B.1.5 Mitbestimmung - Relevante Auswirkung</v>
      </c>
      <c r="C104" s="18">
        <f>Qualität_Ergebnis_HF!C77</f>
        <v>15</v>
      </c>
      <c r="D104" s="18" t="str">
        <f>Qualität_Ergebnis_HF!D77</f>
        <v/>
      </c>
      <c r="E104" s="18">
        <f>Qualität_Ergebnis_HF!E77</f>
        <v>15</v>
      </c>
      <c r="F104" s="456">
        <f>Qualität_Ergebnis_HF!F77</f>
        <v>0</v>
      </c>
      <c r="G104" s="31">
        <f>Qualität_Ergebnis_HF!G77</f>
        <v>0</v>
      </c>
      <c r="H104" s="416"/>
      <c r="I104" s="420" t="str">
        <f t="shared" si="6"/>
        <v>B.1.5 Mitbestimmung - Relevante Auswirkung</v>
      </c>
    </row>
    <row r="105" spans="2:9" s="39" customFormat="1" x14ac:dyDescent="0.35">
      <c r="B105" s="39" t="str">
        <f>Qualitätsprüfung!O680</f>
        <v>B.3.1 Qualität der Information</v>
      </c>
      <c r="C105" s="18">
        <f>Qualität_Ergebnis_HF!C82</f>
        <v>5</v>
      </c>
      <c r="D105" s="18" t="str">
        <f>Qualität_Ergebnis_HF!D82</f>
        <v/>
      </c>
      <c r="E105" s="18">
        <f>Qualität_Ergebnis_HF!E82</f>
        <v>5</v>
      </c>
      <c r="F105" s="456">
        <f>Qualität_Ergebnis_HF!F82</f>
        <v>0</v>
      </c>
      <c r="G105" s="31">
        <f>Qualität_Ergebnis_HF!G82</f>
        <v>0</v>
      </c>
      <c r="H105" s="416"/>
      <c r="I105" s="420" t="str">
        <f t="shared" si="6"/>
        <v>B.3.1 Qualität der Information</v>
      </c>
    </row>
    <row r="106" spans="2:9" s="39" customFormat="1" x14ac:dyDescent="0.35">
      <c r="B106" s="1660" t="str">
        <f>Qualitätsprüfung!O702</f>
        <v>B.3.2 Häufigkeit der Kommunikation</v>
      </c>
      <c r="C106" s="1658">
        <f>Qualität_Ergebnis_HF!C83</f>
        <v>5</v>
      </c>
      <c r="D106" s="1658" t="str">
        <f>Qualität_Ergebnis_HF!D83</f>
        <v/>
      </c>
      <c r="E106" s="1658">
        <f>Qualität_Ergebnis_HF!E83</f>
        <v>5</v>
      </c>
      <c r="F106" s="1774">
        <f>Qualität_Ergebnis_HF!F83</f>
        <v>0</v>
      </c>
      <c r="G106" s="1659">
        <f>Qualität_Ergebnis_HF!G83</f>
        <v>0</v>
      </c>
      <c r="H106" s="1666"/>
      <c r="I106" s="420" t="str">
        <f t="shared" si="6"/>
        <v>B.3.2 Häufigkeit der Kommunikation</v>
      </c>
    </row>
    <row r="107" spans="2:9" s="39" customFormat="1" x14ac:dyDescent="0.35">
      <c r="B107" s="39" t="str">
        <f>Qualitätsprüfung!O824</f>
        <v>C.3.1 Zielgruppen</v>
      </c>
      <c r="C107" s="18">
        <f>Qualität_Ergebnis_HF!C93</f>
        <v>13</v>
      </c>
      <c r="D107" s="18" t="str">
        <f>Qualität_Ergebnis_HF!D93</f>
        <v/>
      </c>
      <c r="E107" s="18">
        <f>Qualität_Ergebnis_HF!E93</f>
        <v>13</v>
      </c>
      <c r="F107" s="456">
        <f>Qualität_Ergebnis_HF!F93</f>
        <v>0</v>
      </c>
      <c r="G107" s="31">
        <f>Qualität_Ergebnis_HF!G93</f>
        <v>0</v>
      </c>
      <c r="H107" s="416"/>
      <c r="I107" s="420" t="str">
        <f t="shared" si="6"/>
        <v>C.3.1 Zielgruppen</v>
      </c>
    </row>
    <row r="108" spans="2:9" s="39" customFormat="1" x14ac:dyDescent="0.35">
      <c r="B108" s="39" t="str">
        <f>Qualitätsprüfung!O846</f>
        <v>C.3.2 Durchmischte Wohnnutzungen</v>
      </c>
      <c r="C108" s="18">
        <f>Qualität_Ergebnis_HF!C94</f>
        <v>13</v>
      </c>
      <c r="D108" s="18" t="str">
        <f>Qualität_Ergebnis_HF!D94</f>
        <v/>
      </c>
      <c r="E108" s="18">
        <f>Qualität_Ergebnis_HF!E94</f>
        <v>13</v>
      </c>
      <c r="F108" s="456">
        <f>Qualität_Ergebnis_HF!F94</f>
        <v>0</v>
      </c>
      <c r="G108" s="31">
        <f>Qualität_Ergebnis_HF!G94</f>
        <v>0</v>
      </c>
      <c r="H108" s="416"/>
      <c r="I108" s="420" t="str">
        <f t="shared" si="6"/>
        <v>C.3.2 Durchmischte Wohnnutzungen</v>
      </c>
    </row>
    <row r="109" spans="2:9" s="39" customFormat="1" x14ac:dyDescent="0.35">
      <c r="B109" s="39" t="str">
        <f>Qualitätsprüfung!O915</f>
        <v>C.4.1 Erdgeschossnutzungen</v>
      </c>
      <c r="C109" s="18">
        <f>Qualität_Ergebnis_HF!C98</f>
        <v>13</v>
      </c>
      <c r="D109" s="18" t="str">
        <f>Qualität_Ergebnis_HF!D98</f>
        <v/>
      </c>
      <c r="E109" s="18">
        <f>Qualität_Ergebnis_HF!E98</f>
        <v>13</v>
      </c>
      <c r="F109" s="456">
        <f>Qualität_Ergebnis_HF!F98</f>
        <v>0</v>
      </c>
      <c r="G109" s="31">
        <f>Qualität_Ergebnis_HF!G98</f>
        <v>0</v>
      </c>
      <c r="H109" s="416"/>
      <c r="I109" s="420" t="str">
        <f>B109</f>
        <v>C.4.1 Erdgeschossnutzungen</v>
      </c>
    </row>
    <row r="110" spans="2:9" s="39" customFormat="1" x14ac:dyDescent="0.35">
      <c r="B110" s="39" t="str">
        <f>Qualitätsprüfung!O937</f>
        <v>C.4.2 Zugang</v>
      </c>
      <c r="C110" s="18">
        <f>Qualität_Ergebnis_HF!C99</f>
        <v>13</v>
      </c>
      <c r="D110" s="18" t="str">
        <f>Qualität_Ergebnis_HF!D99</f>
        <v/>
      </c>
      <c r="E110" s="18">
        <f>Qualität_Ergebnis_HF!E99</f>
        <v>13</v>
      </c>
      <c r="F110" s="456">
        <f>Qualität_Ergebnis_HF!F99</f>
        <v>0</v>
      </c>
      <c r="G110" s="31">
        <f>Qualität_Ergebnis_HF!G99</f>
        <v>0</v>
      </c>
      <c r="H110" s="416"/>
      <c r="I110" s="420" t="str">
        <f>B110</f>
        <v>C.4.2 Zugang</v>
      </c>
    </row>
    <row r="111" spans="2:9" s="39" customFormat="1" x14ac:dyDescent="0.35">
      <c r="B111" s="1662" t="str">
        <f>Qualitätsprüfung!O1131</f>
        <v>D.3.1 Personenfläche</v>
      </c>
      <c r="C111" s="1663">
        <f>Qualität_Ergebnis_HF!C114</f>
        <v>25</v>
      </c>
      <c r="D111" s="1663" t="str">
        <f>Qualität_Ergebnis_HF!D114</f>
        <v/>
      </c>
      <c r="E111" s="1663">
        <f>Qualität_Ergebnis_HF!E114</f>
        <v>25</v>
      </c>
      <c r="F111" s="1776">
        <f>Qualität_Ergebnis_HF!F114</f>
        <v>0</v>
      </c>
      <c r="G111" s="1664">
        <f>Qualität_Ergebnis_HF!G114</f>
        <v>0</v>
      </c>
      <c r="H111" s="1665"/>
      <c r="I111" s="420" t="str">
        <f t="shared" si="6"/>
        <v>D.3.1 Personenfläche</v>
      </c>
    </row>
    <row r="112" spans="2:9" x14ac:dyDescent="0.35">
      <c r="B112" s="1662" t="str">
        <f>Qualitätsprüfung!O1181</f>
        <v>E.1.1 Wärme aus EE und vor Ort produziert</v>
      </c>
      <c r="C112" s="1663">
        <f>Qualität_Ergebnis_HF!C119</f>
        <v>15</v>
      </c>
      <c r="D112" s="1663" t="str">
        <f>Qualität_Ergebnis_HF!D119</f>
        <v/>
      </c>
      <c r="E112" s="1663">
        <f>Qualität_Ergebnis_HF!E119</f>
        <v>15</v>
      </c>
      <c r="F112" s="1776">
        <f>Qualität_Ergebnis_HF!F119</f>
        <v>0</v>
      </c>
      <c r="G112" s="1664">
        <f>Qualität_Ergebnis_HF!G119</f>
        <v>0</v>
      </c>
      <c r="H112" s="1665"/>
      <c r="I112" s="420" t="str">
        <f t="shared" si="6"/>
        <v>E.1.1 Wärme aus EE und vor Ort produziert</v>
      </c>
    </row>
    <row r="113" spans="2:9" x14ac:dyDescent="0.35">
      <c r="B113" s="39" t="str">
        <f>Qualitätsprüfung!O1439</f>
        <v>F.1.1 Abstellanlagen für Pkw</v>
      </c>
      <c r="C113" s="18">
        <f>Qualität_Ergebnis_HF!C136</f>
        <v>17</v>
      </c>
      <c r="D113" s="18" t="str">
        <f>Qualität_Ergebnis_HF!D136</f>
        <v/>
      </c>
      <c r="E113" s="18">
        <f>Qualität_Ergebnis_HF!E136</f>
        <v>17</v>
      </c>
      <c r="F113" s="456">
        <f>Qualität_Ergebnis_HF!F136</f>
        <v>0</v>
      </c>
      <c r="G113" s="31">
        <f>Qualität_Ergebnis_HF!G136</f>
        <v>0</v>
      </c>
      <c r="H113" s="1627"/>
      <c r="I113" s="420" t="str">
        <f t="shared" si="6"/>
        <v>F.1.1 Abstellanlagen für Pkw</v>
      </c>
    </row>
    <row r="114" spans="2:9" x14ac:dyDescent="0.35">
      <c r="B114" s="1" t="str">
        <f>Qualitätsprüfung!O1508</f>
        <v>F.2.1 Abstellanlagen für Fahrräder</v>
      </c>
      <c r="C114" s="38">
        <f>Qualität_Ergebnis_HF!C140</f>
        <v>17</v>
      </c>
      <c r="D114" s="38" t="str">
        <f>Qualität_Ergebnis_HF!D140</f>
        <v/>
      </c>
      <c r="E114" s="38">
        <f>Qualität_Ergebnis_HF!E140</f>
        <v>17</v>
      </c>
      <c r="F114" s="365">
        <f>Qualität_Ergebnis_HF!F140</f>
        <v>0</v>
      </c>
      <c r="G114" s="1682">
        <f>Qualität_Ergebnis_HF!G140</f>
        <v>0</v>
      </c>
      <c r="H114" s="1627"/>
      <c r="I114" s="420" t="str">
        <f t="shared" si="6"/>
        <v>F.2.1 Abstellanlagen für Fahrräder</v>
      </c>
    </row>
    <row r="115" spans="2:9" x14ac:dyDescent="0.35">
      <c r="B115" s="39"/>
      <c r="C115" s="18"/>
    </row>
    <row r="116" spans="2:9" x14ac:dyDescent="0.35">
      <c r="B116" s="428"/>
      <c r="C116" s="175"/>
    </row>
    <row r="117" spans="2:9" x14ac:dyDescent="0.35">
      <c r="B117" s="39"/>
      <c r="C117" s="18"/>
    </row>
    <row r="118" spans="2:9" x14ac:dyDescent="0.35">
      <c r="B118" s="39"/>
      <c r="C118" s="18"/>
    </row>
    <row r="119" spans="2:9" ht="21" x14ac:dyDescent="0.35">
      <c r="B119" s="457"/>
      <c r="C119" s="458"/>
    </row>
    <row r="120" spans="2:9" x14ac:dyDescent="0.35">
      <c r="B120" s="459"/>
      <c r="C120" s="175"/>
    </row>
    <row r="121" spans="2:9" x14ac:dyDescent="0.35">
      <c r="B121" s="428"/>
      <c r="C121" s="175"/>
    </row>
    <row r="122" spans="2:9" x14ac:dyDescent="0.35">
      <c r="B122" s="39"/>
      <c r="C122" s="18"/>
    </row>
    <row r="123" spans="2:9" x14ac:dyDescent="0.35">
      <c r="B123" s="39"/>
      <c r="C123" s="18"/>
    </row>
    <row r="124" spans="2:9" x14ac:dyDescent="0.35">
      <c r="B124" s="39"/>
      <c r="C124" s="18"/>
    </row>
    <row r="125" spans="2:9" x14ac:dyDescent="0.35">
      <c r="B125" s="39"/>
      <c r="C125" s="18"/>
    </row>
    <row r="126" spans="2:9" x14ac:dyDescent="0.35">
      <c r="B126" s="428"/>
      <c r="C126" s="175"/>
    </row>
    <row r="127" spans="2:9" x14ac:dyDescent="0.35">
      <c r="B127" s="39"/>
      <c r="C127" s="18"/>
    </row>
    <row r="128" spans="2:9" x14ac:dyDescent="0.35">
      <c r="B128" s="39"/>
      <c r="C128" s="18"/>
    </row>
    <row r="129" spans="2:3" x14ac:dyDescent="0.35">
      <c r="B129" s="39"/>
      <c r="C129" s="18"/>
    </row>
    <row r="130" spans="2:3" x14ac:dyDescent="0.35">
      <c r="B130" s="428"/>
      <c r="C130" s="175"/>
    </row>
    <row r="131" spans="2:3" x14ac:dyDescent="0.35">
      <c r="B131" s="39"/>
      <c r="C131" s="18"/>
    </row>
    <row r="132" spans="2:3" x14ac:dyDescent="0.35">
      <c r="B132" s="39"/>
      <c r="C132" s="18"/>
    </row>
    <row r="133" spans="2:3" x14ac:dyDescent="0.35">
      <c r="B133" s="39"/>
      <c r="C133" s="18"/>
    </row>
    <row r="134" spans="2:3" x14ac:dyDescent="0.35">
      <c r="B134" s="39"/>
      <c r="C134" s="18"/>
    </row>
    <row r="135" spans="2:3" x14ac:dyDescent="0.35">
      <c r="B135" s="428"/>
      <c r="C135" s="175"/>
    </row>
    <row r="136" spans="2:3" x14ac:dyDescent="0.35">
      <c r="B136" s="39"/>
      <c r="C136" s="18"/>
    </row>
    <row r="137" spans="2:3" x14ac:dyDescent="0.35">
      <c r="B137" s="39"/>
      <c r="C137" s="18"/>
    </row>
    <row r="138" spans="2:3" x14ac:dyDescent="0.35">
      <c r="B138" s="428"/>
      <c r="C138" s="175"/>
    </row>
    <row r="139" spans="2:3" x14ac:dyDescent="0.35">
      <c r="B139" s="39"/>
      <c r="C139" s="18"/>
    </row>
    <row r="140" spans="2:3" x14ac:dyDescent="0.35">
      <c r="B140" s="39"/>
      <c r="C140" s="18"/>
    </row>
    <row r="141" spans="2:3" x14ac:dyDescent="0.35">
      <c r="B141" s="39"/>
      <c r="C141" s="18"/>
    </row>
    <row r="142" spans="2:3" x14ac:dyDescent="0.35">
      <c r="B142" s="428"/>
      <c r="C142" s="175"/>
    </row>
    <row r="143" spans="2:3" x14ac:dyDescent="0.35">
      <c r="B143" s="39"/>
      <c r="C143" s="18"/>
    </row>
    <row r="144" spans="2:3" x14ac:dyDescent="0.35">
      <c r="B144" s="39"/>
      <c r="C144" s="18"/>
    </row>
    <row r="145" spans="2:3" x14ac:dyDescent="0.35">
      <c r="B145" s="39"/>
      <c r="C145" s="18"/>
    </row>
    <row r="146" spans="2:3" x14ac:dyDescent="0.35">
      <c r="B146" s="39"/>
      <c r="C146" s="18"/>
    </row>
    <row r="147" spans="2:3" x14ac:dyDescent="0.35">
      <c r="B147" s="428"/>
      <c r="C147" s="175"/>
    </row>
    <row r="148" spans="2:3" x14ac:dyDescent="0.35">
      <c r="B148" s="39"/>
      <c r="C148" s="18"/>
    </row>
    <row r="149" spans="2:3" x14ac:dyDescent="0.35">
      <c r="B149" s="39"/>
      <c r="C149" s="18"/>
    </row>
    <row r="150" spans="2:3" x14ac:dyDescent="0.35">
      <c r="B150" s="39"/>
      <c r="C150" s="18"/>
    </row>
    <row r="151" spans="2:3" x14ac:dyDescent="0.35">
      <c r="B151" s="39"/>
      <c r="C151" s="18"/>
    </row>
    <row r="152" spans="2:3" x14ac:dyDescent="0.35">
      <c r="B152" s="39"/>
      <c r="C152" s="18"/>
    </row>
    <row r="153" spans="2:3" x14ac:dyDescent="0.35">
      <c r="B153" s="39"/>
      <c r="C153" s="18"/>
    </row>
    <row r="154" spans="2:3" x14ac:dyDescent="0.35">
      <c r="B154" s="428"/>
      <c r="C154" s="175"/>
    </row>
    <row r="155" spans="2:3" x14ac:dyDescent="0.35">
      <c r="B155" s="428"/>
      <c r="C155" s="175"/>
    </row>
    <row r="156" spans="2:3" x14ac:dyDescent="0.35">
      <c r="B156" s="428"/>
      <c r="C156" s="175"/>
    </row>
    <row r="157" spans="2:3" ht="21" x14ac:dyDescent="0.35">
      <c r="B157" s="457"/>
      <c r="C157" s="458"/>
    </row>
    <row r="158" spans="2:3" x14ac:dyDescent="0.35">
      <c r="B158" s="459"/>
      <c r="C158" s="175"/>
    </row>
    <row r="159" spans="2:3" x14ac:dyDescent="0.35">
      <c r="B159" s="428"/>
      <c r="C159" s="175"/>
    </row>
    <row r="160" spans="2:3" x14ac:dyDescent="0.35">
      <c r="B160" s="39"/>
      <c r="C160" s="18"/>
    </row>
    <row r="161" spans="2:3" x14ac:dyDescent="0.35">
      <c r="B161" s="428"/>
      <c r="C161" s="175"/>
    </row>
    <row r="162" spans="2:3" x14ac:dyDescent="0.35">
      <c r="B162" s="39"/>
      <c r="C162" s="18"/>
    </row>
    <row r="163" spans="2:3" x14ac:dyDescent="0.35">
      <c r="B163" s="39"/>
      <c r="C163" s="18"/>
    </row>
    <row r="164" spans="2:3" x14ac:dyDescent="0.35">
      <c r="B164" s="428"/>
      <c r="C164" s="175"/>
    </row>
    <row r="165" spans="2:3" x14ac:dyDescent="0.35">
      <c r="B165" s="39"/>
      <c r="C165" s="18"/>
    </row>
    <row r="166" spans="2:3" x14ac:dyDescent="0.35">
      <c r="B166" s="39"/>
      <c r="C166" s="18"/>
    </row>
    <row r="167" spans="2:3" x14ac:dyDescent="0.35">
      <c r="B167" s="428"/>
      <c r="C167" s="175"/>
    </row>
    <row r="168" spans="2:3" x14ac:dyDescent="0.35">
      <c r="B168" s="39"/>
      <c r="C168" s="18"/>
    </row>
    <row r="169" spans="2:3" x14ac:dyDescent="0.35">
      <c r="C169" s="38"/>
    </row>
    <row r="170" spans="2:3" x14ac:dyDescent="0.35">
      <c r="C170" s="38"/>
    </row>
    <row r="171" spans="2:3" ht="21" x14ac:dyDescent="0.35">
      <c r="B171" s="457"/>
      <c r="C171" s="458"/>
    </row>
    <row r="172" spans="2:3" x14ac:dyDescent="0.35">
      <c r="B172" s="459"/>
      <c r="C172" s="175"/>
    </row>
    <row r="173" spans="2:3" x14ac:dyDescent="0.35">
      <c r="B173" s="428"/>
      <c r="C173" s="175"/>
    </row>
    <row r="174" spans="2:3" x14ac:dyDescent="0.35">
      <c r="B174" s="39"/>
      <c r="C174" s="18"/>
    </row>
    <row r="175" spans="2:3" x14ac:dyDescent="0.35">
      <c r="C175" s="38"/>
    </row>
    <row r="176" spans="2:3" x14ac:dyDescent="0.35">
      <c r="C176" s="38"/>
    </row>
    <row r="177" spans="2:3" x14ac:dyDescent="0.35">
      <c r="B177" s="428"/>
      <c r="C177" s="175"/>
    </row>
    <row r="178" spans="2:3" x14ac:dyDescent="0.35">
      <c r="C178" s="38"/>
    </row>
    <row r="179" spans="2:3" x14ac:dyDescent="0.35">
      <c r="C179" s="38"/>
    </row>
    <row r="180" spans="2:3" x14ac:dyDescent="0.35">
      <c r="C180" s="38"/>
    </row>
    <row r="181" spans="2:3" x14ac:dyDescent="0.35">
      <c r="B181" s="428"/>
      <c r="C181" s="175"/>
    </row>
    <row r="182" spans="2:3" x14ac:dyDescent="0.35">
      <c r="C182" s="38"/>
    </row>
    <row r="183" spans="2:3" x14ac:dyDescent="0.35">
      <c r="C183" s="38"/>
    </row>
    <row r="184" spans="2:3" x14ac:dyDescent="0.35">
      <c r="C184" s="38"/>
    </row>
    <row r="185" spans="2:3" x14ac:dyDescent="0.35">
      <c r="B185" s="428"/>
      <c r="C185" s="175"/>
    </row>
    <row r="186" spans="2:3" x14ac:dyDescent="0.35">
      <c r="C186" s="38"/>
    </row>
    <row r="187" spans="2:3" x14ac:dyDescent="0.35">
      <c r="C187" s="38"/>
    </row>
    <row r="188" spans="2:3" ht="21" x14ac:dyDescent="0.35">
      <c r="B188" s="457"/>
      <c r="C188" s="458"/>
    </row>
    <row r="189" spans="2:3" x14ac:dyDescent="0.35">
      <c r="B189" s="459"/>
      <c r="C189" s="175"/>
    </row>
    <row r="190" spans="2:3" x14ac:dyDescent="0.35">
      <c r="B190" s="428"/>
      <c r="C190" s="175"/>
    </row>
    <row r="191" spans="2:3" x14ac:dyDescent="0.35">
      <c r="B191" s="39"/>
      <c r="C191" s="18"/>
    </row>
    <row r="192" spans="2:3" x14ac:dyDescent="0.35">
      <c r="C192" s="38"/>
    </row>
    <row r="193" spans="2:3" x14ac:dyDescent="0.35">
      <c r="C193" s="38"/>
    </row>
    <row r="194" spans="2:3" x14ac:dyDescent="0.35">
      <c r="C194" s="38"/>
    </row>
    <row r="195" spans="2:3" x14ac:dyDescent="0.35">
      <c r="B195" s="428"/>
      <c r="C195" s="175"/>
    </row>
    <row r="196" spans="2:3" x14ac:dyDescent="0.35">
      <c r="C196" s="38"/>
    </row>
    <row r="197" spans="2:3" x14ac:dyDescent="0.35">
      <c r="C197" s="38"/>
    </row>
    <row r="198" spans="2:3" x14ac:dyDescent="0.35">
      <c r="C198" s="38"/>
    </row>
    <row r="199" spans="2:3" x14ac:dyDescent="0.35">
      <c r="B199" s="428"/>
      <c r="C199" s="175"/>
    </row>
    <row r="200" spans="2:3" x14ac:dyDescent="0.35">
      <c r="C200" s="38"/>
    </row>
    <row r="201" spans="2:3" x14ac:dyDescent="0.35">
      <c r="C201" s="38"/>
    </row>
    <row r="202" spans="2:3" x14ac:dyDescent="0.35">
      <c r="C202" s="38"/>
    </row>
    <row r="203" spans="2:3" x14ac:dyDescent="0.35">
      <c r="C203" s="38"/>
    </row>
    <row r="204" spans="2:3" x14ac:dyDescent="0.35">
      <c r="C204" s="38"/>
    </row>
    <row r="205" spans="2:3" x14ac:dyDescent="0.35">
      <c r="B205" s="428"/>
      <c r="C205" s="175"/>
    </row>
    <row r="206" spans="2:3" x14ac:dyDescent="0.35">
      <c r="C206" s="38"/>
    </row>
    <row r="207" spans="2:3" x14ac:dyDescent="0.35">
      <c r="B207" s="428"/>
      <c r="C207" s="175"/>
    </row>
    <row r="208" spans="2:3" x14ac:dyDescent="0.35">
      <c r="C208" s="38"/>
    </row>
    <row r="209" spans="3:3" x14ac:dyDescent="0.35">
      <c r="C209" s="38"/>
    </row>
  </sheetData>
  <pageMargins left="0.7" right="0.7" top="0.78740157499999996" bottom="0.78740157499999996" header="0.3" footer="0.3"/>
  <pageSetup paperSize="9" orientation="portrait" r:id="rId1"/>
  <ignoredErrors>
    <ignoredError sqref="C34:C35 E34:E35 G34:G35 I34:I35" evalError="1"/>
    <ignoredError sqref="G36" evalError="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I124"/>
  <sheetViews>
    <sheetView zoomScaleNormal="100" workbookViewId="0"/>
  </sheetViews>
  <sheetFormatPr baseColWidth="10" defaultColWidth="11" defaultRowHeight="14.5" x14ac:dyDescent="0.35"/>
  <cols>
    <col min="1" max="1" width="3.5" style="1" customWidth="1"/>
    <col min="2" max="2" width="54.75" style="1" bestFit="1" customWidth="1"/>
    <col min="3" max="9" width="12.58203125" style="1" customWidth="1"/>
    <col min="10" max="16384" width="11" style="1"/>
  </cols>
  <sheetData>
    <row r="2" spans="2:9" ht="21" x14ac:dyDescent="0.5">
      <c r="B2" s="103" t="s">
        <v>6088</v>
      </c>
      <c r="C2" s="1571" t="s">
        <v>6087</v>
      </c>
    </row>
    <row r="4" spans="2:9" ht="21" x14ac:dyDescent="0.5">
      <c r="B4" s="103" t="s">
        <v>6090</v>
      </c>
      <c r="G4" s="416"/>
    </row>
    <row r="6" spans="2:9" x14ac:dyDescent="0.35">
      <c r="B6" s="409" t="s">
        <v>6</v>
      </c>
      <c r="C6" s="410" t="s">
        <v>5387</v>
      </c>
      <c r="D6" s="410" t="s">
        <v>6115</v>
      </c>
      <c r="E6" s="410" t="s">
        <v>4488</v>
      </c>
      <c r="F6" s="410"/>
      <c r="G6" s="410"/>
      <c r="H6" s="410"/>
      <c r="I6" s="410"/>
    </row>
    <row r="7" spans="2:9" x14ac:dyDescent="0.35">
      <c r="B7" s="785" t="s">
        <v>4899</v>
      </c>
      <c r="C7" s="789">
        <v>0.18</v>
      </c>
      <c r="D7" s="789"/>
      <c r="E7" s="789"/>
      <c r="F7" s="789"/>
      <c r="G7" s="789"/>
      <c r="H7" s="789"/>
      <c r="I7" s="789"/>
    </row>
    <row r="8" spans="2:9" x14ac:dyDescent="0.35">
      <c r="B8" s="779" t="s">
        <v>4900</v>
      </c>
      <c r="C8" s="783">
        <v>7.0000000000000007E-2</v>
      </c>
      <c r="D8" s="783"/>
      <c r="E8" s="783"/>
      <c r="F8" s="783"/>
      <c r="G8" s="783"/>
      <c r="H8" s="783"/>
      <c r="I8" s="783"/>
    </row>
    <row r="9" spans="2:9" x14ac:dyDescent="0.35">
      <c r="B9" s="791" t="s">
        <v>4901</v>
      </c>
      <c r="C9" s="795">
        <v>0.33</v>
      </c>
      <c r="D9" s="795"/>
      <c r="E9" s="795"/>
      <c r="F9" s="795"/>
      <c r="G9" s="795"/>
      <c r="H9" s="795"/>
      <c r="I9" s="795"/>
    </row>
    <row r="10" spans="2:9" x14ac:dyDescent="0.35">
      <c r="B10" s="802" t="s">
        <v>4902</v>
      </c>
      <c r="C10" s="800">
        <v>0.04</v>
      </c>
      <c r="D10" s="800"/>
      <c r="E10" s="800"/>
      <c r="F10" s="800"/>
      <c r="G10" s="800"/>
      <c r="H10" s="800"/>
      <c r="I10" s="800"/>
    </row>
    <row r="11" spans="2:9" x14ac:dyDescent="0.35">
      <c r="B11" s="803" t="s">
        <v>4903</v>
      </c>
      <c r="C11" s="806">
        <v>0.22</v>
      </c>
      <c r="D11" s="806"/>
      <c r="E11" s="806"/>
      <c r="F11" s="806"/>
      <c r="G11" s="806"/>
      <c r="H11" s="806"/>
      <c r="I11" s="806"/>
    </row>
    <row r="12" spans="2:9" x14ac:dyDescent="0.35">
      <c r="B12" s="773" t="s">
        <v>4904</v>
      </c>
      <c r="C12" s="777">
        <v>0.16</v>
      </c>
      <c r="D12" s="777"/>
      <c r="E12" s="777"/>
      <c r="F12" s="777"/>
      <c r="G12" s="777"/>
      <c r="H12" s="777"/>
      <c r="I12" s="777"/>
    </row>
    <row r="13" spans="2:9" s="39" customFormat="1" ht="21" x14ac:dyDescent="0.35">
      <c r="B13" s="409" t="s">
        <v>11</v>
      </c>
      <c r="C13" s="414">
        <v>0.15</v>
      </c>
      <c r="D13" s="414"/>
      <c r="E13" s="414"/>
      <c r="F13" s="414"/>
      <c r="G13" s="414"/>
      <c r="H13" s="414"/>
      <c r="I13" s="414"/>
    </row>
    <row r="14" spans="2:9" s="39" customFormat="1" ht="15" customHeight="1" x14ac:dyDescent="0.35">
      <c r="B14" s="1572"/>
      <c r="C14" s="415"/>
      <c r="D14" s="415"/>
      <c r="E14" s="415"/>
      <c r="F14" s="415"/>
      <c r="G14" s="415"/>
      <c r="H14" s="415"/>
      <c r="I14" s="415"/>
    </row>
    <row r="15" spans="2:9" s="39" customFormat="1" ht="15" customHeight="1" x14ac:dyDescent="0.35">
      <c r="B15" s="1572"/>
      <c r="C15" s="417"/>
      <c r="D15" s="417"/>
      <c r="E15" s="417"/>
      <c r="F15" s="417"/>
      <c r="G15" s="417"/>
      <c r="H15" s="417"/>
      <c r="I15" s="417"/>
    </row>
    <row r="16" spans="2:9" s="39" customFormat="1" ht="15" customHeight="1" x14ac:dyDescent="0.35">
      <c r="B16" s="1572"/>
      <c r="C16" s="1"/>
      <c r="D16" s="1"/>
      <c r="E16" s="1"/>
      <c r="F16" s="1"/>
      <c r="G16" s="1"/>
      <c r="H16" s="1"/>
      <c r="I16" s="1"/>
    </row>
    <row r="17" spans="2:9" s="39" customFormat="1" ht="15" customHeight="1" x14ac:dyDescent="0.35">
      <c r="B17" s="1572"/>
      <c r="C17" s="1"/>
      <c r="D17" s="1"/>
      <c r="E17" s="1"/>
      <c r="F17" s="1"/>
      <c r="G17" s="1"/>
      <c r="H17" s="1"/>
      <c r="I17" s="1"/>
    </row>
    <row r="18" spans="2:9" s="39" customFormat="1" ht="15" customHeight="1" x14ac:dyDescent="0.35">
      <c r="B18" s="1572"/>
      <c r="C18" s="1"/>
      <c r="D18" s="1"/>
      <c r="E18" s="1"/>
      <c r="F18" s="1"/>
      <c r="G18" s="1"/>
      <c r="H18" s="1"/>
      <c r="I18" s="1"/>
    </row>
    <row r="19" spans="2:9" x14ac:dyDescent="0.35">
      <c r="C19" s="175" t="str">
        <f>C6</f>
        <v>Bauordnung</v>
      </c>
      <c r="D19" s="175" t="str">
        <f t="shared" ref="D19:H19" si="0">D6</f>
        <v>Bestand</v>
      </c>
      <c r="E19" s="175" t="str">
        <f t="shared" si="0"/>
        <v>Planung</v>
      </c>
      <c r="F19" s="175">
        <f t="shared" si="0"/>
        <v>0</v>
      </c>
      <c r="G19" s="175">
        <f t="shared" si="0"/>
        <v>0</v>
      </c>
      <c r="H19" s="175">
        <f t="shared" si="0"/>
        <v>0</v>
      </c>
      <c r="I19" s="175" t="s">
        <v>4583</v>
      </c>
    </row>
    <row r="20" spans="2:9" s="39" customFormat="1" ht="21" x14ac:dyDescent="0.35">
      <c r="B20" s="828" t="s">
        <v>4899</v>
      </c>
      <c r="C20" s="830"/>
      <c r="D20" s="830"/>
      <c r="E20" s="830"/>
      <c r="F20" s="830"/>
      <c r="G20" s="830"/>
      <c r="H20" s="830"/>
      <c r="I20" s="830"/>
    </row>
    <row r="21" spans="2:9" s="39" customFormat="1" x14ac:dyDescent="0.35">
      <c r="B21" s="421" t="s">
        <v>4746</v>
      </c>
      <c r="C21" s="423"/>
      <c r="D21" s="423"/>
      <c r="E21" s="423"/>
      <c r="F21" s="423"/>
      <c r="G21" s="423"/>
      <c r="H21" s="423"/>
      <c r="I21" s="423"/>
    </row>
    <row r="22" spans="2:9" s="39" customFormat="1" x14ac:dyDescent="0.35">
      <c r="B22" s="39" t="s">
        <v>5525</v>
      </c>
      <c r="C22" s="31"/>
      <c r="D22" s="31"/>
      <c r="E22" s="31"/>
      <c r="F22" s="31"/>
      <c r="G22" s="31"/>
      <c r="H22" s="31"/>
      <c r="I22" s="31"/>
    </row>
    <row r="23" spans="2:9" s="39" customFormat="1" x14ac:dyDescent="0.35">
      <c r="B23" s="39" t="s">
        <v>5526</v>
      </c>
      <c r="C23" s="31"/>
      <c r="D23" s="31"/>
      <c r="E23" s="31"/>
      <c r="F23" s="31"/>
      <c r="G23" s="31"/>
      <c r="H23" s="31"/>
      <c r="I23" s="31"/>
    </row>
    <row r="24" spans="2:9" s="39" customFormat="1" x14ac:dyDescent="0.35">
      <c r="B24" s="421" t="s">
        <v>4747</v>
      </c>
      <c r="C24" s="423"/>
      <c r="D24" s="423"/>
      <c r="E24" s="423"/>
      <c r="F24" s="423"/>
      <c r="G24" s="423"/>
      <c r="H24" s="423"/>
      <c r="I24" s="423"/>
    </row>
    <row r="25" spans="2:9" s="39" customFormat="1" x14ac:dyDescent="0.35">
      <c r="B25" s="39" t="s">
        <v>5527</v>
      </c>
      <c r="C25" s="31"/>
      <c r="D25" s="31"/>
      <c r="E25" s="31"/>
      <c r="F25" s="31"/>
      <c r="G25" s="31"/>
      <c r="H25" s="31"/>
      <c r="I25" s="31"/>
    </row>
    <row r="26" spans="2:9" s="39" customFormat="1" x14ac:dyDescent="0.35">
      <c r="B26" s="39" t="s">
        <v>5528</v>
      </c>
      <c r="C26" s="31"/>
      <c r="D26" s="31"/>
      <c r="E26" s="31"/>
      <c r="F26" s="31"/>
      <c r="G26" s="31"/>
      <c r="H26" s="31"/>
      <c r="I26" s="31"/>
    </row>
    <row r="27" spans="2:9" s="39" customFormat="1" x14ac:dyDescent="0.35">
      <c r="B27" s="39" t="s">
        <v>5529</v>
      </c>
      <c r="C27" s="31"/>
      <c r="D27" s="31"/>
      <c r="E27" s="31"/>
      <c r="F27" s="31"/>
      <c r="G27" s="31"/>
      <c r="H27" s="31"/>
      <c r="I27" s="31"/>
    </row>
    <row r="28" spans="2:9" s="39" customFormat="1" x14ac:dyDescent="0.35">
      <c r="B28" s="39" t="s">
        <v>5530</v>
      </c>
      <c r="C28" s="31"/>
      <c r="D28" s="31"/>
      <c r="E28" s="31"/>
      <c r="F28" s="31"/>
      <c r="G28" s="31"/>
      <c r="H28" s="31"/>
      <c r="I28" s="31"/>
    </row>
    <row r="29" spans="2:9" s="39" customFormat="1" x14ac:dyDescent="0.35">
      <c r="B29" s="39" t="s">
        <v>5531</v>
      </c>
      <c r="C29" s="31"/>
      <c r="D29" s="31"/>
      <c r="E29" s="31"/>
      <c r="F29" s="31"/>
      <c r="G29" s="31"/>
      <c r="H29" s="31"/>
      <c r="I29" s="31"/>
    </row>
    <row r="30" spans="2:9" s="39" customFormat="1" x14ac:dyDescent="0.35">
      <c r="B30" s="421" t="s">
        <v>4748</v>
      </c>
      <c r="C30" s="423"/>
      <c r="D30" s="423"/>
      <c r="E30" s="423"/>
      <c r="F30" s="423"/>
      <c r="G30" s="423"/>
      <c r="H30" s="423"/>
      <c r="I30" s="423"/>
    </row>
    <row r="31" spans="2:9" s="39" customFormat="1" x14ac:dyDescent="0.35">
      <c r="B31" s="39" t="s">
        <v>5532</v>
      </c>
      <c r="C31" s="31"/>
      <c r="D31" s="31"/>
      <c r="E31" s="31"/>
      <c r="F31" s="31"/>
      <c r="G31" s="31"/>
      <c r="H31" s="31"/>
      <c r="I31" s="31"/>
    </row>
    <row r="32" spans="2:9" s="39" customFormat="1" x14ac:dyDescent="0.35">
      <c r="B32" s="428" t="s">
        <v>5533</v>
      </c>
      <c r="C32" s="31"/>
      <c r="D32" s="31"/>
      <c r="E32" s="31"/>
      <c r="F32" s="31"/>
      <c r="G32" s="31"/>
      <c r="H32" s="31"/>
      <c r="I32" s="31"/>
    </row>
    <row r="33" spans="2:9" s="39" customFormat="1" x14ac:dyDescent="0.35">
      <c r="B33" s="39" t="s">
        <v>5534</v>
      </c>
      <c r="C33" s="31"/>
      <c r="D33" s="31"/>
      <c r="E33" s="31"/>
      <c r="F33" s="31"/>
      <c r="G33" s="31"/>
      <c r="H33" s="31"/>
      <c r="I33" s="31"/>
    </row>
    <row r="34" spans="2:9" s="39" customFormat="1" x14ac:dyDescent="0.35">
      <c r="B34" s="39" t="s">
        <v>5535</v>
      </c>
      <c r="C34" s="31"/>
      <c r="D34" s="31"/>
      <c r="E34" s="31"/>
      <c r="F34" s="31"/>
      <c r="G34" s="31"/>
      <c r="H34" s="31"/>
      <c r="I34" s="31"/>
    </row>
    <row r="35" spans="2:9" s="39" customFormat="1" x14ac:dyDescent="0.35">
      <c r="B35" s="39" t="s">
        <v>5536</v>
      </c>
      <c r="C35" s="31"/>
      <c r="D35" s="31"/>
      <c r="E35" s="31"/>
      <c r="F35" s="31"/>
      <c r="G35" s="31"/>
      <c r="H35" s="31"/>
      <c r="I35" s="31"/>
    </row>
    <row r="36" spans="2:9" s="39" customFormat="1" x14ac:dyDescent="0.35">
      <c r="B36" s="39" t="s">
        <v>5537</v>
      </c>
      <c r="C36" s="31"/>
      <c r="D36" s="31"/>
      <c r="E36" s="31"/>
      <c r="F36" s="31"/>
      <c r="G36" s="31"/>
      <c r="H36" s="31"/>
      <c r="I36" s="31"/>
    </row>
    <row r="37" spans="2:9" s="39" customFormat="1" x14ac:dyDescent="0.35">
      <c r="B37" s="421" t="s">
        <v>4749</v>
      </c>
      <c r="C37" s="423"/>
      <c r="D37" s="423"/>
      <c r="E37" s="423"/>
      <c r="F37" s="423"/>
      <c r="G37" s="423"/>
      <c r="H37" s="423"/>
      <c r="I37" s="423"/>
    </row>
    <row r="38" spans="2:9" s="39" customFormat="1" x14ac:dyDescent="0.35">
      <c r="B38" s="39" t="s">
        <v>5538</v>
      </c>
      <c r="C38" s="31"/>
      <c r="D38" s="31"/>
      <c r="E38" s="31"/>
      <c r="F38" s="31"/>
      <c r="G38" s="31"/>
      <c r="H38" s="31"/>
      <c r="I38" s="31"/>
    </row>
    <row r="39" spans="2:9" s="39" customFormat="1" x14ac:dyDescent="0.35">
      <c r="B39" s="39" t="s">
        <v>5539</v>
      </c>
      <c r="C39" s="31"/>
      <c r="D39" s="31"/>
      <c r="E39" s="31"/>
      <c r="F39" s="31"/>
      <c r="G39" s="31"/>
      <c r="H39" s="31"/>
      <c r="I39" s="31"/>
    </row>
    <row r="40" spans="2:9" s="39" customFormat="1" x14ac:dyDescent="0.35">
      <c r="B40" s="39" t="s">
        <v>5540</v>
      </c>
      <c r="C40" s="31"/>
      <c r="D40" s="31"/>
      <c r="E40" s="31"/>
      <c r="F40" s="31"/>
      <c r="G40" s="31"/>
      <c r="H40" s="31"/>
      <c r="I40" s="31"/>
    </row>
    <row r="41" spans="2:9" s="39" customFormat="1" x14ac:dyDescent="0.35">
      <c r="B41" s="39" t="s">
        <v>5541</v>
      </c>
      <c r="C41" s="31"/>
      <c r="D41" s="31"/>
      <c r="E41" s="31"/>
      <c r="F41" s="31"/>
      <c r="G41" s="31"/>
      <c r="H41" s="31"/>
      <c r="I41" s="31"/>
    </row>
    <row r="42" spans="2:9" s="39" customFormat="1" x14ac:dyDescent="0.35">
      <c r="B42" s="39" t="s">
        <v>5542</v>
      </c>
      <c r="C42" s="31"/>
      <c r="D42" s="31"/>
      <c r="E42" s="31"/>
      <c r="F42" s="31"/>
      <c r="G42" s="31"/>
      <c r="H42" s="31"/>
      <c r="I42" s="31"/>
    </row>
    <row r="43" spans="2:9" s="39" customFormat="1" x14ac:dyDescent="0.35">
      <c r="B43" s="421" t="s">
        <v>5543</v>
      </c>
      <c r="C43" s="423"/>
      <c r="D43" s="423"/>
      <c r="E43" s="423"/>
      <c r="F43" s="423"/>
      <c r="G43" s="423"/>
      <c r="H43" s="423"/>
      <c r="I43" s="423"/>
    </row>
    <row r="44" spans="2:9" s="39" customFormat="1" x14ac:dyDescent="0.35">
      <c r="B44" s="39" t="s">
        <v>5544</v>
      </c>
      <c r="C44" s="31"/>
      <c r="D44" s="31"/>
      <c r="E44" s="31"/>
      <c r="F44" s="31"/>
      <c r="G44" s="31"/>
      <c r="H44" s="31"/>
      <c r="I44" s="31"/>
    </row>
    <row r="45" spans="2:9" s="39" customFormat="1" x14ac:dyDescent="0.35">
      <c r="B45" s="39" t="s">
        <v>5545</v>
      </c>
      <c r="C45" s="31"/>
      <c r="D45" s="31"/>
      <c r="E45" s="31"/>
      <c r="F45" s="31"/>
      <c r="G45" s="31"/>
      <c r="H45" s="31"/>
      <c r="I45" s="31"/>
    </row>
    <row r="46" spans="2:9" s="39" customFormat="1" x14ac:dyDescent="0.35">
      <c r="B46" s="39" t="s">
        <v>5546</v>
      </c>
      <c r="C46" s="31"/>
      <c r="D46" s="31"/>
      <c r="E46" s="31"/>
      <c r="F46" s="31"/>
      <c r="G46" s="31"/>
      <c r="H46" s="31"/>
      <c r="I46" s="31"/>
    </row>
    <row r="47" spans="2:9" s="39" customFormat="1" x14ac:dyDescent="0.35">
      <c r="C47" s="175"/>
      <c r="D47" s="175"/>
      <c r="E47" s="175"/>
      <c r="F47" s="175"/>
      <c r="G47" s="175"/>
      <c r="H47" s="175"/>
      <c r="I47" s="175"/>
    </row>
    <row r="48" spans="2:9" s="39" customFormat="1" ht="21" x14ac:dyDescent="0.35">
      <c r="B48" s="820" t="s">
        <v>4900</v>
      </c>
      <c r="C48" s="822"/>
      <c r="D48" s="822"/>
      <c r="E48" s="822"/>
      <c r="F48" s="822"/>
      <c r="G48" s="822"/>
      <c r="H48" s="822"/>
      <c r="I48" s="822"/>
    </row>
    <row r="49" spans="2:9" s="39" customFormat="1" x14ac:dyDescent="0.35">
      <c r="B49" s="430" t="s">
        <v>4752</v>
      </c>
      <c r="C49" s="433"/>
      <c r="D49" s="433"/>
      <c r="E49" s="433"/>
      <c r="F49" s="433"/>
      <c r="G49" s="433"/>
      <c r="H49" s="433"/>
      <c r="I49" s="433"/>
    </row>
    <row r="50" spans="2:9" s="39" customFormat="1" x14ac:dyDescent="0.35">
      <c r="B50" s="39" t="s">
        <v>5547</v>
      </c>
      <c r="C50" s="31"/>
      <c r="D50" s="31"/>
      <c r="E50" s="31"/>
      <c r="F50" s="31"/>
      <c r="G50" s="31"/>
      <c r="H50" s="31"/>
      <c r="I50" s="31"/>
    </row>
    <row r="51" spans="2:9" s="39" customFormat="1" x14ac:dyDescent="0.35">
      <c r="B51" s="39" t="s">
        <v>5548</v>
      </c>
      <c r="C51" s="31"/>
      <c r="D51" s="31"/>
      <c r="E51" s="31"/>
      <c r="F51" s="31"/>
      <c r="G51" s="31"/>
      <c r="H51" s="31"/>
      <c r="I51" s="31"/>
    </row>
    <row r="52" spans="2:9" s="39" customFormat="1" x14ac:dyDescent="0.35">
      <c r="B52" s="39" t="s">
        <v>5549</v>
      </c>
      <c r="C52" s="31"/>
      <c r="D52" s="31"/>
      <c r="E52" s="31"/>
      <c r="F52" s="31"/>
      <c r="G52" s="31"/>
      <c r="H52" s="31"/>
      <c r="I52" s="31"/>
    </row>
    <row r="53" spans="2:9" s="39" customFormat="1" x14ac:dyDescent="0.35">
      <c r="B53" s="39" t="s">
        <v>5550</v>
      </c>
      <c r="C53" s="31"/>
      <c r="D53" s="31"/>
      <c r="E53" s="31"/>
      <c r="F53" s="31"/>
      <c r="G53" s="31"/>
      <c r="H53" s="31"/>
      <c r="I53" s="31"/>
    </row>
    <row r="54" spans="2:9" s="39" customFormat="1" x14ac:dyDescent="0.35">
      <c r="B54" s="39" t="s">
        <v>5551</v>
      </c>
      <c r="C54" s="31"/>
      <c r="D54" s="31"/>
      <c r="E54" s="31"/>
      <c r="F54" s="31"/>
      <c r="G54" s="31"/>
      <c r="H54" s="31"/>
      <c r="I54" s="31"/>
    </row>
    <row r="55" spans="2:9" s="39" customFormat="1" x14ac:dyDescent="0.35">
      <c r="B55" s="430" t="s">
        <v>5552</v>
      </c>
      <c r="C55" s="433"/>
      <c r="D55" s="433"/>
      <c r="E55" s="433"/>
      <c r="F55" s="433"/>
      <c r="G55" s="433"/>
      <c r="H55" s="433"/>
      <c r="I55" s="433"/>
    </row>
    <row r="56" spans="2:9" s="39" customFormat="1" x14ac:dyDescent="0.35">
      <c r="B56" s="39" t="s">
        <v>5553</v>
      </c>
      <c r="C56" s="31"/>
      <c r="D56" s="31"/>
      <c r="E56" s="31"/>
      <c r="F56" s="31"/>
      <c r="G56" s="31"/>
      <c r="H56" s="31"/>
      <c r="I56" s="31"/>
    </row>
    <row r="57" spans="2:9" s="39" customFormat="1" x14ac:dyDescent="0.35">
      <c r="B57" s="39" t="s">
        <v>5554</v>
      </c>
      <c r="C57" s="31"/>
      <c r="D57" s="31"/>
      <c r="E57" s="31"/>
      <c r="F57" s="31"/>
      <c r="G57" s="31"/>
      <c r="H57" s="31"/>
      <c r="I57" s="31"/>
    </row>
    <row r="58" spans="2:9" s="39" customFormat="1" x14ac:dyDescent="0.35">
      <c r="B58" s="430" t="s">
        <v>4754</v>
      </c>
      <c r="C58" s="433"/>
      <c r="D58" s="433"/>
      <c r="E58" s="433"/>
      <c r="F58" s="433"/>
      <c r="G58" s="433"/>
      <c r="H58" s="433"/>
      <c r="I58" s="433"/>
    </row>
    <row r="59" spans="2:9" s="39" customFormat="1" x14ac:dyDescent="0.35">
      <c r="B59" s="39" t="s">
        <v>5555</v>
      </c>
      <c r="C59" s="31"/>
      <c r="D59" s="31"/>
      <c r="E59" s="31"/>
      <c r="F59" s="31"/>
      <c r="G59" s="31"/>
      <c r="H59" s="31"/>
      <c r="I59" s="31"/>
    </row>
    <row r="60" spans="2:9" s="39" customFormat="1" x14ac:dyDescent="0.35">
      <c r="B60" s="39" t="s">
        <v>5556</v>
      </c>
      <c r="C60" s="31"/>
      <c r="D60" s="31"/>
      <c r="E60" s="31"/>
      <c r="F60" s="31"/>
      <c r="G60" s="31"/>
      <c r="H60" s="31"/>
      <c r="I60" s="31"/>
    </row>
    <row r="61" spans="2:9" s="39" customFormat="1" x14ac:dyDescent="0.35">
      <c r="C61" s="175"/>
      <c r="D61" s="175"/>
      <c r="E61" s="175"/>
      <c r="F61" s="175"/>
      <c r="G61" s="175"/>
      <c r="H61" s="175"/>
      <c r="I61" s="175"/>
    </row>
    <row r="62" spans="2:9" s="39" customFormat="1" ht="21" x14ac:dyDescent="0.35">
      <c r="B62" s="824" t="s">
        <v>4901</v>
      </c>
      <c r="C62" s="826"/>
      <c r="D62" s="826"/>
      <c r="E62" s="826"/>
      <c r="F62" s="826"/>
      <c r="G62" s="826"/>
      <c r="H62" s="826"/>
      <c r="I62" s="826"/>
    </row>
    <row r="63" spans="2:9" s="39" customFormat="1" x14ac:dyDescent="0.35">
      <c r="B63" s="435" t="s">
        <v>5007</v>
      </c>
      <c r="C63" s="438"/>
      <c r="D63" s="438"/>
      <c r="E63" s="438"/>
      <c r="F63" s="438"/>
      <c r="G63" s="438"/>
      <c r="H63" s="438"/>
      <c r="I63" s="438"/>
    </row>
    <row r="64" spans="2:9" s="39" customFormat="1" x14ac:dyDescent="0.35">
      <c r="B64" s="39" t="s">
        <v>5557</v>
      </c>
      <c r="C64" s="31"/>
      <c r="D64" s="31"/>
      <c r="E64" s="31"/>
      <c r="F64" s="31"/>
      <c r="G64" s="31"/>
      <c r="H64" s="31"/>
      <c r="I64" s="31"/>
    </row>
    <row r="65" spans="2:9" s="39" customFormat="1" x14ac:dyDescent="0.35">
      <c r="B65" s="435" t="s">
        <v>5558</v>
      </c>
      <c r="C65" s="438"/>
      <c r="D65" s="438"/>
      <c r="E65" s="438"/>
      <c r="F65" s="438"/>
      <c r="G65" s="438"/>
      <c r="H65" s="438"/>
      <c r="I65" s="438"/>
    </row>
    <row r="66" spans="2:9" s="39" customFormat="1" x14ac:dyDescent="0.35">
      <c r="B66" s="39" t="s">
        <v>5559</v>
      </c>
      <c r="C66" s="31"/>
      <c r="D66" s="31"/>
      <c r="E66" s="31"/>
      <c r="F66" s="31"/>
      <c r="G66" s="31"/>
      <c r="H66" s="31"/>
      <c r="I66" s="31"/>
    </row>
    <row r="67" spans="2:9" s="39" customFormat="1" x14ac:dyDescent="0.35">
      <c r="B67" s="39" t="s">
        <v>5560</v>
      </c>
      <c r="C67" s="31"/>
      <c r="D67" s="31"/>
      <c r="E67" s="31"/>
      <c r="F67" s="31"/>
      <c r="G67" s="31"/>
      <c r="H67" s="31"/>
      <c r="I67" s="31"/>
    </row>
    <row r="68" spans="2:9" s="39" customFormat="1" x14ac:dyDescent="0.35">
      <c r="B68" s="39" t="s">
        <v>4871</v>
      </c>
      <c r="C68" s="31"/>
      <c r="D68" s="31"/>
      <c r="E68" s="31"/>
      <c r="F68" s="31"/>
      <c r="G68" s="31"/>
      <c r="H68" s="31"/>
      <c r="I68" s="31"/>
    </row>
    <row r="69" spans="2:9" s="39" customFormat="1" x14ac:dyDescent="0.35">
      <c r="B69" s="435" t="s">
        <v>5009</v>
      </c>
      <c r="C69" s="438"/>
      <c r="D69" s="438"/>
      <c r="E69" s="438"/>
      <c r="F69" s="438"/>
      <c r="G69" s="438"/>
      <c r="H69" s="438"/>
      <c r="I69" s="438"/>
    </row>
    <row r="70" spans="2:9" s="39" customFormat="1" x14ac:dyDescent="0.35">
      <c r="B70" s="39" t="s">
        <v>5561</v>
      </c>
      <c r="C70" s="31"/>
      <c r="D70" s="31"/>
      <c r="E70" s="31"/>
      <c r="F70" s="31"/>
      <c r="G70" s="31"/>
      <c r="H70" s="31"/>
      <c r="I70" s="31"/>
    </row>
    <row r="71" spans="2:9" s="39" customFormat="1" x14ac:dyDescent="0.35">
      <c r="B71" s="39" t="s">
        <v>5562</v>
      </c>
      <c r="C71" s="31"/>
      <c r="D71" s="31"/>
      <c r="E71" s="31"/>
      <c r="F71" s="31"/>
      <c r="G71" s="31"/>
      <c r="H71" s="31"/>
      <c r="I71" s="31"/>
    </row>
    <row r="72" spans="2:9" s="39" customFormat="1" x14ac:dyDescent="0.35">
      <c r="B72" s="39" t="s">
        <v>5563</v>
      </c>
      <c r="C72" s="31"/>
      <c r="D72" s="31"/>
      <c r="E72" s="31"/>
      <c r="F72" s="31"/>
      <c r="G72" s="31"/>
      <c r="H72" s="31"/>
      <c r="I72" s="31"/>
    </row>
    <row r="73" spans="2:9" s="39" customFormat="1" x14ac:dyDescent="0.35">
      <c r="B73" s="39" t="s">
        <v>5564</v>
      </c>
      <c r="C73" s="31"/>
      <c r="D73" s="31"/>
      <c r="E73" s="31"/>
      <c r="F73" s="31"/>
      <c r="G73" s="31"/>
      <c r="H73" s="31"/>
      <c r="I73" s="31"/>
    </row>
    <row r="74" spans="2:9" s="39" customFormat="1" x14ac:dyDescent="0.35">
      <c r="B74" s="435" t="s">
        <v>5010</v>
      </c>
      <c r="C74" s="438"/>
      <c r="D74" s="438"/>
      <c r="E74" s="438"/>
      <c r="F74" s="438"/>
      <c r="G74" s="438"/>
      <c r="H74" s="438"/>
      <c r="I74" s="438"/>
    </row>
    <row r="75" spans="2:9" s="39" customFormat="1" x14ac:dyDescent="0.35">
      <c r="B75" s="39" t="s">
        <v>4923</v>
      </c>
      <c r="C75" s="31"/>
      <c r="D75" s="31"/>
      <c r="E75" s="31"/>
      <c r="F75" s="31"/>
      <c r="G75" s="31"/>
      <c r="H75" s="31"/>
      <c r="I75" s="31"/>
    </row>
    <row r="76" spans="2:9" s="39" customFormat="1" x14ac:dyDescent="0.35">
      <c r="B76" s="39" t="s">
        <v>5565</v>
      </c>
      <c r="C76" s="31"/>
      <c r="D76" s="31"/>
      <c r="E76" s="31"/>
      <c r="F76" s="31"/>
      <c r="G76" s="31"/>
      <c r="H76" s="31"/>
      <c r="I76" s="31"/>
    </row>
    <row r="77" spans="2:9" s="39" customFormat="1" x14ac:dyDescent="0.35">
      <c r="B77" s="39" t="s">
        <v>5566</v>
      </c>
      <c r="C77" s="31"/>
      <c r="D77" s="31"/>
      <c r="E77" s="31"/>
      <c r="F77" s="31"/>
      <c r="G77" s="31"/>
      <c r="H77" s="31"/>
      <c r="I77" s="31"/>
    </row>
    <row r="78" spans="2:9" s="39" customFormat="1" x14ac:dyDescent="0.35">
      <c r="B78" s="39" t="s">
        <v>5567</v>
      </c>
      <c r="C78" s="31"/>
      <c r="D78" s="31"/>
      <c r="E78" s="31"/>
      <c r="F78" s="31"/>
      <c r="G78" s="31"/>
      <c r="H78" s="31"/>
      <c r="I78" s="31"/>
    </row>
    <row r="79" spans="2:9" s="39" customFormat="1" x14ac:dyDescent="0.35">
      <c r="B79" s="435" t="s">
        <v>5011</v>
      </c>
      <c r="C79" s="438"/>
      <c r="D79" s="438"/>
      <c r="E79" s="438"/>
      <c r="F79" s="438"/>
      <c r="G79" s="438"/>
      <c r="H79" s="438"/>
      <c r="I79" s="438"/>
    </row>
    <row r="80" spans="2:9" s="39" customFormat="1" x14ac:dyDescent="0.35">
      <c r="B80" s="39" t="s">
        <v>5568</v>
      </c>
      <c r="C80" s="31"/>
      <c r="D80" s="31"/>
      <c r="E80" s="31"/>
      <c r="F80" s="31"/>
      <c r="G80" s="31"/>
      <c r="H80" s="31"/>
      <c r="I80" s="31"/>
    </row>
    <row r="81" spans="2:9" s="39" customFormat="1" x14ac:dyDescent="0.35">
      <c r="B81" s="39" t="s">
        <v>5569</v>
      </c>
      <c r="C81" s="31"/>
      <c r="D81" s="31"/>
      <c r="E81" s="31"/>
      <c r="F81" s="31"/>
      <c r="G81" s="31"/>
      <c r="H81" s="31"/>
      <c r="I81" s="31"/>
    </row>
    <row r="82" spans="2:9" s="39" customFormat="1" x14ac:dyDescent="0.35">
      <c r="B82" s="435" t="s">
        <v>5570</v>
      </c>
      <c r="C82" s="438"/>
      <c r="D82" s="438"/>
      <c r="E82" s="438"/>
      <c r="F82" s="438"/>
      <c r="G82" s="438"/>
      <c r="H82" s="438"/>
      <c r="I82" s="438"/>
    </row>
    <row r="83" spans="2:9" s="39" customFormat="1" x14ac:dyDescent="0.35">
      <c r="B83" s="428" t="s">
        <v>5191</v>
      </c>
      <c r="C83" s="31"/>
      <c r="D83" s="31"/>
      <c r="E83" s="31"/>
      <c r="F83" s="31"/>
      <c r="G83" s="31"/>
      <c r="H83" s="31"/>
      <c r="I83" s="31"/>
    </row>
    <row r="84" spans="2:9" s="39" customFormat="1" x14ac:dyDescent="0.35">
      <c r="B84" s="428"/>
      <c r="C84" s="175"/>
      <c r="D84" s="175"/>
      <c r="E84" s="175"/>
      <c r="F84" s="175"/>
      <c r="G84" s="175"/>
      <c r="H84" s="175"/>
      <c r="I84" s="175"/>
    </row>
    <row r="85" spans="2:9" s="39" customFormat="1" ht="21" x14ac:dyDescent="0.35">
      <c r="B85" s="816" t="s">
        <v>4902</v>
      </c>
      <c r="C85" s="818"/>
      <c r="D85" s="818"/>
      <c r="E85" s="818"/>
      <c r="F85" s="818"/>
      <c r="G85" s="818"/>
      <c r="H85" s="818"/>
      <c r="I85" s="818"/>
    </row>
    <row r="86" spans="2:9" s="39" customFormat="1" x14ac:dyDescent="0.35">
      <c r="B86" s="441" t="s">
        <v>5017</v>
      </c>
      <c r="C86" s="444"/>
      <c r="D86" s="444"/>
      <c r="E86" s="444"/>
      <c r="F86" s="444"/>
      <c r="G86" s="444"/>
      <c r="H86" s="444"/>
      <c r="I86" s="444"/>
    </row>
    <row r="87" spans="2:9" s="39" customFormat="1" x14ac:dyDescent="0.35">
      <c r="B87" s="39" t="s">
        <v>5571</v>
      </c>
      <c r="C87" s="31"/>
      <c r="D87" s="31"/>
      <c r="E87" s="31"/>
      <c r="F87" s="31"/>
      <c r="G87" s="31"/>
      <c r="H87" s="31"/>
      <c r="I87" s="31"/>
    </row>
    <row r="88" spans="2:9" s="39" customFormat="1" x14ac:dyDescent="0.35">
      <c r="B88" s="441" t="s">
        <v>5018</v>
      </c>
      <c r="C88" s="444"/>
      <c r="D88" s="444"/>
      <c r="E88" s="444"/>
      <c r="F88" s="444"/>
      <c r="G88" s="444"/>
      <c r="H88" s="444"/>
      <c r="I88" s="444"/>
    </row>
    <row r="89" spans="2:9" s="39" customFormat="1" x14ac:dyDescent="0.35">
      <c r="B89" s="39" t="s">
        <v>5572</v>
      </c>
      <c r="C89" s="31"/>
      <c r="D89" s="31"/>
      <c r="E89" s="31"/>
      <c r="F89" s="31"/>
      <c r="G89" s="31"/>
      <c r="H89" s="31"/>
      <c r="I89" s="31"/>
    </row>
    <row r="90" spans="2:9" s="39" customFormat="1" x14ac:dyDescent="0.35">
      <c r="B90" s="441" t="s">
        <v>5019</v>
      </c>
      <c r="C90" s="444"/>
      <c r="D90" s="444"/>
      <c r="E90" s="444"/>
      <c r="F90" s="444"/>
      <c r="G90" s="444"/>
      <c r="H90" s="444"/>
      <c r="I90" s="444"/>
    </row>
    <row r="91" spans="2:9" s="39" customFormat="1" x14ac:dyDescent="0.35">
      <c r="B91" s="39" t="s">
        <v>5573</v>
      </c>
      <c r="C91" s="31"/>
      <c r="D91" s="31"/>
      <c r="E91" s="31"/>
      <c r="F91" s="31"/>
      <c r="G91" s="31"/>
      <c r="H91" s="31"/>
      <c r="I91" s="31"/>
    </row>
    <row r="92" spans="2:9" x14ac:dyDescent="0.35">
      <c r="B92" s="1" t="s">
        <v>5574</v>
      </c>
      <c r="C92" s="31"/>
      <c r="D92" s="31"/>
      <c r="E92" s="31"/>
      <c r="F92" s="31"/>
      <c r="G92" s="31"/>
      <c r="H92" s="31"/>
      <c r="I92" s="31"/>
    </row>
    <row r="93" spans="2:9" x14ac:dyDescent="0.35">
      <c r="C93" s="175"/>
      <c r="D93" s="175"/>
      <c r="E93" s="175"/>
      <c r="F93" s="175"/>
      <c r="G93" s="175"/>
      <c r="H93" s="175"/>
      <c r="I93" s="175"/>
    </row>
    <row r="94" spans="2:9" ht="21" x14ac:dyDescent="0.35">
      <c r="B94" s="812" t="s">
        <v>4903</v>
      </c>
      <c r="C94" s="814"/>
      <c r="D94" s="814"/>
      <c r="E94" s="814"/>
      <c r="F94" s="814"/>
      <c r="G94" s="814"/>
      <c r="H94" s="814"/>
      <c r="I94" s="814"/>
    </row>
    <row r="95" spans="2:9" x14ac:dyDescent="0.35">
      <c r="B95" s="447" t="s">
        <v>5070</v>
      </c>
      <c r="C95" s="450"/>
      <c r="D95" s="450"/>
      <c r="E95" s="450"/>
      <c r="F95" s="450"/>
      <c r="G95" s="450"/>
      <c r="H95" s="450"/>
      <c r="I95" s="450"/>
    </row>
    <row r="96" spans="2:9" x14ac:dyDescent="0.35">
      <c r="B96" s="39" t="s">
        <v>5575</v>
      </c>
      <c r="C96" s="31"/>
      <c r="D96" s="31"/>
      <c r="E96" s="31"/>
      <c r="F96" s="31"/>
      <c r="G96" s="31"/>
      <c r="H96" s="31"/>
      <c r="I96" s="31"/>
    </row>
    <row r="97" spans="2:9" x14ac:dyDescent="0.35">
      <c r="B97" s="1" t="s">
        <v>5576</v>
      </c>
      <c r="C97" s="31"/>
      <c r="D97" s="31"/>
      <c r="E97" s="31"/>
      <c r="F97" s="31"/>
      <c r="G97" s="31"/>
      <c r="H97" s="31"/>
      <c r="I97" s="31"/>
    </row>
    <row r="98" spans="2:9" x14ac:dyDescent="0.35">
      <c r="B98" s="1" t="s">
        <v>5577</v>
      </c>
      <c r="C98" s="31"/>
      <c r="D98" s="31"/>
      <c r="E98" s="31"/>
      <c r="F98" s="31"/>
      <c r="G98" s="31"/>
      <c r="H98" s="31"/>
      <c r="I98" s="31"/>
    </row>
    <row r="99" spans="2:9" x14ac:dyDescent="0.35">
      <c r="B99" s="447" t="s">
        <v>5578</v>
      </c>
      <c r="C99" s="450"/>
      <c r="D99" s="450"/>
      <c r="E99" s="450"/>
      <c r="F99" s="450"/>
      <c r="G99" s="450"/>
      <c r="H99" s="450"/>
      <c r="I99" s="450"/>
    </row>
    <row r="100" spans="2:9" x14ac:dyDescent="0.35">
      <c r="B100" s="1" t="s">
        <v>5579</v>
      </c>
      <c r="C100" s="31"/>
      <c r="D100" s="31"/>
      <c r="E100" s="31"/>
      <c r="F100" s="31"/>
      <c r="G100" s="31"/>
      <c r="H100" s="31"/>
      <c r="I100" s="31"/>
    </row>
    <row r="101" spans="2:9" x14ac:dyDescent="0.35">
      <c r="B101" s="1" t="s">
        <v>5580</v>
      </c>
      <c r="C101" s="31"/>
      <c r="D101" s="31"/>
      <c r="E101" s="31"/>
      <c r="F101" s="31"/>
      <c r="G101" s="31"/>
      <c r="H101" s="31"/>
      <c r="I101" s="31"/>
    </row>
    <row r="102" spans="2:9" x14ac:dyDescent="0.35">
      <c r="B102" s="1" t="s">
        <v>5581</v>
      </c>
      <c r="C102" s="31"/>
      <c r="D102" s="31"/>
      <c r="E102" s="31"/>
      <c r="F102" s="31"/>
      <c r="G102" s="31"/>
      <c r="H102" s="31"/>
      <c r="I102" s="31"/>
    </row>
    <row r="103" spans="2:9" x14ac:dyDescent="0.35">
      <c r="B103" s="447" t="s">
        <v>4850</v>
      </c>
      <c r="C103" s="450"/>
      <c r="D103" s="450"/>
      <c r="E103" s="450"/>
      <c r="F103" s="450"/>
      <c r="G103" s="450"/>
      <c r="H103" s="450"/>
      <c r="I103" s="450"/>
    </row>
    <row r="104" spans="2:9" x14ac:dyDescent="0.35">
      <c r="B104" s="1" t="s">
        <v>5582</v>
      </c>
      <c r="C104" s="31"/>
      <c r="D104" s="31"/>
      <c r="E104" s="31"/>
      <c r="F104" s="31"/>
      <c r="G104" s="31"/>
      <c r="H104" s="31"/>
      <c r="I104" s="31"/>
    </row>
    <row r="105" spans="2:9" x14ac:dyDescent="0.35">
      <c r="B105" s="1" t="s">
        <v>5583</v>
      </c>
      <c r="C105" s="31"/>
      <c r="D105" s="31"/>
      <c r="E105" s="31"/>
      <c r="F105" s="31"/>
      <c r="G105" s="31"/>
      <c r="H105" s="31"/>
      <c r="I105" s="31"/>
    </row>
    <row r="106" spans="2:9" x14ac:dyDescent="0.35">
      <c r="B106" s="1" t="s">
        <v>5584</v>
      </c>
      <c r="C106" s="31"/>
      <c r="D106" s="31"/>
      <c r="E106" s="31"/>
      <c r="F106" s="31"/>
      <c r="G106" s="31"/>
      <c r="H106" s="31"/>
      <c r="I106" s="31"/>
    </row>
    <row r="107" spans="2:9" x14ac:dyDescent="0.35">
      <c r="B107" s="447" t="s">
        <v>4851</v>
      </c>
      <c r="C107" s="450"/>
      <c r="D107" s="450"/>
      <c r="E107" s="450"/>
      <c r="F107" s="450"/>
      <c r="G107" s="450"/>
      <c r="H107" s="450"/>
      <c r="I107" s="450"/>
    </row>
    <row r="108" spans="2:9" x14ac:dyDescent="0.35">
      <c r="B108" s="1" t="s">
        <v>5585</v>
      </c>
      <c r="C108" s="31"/>
      <c r="D108" s="31"/>
      <c r="E108" s="31"/>
      <c r="F108" s="31"/>
      <c r="G108" s="31"/>
      <c r="H108" s="31"/>
      <c r="I108" s="31"/>
    </row>
    <row r="109" spans="2:9" x14ac:dyDescent="0.35">
      <c r="B109" s="1" t="s">
        <v>5586</v>
      </c>
      <c r="C109" s="31"/>
      <c r="D109" s="31"/>
      <c r="E109" s="31"/>
      <c r="F109" s="31"/>
      <c r="G109" s="31"/>
      <c r="H109" s="31"/>
      <c r="I109" s="31"/>
    </row>
    <row r="110" spans="2:9" x14ac:dyDescent="0.35">
      <c r="C110" s="175"/>
      <c r="D110" s="175"/>
      <c r="E110" s="175"/>
      <c r="F110" s="175"/>
      <c r="G110" s="175"/>
      <c r="H110" s="175"/>
      <c r="I110" s="175"/>
    </row>
    <row r="111" spans="2:9" ht="21" x14ac:dyDescent="0.35">
      <c r="B111" s="808" t="s">
        <v>4904</v>
      </c>
      <c r="C111" s="810"/>
      <c r="D111" s="810"/>
      <c r="E111" s="810"/>
      <c r="F111" s="810"/>
      <c r="G111" s="810"/>
      <c r="H111" s="810"/>
      <c r="I111" s="810"/>
    </row>
    <row r="112" spans="2:9" x14ac:dyDescent="0.35">
      <c r="B112" s="452" t="s">
        <v>5013</v>
      </c>
      <c r="C112" s="1573"/>
      <c r="D112" s="1573"/>
      <c r="E112" s="1573"/>
      <c r="F112" s="1573"/>
      <c r="G112" s="1573"/>
      <c r="H112" s="1573"/>
      <c r="I112" s="1573"/>
    </row>
    <row r="113" spans="2:9" x14ac:dyDescent="0.35">
      <c r="B113" s="39" t="s">
        <v>4852</v>
      </c>
      <c r="C113" s="1574"/>
      <c r="D113" s="1574"/>
      <c r="E113" s="1574"/>
      <c r="F113" s="1574"/>
      <c r="G113" s="1574"/>
      <c r="H113" s="1574"/>
      <c r="I113" s="1574"/>
    </row>
    <row r="114" spans="2:9" x14ac:dyDescent="0.35">
      <c r="B114" s="1" t="s">
        <v>5587</v>
      </c>
      <c r="C114" s="1574"/>
      <c r="D114" s="1574"/>
      <c r="E114" s="1574"/>
      <c r="F114" s="1574"/>
      <c r="G114" s="1574"/>
      <c r="H114" s="1574"/>
      <c r="I114" s="1574"/>
    </row>
    <row r="115" spans="2:9" x14ac:dyDescent="0.35">
      <c r="B115" s="1" t="s">
        <v>5588</v>
      </c>
      <c r="C115" s="1574"/>
      <c r="D115" s="1574"/>
      <c r="E115" s="1574"/>
      <c r="F115" s="1574"/>
      <c r="G115" s="1574"/>
      <c r="H115" s="1574"/>
      <c r="I115" s="1574"/>
    </row>
    <row r="116" spans="2:9" x14ac:dyDescent="0.35">
      <c r="B116" s="452" t="s">
        <v>5267</v>
      </c>
      <c r="C116" s="1573"/>
      <c r="D116" s="1573"/>
      <c r="E116" s="1573"/>
      <c r="F116" s="1573"/>
      <c r="G116" s="1573"/>
      <c r="H116" s="1573"/>
      <c r="I116" s="1573"/>
    </row>
    <row r="117" spans="2:9" x14ac:dyDescent="0.35">
      <c r="B117" s="1" t="s">
        <v>4854</v>
      </c>
      <c r="C117" s="1574"/>
      <c r="D117" s="1574"/>
      <c r="E117" s="1574"/>
      <c r="F117" s="1574"/>
      <c r="G117" s="1574"/>
      <c r="H117" s="1574"/>
      <c r="I117" s="1574"/>
    </row>
    <row r="118" spans="2:9" x14ac:dyDescent="0.35">
      <c r="B118" s="1" t="s">
        <v>5589</v>
      </c>
      <c r="C118" s="1574"/>
      <c r="D118" s="1574"/>
      <c r="E118" s="1574"/>
      <c r="F118" s="1574"/>
      <c r="G118" s="1574"/>
      <c r="H118" s="1574"/>
      <c r="I118" s="1574"/>
    </row>
    <row r="119" spans="2:9" x14ac:dyDescent="0.35">
      <c r="B119" s="1" t="s">
        <v>5590</v>
      </c>
      <c r="C119" s="1574"/>
      <c r="D119" s="1574"/>
      <c r="E119" s="1574"/>
      <c r="F119" s="1574"/>
      <c r="G119" s="1574"/>
      <c r="H119" s="1574"/>
      <c r="I119" s="1574"/>
    </row>
    <row r="120" spans="2:9" x14ac:dyDescent="0.35">
      <c r="B120" s="452" t="s">
        <v>5591</v>
      </c>
      <c r="C120" s="1573"/>
      <c r="D120" s="1573"/>
      <c r="E120" s="1573"/>
      <c r="F120" s="1573"/>
      <c r="G120" s="1573"/>
      <c r="H120" s="1573"/>
      <c r="I120" s="1573"/>
    </row>
    <row r="121" spans="2:9" x14ac:dyDescent="0.35">
      <c r="B121" s="1" t="s">
        <v>5592</v>
      </c>
      <c r="C121" s="1574"/>
      <c r="D121" s="1574"/>
      <c r="E121" s="1574"/>
      <c r="F121" s="1574"/>
      <c r="G121" s="1574"/>
      <c r="H121" s="1574"/>
      <c r="I121" s="1574"/>
    </row>
    <row r="122" spans="2:9" x14ac:dyDescent="0.35">
      <c r="B122" s="1" t="s">
        <v>5593</v>
      </c>
      <c r="C122" s="1574"/>
      <c r="D122" s="1574"/>
      <c r="E122" s="1574"/>
      <c r="F122" s="1574"/>
      <c r="G122" s="1574"/>
      <c r="H122" s="1574"/>
      <c r="I122" s="1574"/>
    </row>
    <row r="123" spans="2:9" x14ac:dyDescent="0.35">
      <c r="C123" s="1032"/>
      <c r="D123" s="1032"/>
      <c r="E123" s="1032"/>
      <c r="F123" s="1032"/>
      <c r="G123" s="1031"/>
    </row>
    <row r="124" spans="2:9" x14ac:dyDescent="0.35">
      <c r="B124" s="1026"/>
      <c r="C124" s="1032"/>
      <c r="D124" s="1032"/>
      <c r="E124" s="1032"/>
      <c r="F124" s="1033"/>
      <c r="G124" s="1031"/>
    </row>
  </sheetData>
  <hyperlinks>
    <hyperlink ref="C2" r:id="rId1"/>
  </hyperlinks>
  <pageMargins left="0.7" right="0.7" top="0.78740157499999996" bottom="0.78740157499999996"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N264"/>
  <sheetViews>
    <sheetView zoomScaleNormal="100" workbookViewId="0"/>
  </sheetViews>
  <sheetFormatPr baseColWidth="10" defaultColWidth="11" defaultRowHeight="14.5" outlineLevelRow="1" x14ac:dyDescent="0.35"/>
  <cols>
    <col min="1" max="1" width="3.5" style="1" customWidth="1"/>
    <col min="2" max="2" width="42.08203125" style="1" customWidth="1"/>
    <col min="3" max="3" width="17.25" style="1" customWidth="1"/>
    <col min="4" max="4" width="14.33203125" style="1" bestFit="1" customWidth="1"/>
    <col min="5" max="5" width="18.58203125" style="1" customWidth="1"/>
    <col min="6" max="6" width="27.33203125" style="1" bestFit="1" customWidth="1"/>
    <col min="7" max="12" width="19.75" style="416" customWidth="1"/>
    <col min="13" max="13" width="7.08203125" style="1" bestFit="1" customWidth="1"/>
    <col min="14" max="15" width="40.58203125" style="1" customWidth="1"/>
    <col min="16" max="16384" width="11" style="1"/>
  </cols>
  <sheetData>
    <row r="2" spans="2:12" ht="21" x14ac:dyDescent="0.5">
      <c r="B2" s="103" t="s">
        <v>6091</v>
      </c>
    </row>
    <row r="4" spans="2:12" x14ac:dyDescent="0.35">
      <c r="C4" s="1110" t="s">
        <v>6092</v>
      </c>
      <c r="D4" s="1110" t="s">
        <v>5520</v>
      </c>
      <c r="E4" s="1110" t="s">
        <v>6099</v>
      </c>
      <c r="F4" s="1110" t="s">
        <v>4493</v>
      </c>
      <c r="G4" s="521" t="s">
        <v>5391</v>
      </c>
      <c r="H4" s="762"/>
      <c r="I4" s="762"/>
      <c r="J4" s="762"/>
      <c r="K4" s="762"/>
      <c r="L4" s="762"/>
    </row>
    <row r="5" spans="2:12" x14ac:dyDescent="0.35">
      <c r="B5" s="1109" t="s">
        <v>6093</v>
      </c>
      <c r="C5" s="1491"/>
      <c r="D5" s="1101"/>
      <c r="E5" s="764"/>
      <c r="F5" s="1038"/>
      <c r="G5" s="1038"/>
      <c r="H5" s="1606"/>
      <c r="I5" s="1606"/>
      <c r="J5" s="1606"/>
      <c r="K5" s="1606"/>
      <c r="L5" s="1606"/>
    </row>
    <row r="6" spans="2:12" x14ac:dyDescent="0.35">
      <c r="B6" s="1109" t="s">
        <v>6094</v>
      </c>
      <c r="C6" s="1491"/>
      <c r="D6" s="1101"/>
      <c r="E6" s="764"/>
      <c r="F6" s="1038"/>
      <c r="G6" s="1038"/>
      <c r="H6" s="1606"/>
      <c r="I6" s="1606"/>
      <c r="J6" s="1606"/>
      <c r="K6" s="1606"/>
      <c r="L6" s="1606"/>
    </row>
    <row r="7" spans="2:12" x14ac:dyDescent="0.35">
      <c r="B7" s="1109" t="s">
        <v>6095</v>
      </c>
      <c r="C7" s="1492"/>
      <c r="D7" s="1101"/>
      <c r="E7" s="764"/>
      <c r="F7" s="1038"/>
      <c r="G7" s="1038"/>
      <c r="H7" s="1606"/>
      <c r="I7" s="1606"/>
      <c r="J7" s="1606"/>
      <c r="K7" s="1606"/>
      <c r="L7" s="1606"/>
    </row>
    <row r="8" spans="2:12" x14ac:dyDescent="0.35">
      <c r="B8" s="1109" t="s">
        <v>6096</v>
      </c>
      <c r="C8" s="1491"/>
      <c r="D8" s="1101"/>
      <c r="E8" s="764"/>
      <c r="F8" s="1038"/>
      <c r="G8" s="1038"/>
      <c r="H8" s="1606"/>
      <c r="I8" s="1606"/>
      <c r="J8" s="1606"/>
      <c r="K8" s="1606"/>
      <c r="L8" s="1606"/>
    </row>
    <row r="9" spans="2:12" x14ac:dyDescent="0.35">
      <c r="B9" s="1109" t="s">
        <v>6097</v>
      </c>
      <c r="C9" s="1491"/>
      <c r="D9" s="1101"/>
      <c r="E9" s="764"/>
      <c r="F9" s="1038"/>
      <c r="G9" s="1038"/>
      <c r="H9" s="1606"/>
      <c r="I9" s="1606"/>
      <c r="J9" s="1606"/>
      <c r="K9" s="1606"/>
      <c r="L9" s="1606"/>
    </row>
    <row r="10" spans="2:12" x14ac:dyDescent="0.35">
      <c r="B10" s="1109" t="s">
        <v>6102</v>
      </c>
      <c r="C10" s="1491"/>
      <c r="D10" s="1101"/>
      <c r="E10" s="764"/>
      <c r="F10" s="1038"/>
      <c r="G10" s="1038"/>
      <c r="H10" s="1606"/>
      <c r="I10" s="1606"/>
      <c r="J10" s="1606"/>
      <c r="K10" s="1606"/>
      <c r="L10" s="1606"/>
    </row>
    <row r="11" spans="2:12" x14ac:dyDescent="0.35">
      <c r="B11" s="1109" t="s">
        <v>6103</v>
      </c>
      <c r="C11" s="1491"/>
      <c r="D11" s="1101"/>
      <c r="E11" s="764"/>
      <c r="F11" s="1038"/>
      <c r="G11" s="1038"/>
      <c r="H11" s="1606"/>
      <c r="I11" s="1606"/>
      <c r="J11" s="1606"/>
      <c r="K11" s="1606"/>
      <c r="L11" s="1606"/>
    </row>
    <row r="12" spans="2:12" x14ac:dyDescent="0.35">
      <c r="B12" s="1109" t="s">
        <v>6104</v>
      </c>
      <c r="C12" s="1491"/>
      <c r="D12" s="1101"/>
      <c r="E12" s="764"/>
      <c r="F12" s="1038"/>
      <c r="G12" s="1038"/>
      <c r="H12" s="1606"/>
      <c r="I12" s="1606"/>
      <c r="J12" s="1606"/>
      <c r="K12" s="1606"/>
      <c r="L12" s="1606"/>
    </row>
    <row r="13" spans="2:12" x14ac:dyDescent="0.35">
      <c r="B13" s="1109" t="s">
        <v>6105</v>
      </c>
      <c r="C13" s="1491"/>
      <c r="D13" s="1101"/>
      <c r="E13" s="764"/>
      <c r="F13" s="1038"/>
      <c r="G13" s="1038"/>
      <c r="H13" s="1606"/>
      <c r="I13" s="1606"/>
      <c r="J13" s="1606"/>
      <c r="K13" s="1606"/>
      <c r="L13" s="1606"/>
    </row>
    <row r="14" spans="2:12" x14ac:dyDescent="0.35">
      <c r="B14" s="1109" t="s">
        <v>6106</v>
      </c>
      <c r="C14" s="1491"/>
      <c r="D14" s="1101"/>
      <c r="E14" s="764"/>
      <c r="F14" s="1038"/>
      <c r="G14" s="1038"/>
      <c r="H14" s="1606"/>
      <c r="I14" s="1606"/>
      <c r="J14" s="1606"/>
      <c r="K14" s="1606"/>
      <c r="L14" s="1606"/>
    </row>
    <row r="15" spans="2:12" x14ac:dyDescent="0.35">
      <c r="B15" s="941"/>
      <c r="C15" s="1026"/>
      <c r="D15" s="1102">
        <f>SUM(D5:D14)</f>
        <v>0</v>
      </c>
      <c r="E15" s="1034">
        <f>SUM(E5:E14)</f>
        <v>0</v>
      </c>
      <c r="G15" s="1"/>
      <c r="H15" s="1"/>
      <c r="I15" s="1"/>
      <c r="J15" s="1"/>
      <c r="K15" s="1"/>
      <c r="L15" s="1"/>
    </row>
    <row r="16" spans="2:12" x14ac:dyDescent="0.35">
      <c r="B16" s="941"/>
      <c r="C16" s="1026"/>
      <c r="D16" s="1102"/>
      <c r="E16" s="1034"/>
      <c r="G16" s="1"/>
      <c r="H16" s="1"/>
      <c r="I16" s="1"/>
      <c r="J16" s="1"/>
      <c r="K16" s="1"/>
      <c r="L16" s="1"/>
    </row>
    <row r="17" spans="2:14" ht="21" x14ac:dyDescent="0.5">
      <c r="B17" s="103" t="s">
        <v>6101</v>
      </c>
      <c r="C17" s="1026"/>
      <c r="D17" s="1102"/>
      <c r="E17" s="1034"/>
      <c r="G17" s="1"/>
      <c r="H17" s="1"/>
      <c r="I17" s="1"/>
      <c r="J17" s="1"/>
      <c r="K17" s="1"/>
      <c r="L17" s="1"/>
    </row>
    <row r="19" spans="2:14" x14ac:dyDescent="0.35">
      <c r="B19" s="1576" t="s">
        <v>6</v>
      </c>
      <c r="C19" s="303">
        <f>C5</f>
        <v>0</v>
      </c>
      <c r="D19" s="303">
        <f>C6</f>
        <v>0</v>
      </c>
      <c r="E19" s="303">
        <f>C7</f>
        <v>0</v>
      </c>
      <c r="F19" s="303">
        <f>C8</f>
        <v>0</v>
      </c>
      <c r="G19" s="303">
        <f>C9</f>
        <v>0</v>
      </c>
      <c r="H19" s="1603">
        <f>C10</f>
        <v>0</v>
      </c>
      <c r="I19" s="1603">
        <f>C11</f>
        <v>0</v>
      </c>
      <c r="J19" s="1603">
        <f>C12</f>
        <v>0</v>
      </c>
      <c r="K19" s="1603">
        <f>C13</f>
        <v>0</v>
      </c>
      <c r="L19" s="1603">
        <f>C14</f>
        <v>0</v>
      </c>
      <c r="M19" s="1577" t="s">
        <v>6098</v>
      </c>
    </row>
    <row r="20" spans="2:14" x14ac:dyDescent="0.35">
      <c r="B20" s="1578" t="str">
        <f>B34</f>
        <v>A. Management</v>
      </c>
      <c r="C20" s="1579">
        <f>C34</f>
        <v>0</v>
      </c>
      <c r="D20" s="1579">
        <f t="shared" ref="D20:G20" si="0">D34</f>
        <v>0</v>
      </c>
      <c r="E20" s="1579">
        <f t="shared" si="0"/>
        <v>0</v>
      </c>
      <c r="F20" s="1579">
        <f t="shared" si="0"/>
        <v>0</v>
      </c>
      <c r="G20" s="1579">
        <f t="shared" si="0"/>
        <v>0</v>
      </c>
      <c r="H20" s="1579">
        <f t="shared" ref="H20:L20" si="1">H34</f>
        <v>0</v>
      </c>
      <c r="I20" s="1579">
        <f t="shared" si="1"/>
        <v>0</v>
      </c>
      <c r="J20" s="1579">
        <f t="shared" si="1"/>
        <v>0</v>
      </c>
      <c r="K20" s="1579">
        <f t="shared" si="1"/>
        <v>0</v>
      </c>
      <c r="L20" s="1579">
        <f t="shared" si="1"/>
        <v>0</v>
      </c>
      <c r="M20" s="523">
        <f>C20*$E$5+D20*$E$6+E20*$E$7+F20*$E$8+G20*$E$9+H20*$E$10+I20*$E$11+J20*$E$12+K20*$E$13+L20*$E$14</f>
        <v>0</v>
      </c>
      <c r="N20" s="772"/>
    </row>
    <row r="21" spans="2:14" x14ac:dyDescent="0.35">
      <c r="B21" s="1580" t="str">
        <f>B62</f>
        <v>B. Kommunikation</v>
      </c>
      <c r="C21" s="1581">
        <f>C62</f>
        <v>0</v>
      </c>
      <c r="D21" s="1581">
        <f t="shared" ref="D21:G21" si="2">D62</f>
        <v>0</v>
      </c>
      <c r="E21" s="1581">
        <f t="shared" si="2"/>
        <v>0</v>
      </c>
      <c r="F21" s="1581">
        <f t="shared" si="2"/>
        <v>0</v>
      </c>
      <c r="G21" s="1581">
        <f t="shared" si="2"/>
        <v>0</v>
      </c>
      <c r="H21" s="1581">
        <f t="shared" ref="H21:L21" si="3">H62</f>
        <v>0</v>
      </c>
      <c r="I21" s="1581">
        <f t="shared" si="3"/>
        <v>0</v>
      </c>
      <c r="J21" s="1581">
        <f t="shared" si="3"/>
        <v>0</v>
      </c>
      <c r="K21" s="1581">
        <f t="shared" si="3"/>
        <v>0</v>
      </c>
      <c r="L21" s="1581">
        <f t="shared" si="3"/>
        <v>0</v>
      </c>
      <c r="M21" s="523">
        <f t="shared" ref="M21:M29" si="4">C21*$E$5+D21*$E$6+E21*$E$7+F21*$E$8+G21*$E$9+H21*$E$10+I21*$E$11+J21*$E$12+K21*$E$13+L21*$E$14</f>
        <v>0</v>
      </c>
      <c r="N21" s="772"/>
    </row>
    <row r="22" spans="2:14" x14ac:dyDescent="0.35">
      <c r="B22" s="1582" t="str">
        <f>B76</f>
        <v>C. Städtebau</v>
      </c>
      <c r="C22" s="1583">
        <f>C76</f>
        <v>0</v>
      </c>
      <c r="D22" s="1583">
        <f t="shared" ref="D22:G22" si="5">D76</f>
        <v>0</v>
      </c>
      <c r="E22" s="1583">
        <f t="shared" si="5"/>
        <v>0</v>
      </c>
      <c r="F22" s="1583">
        <f t="shared" si="5"/>
        <v>0</v>
      </c>
      <c r="G22" s="1583">
        <f t="shared" si="5"/>
        <v>0</v>
      </c>
      <c r="H22" s="1583">
        <f t="shared" ref="H22:L22" si="6">H76</f>
        <v>0</v>
      </c>
      <c r="I22" s="1583">
        <f t="shared" si="6"/>
        <v>0</v>
      </c>
      <c r="J22" s="1583">
        <f t="shared" si="6"/>
        <v>0</v>
      </c>
      <c r="K22" s="1583">
        <f t="shared" si="6"/>
        <v>0</v>
      </c>
      <c r="L22" s="1583">
        <f t="shared" si="6"/>
        <v>0</v>
      </c>
      <c r="M22" s="523">
        <f t="shared" si="4"/>
        <v>0</v>
      </c>
      <c r="N22" s="772"/>
    </row>
    <row r="23" spans="2:14" x14ac:dyDescent="0.35">
      <c r="B23" s="1584" t="str">
        <f>B99</f>
        <v>D. Gebäude</v>
      </c>
      <c r="C23" s="1585">
        <f>C99</f>
        <v>0</v>
      </c>
      <c r="D23" s="1585">
        <f t="shared" ref="D23:G23" si="7">D99</f>
        <v>0</v>
      </c>
      <c r="E23" s="1585">
        <f t="shared" si="7"/>
        <v>0</v>
      </c>
      <c r="F23" s="1585">
        <f t="shared" si="7"/>
        <v>0</v>
      </c>
      <c r="G23" s="1585">
        <f t="shared" si="7"/>
        <v>0</v>
      </c>
      <c r="H23" s="1585">
        <f t="shared" ref="H23:L23" si="8">H99</f>
        <v>0</v>
      </c>
      <c r="I23" s="1585">
        <f t="shared" si="8"/>
        <v>0</v>
      </c>
      <c r="J23" s="1585">
        <f t="shared" si="8"/>
        <v>0</v>
      </c>
      <c r="K23" s="1585">
        <f t="shared" si="8"/>
        <v>0</v>
      </c>
      <c r="L23" s="1585">
        <f t="shared" si="8"/>
        <v>0</v>
      </c>
      <c r="M23" s="523">
        <f t="shared" si="4"/>
        <v>0</v>
      </c>
      <c r="N23" s="772"/>
    </row>
    <row r="24" spans="2:14" x14ac:dyDescent="0.35">
      <c r="B24" s="1586" t="str">
        <f>B108</f>
        <v>E. Versorgung</v>
      </c>
      <c r="C24" s="1587">
        <f>C108</f>
        <v>0</v>
      </c>
      <c r="D24" s="1587">
        <f t="shared" ref="D24:G24" si="9">D108</f>
        <v>0</v>
      </c>
      <c r="E24" s="1587">
        <f t="shared" si="9"/>
        <v>0</v>
      </c>
      <c r="F24" s="1587">
        <f t="shared" si="9"/>
        <v>0</v>
      </c>
      <c r="G24" s="1587">
        <f t="shared" si="9"/>
        <v>0</v>
      </c>
      <c r="H24" s="1587">
        <f t="shared" ref="H24:L24" si="10">H108</f>
        <v>0</v>
      </c>
      <c r="I24" s="1587">
        <f t="shared" si="10"/>
        <v>0</v>
      </c>
      <c r="J24" s="1587">
        <f t="shared" si="10"/>
        <v>0</v>
      </c>
      <c r="K24" s="1587">
        <f t="shared" si="10"/>
        <v>0</v>
      </c>
      <c r="L24" s="1587">
        <f t="shared" si="10"/>
        <v>0</v>
      </c>
      <c r="M24" s="523">
        <f t="shared" si="4"/>
        <v>0</v>
      </c>
      <c r="N24" s="772"/>
    </row>
    <row r="25" spans="2:14" x14ac:dyDescent="0.35">
      <c r="B25" s="1588" t="str">
        <f>B125</f>
        <v>F. Mobilität</v>
      </c>
      <c r="C25" s="1589">
        <f>C125</f>
        <v>0</v>
      </c>
      <c r="D25" s="1589">
        <f t="shared" ref="D25:G25" si="11">D125</f>
        <v>0</v>
      </c>
      <c r="E25" s="1589">
        <f t="shared" si="11"/>
        <v>0</v>
      </c>
      <c r="F25" s="1589">
        <f t="shared" si="11"/>
        <v>0</v>
      </c>
      <c r="G25" s="1589">
        <f t="shared" si="11"/>
        <v>0</v>
      </c>
      <c r="H25" s="1589">
        <f t="shared" ref="H25:L25" si="12">H125</f>
        <v>0</v>
      </c>
      <c r="I25" s="1589">
        <f t="shared" si="12"/>
        <v>0</v>
      </c>
      <c r="J25" s="1589">
        <f t="shared" si="12"/>
        <v>0</v>
      </c>
      <c r="K25" s="1589">
        <f t="shared" si="12"/>
        <v>0</v>
      </c>
      <c r="L25" s="1589">
        <f t="shared" si="12"/>
        <v>0</v>
      </c>
      <c r="M25" s="523">
        <f t="shared" si="4"/>
        <v>0</v>
      </c>
      <c r="N25" s="772"/>
    </row>
    <row r="26" spans="2:14" s="39" customFormat="1" ht="21" x14ac:dyDescent="0.5">
      <c r="B26" s="1576" t="s">
        <v>11</v>
      </c>
      <c r="C26" s="1590">
        <f>IFERROR(1000/(150*C20+100*C21+250*C22+150*C23+145*C24+205*C25),0)</f>
        <v>0</v>
      </c>
      <c r="D26" s="1590">
        <f t="shared" ref="D26:L26" si="13">IFERROR(1000/(150*D20+100*D21+250*D22+150*D23+145*D24+205*D25),0)</f>
        <v>0</v>
      </c>
      <c r="E26" s="1590">
        <f t="shared" si="13"/>
        <v>0</v>
      </c>
      <c r="F26" s="1590">
        <f t="shared" si="13"/>
        <v>0</v>
      </c>
      <c r="G26" s="1590">
        <f t="shared" si="13"/>
        <v>0</v>
      </c>
      <c r="H26" s="1590">
        <f t="shared" si="13"/>
        <v>0</v>
      </c>
      <c r="I26" s="1590">
        <f t="shared" si="13"/>
        <v>0</v>
      </c>
      <c r="J26" s="1590">
        <f t="shared" si="13"/>
        <v>0</v>
      </c>
      <c r="K26" s="1590">
        <f t="shared" si="13"/>
        <v>0</v>
      </c>
      <c r="L26" s="1590">
        <f t="shared" si="13"/>
        <v>0</v>
      </c>
      <c r="M26" s="1592">
        <f t="shared" si="4"/>
        <v>0</v>
      </c>
      <c r="N26" s="322" t="str">
        <f>CONCATENATE("Erfüllungsgrad je Handlungsfeld (Gesamt: ",ROUND(M26*100,0)," %)")</f>
        <v>Erfüllungsgrad je Handlungsfeld (Gesamt: 0 %)</v>
      </c>
    </row>
    <row r="27" spans="2:14" x14ac:dyDescent="0.35">
      <c r="B27" s="1591" t="s">
        <v>5558</v>
      </c>
      <c r="C27" s="310">
        <f>VLOOKUP($B$27,$B$34:$L$136,2,0)</f>
        <v>0</v>
      </c>
      <c r="D27" s="310">
        <f>VLOOKUP($B$27,$B$34:$L$136,3,0)</f>
        <v>0</v>
      </c>
      <c r="E27" s="310">
        <f>VLOOKUP($B$27,$B$34:$L$136,4,0)</f>
        <v>0</v>
      </c>
      <c r="F27" s="310">
        <f>VLOOKUP($B$27,$B$34:$L$136,5,0)</f>
        <v>0</v>
      </c>
      <c r="G27" s="310">
        <f>VLOOKUP($B$27,$B$34:$L$136,6,0)</f>
        <v>0</v>
      </c>
      <c r="H27" s="310">
        <f>VLOOKUP($B$27,$B$34:$L$136,7,0)</f>
        <v>0</v>
      </c>
      <c r="I27" s="310">
        <f>VLOOKUP($B$27,$B$34:$L$136,8,0)</f>
        <v>0</v>
      </c>
      <c r="J27" s="310">
        <f>VLOOKUP($B$27,$B$34:$L$136,9,0)</f>
        <v>0</v>
      </c>
      <c r="K27" s="310">
        <f>VLOOKUP($B$27,$B$34:$L$136,10,0)</f>
        <v>0</v>
      </c>
      <c r="L27" s="310">
        <f>VLOOKUP($B$27,$B$34:$L$136,11,0)</f>
        <v>0</v>
      </c>
      <c r="M27" s="523">
        <f t="shared" si="4"/>
        <v>0</v>
      </c>
    </row>
    <row r="28" spans="2:14" x14ac:dyDescent="0.35">
      <c r="B28" s="1591" t="s">
        <v>5018</v>
      </c>
      <c r="C28" s="310">
        <f t="shared" ref="C28:C29" si="14">VLOOKUP($B$27,$B$34:$L$136,2,0)</f>
        <v>0</v>
      </c>
      <c r="D28" s="310">
        <f t="shared" ref="D28:D29" si="15">VLOOKUP($B$27,$B$34:$L$136,3,0)</f>
        <v>0</v>
      </c>
      <c r="E28" s="310">
        <f t="shared" ref="E28:E29" si="16">VLOOKUP($B$27,$B$34:$L$136,4,0)</f>
        <v>0</v>
      </c>
      <c r="F28" s="310">
        <f t="shared" ref="F28:F29" si="17">VLOOKUP($B$27,$B$34:$L$136,5,0)</f>
        <v>0</v>
      </c>
      <c r="G28" s="310">
        <f t="shared" ref="G28:G29" si="18">VLOOKUP($B$27,$B$34:$L$136,6,0)</f>
        <v>0</v>
      </c>
      <c r="H28" s="310">
        <f t="shared" ref="H28:H29" si="19">VLOOKUP($B$27,$B$34:$L$136,7,0)</f>
        <v>0</v>
      </c>
      <c r="I28" s="310">
        <f t="shared" ref="I28:I29" si="20">VLOOKUP($B$27,$B$34:$L$136,8,0)</f>
        <v>0</v>
      </c>
      <c r="J28" s="310">
        <f t="shared" ref="J28:J29" si="21">VLOOKUP($B$27,$B$34:$L$136,9,0)</f>
        <v>0</v>
      </c>
      <c r="K28" s="310">
        <f t="shared" ref="K28:K29" si="22">VLOOKUP($B$27,$B$34:$L$136,10,0)</f>
        <v>0</v>
      </c>
      <c r="L28" s="310">
        <f t="shared" ref="L28:L29" si="23">VLOOKUP($B$27,$B$34:$L$136,11,0)</f>
        <v>0</v>
      </c>
      <c r="M28" s="523">
        <f t="shared" si="4"/>
        <v>0</v>
      </c>
    </row>
    <row r="29" spans="2:14" x14ac:dyDescent="0.35">
      <c r="B29" s="1591" t="s">
        <v>5580</v>
      </c>
      <c r="C29" s="310">
        <f t="shared" si="14"/>
        <v>0</v>
      </c>
      <c r="D29" s="310">
        <f t="shared" si="15"/>
        <v>0</v>
      </c>
      <c r="E29" s="310">
        <f t="shared" si="16"/>
        <v>0</v>
      </c>
      <c r="F29" s="310">
        <f t="shared" si="17"/>
        <v>0</v>
      </c>
      <c r="G29" s="310">
        <f t="shared" si="18"/>
        <v>0</v>
      </c>
      <c r="H29" s="310">
        <f t="shared" si="19"/>
        <v>0</v>
      </c>
      <c r="I29" s="310">
        <f t="shared" si="20"/>
        <v>0</v>
      </c>
      <c r="J29" s="310">
        <f t="shared" si="21"/>
        <v>0</v>
      </c>
      <c r="K29" s="310">
        <f t="shared" si="22"/>
        <v>0</v>
      </c>
      <c r="L29" s="310">
        <f t="shared" si="23"/>
        <v>0</v>
      </c>
      <c r="M29" s="523">
        <f t="shared" si="4"/>
        <v>0</v>
      </c>
    </row>
    <row r="30" spans="2:14" ht="21" x14ac:dyDescent="0.5">
      <c r="B30" s="103"/>
      <c r="G30" s="1"/>
      <c r="H30" s="1"/>
      <c r="I30" s="1"/>
      <c r="J30" s="1"/>
      <c r="K30" s="1"/>
      <c r="L30" s="1"/>
    </row>
    <row r="31" spans="2:14" ht="21" x14ac:dyDescent="0.5">
      <c r="B31" s="103" t="s">
        <v>6100</v>
      </c>
      <c r="G31" s="1"/>
      <c r="H31" s="1"/>
      <c r="I31" s="1"/>
      <c r="J31" s="1"/>
      <c r="K31" s="1"/>
      <c r="L31" s="1"/>
    </row>
    <row r="32" spans="2:14" x14ac:dyDescent="0.35">
      <c r="G32" s="1"/>
      <c r="H32" s="1"/>
      <c r="I32" s="1"/>
      <c r="J32" s="1"/>
      <c r="K32" s="1"/>
      <c r="L32" s="1"/>
    </row>
    <row r="33" spans="2:13" x14ac:dyDescent="0.35">
      <c r="C33" s="175">
        <f>C19</f>
        <v>0</v>
      </c>
      <c r="D33" s="175">
        <f t="shared" ref="D33:L33" si="24">D19</f>
        <v>0</v>
      </c>
      <c r="E33" s="175">
        <f t="shared" si="24"/>
        <v>0</v>
      </c>
      <c r="F33" s="175">
        <f t="shared" si="24"/>
        <v>0</v>
      </c>
      <c r="G33" s="175">
        <f t="shared" si="24"/>
        <v>0</v>
      </c>
      <c r="H33" s="175">
        <f t="shared" si="24"/>
        <v>0</v>
      </c>
      <c r="I33" s="175">
        <f t="shared" si="24"/>
        <v>0</v>
      </c>
      <c r="J33" s="175">
        <f t="shared" si="24"/>
        <v>0</v>
      </c>
      <c r="K33" s="175">
        <f t="shared" si="24"/>
        <v>0</v>
      </c>
      <c r="L33" s="175">
        <f t="shared" si="24"/>
        <v>0</v>
      </c>
    </row>
    <row r="34" spans="2:13" s="39" customFormat="1" ht="21" x14ac:dyDescent="0.35">
      <c r="B34" s="828" t="s">
        <v>4899</v>
      </c>
      <c r="C34" s="830"/>
      <c r="D34" s="830"/>
      <c r="E34" s="830"/>
      <c r="F34" s="830"/>
      <c r="G34" s="830"/>
      <c r="H34" s="830"/>
      <c r="I34" s="830"/>
      <c r="J34" s="830"/>
      <c r="K34" s="830"/>
      <c r="L34" s="830"/>
      <c r="M34" s="420"/>
    </row>
    <row r="35" spans="2:13" s="39" customFormat="1" x14ac:dyDescent="0.35">
      <c r="B35" s="421" t="s">
        <v>4746</v>
      </c>
      <c r="C35" s="423"/>
      <c r="D35" s="423"/>
      <c r="E35" s="423"/>
      <c r="F35" s="423"/>
      <c r="G35" s="423"/>
      <c r="H35" s="423"/>
      <c r="I35" s="423"/>
      <c r="J35" s="423"/>
      <c r="K35" s="423"/>
      <c r="L35" s="423"/>
      <c r="M35" s="420"/>
    </row>
    <row r="36" spans="2:13" s="39" customFormat="1" outlineLevel="1" x14ac:dyDescent="0.35">
      <c r="B36" s="39" t="s">
        <v>5525</v>
      </c>
      <c r="C36" s="31"/>
      <c r="D36" s="31"/>
      <c r="E36" s="31"/>
      <c r="F36" s="31"/>
      <c r="G36" s="31"/>
      <c r="H36" s="31"/>
      <c r="I36" s="31"/>
      <c r="J36" s="31"/>
      <c r="K36" s="31"/>
      <c r="L36" s="31"/>
      <c r="M36" s="420"/>
    </row>
    <row r="37" spans="2:13" s="39" customFormat="1" outlineLevel="1" x14ac:dyDescent="0.35">
      <c r="B37" s="39" t="s">
        <v>5526</v>
      </c>
      <c r="C37" s="31"/>
      <c r="D37" s="31"/>
      <c r="E37" s="31"/>
      <c r="F37" s="31"/>
      <c r="G37" s="31"/>
      <c r="H37" s="31"/>
      <c r="I37" s="31"/>
      <c r="J37" s="31"/>
      <c r="K37" s="31"/>
      <c r="L37" s="31"/>
      <c r="M37" s="420"/>
    </row>
    <row r="38" spans="2:13" s="39" customFormat="1" x14ac:dyDescent="0.35">
      <c r="B38" s="421" t="s">
        <v>4747</v>
      </c>
      <c r="C38" s="423"/>
      <c r="D38" s="423"/>
      <c r="E38" s="423"/>
      <c r="F38" s="423"/>
      <c r="G38" s="423"/>
      <c r="H38" s="423"/>
      <c r="I38" s="423"/>
      <c r="J38" s="423"/>
      <c r="K38" s="423"/>
      <c r="L38" s="423"/>
      <c r="M38" s="420"/>
    </row>
    <row r="39" spans="2:13" s="39" customFormat="1" outlineLevel="1" x14ac:dyDescent="0.35">
      <c r="B39" s="39" t="s">
        <v>5527</v>
      </c>
      <c r="C39" s="31"/>
      <c r="D39" s="31"/>
      <c r="E39" s="31"/>
      <c r="F39" s="31"/>
      <c r="G39" s="31"/>
      <c r="H39" s="31"/>
      <c r="I39" s="31"/>
      <c r="J39" s="31"/>
      <c r="K39" s="31"/>
      <c r="L39" s="31"/>
      <c r="M39" s="420"/>
    </row>
    <row r="40" spans="2:13" s="39" customFormat="1" outlineLevel="1" x14ac:dyDescent="0.35">
      <c r="B40" s="39" t="s">
        <v>5528</v>
      </c>
      <c r="C40" s="31"/>
      <c r="D40" s="31"/>
      <c r="E40" s="31"/>
      <c r="F40" s="31"/>
      <c r="G40" s="31"/>
      <c r="H40" s="31"/>
      <c r="I40" s="31"/>
      <c r="J40" s="31"/>
      <c r="K40" s="31"/>
      <c r="L40" s="31"/>
      <c r="M40" s="420"/>
    </row>
    <row r="41" spans="2:13" s="39" customFormat="1" outlineLevel="1" x14ac:dyDescent="0.35">
      <c r="B41" s="39" t="s">
        <v>5529</v>
      </c>
      <c r="C41" s="31"/>
      <c r="D41" s="31"/>
      <c r="E41" s="31"/>
      <c r="F41" s="31"/>
      <c r="G41" s="31"/>
      <c r="H41" s="31"/>
      <c r="I41" s="31"/>
      <c r="J41" s="31"/>
      <c r="K41" s="31"/>
      <c r="L41" s="31"/>
      <c r="M41" s="420"/>
    </row>
    <row r="42" spans="2:13" s="39" customFormat="1" outlineLevel="1" x14ac:dyDescent="0.35">
      <c r="B42" s="39" t="s">
        <v>5530</v>
      </c>
      <c r="C42" s="31"/>
      <c r="D42" s="31"/>
      <c r="E42" s="31"/>
      <c r="F42" s="31"/>
      <c r="G42" s="31"/>
      <c r="H42" s="31"/>
      <c r="I42" s="31"/>
      <c r="J42" s="31"/>
      <c r="K42" s="31"/>
      <c r="L42" s="31"/>
      <c r="M42" s="420"/>
    </row>
    <row r="43" spans="2:13" s="39" customFormat="1" outlineLevel="1" x14ac:dyDescent="0.35">
      <c r="B43" s="39" t="s">
        <v>5531</v>
      </c>
      <c r="C43" s="31"/>
      <c r="D43" s="31"/>
      <c r="E43" s="31"/>
      <c r="F43" s="31"/>
      <c r="G43" s="31"/>
      <c r="H43" s="31"/>
      <c r="I43" s="31"/>
      <c r="J43" s="31"/>
      <c r="K43" s="31"/>
      <c r="L43" s="31"/>
      <c r="M43" s="420"/>
    </row>
    <row r="44" spans="2:13" s="39" customFormat="1" x14ac:dyDescent="0.35">
      <c r="B44" s="421" t="s">
        <v>4748</v>
      </c>
      <c r="C44" s="423"/>
      <c r="D44" s="423"/>
      <c r="E44" s="423"/>
      <c r="F44" s="423"/>
      <c r="G44" s="423"/>
      <c r="H44" s="423"/>
      <c r="I44" s="423"/>
      <c r="J44" s="423"/>
      <c r="K44" s="423"/>
      <c r="L44" s="423"/>
      <c r="M44" s="420"/>
    </row>
    <row r="45" spans="2:13" s="39" customFormat="1" outlineLevel="1" x14ac:dyDescent="0.35">
      <c r="B45" s="39" t="s">
        <v>5532</v>
      </c>
      <c r="C45" s="31"/>
      <c r="D45" s="31"/>
      <c r="E45" s="31"/>
      <c r="F45" s="31"/>
      <c r="G45" s="31"/>
      <c r="H45" s="31"/>
      <c r="I45" s="31"/>
      <c r="J45" s="31"/>
      <c r="K45" s="31"/>
      <c r="L45" s="31"/>
      <c r="M45" s="420"/>
    </row>
    <row r="46" spans="2:13" s="39" customFormat="1" outlineLevel="1" x14ac:dyDescent="0.35">
      <c r="B46" s="428" t="s">
        <v>5533</v>
      </c>
      <c r="C46" s="31"/>
      <c r="D46" s="31"/>
      <c r="E46" s="31"/>
      <c r="F46" s="31"/>
      <c r="G46" s="31"/>
      <c r="H46" s="31"/>
      <c r="I46" s="31"/>
      <c r="J46" s="31"/>
      <c r="K46" s="31"/>
      <c r="L46" s="31"/>
      <c r="M46" s="420"/>
    </row>
    <row r="47" spans="2:13" s="39" customFormat="1" outlineLevel="1" x14ac:dyDescent="0.35">
      <c r="B47" s="39" t="s">
        <v>5607</v>
      </c>
      <c r="C47" s="31"/>
      <c r="D47" s="31"/>
      <c r="E47" s="31"/>
      <c r="F47" s="31"/>
      <c r="G47" s="31"/>
      <c r="H47" s="31"/>
      <c r="I47" s="31"/>
      <c r="J47" s="31"/>
      <c r="K47" s="31"/>
      <c r="L47" s="31"/>
      <c r="M47" s="420"/>
    </row>
    <row r="48" spans="2:13" s="39" customFormat="1" outlineLevel="1" x14ac:dyDescent="0.35">
      <c r="B48" s="39" t="s">
        <v>5535</v>
      </c>
      <c r="C48" s="31"/>
      <c r="D48" s="31"/>
      <c r="E48" s="31"/>
      <c r="F48" s="31"/>
      <c r="G48" s="31"/>
      <c r="H48" s="31"/>
      <c r="I48" s="31"/>
      <c r="J48" s="31"/>
      <c r="K48" s="31"/>
      <c r="L48" s="31"/>
      <c r="M48" s="420"/>
    </row>
    <row r="49" spans="2:13" s="39" customFormat="1" outlineLevel="1" x14ac:dyDescent="0.35">
      <c r="B49" s="39" t="s">
        <v>5536</v>
      </c>
      <c r="C49" s="31"/>
      <c r="D49" s="31"/>
      <c r="E49" s="31"/>
      <c r="F49" s="31"/>
      <c r="G49" s="31"/>
      <c r="H49" s="31"/>
      <c r="I49" s="31"/>
      <c r="J49" s="31"/>
      <c r="K49" s="31"/>
      <c r="L49" s="31"/>
      <c r="M49" s="420"/>
    </row>
    <row r="50" spans="2:13" s="39" customFormat="1" outlineLevel="1" x14ac:dyDescent="0.35">
      <c r="B50" s="39" t="s">
        <v>5537</v>
      </c>
      <c r="C50" s="31"/>
      <c r="D50" s="31"/>
      <c r="E50" s="31"/>
      <c r="F50" s="31"/>
      <c r="G50" s="31"/>
      <c r="H50" s="31"/>
      <c r="I50" s="31"/>
      <c r="J50" s="31"/>
      <c r="K50" s="31"/>
      <c r="L50" s="31"/>
      <c r="M50" s="420"/>
    </row>
    <row r="51" spans="2:13" s="39" customFormat="1" x14ac:dyDescent="0.35">
      <c r="B51" s="421" t="s">
        <v>4749</v>
      </c>
      <c r="C51" s="423"/>
      <c r="D51" s="423"/>
      <c r="E51" s="423"/>
      <c r="F51" s="423"/>
      <c r="G51" s="423"/>
      <c r="H51" s="423"/>
      <c r="I51" s="423"/>
      <c r="J51" s="423"/>
      <c r="K51" s="423"/>
      <c r="L51" s="423"/>
      <c r="M51" s="420"/>
    </row>
    <row r="52" spans="2:13" s="39" customFormat="1" outlineLevel="1" x14ac:dyDescent="0.35">
      <c r="B52" s="39" t="s">
        <v>5538</v>
      </c>
      <c r="C52" s="31"/>
      <c r="D52" s="31"/>
      <c r="E52" s="31"/>
      <c r="F52" s="31"/>
      <c r="G52" s="31"/>
      <c r="H52" s="31"/>
      <c r="I52" s="31"/>
      <c r="J52" s="31"/>
      <c r="K52" s="31"/>
      <c r="L52" s="31"/>
      <c r="M52" s="420"/>
    </row>
    <row r="53" spans="2:13" s="39" customFormat="1" outlineLevel="1" x14ac:dyDescent="0.35">
      <c r="B53" s="39" t="s">
        <v>5539</v>
      </c>
      <c r="C53" s="31"/>
      <c r="D53" s="31"/>
      <c r="E53" s="31"/>
      <c r="F53" s="31"/>
      <c r="G53" s="31"/>
      <c r="H53" s="31"/>
      <c r="I53" s="31"/>
      <c r="J53" s="31"/>
      <c r="K53" s="31"/>
      <c r="L53" s="31"/>
      <c r="M53" s="420"/>
    </row>
    <row r="54" spans="2:13" s="39" customFormat="1" outlineLevel="1" x14ac:dyDescent="0.35">
      <c r="B54" s="39" t="s">
        <v>5540</v>
      </c>
      <c r="C54" s="31"/>
      <c r="D54" s="31"/>
      <c r="E54" s="31"/>
      <c r="F54" s="31"/>
      <c r="G54" s="31"/>
      <c r="H54" s="31"/>
      <c r="I54" s="31"/>
      <c r="J54" s="31"/>
      <c r="K54" s="31"/>
      <c r="L54" s="31"/>
      <c r="M54" s="420"/>
    </row>
    <row r="55" spans="2:13" s="39" customFormat="1" outlineLevel="1" x14ac:dyDescent="0.35">
      <c r="B55" s="39" t="s">
        <v>5541</v>
      </c>
      <c r="C55" s="31"/>
      <c r="D55" s="31"/>
      <c r="E55" s="31"/>
      <c r="F55" s="31"/>
      <c r="G55" s="31"/>
      <c r="H55" s="31"/>
      <c r="I55" s="31"/>
      <c r="J55" s="31"/>
      <c r="K55" s="31"/>
      <c r="L55" s="31"/>
      <c r="M55" s="420"/>
    </row>
    <row r="56" spans="2:13" s="39" customFormat="1" outlineLevel="1" x14ac:dyDescent="0.35">
      <c r="B56" s="39" t="s">
        <v>5542</v>
      </c>
      <c r="C56" s="31"/>
      <c r="D56" s="31"/>
      <c r="E56" s="31"/>
      <c r="F56" s="31"/>
      <c r="G56" s="31"/>
      <c r="H56" s="31"/>
      <c r="I56" s="31"/>
      <c r="J56" s="31"/>
      <c r="K56" s="31"/>
      <c r="L56" s="31"/>
      <c r="M56" s="420"/>
    </row>
    <row r="57" spans="2:13" s="39" customFormat="1" x14ac:dyDescent="0.35">
      <c r="B57" s="421" t="s">
        <v>5543</v>
      </c>
      <c r="C57" s="423"/>
      <c r="D57" s="423"/>
      <c r="E57" s="423"/>
      <c r="F57" s="423"/>
      <c r="G57" s="423"/>
      <c r="H57" s="423"/>
      <c r="I57" s="423"/>
      <c r="J57" s="423"/>
      <c r="K57" s="423"/>
      <c r="L57" s="423"/>
      <c r="M57" s="420"/>
    </row>
    <row r="58" spans="2:13" s="39" customFormat="1" outlineLevel="1" x14ac:dyDescent="0.35">
      <c r="B58" s="39" t="s">
        <v>5544</v>
      </c>
      <c r="C58" s="31"/>
      <c r="D58" s="31"/>
      <c r="E58" s="31"/>
      <c r="F58" s="31"/>
      <c r="G58" s="31"/>
      <c r="H58" s="31"/>
      <c r="I58" s="31"/>
      <c r="J58" s="31"/>
      <c r="K58" s="31"/>
      <c r="L58" s="31"/>
      <c r="M58" s="420"/>
    </row>
    <row r="59" spans="2:13" s="39" customFormat="1" outlineLevel="1" x14ac:dyDescent="0.35">
      <c r="B59" s="39" t="s">
        <v>5545</v>
      </c>
      <c r="C59" s="31"/>
      <c r="D59" s="31"/>
      <c r="E59" s="31"/>
      <c r="F59" s="31"/>
      <c r="G59" s="31"/>
      <c r="H59" s="31"/>
      <c r="I59" s="31"/>
      <c r="J59" s="31"/>
      <c r="K59" s="31"/>
      <c r="L59" s="31"/>
      <c r="M59" s="420"/>
    </row>
    <row r="60" spans="2:13" s="39" customFormat="1" outlineLevel="1" x14ac:dyDescent="0.35">
      <c r="B60" s="39" t="s">
        <v>5546</v>
      </c>
      <c r="C60" s="31"/>
      <c r="D60" s="31"/>
      <c r="E60" s="31"/>
      <c r="F60" s="31"/>
      <c r="G60" s="31"/>
      <c r="H60" s="31"/>
      <c r="I60" s="31"/>
      <c r="J60" s="31"/>
      <c r="K60" s="31"/>
      <c r="L60" s="31"/>
      <c r="M60" s="420"/>
    </row>
    <row r="61" spans="2:13" s="39" customFormat="1" outlineLevel="1" x14ac:dyDescent="0.35">
      <c r="C61" s="175"/>
      <c r="D61" s="175"/>
      <c r="E61" s="175"/>
      <c r="F61" s="175"/>
      <c r="G61" s="175"/>
      <c r="H61" s="175"/>
      <c r="I61" s="175"/>
      <c r="J61" s="175"/>
      <c r="K61" s="175"/>
      <c r="L61" s="175"/>
      <c r="M61" s="420"/>
    </row>
    <row r="62" spans="2:13" s="39" customFormat="1" ht="21" x14ac:dyDescent="0.35">
      <c r="B62" s="820" t="s">
        <v>4900</v>
      </c>
      <c r="C62" s="822"/>
      <c r="D62" s="822"/>
      <c r="E62" s="822"/>
      <c r="F62" s="822"/>
      <c r="G62" s="822"/>
      <c r="H62" s="822"/>
      <c r="I62" s="822"/>
      <c r="J62" s="822"/>
      <c r="K62" s="822"/>
      <c r="L62" s="822"/>
      <c r="M62" s="420"/>
    </row>
    <row r="63" spans="2:13" s="39" customFormat="1" x14ac:dyDescent="0.35">
      <c r="B63" s="430" t="s">
        <v>4752</v>
      </c>
      <c r="C63" s="433"/>
      <c r="D63" s="433"/>
      <c r="E63" s="433"/>
      <c r="F63" s="433"/>
      <c r="G63" s="433"/>
      <c r="H63" s="433"/>
      <c r="I63" s="433"/>
      <c r="J63" s="433"/>
      <c r="K63" s="433"/>
      <c r="L63" s="433"/>
      <c r="M63" s="420"/>
    </row>
    <row r="64" spans="2:13" s="39" customFormat="1" outlineLevel="1" x14ac:dyDescent="0.35">
      <c r="B64" s="39" t="s">
        <v>5547</v>
      </c>
      <c r="C64" s="31"/>
      <c r="D64" s="31"/>
      <c r="E64" s="31"/>
      <c r="F64" s="31"/>
      <c r="G64" s="31"/>
      <c r="H64" s="31"/>
      <c r="I64" s="31"/>
      <c r="J64" s="31"/>
      <c r="K64" s="31"/>
      <c r="L64" s="31"/>
      <c r="M64" s="420"/>
    </row>
    <row r="65" spans="2:13" s="39" customFormat="1" outlineLevel="1" x14ac:dyDescent="0.35">
      <c r="B65" s="39" t="s">
        <v>5548</v>
      </c>
      <c r="C65" s="31"/>
      <c r="D65" s="31"/>
      <c r="E65" s="31"/>
      <c r="F65" s="31"/>
      <c r="G65" s="31"/>
      <c r="H65" s="31"/>
      <c r="I65" s="31"/>
      <c r="J65" s="31"/>
      <c r="K65" s="31"/>
      <c r="L65" s="31"/>
      <c r="M65" s="420"/>
    </row>
    <row r="66" spans="2:13" s="39" customFormat="1" outlineLevel="1" x14ac:dyDescent="0.35">
      <c r="B66" s="39" t="s">
        <v>5549</v>
      </c>
      <c r="C66" s="31"/>
      <c r="D66" s="31"/>
      <c r="E66" s="31"/>
      <c r="F66" s="31"/>
      <c r="G66" s="31"/>
      <c r="H66" s="31"/>
      <c r="I66" s="31"/>
      <c r="J66" s="31"/>
      <c r="K66" s="31"/>
      <c r="L66" s="31"/>
      <c r="M66" s="420"/>
    </row>
    <row r="67" spans="2:13" s="39" customFormat="1" outlineLevel="1" x14ac:dyDescent="0.35">
      <c r="B67" s="39" t="s">
        <v>5550</v>
      </c>
      <c r="C67" s="31"/>
      <c r="D67" s="31"/>
      <c r="E67" s="31"/>
      <c r="F67" s="31"/>
      <c r="G67" s="31"/>
      <c r="H67" s="31"/>
      <c r="I67" s="31"/>
      <c r="J67" s="31"/>
      <c r="K67" s="31"/>
      <c r="L67" s="31"/>
      <c r="M67" s="420"/>
    </row>
    <row r="68" spans="2:13" s="39" customFormat="1" outlineLevel="1" x14ac:dyDescent="0.35">
      <c r="B68" s="39" t="s">
        <v>5551</v>
      </c>
      <c r="C68" s="31"/>
      <c r="D68" s="31"/>
      <c r="E68" s="31"/>
      <c r="F68" s="31"/>
      <c r="G68" s="31"/>
      <c r="H68" s="31"/>
      <c r="I68" s="31"/>
      <c r="J68" s="31"/>
      <c r="K68" s="31"/>
      <c r="L68" s="31"/>
      <c r="M68" s="420"/>
    </row>
    <row r="69" spans="2:13" s="39" customFormat="1" x14ac:dyDescent="0.35">
      <c r="B69" s="430" t="s">
        <v>5552</v>
      </c>
      <c r="C69" s="433"/>
      <c r="D69" s="433"/>
      <c r="E69" s="433"/>
      <c r="F69" s="433"/>
      <c r="G69" s="433"/>
      <c r="H69" s="433"/>
      <c r="I69" s="433"/>
      <c r="J69" s="433"/>
      <c r="K69" s="433"/>
      <c r="L69" s="433"/>
      <c r="M69" s="420"/>
    </row>
    <row r="70" spans="2:13" s="39" customFormat="1" outlineLevel="1" x14ac:dyDescent="0.35">
      <c r="B70" s="39" t="s">
        <v>5553</v>
      </c>
      <c r="C70" s="31"/>
      <c r="D70" s="31"/>
      <c r="E70" s="31"/>
      <c r="F70" s="31"/>
      <c r="G70" s="31"/>
      <c r="H70" s="31"/>
      <c r="I70" s="31"/>
      <c r="J70" s="31"/>
      <c r="K70" s="31"/>
      <c r="L70" s="31"/>
      <c r="M70" s="420"/>
    </row>
    <row r="71" spans="2:13" s="39" customFormat="1" outlineLevel="1" x14ac:dyDescent="0.35">
      <c r="B71" s="39" t="s">
        <v>5554</v>
      </c>
      <c r="C71" s="31"/>
      <c r="D71" s="31"/>
      <c r="E71" s="31"/>
      <c r="F71" s="31"/>
      <c r="G71" s="31"/>
      <c r="H71" s="31"/>
      <c r="I71" s="31"/>
      <c r="J71" s="31"/>
      <c r="K71" s="31"/>
      <c r="L71" s="31"/>
      <c r="M71" s="420"/>
    </row>
    <row r="72" spans="2:13" s="39" customFormat="1" x14ac:dyDescent="0.35">
      <c r="B72" s="430" t="s">
        <v>4754</v>
      </c>
      <c r="C72" s="433"/>
      <c r="D72" s="433"/>
      <c r="E72" s="433"/>
      <c r="F72" s="433"/>
      <c r="G72" s="433"/>
      <c r="H72" s="433"/>
      <c r="I72" s="433"/>
      <c r="J72" s="433"/>
      <c r="K72" s="433"/>
      <c r="L72" s="433"/>
      <c r="M72" s="420"/>
    </row>
    <row r="73" spans="2:13" s="39" customFormat="1" outlineLevel="1" x14ac:dyDescent="0.35">
      <c r="B73" s="39" t="s">
        <v>5555</v>
      </c>
      <c r="C73" s="31"/>
      <c r="D73" s="31"/>
      <c r="E73" s="31"/>
      <c r="F73" s="31"/>
      <c r="G73" s="31"/>
      <c r="H73" s="31"/>
      <c r="I73" s="31"/>
      <c r="J73" s="31"/>
      <c r="K73" s="31"/>
      <c r="L73" s="31"/>
      <c r="M73" s="420"/>
    </row>
    <row r="74" spans="2:13" s="39" customFormat="1" outlineLevel="1" x14ac:dyDescent="0.35">
      <c r="B74" s="39" t="s">
        <v>5556</v>
      </c>
      <c r="C74" s="31"/>
      <c r="D74" s="31"/>
      <c r="E74" s="31"/>
      <c r="F74" s="31"/>
      <c r="G74" s="31"/>
      <c r="H74" s="31"/>
      <c r="I74" s="31"/>
      <c r="J74" s="31"/>
      <c r="K74" s="31"/>
      <c r="L74" s="31"/>
      <c r="M74" s="420"/>
    </row>
    <row r="75" spans="2:13" s="39" customFormat="1" outlineLevel="1" x14ac:dyDescent="0.35">
      <c r="C75" s="175"/>
      <c r="D75" s="175"/>
      <c r="E75" s="175"/>
      <c r="F75" s="175"/>
      <c r="G75" s="175"/>
      <c r="H75" s="175"/>
      <c r="I75" s="175"/>
      <c r="J75" s="175"/>
      <c r="K75" s="175"/>
      <c r="L75" s="175"/>
      <c r="M75" s="420"/>
    </row>
    <row r="76" spans="2:13" s="39" customFormat="1" ht="21" x14ac:dyDescent="0.35">
      <c r="B76" s="824" t="s">
        <v>4901</v>
      </c>
      <c r="C76" s="826"/>
      <c r="D76" s="826"/>
      <c r="E76" s="826"/>
      <c r="F76" s="826"/>
      <c r="G76" s="826"/>
      <c r="H76" s="826"/>
      <c r="I76" s="826"/>
      <c r="J76" s="826"/>
      <c r="K76" s="826"/>
      <c r="L76" s="826"/>
      <c r="M76" s="420"/>
    </row>
    <row r="77" spans="2:13" s="39" customFormat="1" x14ac:dyDescent="0.35">
      <c r="B77" s="435" t="s">
        <v>5007</v>
      </c>
      <c r="C77" s="438"/>
      <c r="D77" s="438"/>
      <c r="E77" s="438"/>
      <c r="F77" s="438"/>
      <c r="G77" s="438"/>
      <c r="H77" s="438"/>
      <c r="I77" s="438"/>
      <c r="J77" s="438"/>
      <c r="K77" s="438"/>
      <c r="L77" s="438"/>
      <c r="M77" s="420"/>
    </row>
    <row r="78" spans="2:13" s="39" customFormat="1" outlineLevel="1" x14ac:dyDescent="0.35">
      <c r="B78" s="39" t="s">
        <v>5557</v>
      </c>
      <c r="C78" s="31"/>
      <c r="D78" s="31"/>
      <c r="E78" s="31"/>
      <c r="F78" s="31"/>
      <c r="G78" s="31"/>
      <c r="H78" s="31"/>
      <c r="I78" s="31"/>
      <c r="J78" s="31"/>
      <c r="K78" s="31"/>
      <c r="L78" s="31"/>
      <c r="M78" s="420"/>
    </row>
    <row r="79" spans="2:13" s="39" customFormat="1" x14ac:dyDescent="0.35">
      <c r="B79" s="435" t="s">
        <v>5558</v>
      </c>
      <c r="C79" s="438"/>
      <c r="D79" s="438"/>
      <c r="E79" s="438"/>
      <c r="F79" s="438"/>
      <c r="G79" s="438"/>
      <c r="H79" s="438"/>
      <c r="I79" s="438"/>
      <c r="J79" s="438"/>
      <c r="K79" s="438"/>
      <c r="L79" s="438"/>
      <c r="M79" s="420"/>
    </row>
    <row r="80" spans="2:13" s="39" customFormat="1" outlineLevel="1" x14ac:dyDescent="0.35">
      <c r="B80" s="39" t="s">
        <v>5559</v>
      </c>
      <c r="C80" s="31"/>
      <c r="D80" s="31"/>
      <c r="E80" s="31"/>
      <c r="F80" s="31"/>
      <c r="G80" s="31"/>
      <c r="H80" s="31"/>
      <c r="I80" s="31"/>
      <c r="J80" s="31"/>
      <c r="K80" s="31"/>
      <c r="L80" s="31"/>
      <c r="M80" s="420"/>
    </row>
    <row r="81" spans="2:13" s="39" customFormat="1" outlineLevel="1" x14ac:dyDescent="0.35">
      <c r="B81" s="39" t="s">
        <v>5560</v>
      </c>
      <c r="C81" s="31"/>
      <c r="D81" s="31"/>
      <c r="E81" s="31"/>
      <c r="F81" s="31"/>
      <c r="G81" s="31"/>
      <c r="H81" s="31"/>
      <c r="I81" s="31"/>
      <c r="J81" s="31"/>
      <c r="K81" s="31"/>
      <c r="L81" s="31"/>
      <c r="M81" s="420"/>
    </row>
    <row r="82" spans="2:13" s="39" customFormat="1" outlineLevel="1" x14ac:dyDescent="0.35">
      <c r="B82" s="39" t="s">
        <v>4871</v>
      </c>
      <c r="C82" s="31"/>
      <c r="D82" s="31"/>
      <c r="E82" s="31"/>
      <c r="F82" s="31"/>
      <c r="G82" s="31"/>
      <c r="H82" s="31"/>
      <c r="I82" s="31"/>
      <c r="J82" s="31"/>
      <c r="K82" s="31"/>
      <c r="L82" s="31"/>
      <c r="M82" s="420"/>
    </row>
    <row r="83" spans="2:13" s="39" customFormat="1" x14ac:dyDescent="0.35">
      <c r="B83" s="435" t="s">
        <v>5009</v>
      </c>
      <c r="C83" s="438"/>
      <c r="D83" s="438"/>
      <c r="E83" s="438"/>
      <c r="F83" s="438"/>
      <c r="G83" s="438"/>
      <c r="H83" s="438"/>
      <c r="I83" s="438"/>
      <c r="J83" s="438"/>
      <c r="K83" s="438"/>
      <c r="L83" s="438"/>
      <c r="M83" s="420"/>
    </row>
    <row r="84" spans="2:13" s="39" customFormat="1" outlineLevel="1" x14ac:dyDescent="0.35">
      <c r="B84" s="39" t="s">
        <v>5561</v>
      </c>
      <c r="C84" s="31"/>
      <c r="D84" s="31"/>
      <c r="E84" s="31"/>
      <c r="F84" s="31"/>
      <c r="G84" s="31"/>
      <c r="H84" s="31"/>
      <c r="I84" s="31"/>
      <c r="J84" s="31"/>
      <c r="K84" s="31"/>
      <c r="L84" s="31"/>
      <c r="M84" s="420"/>
    </row>
    <row r="85" spans="2:13" s="39" customFormat="1" outlineLevel="1" x14ac:dyDescent="0.35">
      <c r="B85" s="39" t="s">
        <v>5562</v>
      </c>
      <c r="C85" s="31"/>
      <c r="D85" s="31"/>
      <c r="E85" s="31"/>
      <c r="F85" s="31"/>
      <c r="G85" s="31"/>
      <c r="H85" s="31"/>
      <c r="I85" s="31"/>
      <c r="J85" s="31"/>
      <c r="K85" s="31"/>
      <c r="L85" s="31"/>
      <c r="M85" s="420"/>
    </row>
    <row r="86" spans="2:13" s="39" customFormat="1" outlineLevel="1" x14ac:dyDescent="0.35">
      <c r="B86" s="39" t="s">
        <v>5563</v>
      </c>
      <c r="C86" s="31"/>
      <c r="D86" s="31"/>
      <c r="E86" s="31"/>
      <c r="F86" s="31"/>
      <c r="G86" s="31"/>
      <c r="H86" s="31"/>
      <c r="I86" s="31"/>
      <c r="J86" s="31"/>
      <c r="K86" s="31"/>
      <c r="L86" s="31"/>
      <c r="M86" s="420"/>
    </row>
    <row r="87" spans="2:13" s="39" customFormat="1" outlineLevel="1" x14ac:dyDescent="0.35">
      <c r="B87" s="39" t="s">
        <v>5564</v>
      </c>
      <c r="C87" s="31"/>
      <c r="D87" s="31"/>
      <c r="E87" s="31"/>
      <c r="F87" s="31"/>
      <c r="G87" s="31"/>
      <c r="H87" s="31"/>
      <c r="I87" s="31"/>
      <c r="J87" s="31"/>
      <c r="K87" s="31"/>
      <c r="L87" s="31"/>
      <c r="M87" s="420"/>
    </row>
    <row r="88" spans="2:13" s="39" customFormat="1" x14ac:dyDescent="0.35">
      <c r="B88" s="435" t="s">
        <v>5010</v>
      </c>
      <c r="C88" s="438"/>
      <c r="D88" s="438"/>
      <c r="E88" s="438"/>
      <c r="F88" s="438"/>
      <c r="G88" s="438"/>
      <c r="H88" s="438"/>
      <c r="I88" s="438"/>
      <c r="J88" s="438"/>
      <c r="K88" s="438"/>
      <c r="L88" s="438"/>
      <c r="M88" s="420"/>
    </row>
    <row r="89" spans="2:13" s="39" customFormat="1" outlineLevel="1" x14ac:dyDescent="0.35">
      <c r="B89" s="39" t="s">
        <v>4923</v>
      </c>
      <c r="C89" s="31"/>
      <c r="D89" s="31"/>
      <c r="E89" s="31"/>
      <c r="F89" s="31"/>
      <c r="G89" s="31"/>
      <c r="H89" s="31"/>
      <c r="I89" s="31"/>
      <c r="J89" s="31"/>
      <c r="K89" s="31"/>
      <c r="L89" s="31"/>
      <c r="M89" s="420"/>
    </row>
    <row r="90" spans="2:13" s="39" customFormat="1" outlineLevel="1" x14ac:dyDescent="0.35">
      <c r="B90" s="39" t="s">
        <v>5565</v>
      </c>
      <c r="C90" s="31"/>
      <c r="D90" s="31"/>
      <c r="E90" s="31"/>
      <c r="F90" s="31"/>
      <c r="G90" s="31"/>
      <c r="H90" s="31"/>
      <c r="I90" s="31"/>
      <c r="J90" s="31"/>
      <c r="K90" s="31"/>
      <c r="L90" s="31"/>
      <c r="M90" s="420"/>
    </row>
    <row r="91" spans="2:13" s="39" customFormat="1" outlineLevel="1" x14ac:dyDescent="0.35">
      <c r="B91" s="39" t="s">
        <v>5566</v>
      </c>
      <c r="C91" s="31"/>
      <c r="D91" s="31"/>
      <c r="E91" s="31"/>
      <c r="F91" s="31"/>
      <c r="G91" s="31"/>
      <c r="H91" s="31"/>
      <c r="I91" s="31"/>
      <c r="J91" s="31"/>
      <c r="K91" s="31"/>
      <c r="L91" s="31"/>
      <c r="M91" s="420"/>
    </row>
    <row r="92" spans="2:13" s="39" customFormat="1" outlineLevel="1" x14ac:dyDescent="0.35">
      <c r="B92" s="39" t="s">
        <v>5567</v>
      </c>
      <c r="C92" s="31"/>
      <c r="D92" s="31"/>
      <c r="E92" s="31"/>
      <c r="F92" s="31"/>
      <c r="G92" s="31"/>
      <c r="H92" s="31"/>
      <c r="I92" s="31"/>
      <c r="J92" s="31"/>
      <c r="K92" s="31"/>
      <c r="L92" s="31"/>
      <c r="M92" s="420"/>
    </row>
    <row r="93" spans="2:13" s="39" customFormat="1" x14ac:dyDescent="0.35">
      <c r="B93" s="435" t="s">
        <v>5011</v>
      </c>
      <c r="C93" s="438"/>
      <c r="D93" s="438"/>
      <c r="E93" s="438"/>
      <c r="F93" s="438"/>
      <c r="G93" s="438"/>
      <c r="H93" s="438"/>
      <c r="I93" s="438"/>
      <c r="J93" s="438"/>
      <c r="K93" s="438"/>
      <c r="L93" s="438"/>
      <c r="M93" s="420"/>
    </row>
    <row r="94" spans="2:13" s="39" customFormat="1" outlineLevel="1" x14ac:dyDescent="0.35">
      <c r="B94" s="39" t="s">
        <v>5568</v>
      </c>
      <c r="C94" s="31"/>
      <c r="D94" s="31"/>
      <c r="E94" s="31"/>
      <c r="F94" s="31"/>
      <c r="G94" s="31"/>
      <c r="H94" s="31"/>
      <c r="I94" s="31"/>
      <c r="J94" s="31"/>
      <c r="K94" s="31"/>
      <c r="L94" s="31"/>
      <c r="M94" s="420"/>
    </row>
    <row r="95" spans="2:13" s="39" customFormat="1" outlineLevel="1" x14ac:dyDescent="0.35">
      <c r="B95" s="39" t="s">
        <v>5569</v>
      </c>
      <c r="C95" s="31"/>
      <c r="D95" s="31"/>
      <c r="E95" s="31"/>
      <c r="F95" s="31"/>
      <c r="G95" s="31"/>
      <c r="H95" s="31"/>
      <c r="I95" s="31"/>
      <c r="J95" s="31"/>
      <c r="K95" s="31"/>
      <c r="L95" s="31"/>
      <c r="M95" s="420"/>
    </row>
    <row r="96" spans="2:13" s="39" customFormat="1" x14ac:dyDescent="0.35">
      <c r="B96" s="435" t="s">
        <v>5570</v>
      </c>
      <c r="C96" s="438"/>
      <c r="D96" s="438"/>
      <c r="E96" s="438"/>
      <c r="F96" s="438"/>
      <c r="G96" s="438"/>
      <c r="H96" s="438"/>
      <c r="I96" s="438"/>
      <c r="J96" s="438"/>
      <c r="K96" s="438"/>
      <c r="L96" s="438"/>
      <c r="M96" s="420"/>
    </row>
    <row r="97" spans="2:13" s="39" customFormat="1" outlineLevel="1" x14ac:dyDescent="0.35">
      <c r="B97" s="428" t="s">
        <v>5191</v>
      </c>
      <c r="C97" s="31"/>
      <c r="D97" s="31"/>
      <c r="E97" s="31"/>
      <c r="F97" s="31"/>
      <c r="G97" s="31"/>
      <c r="H97" s="31"/>
      <c r="I97" s="31"/>
      <c r="J97" s="31"/>
      <c r="K97" s="31"/>
      <c r="L97" s="31"/>
      <c r="M97" s="420"/>
    </row>
    <row r="98" spans="2:13" s="39" customFormat="1" outlineLevel="1" x14ac:dyDescent="0.35">
      <c r="B98" s="428"/>
      <c r="C98" s="175"/>
      <c r="D98" s="175"/>
      <c r="E98" s="175"/>
      <c r="F98" s="175"/>
      <c r="G98" s="175"/>
      <c r="H98" s="175"/>
      <c r="I98" s="175"/>
      <c r="J98" s="175"/>
      <c r="K98" s="175"/>
      <c r="L98" s="175"/>
      <c r="M98" s="420"/>
    </row>
    <row r="99" spans="2:13" s="39" customFormat="1" ht="21" x14ac:dyDescent="0.35">
      <c r="B99" s="816" t="s">
        <v>4902</v>
      </c>
      <c r="C99" s="818"/>
      <c r="D99" s="818"/>
      <c r="E99" s="818"/>
      <c r="F99" s="818"/>
      <c r="G99" s="818"/>
      <c r="H99" s="818"/>
      <c r="I99" s="818"/>
      <c r="J99" s="818"/>
      <c r="K99" s="818"/>
      <c r="L99" s="818"/>
      <c r="M99" s="420"/>
    </row>
    <row r="100" spans="2:13" s="39" customFormat="1" x14ac:dyDescent="0.35">
      <c r="B100" s="441" t="s">
        <v>5017</v>
      </c>
      <c r="C100" s="444"/>
      <c r="D100" s="444"/>
      <c r="E100" s="444"/>
      <c r="F100" s="444"/>
      <c r="G100" s="444"/>
      <c r="H100" s="444"/>
      <c r="I100" s="444"/>
      <c r="J100" s="444"/>
      <c r="K100" s="444"/>
      <c r="L100" s="444"/>
      <c r="M100" s="420"/>
    </row>
    <row r="101" spans="2:13" s="39" customFormat="1" outlineLevel="1" x14ac:dyDescent="0.35">
      <c r="B101" s="39" t="s">
        <v>5571</v>
      </c>
      <c r="C101" s="31"/>
      <c r="D101" s="31"/>
      <c r="E101" s="31"/>
      <c r="F101" s="31"/>
      <c r="G101" s="31"/>
      <c r="H101" s="31"/>
      <c r="I101" s="31"/>
      <c r="J101" s="31"/>
      <c r="K101" s="31"/>
      <c r="L101" s="31"/>
      <c r="M101" s="420"/>
    </row>
    <row r="102" spans="2:13" s="39" customFormat="1" x14ac:dyDescent="0.35">
      <c r="B102" s="441" t="s">
        <v>5018</v>
      </c>
      <c r="C102" s="444"/>
      <c r="D102" s="444"/>
      <c r="E102" s="444"/>
      <c r="F102" s="444"/>
      <c r="G102" s="444"/>
      <c r="H102" s="444"/>
      <c r="I102" s="444"/>
      <c r="J102" s="444"/>
      <c r="K102" s="444"/>
      <c r="L102" s="444"/>
      <c r="M102" s="420"/>
    </row>
    <row r="103" spans="2:13" s="39" customFormat="1" outlineLevel="1" x14ac:dyDescent="0.35">
      <c r="B103" s="39" t="s">
        <v>5572</v>
      </c>
      <c r="C103" s="31"/>
      <c r="D103" s="31"/>
      <c r="E103" s="31"/>
      <c r="F103" s="31"/>
      <c r="G103" s="31"/>
      <c r="H103" s="31"/>
      <c r="I103" s="31"/>
      <c r="J103" s="31"/>
      <c r="K103" s="31"/>
      <c r="L103" s="31"/>
      <c r="M103" s="420"/>
    </row>
    <row r="104" spans="2:13" s="39" customFormat="1" x14ac:dyDescent="0.35">
      <c r="B104" s="441" t="s">
        <v>5019</v>
      </c>
      <c r="C104" s="444"/>
      <c r="D104" s="444"/>
      <c r="E104" s="444"/>
      <c r="F104" s="444"/>
      <c r="G104" s="444"/>
      <c r="H104" s="444"/>
      <c r="I104" s="444"/>
      <c r="J104" s="444"/>
      <c r="K104" s="444"/>
      <c r="L104" s="444"/>
      <c r="M104" s="420"/>
    </row>
    <row r="105" spans="2:13" s="39" customFormat="1" outlineLevel="1" x14ac:dyDescent="0.35">
      <c r="B105" s="39" t="s">
        <v>5573</v>
      </c>
      <c r="C105" s="31"/>
      <c r="D105" s="31"/>
      <c r="E105" s="31"/>
      <c r="F105" s="31"/>
      <c r="G105" s="31"/>
      <c r="H105" s="31"/>
      <c r="I105" s="31"/>
      <c r="J105" s="31"/>
      <c r="K105" s="31"/>
      <c r="L105" s="31"/>
      <c r="M105" s="420"/>
    </row>
    <row r="106" spans="2:13" outlineLevel="1" x14ac:dyDescent="0.35">
      <c r="B106" s="1" t="s">
        <v>5574</v>
      </c>
      <c r="C106" s="31"/>
      <c r="D106" s="31"/>
      <c r="E106" s="31"/>
      <c r="F106" s="31"/>
      <c r="G106" s="31"/>
      <c r="H106" s="31"/>
      <c r="I106" s="31"/>
      <c r="J106" s="31"/>
      <c r="K106" s="31"/>
      <c r="L106" s="31"/>
      <c r="M106" s="420"/>
    </row>
    <row r="107" spans="2:13" outlineLevel="1" x14ac:dyDescent="0.35">
      <c r="C107" s="175"/>
      <c r="D107" s="175"/>
      <c r="E107" s="175"/>
      <c r="F107" s="175"/>
      <c r="G107" s="175"/>
      <c r="H107" s="175"/>
      <c r="I107" s="175"/>
      <c r="J107" s="175"/>
      <c r="K107" s="175"/>
      <c r="L107" s="175"/>
      <c r="M107" s="420"/>
    </row>
    <row r="108" spans="2:13" ht="21" x14ac:dyDescent="0.35">
      <c r="B108" s="812" t="s">
        <v>4903</v>
      </c>
      <c r="C108" s="814"/>
      <c r="D108" s="814"/>
      <c r="E108" s="814"/>
      <c r="F108" s="814"/>
      <c r="G108" s="814"/>
      <c r="H108" s="814"/>
      <c r="I108" s="814"/>
      <c r="J108" s="814"/>
      <c r="K108" s="814"/>
      <c r="L108" s="814"/>
      <c r="M108" s="420"/>
    </row>
    <row r="109" spans="2:13" x14ac:dyDescent="0.35">
      <c r="B109" s="447" t="s">
        <v>5070</v>
      </c>
      <c r="C109" s="450"/>
      <c r="D109" s="450"/>
      <c r="E109" s="450"/>
      <c r="F109" s="450"/>
      <c r="G109" s="450"/>
      <c r="H109" s="450"/>
      <c r="I109" s="450"/>
      <c r="J109" s="450"/>
      <c r="K109" s="450"/>
      <c r="L109" s="450"/>
      <c r="M109" s="420"/>
    </row>
    <row r="110" spans="2:13" outlineLevel="1" x14ac:dyDescent="0.35">
      <c r="B110" s="39" t="s">
        <v>5575</v>
      </c>
      <c r="C110" s="31"/>
      <c r="D110" s="31"/>
      <c r="E110" s="31"/>
      <c r="F110" s="31"/>
      <c r="G110" s="31"/>
      <c r="H110" s="31"/>
      <c r="I110" s="31"/>
      <c r="J110" s="31"/>
      <c r="K110" s="31"/>
      <c r="L110" s="31"/>
      <c r="M110" s="420"/>
    </row>
    <row r="111" spans="2:13" outlineLevel="1" x14ac:dyDescent="0.35">
      <c r="B111" s="1" t="s">
        <v>5576</v>
      </c>
      <c r="C111" s="31"/>
      <c r="D111" s="31"/>
      <c r="E111" s="31"/>
      <c r="F111" s="31"/>
      <c r="G111" s="31"/>
      <c r="H111" s="31"/>
      <c r="I111" s="31"/>
      <c r="J111" s="31"/>
      <c r="K111" s="31"/>
      <c r="L111" s="31"/>
      <c r="M111" s="420"/>
    </row>
    <row r="112" spans="2:13" outlineLevel="1" x14ac:dyDescent="0.35">
      <c r="B112" s="1" t="s">
        <v>5577</v>
      </c>
      <c r="C112" s="31"/>
      <c r="D112" s="31"/>
      <c r="E112" s="31"/>
      <c r="F112" s="31"/>
      <c r="G112" s="31"/>
      <c r="H112" s="31"/>
      <c r="I112" s="31"/>
      <c r="J112" s="31"/>
      <c r="K112" s="31"/>
      <c r="L112" s="31"/>
      <c r="M112" s="420"/>
    </row>
    <row r="113" spans="2:13" x14ac:dyDescent="0.35">
      <c r="B113" s="447" t="s">
        <v>5578</v>
      </c>
      <c r="C113" s="450"/>
      <c r="D113" s="450"/>
      <c r="E113" s="450"/>
      <c r="F113" s="450"/>
      <c r="G113" s="450"/>
      <c r="H113" s="450"/>
      <c r="I113" s="450"/>
      <c r="J113" s="450"/>
      <c r="K113" s="450"/>
      <c r="L113" s="450"/>
      <c r="M113" s="420"/>
    </row>
    <row r="114" spans="2:13" outlineLevel="1" x14ac:dyDescent="0.35">
      <c r="B114" s="1" t="s">
        <v>5579</v>
      </c>
      <c r="C114" s="31"/>
      <c r="D114" s="31"/>
      <c r="E114" s="31"/>
      <c r="F114" s="31"/>
      <c r="G114" s="31"/>
      <c r="H114" s="31"/>
      <c r="I114" s="31"/>
      <c r="J114" s="31"/>
      <c r="K114" s="31"/>
      <c r="L114" s="31"/>
      <c r="M114" s="420"/>
    </row>
    <row r="115" spans="2:13" outlineLevel="1" x14ac:dyDescent="0.35">
      <c r="B115" s="1" t="s">
        <v>5580</v>
      </c>
      <c r="C115" s="31"/>
      <c r="D115" s="31"/>
      <c r="E115" s="31"/>
      <c r="F115" s="31"/>
      <c r="G115" s="31"/>
      <c r="H115" s="31"/>
      <c r="I115" s="31"/>
      <c r="J115" s="31"/>
      <c r="K115" s="31"/>
      <c r="L115" s="31"/>
      <c r="M115" s="420"/>
    </row>
    <row r="116" spans="2:13" outlineLevel="1" x14ac:dyDescent="0.35">
      <c r="B116" s="1" t="s">
        <v>5581</v>
      </c>
      <c r="C116" s="31"/>
      <c r="D116" s="31"/>
      <c r="E116" s="31"/>
      <c r="F116" s="31"/>
      <c r="G116" s="31"/>
      <c r="H116" s="31"/>
      <c r="I116" s="31"/>
      <c r="J116" s="31"/>
      <c r="K116" s="31"/>
      <c r="L116" s="31"/>
      <c r="M116" s="420"/>
    </row>
    <row r="117" spans="2:13" x14ac:dyDescent="0.35">
      <c r="B117" s="447" t="s">
        <v>4850</v>
      </c>
      <c r="C117" s="450"/>
      <c r="D117" s="450"/>
      <c r="E117" s="450"/>
      <c r="F117" s="450"/>
      <c r="G117" s="450"/>
      <c r="H117" s="450"/>
      <c r="I117" s="450"/>
      <c r="J117" s="450"/>
      <c r="K117" s="450"/>
      <c r="L117" s="450"/>
      <c r="M117" s="420"/>
    </row>
    <row r="118" spans="2:13" outlineLevel="1" x14ac:dyDescent="0.35">
      <c r="B118" s="1" t="s">
        <v>5582</v>
      </c>
      <c r="C118" s="31"/>
      <c r="D118" s="31"/>
      <c r="E118" s="31"/>
      <c r="F118" s="31"/>
      <c r="G118" s="31"/>
      <c r="H118" s="31"/>
      <c r="I118" s="31"/>
      <c r="J118" s="31"/>
      <c r="K118" s="31"/>
      <c r="L118" s="31"/>
      <c r="M118" s="420"/>
    </row>
    <row r="119" spans="2:13" outlineLevel="1" x14ac:dyDescent="0.35">
      <c r="B119" s="1" t="s">
        <v>5583</v>
      </c>
      <c r="C119" s="31"/>
      <c r="D119" s="31"/>
      <c r="E119" s="31"/>
      <c r="F119" s="31"/>
      <c r="G119" s="31"/>
      <c r="H119" s="31"/>
      <c r="I119" s="31"/>
      <c r="J119" s="31"/>
      <c r="K119" s="31"/>
      <c r="L119" s="31"/>
      <c r="M119" s="420"/>
    </row>
    <row r="120" spans="2:13" outlineLevel="1" x14ac:dyDescent="0.35">
      <c r="B120" s="1" t="s">
        <v>5584</v>
      </c>
      <c r="C120" s="31"/>
      <c r="D120" s="31"/>
      <c r="E120" s="31"/>
      <c r="F120" s="31"/>
      <c r="G120" s="31"/>
      <c r="H120" s="31"/>
      <c r="I120" s="31"/>
      <c r="J120" s="31"/>
      <c r="K120" s="31"/>
      <c r="L120" s="31"/>
      <c r="M120" s="420"/>
    </row>
    <row r="121" spans="2:13" x14ac:dyDescent="0.35">
      <c r="B121" s="447" t="s">
        <v>4851</v>
      </c>
      <c r="C121" s="450"/>
      <c r="D121" s="450"/>
      <c r="E121" s="450"/>
      <c r="F121" s="450"/>
      <c r="G121" s="450"/>
      <c r="H121" s="450"/>
      <c r="I121" s="450"/>
      <c r="J121" s="450"/>
      <c r="K121" s="450"/>
      <c r="L121" s="450"/>
      <c r="M121" s="420"/>
    </row>
    <row r="122" spans="2:13" outlineLevel="1" x14ac:dyDescent="0.35">
      <c r="B122" s="1" t="s">
        <v>5585</v>
      </c>
      <c r="C122" s="31"/>
      <c r="D122" s="31"/>
      <c r="E122" s="31"/>
      <c r="F122" s="31"/>
      <c r="G122" s="31"/>
      <c r="H122" s="31"/>
      <c r="I122" s="31"/>
      <c r="J122" s="31"/>
      <c r="K122" s="31"/>
      <c r="L122" s="31"/>
      <c r="M122" s="420"/>
    </row>
    <row r="123" spans="2:13" outlineLevel="1" x14ac:dyDescent="0.35">
      <c r="B123" s="1" t="s">
        <v>5586</v>
      </c>
      <c r="C123" s="31"/>
      <c r="D123" s="31"/>
      <c r="E123" s="31"/>
      <c r="F123" s="31"/>
      <c r="G123" s="31"/>
      <c r="H123" s="31"/>
      <c r="I123" s="31"/>
      <c r="J123" s="31"/>
      <c r="K123" s="31"/>
      <c r="L123" s="31"/>
      <c r="M123" s="420"/>
    </row>
    <row r="124" spans="2:13" outlineLevel="1" x14ac:dyDescent="0.35">
      <c r="C124" s="175"/>
      <c r="D124" s="175"/>
      <c r="E124" s="175"/>
      <c r="F124" s="175"/>
      <c r="G124" s="175"/>
      <c r="H124" s="175"/>
      <c r="I124" s="175"/>
      <c r="J124" s="175"/>
      <c r="K124" s="175"/>
      <c r="L124" s="175"/>
      <c r="M124" s="420"/>
    </row>
    <row r="125" spans="2:13" ht="21" x14ac:dyDescent="0.35">
      <c r="B125" s="808" t="s">
        <v>4904</v>
      </c>
      <c r="C125" s="810"/>
      <c r="D125" s="810"/>
      <c r="E125" s="810"/>
      <c r="F125" s="810"/>
      <c r="G125" s="810"/>
      <c r="H125" s="810"/>
      <c r="I125" s="810"/>
      <c r="J125" s="810"/>
      <c r="K125" s="810"/>
      <c r="L125" s="810"/>
      <c r="M125" s="420"/>
    </row>
    <row r="126" spans="2:13" x14ac:dyDescent="0.35">
      <c r="B126" s="452" t="s">
        <v>5013</v>
      </c>
      <c r="C126" s="1573"/>
      <c r="D126" s="1573"/>
      <c r="E126" s="1573"/>
      <c r="F126" s="1573"/>
      <c r="G126" s="1573"/>
      <c r="H126" s="1573"/>
      <c r="I126" s="1573"/>
      <c r="J126" s="1573"/>
      <c r="K126" s="1573"/>
      <c r="L126" s="1573"/>
      <c r="M126" s="420"/>
    </row>
    <row r="127" spans="2:13" outlineLevel="1" x14ac:dyDescent="0.35">
      <c r="B127" s="39" t="s">
        <v>4852</v>
      </c>
      <c r="C127" s="1574"/>
      <c r="D127" s="1574"/>
      <c r="E127" s="1574"/>
      <c r="F127" s="1574"/>
      <c r="G127" s="1574"/>
      <c r="H127" s="1574"/>
      <c r="I127" s="1574"/>
      <c r="J127" s="1574"/>
      <c r="K127" s="1574"/>
      <c r="L127" s="1574"/>
      <c r="M127" s="420"/>
    </row>
    <row r="128" spans="2:13" outlineLevel="1" x14ac:dyDescent="0.35">
      <c r="B128" s="1" t="s">
        <v>5587</v>
      </c>
      <c r="C128" s="1574"/>
      <c r="D128" s="1574"/>
      <c r="E128" s="1574"/>
      <c r="F128" s="1574"/>
      <c r="G128" s="1574"/>
      <c r="H128" s="1574"/>
      <c r="I128" s="1574"/>
      <c r="J128" s="1574"/>
      <c r="K128" s="1574"/>
      <c r="L128" s="1574"/>
      <c r="M128" s="420"/>
    </row>
    <row r="129" spans="2:13" outlineLevel="1" x14ac:dyDescent="0.35">
      <c r="B129" s="1" t="s">
        <v>5588</v>
      </c>
      <c r="C129" s="1574"/>
      <c r="D129" s="1574"/>
      <c r="E129" s="1574"/>
      <c r="F129" s="1574"/>
      <c r="G129" s="1574"/>
      <c r="H129" s="1574"/>
      <c r="I129" s="1574"/>
      <c r="J129" s="1574"/>
      <c r="K129" s="1574"/>
      <c r="L129" s="1574"/>
      <c r="M129" s="420"/>
    </row>
    <row r="130" spans="2:13" x14ac:dyDescent="0.35">
      <c r="B130" s="452" t="s">
        <v>5267</v>
      </c>
      <c r="C130" s="1573"/>
      <c r="D130" s="1573"/>
      <c r="E130" s="1573"/>
      <c r="F130" s="1573"/>
      <c r="G130" s="1573"/>
      <c r="H130" s="1573"/>
      <c r="I130" s="1573"/>
      <c r="J130" s="1573"/>
      <c r="K130" s="1573"/>
      <c r="L130" s="1573"/>
      <c r="M130" s="420"/>
    </row>
    <row r="131" spans="2:13" outlineLevel="1" x14ac:dyDescent="0.35">
      <c r="B131" s="1" t="s">
        <v>4854</v>
      </c>
      <c r="C131" s="1574"/>
      <c r="D131" s="1574"/>
      <c r="E131" s="1574"/>
      <c r="F131" s="1574"/>
      <c r="G131" s="1574"/>
      <c r="H131" s="1574"/>
      <c r="I131" s="1574"/>
      <c r="J131" s="1574"/>
      <c r="K131" s="1574"/>
      <c r="L131" s="1574"/>
      <c r="M131" s="420"/>
    </row>
    <row r="132" spans="2:13" outlineLevel="1" x14ac:dyDescent="0.35">
      <c r="B132" s="1" t="s">
        <v>5589</v>
      </c>
      <c r="C132" s="1574"/>
      <c r="D132" s="1574"/>
      <c r="E132" s="1574"/>
      <c r="F132" s="1574"/>
      <c r="G132" s="1574"/>
      <c r="H132" s="1574"/>
      <c r="I132" s="1574"/>
      <c r="J132" s="1574"/>
      <c r="K132" s="1574"/>
      <c r="L132" s="1574"/>
      <c r="M132" s="420"/>
    </row>
    <row r="133" spans="2:13" outlineLevel="1" x14ac:dyDescent="0.35">
      <c r="B133" s="1" t="s">
        <v>5590</v>
      </c>
      <c r="C133" s="1574"/>
      <c r="D133" s="1574"/>
      <c r="E133" s="1574"/>
      <c r="F133" s="1574"/>
      <c r="G133" s="1574"/>
      <c r="H133" s="1574"/>
      <c r="I133" s="1574"/>
      <c r="J133" s="1574"/>
      <c r="K133" s="1574"/>
      <c r="L133" s="1574"/>
      <c r="M133" s="420"/>
    </row>
    <row r="134" spans="2:13" x14ac:dyDescent="0.35">
      <c r="B134" s="452" t="s">
        <v>5591</v>
      </c>
      <c r="C134" s="1573"/>
      <c r="D134" s="1573"/>
      <c r="E134" s="1573"/>
      <c r="F134" s="1573"/>
      <c r="G134" s="1573"/>
      <c r="H134" s="1573"/>
      <c r="I134" s="1573"/>
      <c r="J134" s="1573"/>
      <c r="K134" s="1573"/>
      <c r="L134" s="1573"/>
      <c r="M134" s="420"/>
    </row>
    <row r="135" spans="2:13" outlineLevel="1" x14ac:dyDescent="0.35">
      <c r="B135" s="1" t="s">
        <v>5592</v>
      </c>
      <c r="C135" s="1574"/>
      <c r="D135" s="1574"/>
      <c r="E135" s="1574"/>
      <c r="F135" s="1574"/>
      <c r="G135" s="1574"/>
      <c r="H135" s="1574"/>
      <c r="I135" s="1574"/>
      <c r="J135" s="1574"/>
      <c r="K135" s="1574"/>
      <c r="L135" s="1574"/>
      <c r="M135" s="420"/>
    </row>
    <row r="136" spans="2:13" outlineLevel="1" x14ac:dyDescent="0.35">
      <c r="B136" s="1" t="s">
        <v>5593</v>
      </c>
      <c r="C136" s="1574"/>
      <c r="D136" s="1574"/>
      <c r="E136" s="1574"/>
      <c r="F136" s="1574"/>
      <c r="G136" s="1574"/>
      <c r="H136" s="1574"/>
      <c r="I136" s="1574"/>
      <c r="J136" s="1574"/>
      <c r="K136" s="1574"/>
      <c r="L136" s="1574"/>
      <c r="M136" s="420"/>
    </row>
    <row r="137" spans="2:13" x14ac:dyDescent="0.35">
      <c r="C137" s="1032"/>
      <c r="D137" s="1032"/>
      <c r="E137" s="1032"/>
      <c r="F137" s="1032"/>
      <c r="G137" s="1031"/>
      <c r="H137" s="1031"/>
      <c r="I137" s="1031"/>
      <c r="J137" s="1031"/>
      <c r="K137" s="1031"/>
      <c r="L137" s="1031"/>
    </row>
    <row r="138" spans="2:13" x14ac:dyDescent="0.35">
      <c r="B138" s="1026"/>
      <c r="C138" s="1032"/>
      <c r="D138" s="1032"/>
      <c r="E138" s="1032"/>
      <c r="F138" s="1033"/>
      <c r="G138" s="1031"/>
      <c r="H138" s="1031"/>
      <c r="I138" s="1031"/>
      <c r="J138" s="1031"/>
      <c r="K138" s="1031"/>
      <c r="L138" s="1031"/>
    </row>
    <row r="141" spans="2:13" x14ac:dyDescent="0.35">
      <c r="B141" s="428"/>
      <c r="C141" s="18"/>
    </row>
    <row r="142" spans="2:13" x14ac:dyDescent="0.35">
      <c r="B142" s="39"/>
      <c r="C142" s="18"/>
    </row>
    <row r="143" spans="2:13" x14ac:dyDescent="0.35">
      <c r="B143" s="39"/>
      <c r="C143" s="18"/>
    </row>
    <row r="144" spans="2:13" x14ac:dyDescent="0.35">
      <c r="B144" s="39"/>
      <c r="C144" s="18"/>
    </row>
    <row r="145" spans="2:3" x14ac:dyDescent="0.35">
      <c r="B145" s="428"/>
      <c r="C145" s="175"/>
    </row>
    <row r="146" spans="2:3" x14ac:dyDescent="0.35">
      <c r="B146" s="39"/>
      <c r="C146" s="18"/>
    </row>
    <row r="147" spans="2:3" x14ac:dyDescent="0.35">
      <c r="B147" s="39"/>
      <c r="C147" s="18"/>
    </row>
    <row r="148" spans="2:3" x14ac:dyDescent="0.35">
      <c r="B148" s="39"/>
      <c r="C148" s="18"/>
    </row>
    <row r="149" spans="2:3" x14ac:dyDescent="0.35">
      <c r="B149" s="39"/>
      <c r="C149" s="18"/>
    </row>
    <row r="150" spans="2:3" x14ac:dyDescent="0.35">
      <c r="B150" s="39"/>
      <c r="C150" s="18"/>
    </row>
    <row r="151" spans="2:3" x14ac:dyDescent="0.35">
      <c r="B151" s="428"/>
      <c r="C151" s="175"/>
    </row>
    <row r="152" spans="2:3" x14ac:dyDescent="0.35">
      <c r="B152" s="39"/>
      <c r="C152" s="18"/>
    </row>
    <row r="153" spans="2:3" x14ac:dyDescent="0.35">
      <c r="B153" s="39"/>
      <c r="C153" s="18"/>
    </row>
    <row r="154" spans="2:3" x14ac:dyDescent="0.35">
      <c r="B154" s="39"/>
      <c r="C154" s="18"/>
    </row>
    <row r="155" spans="2:3" x14ac:dyDescent="0.35">
      <c r="B155" s="428"/>
      <c r="C155" s="175"/>
    </row>
    <row r="156" spans="2:3" x14ac:dyDescent="0.35">
      <c r="B156" s="39"/>
      <c r="C156" s="18"/>
    </row>
    <row r="157" spans="2:3" x14ac:dyDescent="0.35">
      <c r="B157" s="39"/>
      <c r="C157" s="18"/>
    </row>
    <row r="158" spans="2:3" x14ac:dyDescent="0.35">
      <c r="B158" s="39"/>
      <c r="C158" s="18"/>
    </row>
    <row r="159" spans="2:3" x14ac:dyDescent="0.35">
      <c r="B159" s="39"/>
      <c r="C159" s="18"/>
    </row>
    <row r="160" spans="2:3" ht="21" x14ac:dyDescent="0.35">
      <c r="B160" s="457"/>
      <c r="C160" s="458"/>
    </row>
    <row r="161" spans="2:3" x14ac:dyDescent="0.35">
      <c r="B161" s="459"/>
      <c r="C161" s="175"/>
    </row>
    <row r="162" spans="2:3" x14ac:dyDescent="0.35">
      <c r="B162" s="428"/>
      <c r="C162" s="175"/>
    </row>
    <row r="163" spans="2:3" x14ac:dyDescent="0.35">
      <c r="B163" s="39"/>
      <c r="C163" s="18"/>
    </row>
    <row r="164" spans="2:3" x14ac:dyDescent="0.35">
      <c r="B164" s="39"/>
      <c r="C164" s="18"/>
    </row>
    <row r="165" spans="2:3" x14ac:dyDescent="0.35">
      <c r="B165" s="39"/>
      <c r="C165" s="18"/>
    </row>
    <row r="166" spans="2:3" x14ac:dyDescent="0.35">
      <c r="B166" s="39"/>
      <c r="C166" s="18"/>
    </row>
    <row r="167" spans="2:3" x14ac:dyDescent="0.35">
      <c r="B167" s="39"/>
      <c r="C167" s="18"/>
    </row>
    <row r="168" spans="2:3" x14ac:dyDescent="0.35">
      <c r="B168" s="428"/>
      <c r="C168" s="175"/>
    </row>
    <row r="169" spans="2:3" x14ac:dyDescent="0.35">
      <c r="B169" s="39"/>
      <c r="C169" s="18"/>
    </row>
    <row r="170" spans="2:3" x14ac:dyDescent="0.35">
      <c r="B170" s="39"/>
      <c r="C170" s="18"/>
    </row>
    <row r="171" spans="2:3" x14ac:dyDescent="0.35">
      <c r="B171" s="428"/>
      <c r="C171" s="175"/>
    </row>
    <row r="172" spans="2:3" x14ac:dyDescent="0.35">
      <c r="B172" s="39"/>
      <c r="C172" s="18"/>
    </row>
    <row r="173" spans="2:3" x14ac:dyDescent="0.35">
      <c r="B173" s="39"/>
      <c r="C173" s="18"/>
    </row>
    <row r="174" spans="2:3" ht="21" x14ac:dyDescent="0.35">
      <c r="B174" s="457"/>
      <c r="C174" s="458"/>
    </row>
    <row r="175" spans="2:3" x14ac:dyDescent="0.35">
      <c r="B175" s="459"/>
      <c r="C175" s="175"/>
    </row>
    <row r="176" spans="2:3" x14ac:dyDescent="0.35">
      <c r="B176" s="428"/>
      <c r="C176" s="175"/>
    </row>
    <row r="177" spans="2:3" x14ac:dyDescent="0.35">
      <c r="B177" s="39"/>
      <c r="C177" s="18"/>
    </row>
    <row r="178" spans="2:3" x14ac:dyDescent="0.35">
      <c r="B178" s="39"/>
      <c r="C178" s="18"/>
    </row>
    <row r="179" spans="2:3" x14ac:dyDescent="0.35">
      <c r="B179" s="39"/>
      <c r="C179" s="18"/>
    </row>
    <row r="180" spans="2:3" x14ac:dyDescent="0.35">
      <c r="B180" s="39"/>
      <c r="C180" s="18"/>
    </row>
    <row r="181" spans="2:3" x14ac:dyDescent="0.35">
      <c r="B181" s="428"/>
      <c r="C181" s="175"/>
    </row>
    <row r="182" spans="2:3" x14ac:dyDescent="0.35">
      <c r="B182" s="39"/>
      <c r="C182" s="18"/>
    </row>
    <row r="183" spans="2:3" x14ac:dyDescent="0.35">
      <c r="B183" s="39"/>
      <c r="C183" s="18"/>
    </row>
    <row r="184" spans="2:3" x14ac:dyDescent="0.35">
      <c r="B184" s="39"/>
      <c r="C184" s="18"/>
    </row>
    <row r="185" spans="2:3" x14ac:dyDescent="0.35">
      <c r="B185" s="428"/>
      <c r="C185" s="175"/>
    </row>
    <row r="186" spans="2:3" x14ac:dyDescent="0.35">
      <c r="B186" s="39"/>
      <c r="C186" s="18"/>
    </row>
    <row r="187" spans="2:3" x14ac:dyDescent="0.35">
      <c r="B187" s="39"/>
      <c r="C187" s="18"/>
    </row>
    <row r="188" spans="2:3" x14ac:dyDescent="0.35">
      <c r="B188" s="39"/>
      <c r="C188" s="18"/>
    </row>
    <row r="189" spans="2:3" x14ac:dyDescent="0.35">
      <c r="B189" s="39"/>
      <c r="C189" s="18"/>
    </row>
    <row r="190" spans="2:3" x14ac:dyDescent="0.35">
      <c r="B190" s="428"/>
      <c r="C190" s="175"/>
    </row>
    <row r="191" spans="2:3" x14ac:dyDescent="0.35">
      <c r="B191" s="39"/>
      <c r="C191" s="18"/>
    </row>
    <row r="192" spans="2:3" x14ac:dyDescent="0.35">
      <c r="B192" s="39"/>
      <c r="C192" s="18"/>
    </row>
    <row r="193" spans="2:3" x14ac:dyDescent="0.35">
      <c r="B193" s="428"/>
      <c r="C193" s="175"/>
    </row>
    <row r="194" spans="2:3" x14ac:dyDescent="0.35">
      <c r="B194" s="39"/>
      <c r="C194" s="18"/>
    </row>
    <row r="195" spans="2:3" x14ac:dyDescent="0.35">
      <c r="B195" s="39"/>
      <c r="C195" s="18"/>
    </row>
    <row r="196" spans="2:3" x14ac:dyDescent="0.35">
      <c r="B196" s="39"/>
      <c r="C196" s="18"/>
    </row>
    <row r="197" spans="2:3" x14ac:dyDescent="0.35">
      <c r="B197" s="428"/>
      <c r="C197" s="175"/>
    </row>
    <row r="198" spans="2:3" x14ac:dyDescent="0.35">
      <c r="B198" s="39"/>
      <c r="C198" s="18"/>
    </row>
    <row r="199" spans="2:3" x14ac:dyDescent="0.35">
      <c r="B199" s="39"/>
      <c r="C199" s="18"/>
    </row>
    <row r="200" spans="2:3" x14ac:dyDescent="0.35">
      <c r="B200" s="39"/>
      <c r="C200" s="18"/>
    </row>
    <row r="201" spans="2:3" x14ac:dyDescent="0.35">
      <c r="B201" s="39"/>
      <c r="C201" s="18"/>
    </row>
    <row r="202" spans="2:3" x14ac:dyDescent="0.35">
      <c r="B202" s="428"/>
      <c r="C202" s="175"/>
    </row>
    <row r="203" spans="2:3" x14ac:dyDescent="0.35">
      <c r="B203" s="39"/>
      <c r="C203" s="18"/>
    </row>
    <row r="204" spans="2:3" x14ac:dyDescent="0.35">
      <c r="B204" s="39"/>
      <c r="C204" s="18"/>
    </row>
    <row r="205" spans="2:3" x14ac:dyDescent="0.35">
      <c r="B205" s="39"/>
      <c r="C205" s="18"/>
    </row>
    <row r="206" spans="2:3" x14ac:dyDescent="0.35">
      <c r="B206" s="39"/>
      <c r="C206" s="18"/>
    </row>
    <row r="207" spans="2:3" x14ac:dyDescent="0.35">
      <c r="B207" s="39"/>
      <c r="C207" s="18"/>
    </row>
    <row r="208" spans="2:3" x14ac:dyDescent="0.35">
      <c r="B208" s="39"/>
      <c r="C208" s="18"/>
    </row>
    <row r="209" spans="2:3" x14ac:dyDescent="0.35">
      <c r="B209" s="428"/>
      <c r="C209" s="175"/>
    </row>
    <row r="210" spans="2:3" x14ac:dyDescent="0.35">
      <c r="B210" s="428"/>
      <c r="C210" s="175"/>
    </row>
    <row r="211" spans="2:3" x14ac:dyDescent="0.35">
      <c r="B211" s="428"/>
      <c r="C211" s="175"/>
    </row>
    <row r="212" spans="2:3" ht="21" x14ac:dyDescent="0.35">
      <c r="B212" s="457"/>
      <c r="C212" s="458"/>
    </row>
    <row r="213" spans="2:3" x14ac:dyDescent="0.35">
      <c r="B213" s="459"/>
      <c r="C213" s="175"/>
    </row>
    <row r="214" spans="2:3" x14ac:dyDescent="0.35">
      <c r="B214" s="428"/>
      <c r="C214" s="175"/>
    </row>
    <row r="215" spans="2:3" x14ac:dyDescent="0.35">
      <c r="B215" s="39"/>
      <c r="C215" s="18"/>
    </row>
    <row r="216" spans="2:3" x14ac:dyDescent="0.35">
      <c r="B216" s="428"/>
      <c r="C216" s="175"/>
    </row>
    <row r="217" spans="2:3" x14ac:dyDescent="0.35">
      <c r="B217" s="39"/>
      <c r="C217" s="18"/>
    </row>
    <row r="218" spans="2:3" x14ac:dyDescent="0.35">
      <c r="B218" s="39"/>
      <c r="C218" s="18"/>
    </row>
    <row r="219" spans="2:3" x14ac:dyDescent="0.35">
      <c r="B219" s="428"/>
      <c r="C219" s="175"/>
    </row>
    <row r="220" spans="2:3" x14ac:dyDescent="0.35">
      <c r="B220" s="39"/>
      <c r="C220" s="18"/>
    </row>
    <row r="221" spans="2:3" x14ac:dyDescent="0.35">
      <c r="B221" s="39"/>
      <c r="C221" s="18"/>
    </row>
    <row r="222" spans="2:3" x14ac:dyDescent="0.35">
      <c r="B222" s="428"/>
      <c r="C222" s="175"/>
    </row>
    <row r="223" spans="2:3" x14ac:dyDescent="0.35">
      <c r="B223" s="39"/>
      <c r="C223" s="18"/>
    </row>
    <row r="224" spans="2:3" x14ac:dyDescent="0.35">
      <c r="C224" s="38"/>
    </row>
    <row r="225" spans="2:3" x14ac:dyDescent="0.35">
      <c r="C225" s="38"/>
    </row>
    <row r="226" spans="2:3" ht="21" x14ac:dyDescent="0.35">
      <c r="B226" s="457"/>
      <c r="C226" s="458"/>
    </row>
    <row r="227" spans="2:3" x14ac:dyDescent="0.35">
      <c r="B227" s="459"/>
      <c r="C227" s="175"/>
    </row>
    <row r="228" spans="2:3" x14ac:dyDescent="0.35">
      <c r="B228" s="428"/>
      <c r="C228" s="175"/>
    </row>
    <row r="229" spans="2:3" x14ac:dyDescent="0.35">
      <c r="B229" s="39"/>
      <c r="C229" s="18"/>
    </row>
    <row r="230" spans="2:3" x14ac:dyDescent="0.35">
      <c r="C230" s="38"/>
    </row>
    <row r="231" spans="2:3" x14ac:dyDescent="0.35">
      <c r="C231" s="38"/>
    </row>
    <row r="232" spans="2:3" x14ac:dyDescent="0.35">
      <c r="B232" s="428"/>
      <c r="C232" s="175"/>
    </row>
    <row r="233" spans="2:3" x14ac:dyDescent="0.35">
      <c r="C233" s="38"/>
    </row>
    <row r="234" spans="2:3" x14ac:dyDescent="0.35">
      <c r="C234" s="38"/>
    </row>
    <row r="235" spans="2:3" x14ac:dyDescent="0.35">
      <c r="C235" s="38"/>
    </row>
    <row r="236" spans="2:3" x14ac:dyDescent="0.35">
      <c r="B236" s="428"/>
      <c r="C236" s="175"/>
    </row>
    <row r="237" spans="2:3" x14ac:dyDescent="0.35">
      <c r="C237" s="38"/>
    </row>
    <row r="238" spans="2:3" x14ac:dyDescent="0.35">
      <c r="C238" s="38"/>
    </row>
    <row r="239" spans="2:3" x14ac:dyDescent="0.35">
      <c r="C239" s="38"/>
    </row>
    <row r="240" spans="2:3" x14ac:dyDescent="0.35">
      <c r="B240" s="428"/>
      <c r="C240" s="175"/>
    </row>
    <row r="241" spans="2:3" x14ac:dyDescent="0.35">
      <c r="C241" s="38"/>
    </row>
    <row r="242" spans="2:3" x14ac:dyDescent="0.35">
      <c r="C242" s="38"/>
    </row>
    <row r="243" spans="2:3" ht="21" x14ac:dyDescent="0.35">
      <c r="B243" s="457"/>
      <c r="C243" s="458"/>
    </row>
    <row r="244" spans="2:3" x14ac:dyDescent="0.35">
      <c r="B244" s="459"/>
      <c r="C244" s="175"/>
    </row>
    <row r="245" spans="2:3" x14ac:dyDescent="0.35">
      <c r="B245" s="428"/>
      <c r="C245" s="175"/>
    </row>
    <row r="246" spans="2:3" x14ac:dyDescent="0.35">
      <c r="B246" s="39"/>
      <c r="C246" s="18"/>
    </row>
    <row r="247" spans="2:3" x14ac:dyDescent="0.35">
      <c r="C247" s="38"/>
    </row>
    <row r="248" spans="2:3" x14ac:dyDescent="0.35">
      <c r="C248" s="38"/>
    </row>
    <row r="249" spans="2:3" x14ac:dyDescent="0.35">
      <c r="C249" s="38"/>
    </row>
    <row r="250" spans="2:3" x14ac:dyDescent="0.35">
      <c r="B250" s="428"/>
      <c r="C250" s="175"/>
    </row>
    <row r="251" spans="2:3" x14ac:dyDescent="0.35">
      <c r="C251" s="38"/>
    </row>
    <row r="252" spans="2:3" x14ac:dyDescent="0.35">
      <c r="C252" s="38"/>
    </row>
    <row r="253" spans="2:3" x14ac:dyDescent="0.35">
      <c r="C253" s="38"/>
    </row>
    <row r="254" spans="2:3" x14ac:dyDescent="0.35">
      <c r="B254" s="428"/>
      <c r="C254" s="175"/>
    </row>
    <row r="255" spans="2:3" x14ac:dyDescent="0.35">
      <c r="C255" s="38"/>
    </row>
    <row r="256" spans="2:3" x14ac:dyDescent="0.35">
      <c r="C256" s="38"/>
    </row>
    <row r="257" spans="2:3" x14ac:dyDescent="0.35">
      <c r="C257" s="38"/>
    </row>
    <row r="258" spans="2:3" x14ac:dyDescent="0.35">
      <c r="C258" s="38"/>
    </row>
    <row r="259" spans="2:3" x14ac:dyDescent="0.35">
      <c r="C259" s="38"/>
    </row>
    <row r="260" spans="2:3" x14ac:dyDescent="0.35">
      <c r="B260" s="428"/>
      <c r="C260" s="175"/>
    </row>
    <row r="261" spans="2:3" x14ac:dyDescent="0.35">
      <c r="C261" s="38"/>
    </row>
    <row r="262" spans="2:3" x14ac:dyDescent="0.35">
      <c r="B262" s="428"/>
      <c r="C262" s="175"/>
    </row>
    <row r="263" spans="2:3" x14ac:dyDescent="0.35">
      <c r="C263" s="38"/>
    </row>
    <row r="264" spans="2:3" x14ac:dyDescent="0.35">
      <c r="C264" s="38"/>
    </row>
  </sheetData>
  <dataValidations count="1">
    <dataValidation type="list" allowBlank="1" showInputMessage="1" showErrorMessage="1" sqref="B27:B29">
      <formula1>$B$34:$B$136</formula1>
    </dataValidation>
  </dataValidations>
  <pageMargins left="0.7" right="0.7" top="0.78740157499999996" bottom="0.78740157499999996"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Listen!$B$3:$B$6</xm:f>
          </x14:formula1>
          <xm:sqref>G5:G14</xm:sqref>
        </x14:dataValidation>
        <x14:dataValidation type="list" allowBlank="1" showInputMessage="1" showErrorMessage="1">
          <x14:formula1>
            <xm:f>Listen!$B$8:$B$10</xm:f>
          </x14:formula1>
          <xm:sqref>F5:F14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46"/>
  <sheetViews>
    <sheetView workbookViewId="0"/>
  </sheetViews>
  <sheetFormatPr baseColWidth="10" defaultColWidth="11" defaultRowHeight="14.5" outlineLevelRow="1" x14ac:dyDescent="0.35"/>
  <cols>
    <col min="1" max="1" width="3.5" style="550" customWidth="1"/>
    <col min="2" max="2" width="20.83203125" style="550" customWidth="1"/>
    <col min="3" max="3" width="17" style="672" bestFit="1" customWidth="1"/>
    <col min="4" max="4" width="19.25" style="550" customWidth="1"/>
    <col min="5" max="6" width="18.58203125" style="550" customWidth="1"/>
    <col min="7" max="7" width="5.58203125" style="550" customWidth="1"/>
    <col min="8" max="9" width="5.58203125" style="1279" customWidth="1"/>
    <col min="10" max="16384" width="11" style="550"/>
  </cols>
  <sheetData>
    <row r="2" spans="2:9" s="1282" customFormat="1" ht="18.5" x14ac:dyDescent="0.45">
      <c r="B2" s="1293" t="s">
        <v>5760</v>
      </c>
      <c r="C2" s="1294"/>
      <c r="D2" s="1293"/>
      <c r="E2" s="1295"/>
      <c r="F2" s="1293"/>
      <c r="H2" s="1296" t="s">
        <v>5761</v>
      </c>
      <c r="I2" s="1297"/>
    </row>
    <row r="3" spans="2:9" s="1282" customFormat="1" ht="15" customHeight="1" x14ac:dyDescent="0.45">
      <c r="B3" s="1298"/>
      <c r="C3" s="1298"/>
      <c r="D3" s="1298"/>
      <c r="E3" s="1298"/>
      <c r="F3" s="1298"/>
      <c r="H3" s="1297"/>
      <c r="I3" s="1297"/>
    </row>
    <row r="4" spans="2:9" s="674" customFormat="1" ht="29" x14ac:dyDescent="0.35">
      <c r="B4" s="337" t="s">
        <v>5032</v>
      </c>
      <c r="C4" s="301" t="s">
        <v>4653</v>
      </c>
      <c r="D4" s="299" t="s">
        <v>5762</v>
      </c>
      <c r="E4" s="749" t="s">
        <v>5763</v>
      </c>
      <c r="F4" s="749" t="s">
        <v>5764</v>
      </c>
      <c r="H4" s="1006"/>
      <c r="I4" s="1006"/>
    </row>
    <row r="5" spans="2:9" x14ac:dyDescent="0.35">
      <c r="B5" s="1286">
        <f>'RH Gebäude'!B5</f>
        <v>0</v>
      </c>
      <c r="C5" s="1158">
        <f>'RH Gebäude'!F5</f>
        <v>0</v>
      </c>
      <c r="D5" s="1299" t="s">
        <v>5780</v>
      </c>
      <c r="E5" s="1300">
        <f t="shared" ref="E5:E19" si="0">_xlfn.IFNA(VLOOKUP(D5,$D$24:$F$44,2,0)*C5,"")</f>
        <v>0</v>
      </c>
      <c r="F5" s="1300">
        <f t="shared" ref="F5:F19" si="1">_xlfn.IFNA(VLOOKUP(D5,$D$24:$F$44,3,0)*C5,"")</f>
        <v>0</v>
      </c>
      <c r="G5" s="1301"/>
      <c r="H5" s="1302"/>
      <c r="I5" s="1302"/>
    </row>
    <row r="6" spans="2:9" x14ac:dyDescent="0.35">
      <c r="B6" s="1286">
        <f>'RH Gebäude'!B6</f>
        <v>0</v>
      </c>
      <c r="C6" s="1158">
        <f>'RH Gebäude'!F6</f>
        <v>0</v>
      </c>
      <c r="D6" s="1299"/>
      <c r="E6" s="1300" t="str">
        <f t="shared" si="0"/>
        <v/>
      </c>
      <c r="F6" s="1300" t="str">
        <f t="shared" si="1"/>
        <v/>
      </c>
      <c r="G6" s="1301"/>
      <c r="H6" s="1302"/>
      <c r="I6" s="1303"/>
    </row>
    <row r="7" spans="2:9" x14ac:dyDescent="0.35">
      <c r="B7" s="1286">
        <f>'RH Gebäude'!B7</f>
        <v>0</v>
      </c>
      <c r="C7" s="1158">
        <f>'RH Gebäude'!F7</f>
        <v>0</v>
      </c>
      <c r="D7" s="1299"/>
      <c r="E7" s="1300" t="str">
        <f t="shared" si="0"/>
        <v/>
      </c>
      <c r="F7" s="1300" t="str">
        <f t="shared" si="1"/>
        <v/>
      </c>
      <c r="G7" s="1301"/>
      <c r="H7" s="1302"/>
      <c r="I7" s="1303"/>
    </row>
    <row r="8" spans="2:9" x14ac:dyDescent="0.35">
      <c r="B8" s="1286">
        <f>'RH Gebäude'!B8</f>
        <v>0</v>
      </c>
      <c r="C8" s="1158">
        <f>'RH Gebäude'!F8</f>
        <v>0</v>
      </c>
      <c r="D8" s="1299"/>
      <c r="E8" s="1300" t="str">
        <f t="shared" si="0"/>
        <v/>
      </c>
      <c r="F8" s="1300" t="str">
        <f t="shared" si="1"/>
        <v/>
      </c>
      <c r="G8" s="1301"/>
      <c r="H8" s="1302"/>
      <c r="I8" s="1303"/>
    </row>
    <row r="9" spans="2:9" x14ac:dyDescent="0.35">
      <c r="B9" s="1286">
        <f>'RH Gebäude'!B9</f>
        <v>0</v>
      </c>
      <c r="C9" s="1158">
        <f>'RH Gebäude'!F9</f>
        <v>0</v>
      </c>
      <c r="D9" s="1299"/>
      <c r="E9" s="1300" t="str">
        <f t="shared" si="0"/>
        <v/>
      </c>
      <c r="F9" s="1300" t="str">
        <f t="shared" si="1"/>
        <v/>
      </c>
      <c r="G9" s="1301"/>
      <c r="H9" s="1302"/>
      <c r="I9" s="1303"/>
    </row>
    <row r="10" spans="2:9" x14ac:dyDescent="0.35">
      <c r="B10" s="1286">
        <f>'RH Gebäude'!B10</f>
        <v>0</v>
      </c>
      <c r="C10" s="1158">
        <f>'RH Gebäude'!F10</f>
        <v>0</v>
      </c>
      <c r="D10" s="1299"/>
      <c r="E10" s="1300" t="str">
        <f t="shared" si="0"/>
        <v/>
      </c>
      <c r="F10" s="1300" t="str">
        <f t="shared" si="1"/>
        <v/>
      </c>
      <c r="G10" s="1301"/>
      <c r="H10" s="1302"/>
      <c r="I10" s="1303"/>
    </row>
    <row r="11" spans="2:9" x14ac:dyDescent="0.35">
      <c r="B11" s="1286">
        <f>'RH Gebäude'!B11</f>
        <v>0</v>
      </c>
      <c r="C11" s="1158">
        <f>'RH Gebäude'!F11</f>
        <v>0</v>
      </c>
      <c r="D11" s="1299"/>
      <c r="E11" s="1300" t="str">
        <f t="shared" si="0"/>
        <v/>
      </c>
      <c r="F11" s="1300" t="str">
        <f t="shared" si="1"/>
        <v/>
      </c>
      <c r="G11" s="1301"/>
      <c r="H11" s="1302"/>
      <c r="I11" s="1303"/>
    </row>
    <row r="12" spans="2:9" x14ac:dyDescent="0.35">
      <c r="B12" s="1286">
        <f>'RH Gebäude'!B12</f>
        <v>0</v>
      </c>
      <c r="C12" s="1158">
        <f>'RH Gebäude'!F12</f>
        <v>0</v>
      </c>
      <c r="D12" s="1299"/>
      <c r="E12" s="1300" t="str">
        <f t="shared" si="0"/>
        <v/>
      </c>
      <c r="F12" s="1300" t="str">
        <f t="shared" si="1"/>
        <v/>
      </c>
      <c r="G12" s="1301"/>
      <c r="H12" s="1302"/>
      <c r="I12" s="1303"/>
    </row>
    <row r="13" spans="2:9" x14ac:dyDescent="0.35">
      <c r="B13" s="1286">
        <f>'RH Gebäude'!B13</f>
        <v>0</v>
      </c>
      <c r="C13" s="1158">
        <f>'RH Gebäude'!F13</f>
        <v>0</v>
      </c>
      <c r="D13" s="1299"/>
      <c r="E13" s="1300" t="str">
        <f t="shared" si="0"/>
        <v/>
      </c>
      <c r="F13" s="1300" t="str">
        <f t="shared" si="1"/>
        <v/>
      </c>
      <c r="G13" s="1301"/>
      <c r="H13" s="1302"/>
      <c r="I13" s="1303"/>
    </row>
    <row r="14" spans="2:9" x14ac:dyDescent="0.35">
      <c r="B14" s="1286">
        <f>'RH Gebäude'!B14</f>
        <v>0</v>
      </c>
      <c r="C14" s="1158">
        <f>'RH Gebäude'!F14</f>
        <v>0</v>
      </c>
      <c r="D14" s="1299"/>
      <c r="E14" s="1300" t="str">
        <f t="shared" si="0"/>
        <v/>
      </c>
      <c r="F14" s="1300" t="str">
        <f t="shared" si="1"/>
        <v/>
      </c>
      <c r="G14" s="1301"/>
      <c r="H14" s="1302"/>
      <c r="I14" s="1303"/>
    </row>
    <row r="15" spans="2:9" x14ac:dyDescent="0.35">
      <c r="B15" s="1286">
        <f>'RH Gebäude'!B15</f>
        <v>0</v>
      </c>
      <c r="C15" s="1158">
        <f>'RH Gebäude'!F15</f>
        <v>0</v>
      </c>
      <c r="D15" s="1299"/>
      <c r="E15" s="1300" t="str">
        <f t="shared" si="0"/>
        <v/>
      </c>
      <c r="F15" s="1300" t="str">
        <f t="shared" si="1"/>
        <v/>
      </c>
      <c r="G15" s="1301"/>
      <c r="H15" s="1302"/>
      <c r="I15" s="1303"/>
    </row>
    <row r="16" spans="2:9" x14ac:dyDescent="0.35">
      <c r="B16" s="1286">
        <f>'RH Gebäude'!B16</f>
        <v>0</v>
      </c>
      <c r="C16" s="1158">
        <f>'RH Gebäude'!F16</f>
        <v>0</v>
      </c>
      <c r="D16" s="1299"/>
      <c r="E16" s="1300" t="str">
        <f t="shared" si="0"/>
        <v/>
      </c>
      <c r="F16" s="1300" t="str">
        <f t="shared" si="1"/>
        <v/>
      </c>
      <c r="G16" s="1301"/>
      <c r="H16" s="1302"/>
      <c r="I16" s="1303"/>
    </row>
    <row r="17" spans="2:9" x14ac:dyDescent="0.35">
      <c r="B17" s="1286">
        <f>'RH Gebäude'!B17</f>
        <v>0</v>
      </c>
      <c r="C17" s="1158">
        <f>'RH Gebäude'!F17</f>
        <v>0</v>
      </c>
      <c r="D17" s="1299"/>
      <c r="E17" s="1300" t="str">
        <f t="shared" si="0"/>
        <v/>
      </c>
      <c r="F17" s="1300" t="str">
        <f t="shared" si="1"/>
        <v/>
      </c>
      <c r="G17" s="1301"/>
      <c r="H17" s="1302"/>
      <c r="I17" s="1303"/>
    </row>
    <row r="18" spans="2:9" x14ac:dyDescent="0.35">
      <c r="B18" s="1286">
        <f>'RH Gebäude'!B18</f>
        <v>0</v>
      </c>
      <c r="C18" s="1158">
        <f>'RH Gebäude'!F18</f>
        <v>0</v>
      </c>
      <c r="D18" s="1299"/>
      <c r="E18" s="1300" t="str">
        <f t="shared" si="0"/>
        <v/>
      </c>
      <c r="F18" s="1300" t="str">
        <f t="shared" si="1"/>
        <v/>
      </c>
      <c r="G18" s="1301"/>
      <c r="H18" s="1302"/>
      <c r="I18" s="1303"/>
    </row>
    <row r="19" spans="2:9" x14ac:dyDescent="0.35">
      <c r="B19" s="1286">
        <f>'RH Gebäude'!B19</f>
        <v>0</v>
      </c>
      <c r="C19" s="1158">
        <f>'RH Gebäude'!F19</f>
        <v>0</v>
      </c>
      <c r="D19" s="1299"/>
      <c r="E19" s="1300" t="str">
        <f t="shared" si="0"/>
        <v/>
      </c>
      <c r="F19" s="1300" t="str">
        <f t="shared" si="1"/>
        <v/>
      </c>
      <c r="G19" s="1301"/>
      <c r="H19" s="1302"/>
      <c r="I19" s="1303"/>
    </row>
    <row r="20" spans="2:9" ht="15" thickBot="1" x14ac:dyDescent="0.4">
      <c r="B20" s="292" t="s">
        <v>5765</v>
      </c>
      <c r="C20" s="313">
        <f>SUM(C5:C19)</f>
        <v>0</v>
      </c>
      <c r="D20" s="292"/>
      <c r="E20" s="1304">
        <f>SUM(E5:E19)</f>
        <v>0</v>
      </c>
      <c r="F20" s="1304">
        <f>SUM(F5:F19)</f>
        <v>0</v>
      </c>
      <c r="G20" s="1301"/>
      <c r="H20" s="1302"/>
      <c r="I20" s="1303"/>
    </row>
    <row r="21" spans="2:9" ht="15" thickBot="1" x14ac:dyDescent="0.4">
      <c r="B21" s="292" t="s">
        <v>5766</v>
      </c>
      <c r="C21" s="313"/>
      <c r="D21" s="1305"/>
      <c r="E21" s="1306" t="e">
        <f>IF($E$46=1,(E20/$C$20*0.7),(E20/$C$20))</f>
        <v>#DIV/0!</v>
      </c>
      <c r="F21" s="1306" t="e">
        <f>IF($E$46=1,(F20/$C$20*0.7),(F20/$C$20))</f>
        <v>#DIV/0!</v>
      </c>
    </row>
    <row r="23" spans="2:9" ht="43.5" hidden="1" outlineLevel="1" x14ac:dyDescent="0.35">
      <c r="D23" s="1307" t="s">
        <v>5767</v>
      </c>
      <c r="E23" s="1174" t="s">
        <v>5768</v>
      </c>
      <c r="F23" s="1174" t="s">
        <v>5769</v>
      </c>
      <c r="G23" s="1308"/>
    </row>
    <row r="24" spans="2:9" hidden="1" outlineLevel="1" x14ac:dyDescent="0.35">
      <c r="D24" s="371" t="s">
        <v>5770</v>
      </c>
      <c r="E24" s="1251">
        <v>9.7395053904185289</v>
      </c>
      <c r="F24" s="1251">
        <v>42.745273099339791</v>
      </c>
      <c r="G24" s="1309"/>
    </row>
    <row r="25" spans="2:9" hidden="1" outlineLevel="1" x14ac:dyDescent="0.35">
      <c r="D25" s="371" t="s">
        <v>5771</v>
      </c>
      <c r="E25" s="1251">
        <v>10.240090495113961</v>
      </c>
      <c r="F25" s="1251">
        <v>44.945697320513304</v>
      </c>
      <c r="G25" s="1309"/>
    </row>
    <row r="26" spans="2:9" hidden="1" outlineLevel="1" x14ac:dyDescent="0.35">
      <c r="D26" s="371" t="s">
        <v>5772</v>
      </c>
      <c r="E26" s="1251">
        <v>9.2492837057738591</v>
      </c>
      <c r="F26" s="1251">
        <v>41.547458650621166</v>
      </c>
      <c r="G26" s="1309"/>
    </row>
    <row r="27" spans="2:9" hidden="1" outlineLevel="1" x14ac:dyDescent="0.35">
      <c r="D27" s="371" t="s">
        <v>5773</v>
      </c>
      <c r="E27" s="1251">
        <v>8.8463508853423853</v>
      </c>
      <c r="F27" s="1251">
        <v>40.320554013574139</v>
      </c>
      <c r="G27" s="1309"/>
    </row>
    <row r="28" spans="2:9" hidden="1" outlineLevel="1" x14ac:dyDescent="0.35">
      <c r="D28" s="371" t="s">
        <v>5774</v>
      </c>
      <c r="E28" s="1251">
        <v>11.481657278108885</v>
      </c>
      <c r="F28" s="1251">
        <v>45.512748374517798</v>
      </c>
      <c r="G28" s="1309"/>
    </row>
    <row r="29" spans="2:9" hidden="1" outlineLevel="1" x14ac:dyDescent="0.35">
      <c r="D29" s="371" t="s">
        <v>5775</v>
      </c>
      <c r="E29" s="1251">
        <v>11.003591208946448</v>
      </c>
      <c r="F29" s="1251">
        <v>44.196844125231642</v>
      </c>
      <c r="G29" s="1309"/>
    </row>
    <row r="30" spans="2:9" hidden="1" outlineLevel="1" x14ac:dyDescent="0.35">
      <c r="D30" s="371" t="s">
        <v>5776</v>
      </c>
      <c r="E30" s="1251">
        <v>11.190783126776399</v>
      </c>
      <c r="F30" s="1251">
        <v>45.499494278132801</v>
      </c>
      <c r="G30" s="1309"/>
    </row>
    <row r="31" spans="2:9" hidden="1" outlineLevel="1" x14ac:dyDescent="0.35">
      <c r="D31" s="371" t="s">
        <v>5777</v>
      </c>
      <c r="E31" s="1251">
        <v>11.371860403108885</v>
      </c>
      <c r="F31" s="1251">
        <v>45.610001456115029</v>
      </c>
      <c r="G31" s="1309"/>
    </row>
    <row r="32" spans="2:9" hidden="1" outlineLevel="1" x14ac:dyDescent="0.35">
      <c r="D32" s="371" t="s">
        <v>5778</v>
      </c>
      <c r="E32" s="1251">
        <v>8.766135528821259</v>
      </c>
      <c r="F32" s="1251">
        <v>37.434091310428023</v>
      </c>
      <c r="G32" s="1309"/>
    </row>
    <row r="33" spans="2:7" hidden="1" outlineLevel="1" x14ac:dyDescent="0.35">
      <c r="D33" s="371" t="s">
        <v>5779</v>
      </c>
      <c r="E33" s="1251">
        <v>5.8296733099598885</v>
      </c>
      <c r="F33" s="1251">
        <v>25.56158463356887</v>
      </c>
      <c r="G33" s="1309"/>
    </row>
    <row r="34" spans="2:7" hidden="1" outlineLevel="1" x14ac:dyDescent="0.35">
      <c r="D34" s="371" t="s">
        <v>5780</v>
      </c>
      <c r="E34" s="1251">
        <v>8.6390755745331607</v>
      </c>
      <c r="F34" s="1251">
        <v>32.205565941304414</v>
      </c>
      <c r="G34" s="1309"/>
    </row>
    <row r="35" spans="2:7" hidden="1" outlineLevel="1" x14ac:dyDescent="0.35">
      <c r="D35" s="371" t="s">
        <v>5781</v>
      </c>
      <c r="E35" s="1251">
        <v>7.4285718449198939</v>
      </c>
      <c r="F35" s="1251">
        <v>32.761899319502483</v>
      </c>
      <c r="G35" s="1309"/>
    </row>
    <row r="36" spans="2:7" hidden="1" outlineLevel="1" x14ac:dyDescent="0.35">
      <c r="D36" s="371" t="s">
        <v>5782</v>
      </c>
      <c r="E36" s="1251">
        <v>7.9647047813719247</v>
      </c>
      <c r="F36" s="1251">
        <v>32.169997502539438</v>
      </c>
      <c r="G36" s="1309"/>
    </row>
    <row r="37" spans="2:7" hidden="1" outlineLevel="1" x14ac:dyDescent="0.35">
      <c r="D37" s="371" t="s">
        <v>5783</v>
      </c>
      <c r="E37" s="1251">
        <v>7.4923664646016501</v>
      </c>
      <c r="F37" s="1251">
        <v>33.210279409519224</v>
      </c>
      <c r="G37" s="1309"/>
    </row>
    <row r="38" spans="2:7" hidden="1" outlineLevel="1" x14ac:dyDescent="0.35">
      <c r="D38" s="371" t="s">
        <v>5784</v>
      </c>
      <c r="E38" s="1251">
        <v>9.3902948708576357</v>
      </c>
      <c r="F38" s="1251">
        <v>35.70656992349916</v>
      </c>
      <c r="G38" s="1309"/>
    </row>
    <row r="39" spans="2:7" hidden="1" outlineLevel="1" x14ac:dyDescent="0.35">
      <c r="D39" s="371" t="s">
        <v>5785</v>
      </c>
      <c r="E39" s="1251">
        <v>7.9954224718063944</v>
      </c>
      <c r="F39" s="1251">
        <v>29.445628802126137</v>
      </c>
      <c r="G39" s="1309"/>
    </row>
    <row r="40" spans="2:7" hidden="1" outlineLevel="1" x14ac:dyDescent="0.35">
      <c r="D40" s="371" t="s">
        <v>5786</v>
      </c>
      <c r="E40" s="1251">
        <v>8.2533882290629226</v>
      </c>
      <c r="F40" s="1251">
        <v>30.720958160423383</v>
      </c>
      <c r="G40" s="1309"/>
    </row>
    <row r="41" spans="2:7" hidden="1" outlineLevel="1" x14ac:dyDescent="0.35">
      <c r="D41" s="371" t="s">
        <v>5787</v>
      </c>
      <c r="E41" s="1251">
        <v>7.3913864355261127</v>
      </c>
      <c r="F41" s="1251">
        <v>28.225847838227629</v>
      </c>
      <c r="G41" s="1309"/>
    </row>
    <row r="42" spans="2:7" hidden="1" outlineLevel="1" x14ac:dyDescent="0.35">
      <c r="D42" s="371" t="s">
        <v>5788</v>
      </c>
      <c r="E42" s="1251">
        <v>6.4536121060187401</v>
      </c>
      <c r="F42" s="1251">
        <v>24.69815544928165</v>
      </c>
      <c r="G42" s="1309"/>
    </row>
    <row r="43" spans="2:7" hidden="1" outlineLevel="1" x14ac:dyDescent="0.35">
      <c r="D43" s="371" t="s">
        <v>5789</v>
      </c>
      <c r="E43" s="1251">
        <v>7.4269123474880132</v>
      </c>
      <c r="F43" s="1251">
        <v>28.295747058427239</v>
      </c>
      <c r="G43" s="1309"/>
    </row>
    <row r="44" spans="2:7" hidden="1" outlineLevel="1" x14ac:dyDescent="0.35">
      <c r="D44" s="371" t="s">
        <v>5790</v>
      </c>
      <c r="E44" s="1251">
        <v>7.1481936962715134</v>
      </c>
      <c r="F44" s="1251">
        <v>26.480813101587607</v>
      </c>
      <c r="G44" s="1309"/>
    </row>
    <row r="45" spans="2:7" collapsed="1" x14ac:dyDescent="0.35"/>
    <row r="46" spans="2:7" x14ac:dyDescent="0.35">
      <c r="B46" s="550" t="s">
        <v>5791</v>
      </c>
      <c r="C46" s="550"/>
      <c r="D46" s="667" t="s">
        <v>2048</v>
      </c>
      <c r="E46" s="293" t="str">
        <f>IF(D46="ja",1,"")</f>
        <v/>
      </c>
    </row>
  </sheetData>
  <dataValidations count="2">
    <dataValidation type="list" allowBlank="1" showInputMessage="1" showErrorMessage="1" sqref="D46">
      <formula1>jn</formula1>
    </dataValidation>
    <dataValidation type="list" allowBlank="1" showInputMessage="1" showErrorMessage="1" sqref="D5:D19">
      <formula1>$D$24:$D$44</formula1>
    </dataValidation>
  </dataValidations>
  <pageMargins left="0.7" right="0.7" top="0.78740157499999996" bottom="0.78740157499999996"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D35"/>
  <sheetViews>
    <sheetView workbookViewId="0"/>
  </sheetViews>
  <sheetFormatPr baseColWidth="10" defaultColWidth="11" defaultRowHeight="14.5" x14ac:dyDescent="0.35"/>
  <cols>
    <col min="1" max="1" width="3.5" style="550" customWidth="1"/>
    <col min="2" max="2" width="20.83203125" style="550" customWidth="1"/>
    <col min="3" max="4" width="26.83203125" style="550" customWidth="1"/>
    <col min="5" max="16384" width="11" style="550"/>
  </cols>
  <sheetData>
    <row r="2" spans="2:4" s="62" customFormat="1" ht="18.5" x14ac:dyDescent="0.45">
      <c r="B2" s="1310" t="s">
        <v>5792</v>
      </c>
      <c r="C2" s="1311"/>
      <c r="D2" s="1311"/>
    </row>
    <row r="3" spans="2:4" ht="21" x14ac:dyDescent="0.5">
      <c r="B3" s="1312"/>
      <c r="C3" s="1313"/>
      <c r="D3" s="1313"/>
    </row>
    <row r="4" spans="2:4" x14ac:dyDescent="0.35">
      <c r="B4" s="1742" t="s">
        <v>5793</v>
      </c>
      <c r="C4" s="1742"/>
      <c r="D4" s="1742"/>
    </row>
    <row r="5" spans="2:4" x14ac:dyDescent="0.35">
      <c r="B5" s="915"/>
      <c r="C5" s="915"/>
      <c r="D5" s="915"/>
    </row>
    <row r="6" spans="2:4" s="62" customFormat="1" ht="18.5" x14ac:dyDescent="0.45">
      <c r="B6" s="1310" t="s">
        <v>5794</v>
      </c>
      <c r="C6" s="1311"/>
      <c r="D6" s="1311"/>
    </row>
    <row r="8" spans="2:4" x14ac:dyDescent="0.35">
      <c r="B8" s="550" t="s">
        <v>5795</v>
      </c>
    </row>
    <row r="9" spans="2:4" x14ac:dyDescent="0.35">
      <c r="B9" s="550" t="s">
        <v>5796</v>
      </c>
    </row>
    <row r="10" spans="2:4" x14ac:dyDescent="0.35">
      <c r="B10" s="550" t="s">
        <v>5797</v>
      </c>
    </row>
    <row r="11" spans="2:4" x14ac:dyDescent="0.35">
      <c r="B11" s="550" t="s">
        <v>5798</v>
      </c>
    </row>
    <row r="13" spans="2:4" x14ac:dyDescent="0.35">
      <c r="B13" s="1314" t="s">
        <v>5799</v>
      </c>
    </row>
    <row r="14" spans="2:4" x14ac:dyDescent="0.35">
      <c r="B14" s="1314" t="s">
        <v>5800</v>
      </c>
    </row>
    <row r="16" spans="2:4" s="1282" customFormat="1" ht="18.5" x14ac:dyDescent="0.45">
      <c r="B16" s="1280" t="s">
        <v>5801</v>
      </c>
      <c r="C16" s="1281"/>
      <c r="D16" s="1280"/>
    </row>
    <row r="17" spans="2:4" s="1282" customFormat="1" ht="18.5" x14ac:dyDescent="0.45">
      <c r="B17" s="1298"/>
      <c r="C17" s="1298"/>
      <c r="D17" s="1298"/>
    </row>
    <row r="18" spans="2:4" s="674" customFormat="1" ht="29" x14ac:dyDescent="0.35">
      <c r="B18" s="1283" t="s">
        <v>5032</v>
      </c>
      <c r="C18" s="1315" t="s">
        <v>5763</v>
      </c>
      <c r="D18" s="1315" t="s">
        <v>5764</v>
      </c>
    </row>
    <row r="19" spans="2:4" x14ac:dyDescent="0.35">
      <c r="B19" s="1316">
        <f>'RH Gebäude'!B5</f>
        <v>0</v>
      </c>
      <c r="C19" s="1317"/>
      <c r="D19" s="1317"/>
    </row>
    <row r="20" spans="2:4" x14ac:dyDescent="0.35">
      <c r="B20" s="1316">
        <f>'RH Gebäude'!B6</f>
        <v>0</v>
      </c>
      <c r="C20" s="1317"/>
      <c r="D20" s="1317"/>
    </row>
    <row r="21" spans="2:4" x14ac:dyDescent="0.35">
      <c r="B21" s="1316">
        <f>'RH Gebäude'!B7</f>
        <v>0</v>
      </c>
      <c r="C21" s="1317"/>
      <c r="D21" s="1317"/>
    </row>
    <row r="22" spans="2:4" x14ac:dyDescent="0.35">
      <c r="B22" s="1316">
        <f>'RH Gebäude'!B8</f>
        <v>0</v>
      </c>
      <c r="C22" s="1317"/>
      <c r="D22" s="1317"/>
    </row>
    <row r="23" spans="2:4" x14ac:dyDescent="0.35">
      <c r="B23" s="1316">
        <f>'RH Gebäude'!B9</f>
        <v>0</v>
      </c>
      <c r="C23" s="1317"/>
      <c r="D23" s="1317"/>
    </row>
    <row r="24" spans="2:4" x14ac:dyDescent="0.35">
      <c r="B24" s="1316">
        <f>'RH Gebäude'!B10</f>
        <v>0</v>
      </c>
      <c r="C24" s="1317"/>
      <c r="D24" s="1317"/>
    </row>
    <row r="25" spans="2:4" x14ac:dyDescent="0.35">
      <c r="B25" s="1316">
        <f>'RH Gebäude'!B11</f>
        <v>0</v>
      </c>
      <c r="C25" s="1317"/>
      <c r="D25" s="1317"/>
    </row>
    <row r="26" spans="2:4" x14ac:dyDescent="0.35">
      <c r="B26" s="1316">
        <f>'RH Gebäude'!B12</f>
        <v>0</v>
      </c>
      <c r="C26" s="1317"/>
      <c r="D26" s="1317"/>
    </row>
    <row r="27" spans="2:4" x14ac:dyDescent="0.35">
      <c r="B27" s="1316">
        <f>'RH Gebäude'!B13</f>
        <v>0</v>
      </c>
      <c r="C27" s="1317"/>
      <c r="D27" s="1317"/>
    </row>
    <row r="28" spans="2:4" x14ac:dyDescent="0.35">
      <c r="B28" s="1316">
        <f>'RH Gebäude'!B14</f>
        <v>0</v>
      </c>
      <c r="C28" s="1317"/>
      <c r="D28" s="1317"/>
    </row>
    <row r="29" spans="2:4" x14ac:dyDescent="0.35">
      <c r="B29" s="1316">
        <f>'RH Gebäude'!B15</f>
        <v>0</v>
      </c>
      <c r="C29" s="1317"/>
      <c r="D29" s="1317"/>
    </row>
    <row r="30" spans="2:4" x14ac:dyDescent="0.35">
      <c r="B30" s="1316">
        <f>'RH Gebäude'!B16</f>
        <v>0</v>
      </c>
      <c r="C30" s="1317"/>
      <c r="D30" s="1317"/>
    </row>
    <row r="31" spans="2:4" x14ac:dyDescent="0.35">
      <c r="B31" s="1316">
        <f>'RH Gebäude'!B17</f>
        <v>0</v>
      </c>
      <c r="C31" s="1317"/>
      <c r="D31" s="1317"/>
    </row>
    <row r="32" spans="2:4" x14ac:dyDescent="0.35">
      <c r="B32" s="1316">
        <f>'RH Gebäude'!B18</f>
        <v>0</v>
      </c>
      <c r="C32" s="1317"/>
      <c r="D32" s="1317"/>
    </row>
    <row r="33" spans="2:4" x14ac:dyDescent="0.35">
      <c r="B33" s="1316">
        <f>'RH Gebäude'!B19</f>
        <v>0</v>
      </c>
      <c r="C33" s="1317"/>
      <c r="D33" s="1317"/>
    </row>
    <row r="34" spans="2:4" ht="15" thickBot="1" x14ac:dyDescent="0.4">
      <c r="B34" s="292" t="s">
        <v>5802</v>
      </c>
      <c r="C34" s="1318">
        <f t="shared" ref="C34:D34" si="0">SUM(C19:C33)</f>
        <v>0</v>
      </c>
      <c r="D34" s="1318">
        <f t="shared" si="0"/>
        <v>0</v>
      </c>
    </row>
    <row r="35" spans="2:4" ht="15" thickBot="1" x14ac:dyDescent="0.4">
      <c r="B35" s="1305" t="s">
        <v>5803</v>
      </c>
      <c r="C35" s="1306" t="e">
        <f>C34/'RH Gebäude'!$F$20</f>
        <v>#DIV/0!</v>
      </c>
      <c r="D35" s="1306" t="e">
        <f>D34/'RH Gebäude'!$F$20</f>
        <v>#DIV/0!</v>
      </c>
    </row>
  </sheetData>
  <mergeCells count="1">
    <mergeCell ref="B4:D4"/>
  </mergeCells>
  <hyperlinks>
    <hyperlink ref="B14" r:id="rId1"/>
    <hyperlink ref="B13" r:id="rId2" display="Hier geht’s zum eco2soft"/>
  </hyperlinks>
  <pageMargins left="0.7" right="0.7" top="0.78740157499999996" bottom="0.78740157499999996"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471D7A"/>
  </sheetPr>
  <dimension ref="A1:BG1826"/>
  <sheetViews>
    <sheetView workbookViewId="0"/>
  </sheetViews>
  <sheetFormatPr baseColWidth="10" defaultColWidth="11" defaultRowHeight="14.5" outlineLevelRow="1" outlineLevelCol="1" x14ac:dyDescent="0.35"/>
  <cols>
    <col min="1" max="1" width="3.5" style="1319" customWidth="1"/>
    <col min="2" max="2" width="36.5" style="1353" customWidth="1"/>
    <col min="3" max="3" width="18.83203125" style="1353" bestFit="1" customWidth="1"/>
    <col min="4" max="4" width="20.33203125" style="602" bestFit="1" customWidth="1"/>
    <col min="5" max="5" width="20.33203125" style="602" customWidth="1"/>
    <col min="6" max="6" width="25.75" style="601" hidden="1" customWidth="1" outlineLevel="1"/>
    <col min="7" max="7" width="12.33203125" style="602" hidden="1" customWidth="1" outlineLevel="1"/>
    <col min="8" max="8" width="10.25" style="602" hidden="1" customWidth="1" outlineLevel="1"/>
    <col min="9" max="9" width="18.5" style="602" hidden="1" customWidth="1" outlineLevel="1"/>
    <col min="10" max="10" width="31.58203125" style="602" hidden="1" customWidth="1" outlineLevel="1"/>
    <col min="11" max="11" width="10.58203125" style="602" customWidth="1" collapsed="1"/>
    <col min="12" max="20" width="10.58203125" style="602" customWidth="1"/>
    <col min="21" max="21" width="11" style="602" customWidth="1"/>
    <col min="22" max="22" width="12.33203125" style="602" bestFit="1" customWidth="1"/>
    <col min="23" max="23" width="11.25" style="602" bestFit="1" customWidth="1"/>
    <col min="24" max="24" width="18.5" style="602" bestFit="1" customWidth="1"/>
    <col min="25" max="59" width="11" style="602"/>
    <col min="60" max="16384" width="11" style="1353"/>
  </cols>
  <sheetData>
    <row r="1" spans="1:9" s="602" customFormat="1" ht="15" customHeight="1" x14ac:dyDescent="0.35">
      <c r="A1" s="1319"/>
      <c r="F1" s="601"/>
    </row>
    <row r="2" spans="1:9" s="1324" customFormat="1" ht="18.5" x14ac:dyDescent="0.35">
      <c r="A2" s="1320"/>
      <c r="B2" s="1321" t="s">
        <v>5804</v>
      </c>
      <c r="C2" s="1321"/>
      <c r="D2" s="1322"/>
      <c r="E2" s="1323"/>
      <c r="F2" s="1323"/>
      <c r="G2" s="1323"/>
    </row>
    <row r="3" spans="1:9" s="602" customFormat="1" ht="15" customHeight="1" x14ac:dyDescent="0.35">
      <c r="A3" s="1319"/>
      <c r="B3" s="315"/>
      <c r="C3" s="315"/>
      <c r="D3" s="1325"/>
      <c r="E3" s="1325"/>
      <c r="F3" s="1325"/>
      <c r="G3" s="1325"/>
    </row>
    <row r="4" spans="1:9" s="602" customFormat="1" ht="45" customHeight="1" x14ac:dyDescent="0.35">
      <c r="A4" s="1319"/>
      <c r="B4" s="1743" t="s">
        <v>5793</v>
      </c>
      <c r="C4" s="1744"/>
      <c r="D4" s="1745"/>
      <c r="E4" s="915"/>
    </row>
    <row r="5" spans="1:9" s="602" customFormat="1" ht="15" customHeight="1" x14ac:dyDescent="0.5">
      <c r="A5" s="1319"/>
      <c r="B5" s="1312"/>
      <c r="C5" s="1312"/>
      <c r="D5" s="550"/>
      <c r="E5" s="550"/>
      <c r="F5" s="550"/>
      <c r="G5" s="550"/>
    </row>
    <row r="6" spans="1:9" s="1324" customFormat="1" ht="18.5" x14ac:dyDescent="0.35">
      <c r="A6" s="1320"/>
      <c r="B6" s="1326" t="s">
        <v>5794</v>
      </c>
      <c r="C6" s="1326"/>
      <c r="D6" s="1327"/>
      <c r="E6" s="1328"/>
      <c r="F6" s="1328"/>
      <c r="G6" s="1328"/>
    </row>
    <row r="7" spans="1:9" s="602" customFormat="1" ht="15" customHeight="1" x14ac:dyDescent="0.35">
      <c r="A7" s="1319"/>
      <c r="F7" s="601"/>
    </row>
    <row r="8" spans="1:9" s="602" customFormat="1" ht="15" customHeight="1" x14ac:dyDescent="0.35">
      <c r="A8" s="1319"/>
      <c r="B8" s="550" t="s">
        <v>5805</v>
      </c>
      <c r="C8" s="550"/>
      <c r="F8" s="601"/>
    </row>
    <row r="9" spans="1:9" s="602" customFormat="1" ht="15" customHeight="1" x14ac:dyDescent="0.35">
      <c r="A9" s="1319"/>
      <c r="B9" s="550" t="s">
        <v>5806</v>
      </c>
      <c r="C9" s="550"/>
      <c r="F9" s="601"/>
    </row>
    <row r="10" spans="1:9" s="602" customFormat="1" ht="15" customHeight="1" x14ac:dyDescent="0.35">
      <c r="A10" s="1319"/>
      <c r="B10" s="550" t="s">
        <v>5807</v>
      </c>
      <c r="C10" s="550"/>
      <c r="F10" s="601"/>
    </row>
    <row r="11" spans="1:9" s="602" customFormat="1" ht="15" customHeight="1" x14ac:dyDescent="0.35">
      <c r="A11" s="1319"/>
      <c r="F11" s="601"/>
    </row>
    <row r="12" spans="1:9" s="1332" customFormat="1" ht="18.5" x14ac:dyDescent="0.45">
      <c r="A12" s="1329"/>
      <c r="B12" s="1326" t="s">
        <v>5808</v>
      </c>
      <c r="C12" s="1326"/>
      <c r="D12" s="1327"/>
      <c r="E12" s="1330"/>
      <c r="F12" s="1330"/>
      <c r="G12" s="1330"/>
      <c r="H12" s="1331"/>
      <c r="I12" s="1331"/>
    </row>
    <row r="13" spans="1:9" s="602" customFormat="1" x14ac:dyDescent="0.35">
      <c r="A13" s="1319"/>
      <c r="F13" s="601"/>
    </row>
    <row r="14" spans="1:9" s="677" customFormat="1" ht="46.5" customHeight="1" outlineLevel="1" x14ac:dyDescent="0.35">
      <c r="A14" s="1333"/>
      <c r="B14" s="511" t="s">
        <v>4735</v>
      </c>
      <c r="C14" s="980" t="s">
        <v>5286</v>
      </c>
      <c r="D14" s="664"/>
      <c r="E14" s="664"/>
    </row>
    <row r="15" spans="1:9" s="677" customFormat="1" outlineLevel="1" x14ac:dyDescent="0.35">
      <c r="A15" s="1333"/>
      <c r="B15" s="990" t="s">
        <v>4702</v>
      </c>
      <c r="C15" s="1493">
        <f>'RH Wärme-Strom'!C38</f>
        <v>0</v>
      </c>
      <c r="D15" s="664"/>
      <c r="E15" s="664"/>
    </row>
    <row r="16" spans="1:9" s="677" customFormat="1" outlineLevel="1" x14ac:dyDescent="0.35">
      <c r="A16" s="1333"/>
      <c r="B16" s="990" t="s">
        <v>4703</v>
      </c>
      <c r="C16" s="1493">
        <f>'RH Wärme-Strom'!C39</f>
        <v>0</v>
      </c>
      <c r="D16" s="664"/>
      <c r="E16" s="664"/>
    </row>
    <row r="17" spans="1:7" s="677" customFormat="1" outlineLevel="1" x14ac:dyDescent="0.35">
      <c r="A17" s="1333"/>
      <c r="B17" s="990" t="s">
        <v>4462</v>
      </c>
      <c r="C17" s="1493">
        <f>'RH Wärme-Strom'!C40</f>
        <v>0</v>
      </c>
      <c r="D17" s="664"/>
      <c r="E17" s="664"/>
    </row>
    <row r="18" spans="1:7" s="677" customFormat="1" outlineLevel="1" x14ac:dyDescent="0.35">
      <c r="A18" s="1333"/>
      <c r="B18" s="990" t="s">
        <v>4704</v>
      </c>
      <c r="C18" s="1493">
        <f>'RH Wärme-Strom'!C41</f>
        <v>0</v>
      </c>
      <c r="D18" s="664"/>
      <c r="E18" s="664"/>
    </row>
    <row r="19" spans="1:7" s="677" customFormat="1" outlineLevel="1" x14ac:dyDescent="0.35">
      <c r="A19" s="1333"/>
      <c r="B19" s="991" t="s">
        <v>4705</v>
      </c>
      <c r="C19" s="1493">
        <f>'RH Wärme-Strom'!C42</f>
        <v>0</v>
      </c>
      <c r="D19" s="664"/>
      <c r="E19" s="664"/>
    </row>
    <row r="20" spans="1:7" s="677" customFormat="1" outlineLevel="1" x14ac:dyDescent="0.35">
      <c r="A20" s="1333"/>
      <c r="B20" s="990" t="s">
        <v>4706</v>
      </c>
      <c r="C20" s="1493">
        <f>'RH Wärme-Strom'!C43</f>
        <v>0</v>
      </c>
      <c r="D20" s="664"/>
      <c r="E20" s="664"/>
    </row>
    <row r="21" spans="1:7" s="677" customFormat="1" outlineLevel="1" x14ac:dyDescent="0.35">
      <c r="A21" s="1333"/>
      <c r="B21" s="991" t="s">
        <v>4705</v>
      </c>
      <c r="C21" s="1493">
        <f>'RH Wärme-Strom'!C44</f>
        <v>0</v>
      </c>
      <c r="D21" s="664"/>
      <c r="E21" s="664"/>
    </row>
    <row r="22" spans="1:7" s="677" customFormat="1" outlineLevel="1" x14ac:dyDescent="0.35">
      <c r="A22" s="1333"/>
      <c r="B22" s="990" t="s">
        <v>4707</v>
      </c>
      <c r="C22" s="1493">
        <f>'RH Wärme-Strom'!C45</f>
        <v>0</v>
      </c>
      <c r="D22" s="664"/>
      <c r="E22" s="664"/>
    </row>
    <row r="23" spans="1:7" s="677" customFormat="1" outlineLevel="1" x14ac:dyDescent="0.35">
      <c r="A23" s="1333"/>
      <c r="B23" s="991" t="s">
        <v>4705</v>
      </c>
      <c r="C23" s="1493">
        <f>'RH Wärme-Strom'!C46</f>
        <v>0</v>
      </c>
      <c r="D23" s="664"/>
      <c r="E23" s="664"/>
      <c r="F23" s="664"/>
    </row>
    <row r="24" spans="1:7" s="677" customFormat="1" outlineLevel="1" x14ac:dyDescent="0.35">
      <c r="A24" s="1333"/>
      <c r="B24" s="990" t="s">
        <v>4709</v>
      </c>
      <c r="C24" s="1493">
        <f>'RH Wärme-Strom'!C47</f>
        <v>0</v>
      </c>
      <c r="D24" s="664"/>
      <c r="E24" s="664"/>
      <c r="F24" s="664"/>
    </row>
    <row r="25" spans="1:7" s="677" customFormat="1" outlineLevel="1" x14ac:dyDescent="0.35">
      <c r="A25" s="1333"/>
      <c r="B25" s="990" t="s">
        <v>4710</v>
      </c>
      <c r="C25" s="1493">
        <f>'RH Wärme-Strom'!C48</f>
        <v>0</v>
      </c>
      <c r="D25" s="664"/>
      <c r="E25" s="664"/>
      <c r="F25" s="664"/>
    </row>
    <row r="26" spans="1:7" s="677" customFormat="1" outlineLevel="1" x14ac:dyDescent="0.35">
      <c r="A26" s="1333"/>
      <c r="B26" s="990" t="s">
        <v>4712</v>
      </c>
      <c r="C26" s="1493">
        <f>'RH Wärme-Strom'!C49</f>
        <v>0</v>
      </c>
      <c r="D26" s="664"/>
      <c r="E26" s="664"/>
      <c r="F26" s="664"/>
    </row>
    <row r="27" spans="1:7" s="677" customFormat="1" outlineLevel="1" x14ac:dyDescent="0.35">
      <c r="A27" s="1333"/>
      <c r="B27" s="990" t="s">
        <v>5082</v>
      </c>
      <c r="C27" s="1493">
        <f>'RH Wärme-Strom'!C50</f>
        <v>0</v>
      </c>
    </row>
    <row r="28" spans="1:7" s="677" customFormat="1" outlineLevel="1" x14ac:dyDescent="0.35">
      <c r="A28" s="1333"/>
      <c r="B28" s="989" t="s">
        <v>2085</v>
      </c>
      <c r="C28" s="1334">
        <f>SUM(C15:C27)</f>
        <v>0</v>
      </c>
    </row>
    <row r="29" spans="1:7" s="677" customFormat="1" outlineLevel="1" x14ac:dyDescent="0.35">
      <c r="A29" s="1333"/>
      <c r="B29" s="1335" t="s">
        <v>5809</v>
      </c>
      <c r="C29" s="1494">
        <f>'RH Wärme-Strom'!C22</f>
        <v>0</v>
      </c>
      <c r="D29" s="687"/>
      <c r="E29" s="687"/>
      <c r="F29" s="687"/>
      <c r="G29" s="687"/>
    </row>
    <row r="30" spans="1:7" s="677" customFormat="1" outlineLevel="1" x14ac:dyDescent="0.35">
      <c r="A30" s="1333"/>
      <c r="B30" s="1335" t="s">
        <v>5810</v>
      </c>
      <c r="C30" s="1494">
        <f>'RH Wärme-Strom'!D22</f>
        <v>0</v>
      </c>
      <c r="D30" s="687"/>
      <c r="E30" s="687"/>
      <c r="F30" s="687"/>
      <c r="G30" s="687"/>
    </row>
    <row r="31" spans="1:7" s="677" customFormat="1" outlineLevel="1" x14ac:dyDescent="0.35">
      <c r="A31" s="1333"/>
      <c r="B31" s="1335" t="s">
        <v>5811</v>
      </c>
      <c r="C31" s="1494">
        <f>'RH Wärme-Strom'!E22</f>
        <v>0</v>
      </c>
      <c r="D31" s="687"/>
      <c r="E31" s="687"/>
      <c r="F31" s="687"/>
      <c r="G31" s="687"/>
    </row>
    <row r="32" spans="1:7" s="677" customFormat="1" outlineLevel="1" x14ac:dyDescent="0.35">
      <c r="A32" s="1333"/>
      <c r="B32" s="713"/>
      <c r="C32" s="687"/>
      <c r="D32" s="687"/>
      <c r="E32" s="687"/>
      <c r="F32" s="687"/>
      <c r="G32" s="687"/>
    </row>
    <row r="33" spans="1:8" s="677" customFormat="1" outlineLevel="1" x14ac:dyDescent="0.35">
      <c r="A33" s="1333"/>
      <c r="B33" s="645" t="s">
        <v>5812</v>
      </c>
      <c r="C33" s="1336" t="s">
        <v>5813</v>
      </c>
      <c r="D33" s="1337" t="s">
        <v>5814</v>
      </c>
      <c r="E33" s="687"/>
      <c r="F33" s="1338" t="s">
        <v>5815</v>
      </c>
      <c r="G33" s="1339" t="s">
        <v>5816</v>
      </c>
      <c r="H33" s="1340" t="s">
        <v>5817</v>
      </c>
    </row>
    <row r="34" spans="1:8" s="677" customFormat="1" outlineLevel="1" x14ac:dyDescent="0.35">
      <c r="A34" s="1333"/>
      <c r="B34" s="645" t="s">
        <v>5818</v>
      </c>
      <c r="C34" s="1336" t="s">
        <v>5819</v>
      </c>
      <c r="D34" s="687"/>
      <c r="E34" s="687"/>
      <c r="F34" s="1341" t="s">
        <v>5819</v>
      </c>
      <c r="G34" s="1342">
        <f>C29</f>
        <v>0</v>
      </c>
      <c r="H34" s="1342">
        <f>C30+C31</f>
        <v>0</v>
      </c>
    </row>
    <row r="35" spans="1:8" s="677" customFormat="1" outlineLevel="1" x14ac:dyDescent="0.35">
      <c r="A35" s="1333"/>
      <c r="B35" s="1343" t="s">
        <v>5820</v>
      </c>
      <c r="C35" s="581">
        <f>VLOOKUP(C34,$F$34:$H$36,2,0)</f>
        <v>0</v>
      </c>
      <c r="D35" s="687"/>
      <c r="E35" s="687"/>
      <c r="F35" s="1341" t="s">
        <v>5821</v>
      </c>
      <c r="G35" s="1342">
        <f>C29</f>
        <v>0</v>
      </c>
      <c r="H35" s="1342">
        <f>C30+C31</f>
        <v>0</v>
      </c>
    </row>
    <row r="36" spans="1:8" s="677" customFormat="1" outlineLevel="1" x14ac:dyDescent="0.35">
      <c r="A36" s="1333"/>
      <c r="B36" s="1343" t="s">
        <v>5822</v>
      </c>
      <c r="C36" s="581">
        <f>VLOOKUP(C34,$F$34:$H$36,3,0)</f>
        <v>0</v>
      </c>
      <c r="D36" s="687"/>
      <c r="E36" s="687"/>
      <c r="F36" s="1341" t="s">
        <v>5823</v>
      </c>
      <c r="G36" s="1342">
        <f>C29+C31</f>
        <v>0</v>
      </c>
      <c r="H36" s="1342">
        <f>C30</f>
        <v>0</v>
      </c>
    </row>
    <row r="37" spans="1:8" s="677" customFormat="1" outlineLevel="1" x14ac:dyDescent="0.35">
      <c r="A37" s="1333"/>
      <c r="B37" s="364"/>
      <c r="C37" s="687"/>
      <c r="D37" s="687"/>
      <c r="E37" s="687"/>
      <c r="G37" s="687"/>
    </row>
    <row r="38" spans="1:8" s="677" customFormat="1" ht="29" outlineLevel="1" x14ac:dyDescent="0.35">
      <c r="A38" s="1333"/>
      <c r="B38" s="511" t="s">
        <v>4735</v>
      </c>
      <c r="C38" s="980" t="s">
        <v>5317</v>
      </c>
      <c r="D38" s="687"/>
      <c r="E38" s="687"/>
      <c r="G38" s="687"/>
    </row>
    <row r="39" spans="1:8" s="677" customFormat="1" outlineLevel="1" x14ac:dyDescent="0.35">
      <c r="A39" s="1333"/>
      <c r="B39" s="990" t="s">
        <v>5097</v>
      </c>
      <c r="C39" s="1493">
        <f>'RH Wärme-Strom'!C87</f>
        <v>0</v>
      </c>
      <c r="D39" s="687"/>
      <c r="E39" s="687"/>
      <c r="F39" s="687"/>
      <c r="G39" s="687"/>
    </row>
    <row r="40" spans="1:8" s="677" customFormat="1" outlineLevel="1" x14ac:dyDescent="0.35">
      <c r="A40" s="1333"/>
      <c r="B40" s="990" t="s">
        <v>5098</v>
      </c>
      <c r="C40" s="1493">
        <f>'RH Wärme-Strom'!C88</f>
        <v>0</v>
      </c>
      <c r="D40" s="687"/>
      <c r="E40" s="687"/>
      <c r="F40" s="687"/>
      <c r="G40" s="687"/>
    </row>
    <row r="41" spans="1:8" s="677" customFormat="1" outlineLevel="1" x14ac:dyDescent="0.35">
      <c r="A41" s="1333"/>
      <c r="B41" s="991" t="s">
        <v>5240</v>
      </c>
      <c r="C41" s="1493">
        <f>'RH Wärme-Strom'!C89</f>
        <v>0</v>
      </c>
      <c r="D41" s="687"/>
      <c r="E41" s="687"/>
      <c r="F41" s="687"/>
      <c r="G41" s="687"/>
    </row>
    <row r="42" spans="1:8" s="677" customFormat="1" outlineLevel="1" x14ac:dyDescent="0.35">
      <c r="A42" s="1333"/>
      <c r="B42" s="990" t="s">
        <v>5096</v>
      </c>
      <c r="C42" s="1493">
        <f>'RH Wärme-Strom'!C90</f>
        <v>0</v>
      </c>
      <c r="D42" s="687"/>
      <c r="E42" s="687"/>
      <c r="F42" s="687"/>
      <c r="G42" s="687"/>
    </row>
    <row r="43" spans="1:8" s="677" customFormat="1" outlineLevel="1" x14ac:dyDescent="0.35">
      <c r="A43" s="1333"/>
      <c r="B43" s="991" t="s">
        <v>5241</v>
      </c>
      <c r="C43" s="1493">
        <f>'RH Wärme-Strom'!C91</f>
        <v>0</v>
      </c>
      <c r="D43" s="687"/>
      <c r="E43" s="687"/>
      <c r="F43" s="687"/>
      <c r="G43" s="687"/>
    </row>
    <row r="44" spans="1:8" s="677" customFormat="1" outlineLevel="1" x14ac:dyDescent="0.35">
      <c r="A44" s="1333"/>
      <c r="B44" s="989" t="s">
        <v>2085</v>
      </c>
      <c r="C44" s="995">
        <f>SUM(C39:C43)</f>
        <v>0</v>
      </c>
      <c r="D44" s="687"/>
      <c r="E44" s="687"/>
      <c r="F44" s="687"/>
      <c r="G44" s="687"/>
    </row>
    <row r="45" spans="1:8" s="677" customFormat="1" outlineLevel="1" x14ac:dyDescent="0.35">
      <c r="A45" s="1333"/>
      <c r="B45" s="364"/>
      <c r="C45" s="687"/>
      <c r="D45" s="687"/>
      <c r="E45" s="687"/>
      <c r="F45" s="687"/>
      <c r="G45" s="687"/>
    </row>
    <row r="46" spans="1:8" s="677" customFormat="1" ht="29" outlineLevel="1" x14ac:dyDescent="0.35">
      <c r="A46" s="1333"/>
      <c r="B46" s="511" t="s">
        <v>4735</v>
      </c>
      <c r="C46" s="980" t="s">
        <v>5285</v>
      </c>
      <c r="D46" s="687"/>
      <c r="E46" s="687"/>
      <c r="F46" s="687"/>
      <c r="G46" s="687"/>
    </row>
    <row r="47" spans="1:8" s="677" customFormat="1" outlineLevel="1" x14ac:dyDescent="0.35">
      <c r="A47" s="1333"/>
      <c r="B47" s="990" t="s">
        <v>4947</v>
      </c>
      <c r="C47" s="1493">
        <f>'RH Wärme-Strom'!C139</f>
        <v>0</v>
      </c>
      <c r="D47" s="687"/>
      <c r="E47" s="687"/>
      <c r="F47" s="687"/>
      <c r="G47" s="687"/>
    </row>
    <row r="48" spans="1:8" s="677" customFormat="1" outlineLevel="1" x14ac:dyDescent="0.35">
      <c r="A48" s="1333"/>
      <c r="B48" s="990" t="s">
        <v>4948</v>
      </c>
      <c r="C48" s="1493">
        <f>'RH Wärme-Strom'!C140</f>
        <v>0</v>
      </c>
      <c r="D48" s="687"/>
      <c r="E48" s="687"/>
      <c r="F48" s="687"/>
      <c r="G48" s="687"/>
    </row>
    <row r="49" spans="1:7" s="677" customFormat="1" outlineLevel="1" x14ac:dyDescent="0.35">
      <c r="A49" s="1333"/>
      <c r="B49" s="990" t="s">
        <v>4949</v>
      </c>
      <c r="C49" s="1493">
        <f>'RH Wärme-Strom'!C141</f>
        <v>0</v>
      </c>
      <c r="D49" s="687"/>
      <c r="E49" s="687"/>
      <c r="F49" s="687"/>
      <c r="G49" s="687"/>
    </row>
    <row r="50" spans="1:7" s="677" customFormat="1" outlineLevel="1" x14ac:dyDescent="0.35">
      <c r="A50" s="1333"/>
      <c r="B50" s="990" t="s">
        <v>4950</v>
      </c>
      <c r="C50" s="1493">
        <f>'RH Wärme-Strom'!C142</f>
        <v>0</v>
      </c>
      <c r="D50" s="687"/>
      <c r="E50" s="687"/>
      <c r="F50" s="687"/>
      <c r="G50" s="687"/>
    </row>
    <row r="51" spans="1:7" s="677" customFormat="1" outlineLevel="1" x14ac:dyDescent="0.35">
      <c r="A51" s="1333"/>
      <c r="B51" s="990" t="s">
        <v>5105</v>
      </c>
      <c r="C51" s="1493">
        <f>'RH Wärme-Strom'!C143</f>
        <v>0</v>
      </c>
      <c r="D51" s="687"/>
      <c r="E51" s="687"/>
      <c r="F51" s="687"/>
      <c r="G51" s="687"/>
    </row>
    <row r="52" spans="1:7" s="677" customFormat="1" outlineLevel="1" x14ac:dyDescent="0.35">
      <c r="A52" s="1333"/>
      <c r="B52" s="990" t="s">
        <v>5106</v>
      </c>
      <c r="C52" s="1493">
        <f>'RH Wärme-Strom'!C144</f>
        <v>0</v>
      </c>
      <c r="D52" s="687"/>
      <c r="E52" s="687"/>
      <c r="F52" s="687"/>
      <c r="G52" s="687"/>
    </row>
    <row r="53" spans="1:7" s="677" customFormat="1" outlineLevel="1" x14ac:dyDescent="0.35">
      <c r="A53" s="1333"/>
      <c r="B53" s="990" t="s">
        <v>5107</v>
      </c>
      <c r="C53" s="1493">
        <f>'RH Wärme-Strom'!C145</f>
        <v>0</v>
      </c>
      <c r="D53" s="687"/>
      <c r="E53" s="687"/>
      <c r="F53" s="687"/>
      <c r="G53" s="687"/>
    </row>
    <row r="54" spans="1:7" s="677" customFormat="1" outlineLevel="1" x14ac:dyDescent="0.35">
      <c r="A54" s="1333"/>
      <c r="B54" s="989" t="s">
        <v>2085</v>
      </c>
      <c r="C54" s="1334">
        <f>SUM(C47:C53)</f>
        <v>0</v>
      </c>
      <c r="D54" s="687"/>
      <c r="E54" s="687"/>
      <c r="F54" s="687"/>
      <c r="G54" s="687"/>
    </row>
    <row r="55" spans="1:7" s="677" customFormat="1" outlineLevel="1" x14ac:dyDescent="0.35">
      <c r="A55" s="1333"/>
      <c r="B55" s="1335" t="s">
        <v>5824</v>
      </c>
      <c r="C55" s="1494">
        <f>'RH Wärme-Strom'!C124</f>
        <v>0</v>
      </c>
      <c r="D55" s="687"/>
      <c r="E55" s="687"/>
      <c r="F55" s="687"/>
      <c r="G55" s="687"/>
    </row>
    <row r="56" spans="1:7" s="677" customFormat="1" outlineLevel="1" x14ac:dyDescent="0.35">
      <c r="A56" s="1333"/>
      <c r="B56" s="1335" t="s">
        <v>5825</v>
      </c>
      <c r="C56" s="1494">
        <f>'RH Wärme-Strom'!D124</f>
        <v>0</v>
      </c>
      <c r="D56" s="687"/>
      <c r="E56" s="687"/>
      <c r="F56" s="687"/>
      <c r="G56" s="687"/>
    </row>
    <row r="57" spans="1:7" s="677" customFormat="1" outlineLevel="1" x14ac:dyDescent="0.35">
      <c r="A57" s="1333"/>
      <c r="B57" s="1335" t="s">
        <v>5826</v>
      </c>
      <c r="C57" s="1494">
        <f>'RH Wärme-Strom'!E124</f>
        <v>0</v>
      </c>
      <c r="D57" s="687"/>
      <c r="E57" s="687"/>
    </row>
    <row r="58" spans="1:7" s="677" customFormat="1" outlineLevel="1" x14ac:dyDescent="0.35">
      <c r="A58" s="1333"/>
      <c r="B58" s="713"/>
      <c r="C58" s="687"/>
      <c r="D58" s="687"/>
      <c r="E58" s="687"/>
      <c r="F58" s="1344"/>
      <c r="G58" s="1345"/>
    </row>
    <row r="59" spans="1:7" s="677" customFormat="1" ht="203" outlineLevel="1" x14ac:dyDescent="0.35">
      <c r="A59" s="1333"/>
      <c r="B59" s="645" t="s">
        <v>5827</v>
      </c>
      <c r="C59" s="685">
        <v>0</v>
      </c>
      <c r="D59" s="1346" t="s">
        <v>5828</v>
      </c>
      <c r="E59" s="687"/>
      <c r="F59" s="1344"/>
      <c r="G59" s="1345"/>
    </row>
    <row r="60" spans="1:7" s="677" customFormat="1" outlineLevel="1" x14ac:dyDescent="0.35">
      <c r="A60" s="1333"/>
      <c r="B60" s="645" t="s">
        <v>4620</v>
      </c>
      <c r="C60" s="1232">
        <f>IFERROR(C59/(C19+C21+C23+C26+C41+C43+C51+C52+C53),0)</f>
        <v>0</v>
      </c>
      <c r="D60" s="687"/>
      <c r="E60" s="687"/>
      <c r="F60" s="1338" t="s">
        <v>5829</v>
      </c>
      <c r="G60" s="1339" t="s">
        <v>4372</v>
      </c>
    </row>
    <row r="61" spans="1:7" s="677" customFormat="1" outlineLevel="1" x14ac:dyDescent="0.35">
      <c r="A61" s="1333"/>
      <c r="B61" s="364"/>
      <c r="C61" s="687"/>
      <c r="D61" s="687"/>
      <c r="E61" s="687"/>
      <c r="F61" s="1341" t="s">
        <v>5830</v>
      </c>
      <c r="G61" s="1342">
        <v>1</v>
      </c>
    </row>
    <row r="62" spans="1:7" s="677" customFormat="1" outlineLevel="1" x14ac:dyDescent="0.35">
      <c r="A62" s="1333"/>
      <c r="B62" s="646" t="s">
        <v>5831</v>
      </c>
      <c r="C62" s="686" t="s">
        <v>5830</v>
      </c>
      <c r="D62" s="1347" t="s">
        <v>5832</v>
      </c>
      <c r="E62" s="687"/>
      <c r="F62" s="1341" t="s">
        <v>5833</v>
      </c>
      <c r="G62" s="1342">
        <v>0.75</v>
      </c>
    </row>
    <row r="63" spans="1:7" s="677" customFormat="1" outlineLevel="1" x14ac:dyDescent="0.35">
      <c r="A63" s="1333"/>
      <c r="B63" s="1343" t="s">
        <v>5834</v>
      </c>
      <c r="C63" s="581">
        <f>VLOOKUP(C62,$F$61:$G$63,2,0)</f>
        <v>1</v>
      </c>
      <c r="F63" s="1341" t="s">
        <v>5835</v>
      </c>
      <c r="G63" s="1342">
        <v>0.5</v>
      </c>
    </row>
    <row r="64" spans="1:7" s="677" customFormat="1" outlineLevel="1" x14ac:dyDescent="0.35">
      <c r="A64" s="1333"/>
      <c r="B64" s="1343"/>
      <c r="C64" s="354"/>
      <c r="F64" s="664"/>
    </row>
    <row r="65" spans="1:59" s="677" customFormat="1" ht="18.5" x14ac:dyDescent="0.35">
      <c r="A65" s="1333"/>
      <c r="B65" s="1326" t="s">
        <v>4362</v>
      </c>
      <c r="C65" s="1326"/>
      <c r="D65" s="1327"/>
      <c r="F65" s="664"/>
    </row>
    <row r="66" spans="1:59" s="602" customFormat="1" ht="15" customHeight="1" x14ac:dyDescent="0.55000000000000004">
      <c r="A66" s="1319"/>
      <c r="B66" s="1348"/>
      <c r="C66" s="1348"/>
      <c r="F66" s="1349"/>
      <c r="H66" s="1349"/>
      <c r="J66" s="1349"/>
      <c r="L66" s="1349"/>
      <c r="N66" s="1349"/>
      <c r="P66" s="1349"/>
      <c r="R66" s="1349"/>
      <c r="T66" s="1349"/>
    </row>
    <row r="67" spans="1:59" s="1121" customFormat="1" ht="43.5" x14ac:dyDescent="0.35">
      <c r="A67" s="1350"/>
      <c r="B67" s="409" t="s">
        <v>5836</v>
      </c>
      <c r="C67" s="409" t="s">
        <v>5837</v>
      </c>
      <c r="D67" s="410" t="s">
        <v>4621</v>
      </c>
      <c r="E67" s="175"/>
      <c r="G67" s="1351" t="s">
        <v>5838</v>
      </c>
      <c r="H67" s="1351" t="s">
        <v>5839</v>
      </c>
      <c r="I67" s="1351" t="s">
        <v>5840</v>
      </c>
    </row>
    <row r="68" spans="1:59" x14ac:dyDescent="0.35">
      <c r="B68" s="702" t="s">
        <v>5841</v>
      </c>
      <c r="C68" s="292" t="s">
        <v>5842</v>
      </c>
      <c r="D68" s="313">
        <f>'RH Gebäude'!$F$20</f>
        <v>0</v>
      </c>
      <c r="E68" s="316"/>
      <c r="F68" s="602"/>
      <c r="G68" s="1352"/>
      <c r="H68" s="1352"/>
      <c r="I68" s="1352"/>
      <c r="AR68" s="1353"/>
      <c r="AS68" s="1353"/>
      <c r="AT68" s="1353"/>
      <c r="AU68" s="1353"/>
      <c r="AV68" s="1353"/>
      <c r="AW68" s="1353"/>
      <c r="AX68" s="1353"/>
      <c r="AY68" s="1353"/>
      <c r="AZ68" s="1353"/>
      <c r="BA68" s="1353"/>
      <c r="BB68" s="1353"/>
      <c r="BC68" s="1353"/>
      <c r="BD68" s="1353"/>
      <c r="BE68" s="1353"/>
      <c r="BF68" s="1353"/>
      <c r="BG68" s="1353"/>
    </row>
    <row r="69" spans="1:59" x14ac:dyDescent="0.35">
      <c r="B69" s="1354" t="s">
        <v>5843</v>
      </c>
      <c r="C69" s="582" t="s">
        <v>5844</v>
      </c>
      <c r="D69" s="1158">
        <f>C54*C55*0.05*$C$63</f>
        <v>0</v>
      </c>
      <c r="E69" s="1355"/>
      <c r="F69" s="602"/>
      <c r="G69" s="1352"/>
      <c r="H69" s="1352"/>
      <c r="I69" s="1352"/>
      <c r="AR69" s="1353"/>
      <c r="AS69" s="1353"/>
      <c r="AT69" s="1353"/>
      <c r="AU69" s="1353"/>
      <c r="AV69" s="1353"/>
      <c r="AW69" s="1353"/>
      <c r="AX69" s="1353"/>
      <c r="AY69" s="1353"/>
      <c r="AZ69" s="1353"/>
      <c r="BA69" s="1353"/>
      <c r="BB69" s="1353"/>
      <c r="BC69" s="1353"/>
      <c r="BD69" s="1353"/>
      <c r="BE69" s="1353"/>
      <c r="BF69" s="1353"/>
      <c r="BG69" s="1353"/>
    </row>
    <row r="70" spans="1:59" x14ac:dyDescent="0.35">
      <c r="B70" s="1354" t="s">
        <v>5845</v>
      </c>
      <c r="C70" s="582" t="s">
        <v>5844</v>
      </c>
      <c r="D70" s="1158">
        <f>C54*C57*$C$63</f>
        <v>0</v>
      </c>
      <c r="E70" s="1355"/>
      <c r="F70" s="602"/>
      <c r="G70" s="1352"/>
      <c r="H70" s="1352"/>
      <c r="I70" s="1352"/>
      <c r="AR70" s="1353"/>
      <c r="AS70" s="1353"/>
      <c r="AT70" s="1353"/>
      <c r="AU70" s="1353"/>
      <c r="AV70" s="1353"/>
      <c r="AW70" s="1353"/>
      <c r="AX70" s="1353"/>
      <c r="AY70" s="1353"/>
      <c r="AZ70" s="1353"/>
      <c r="BA70" s="1353"/>
      <c r="BB70" s="1353"/>
      <c r="BC70" s="1353"/>
      <c r="BD70" s="1353"/>
      <c r="BE70" s="1353"/>
      <c r="BF70" s="1353"/>
      <c r="BG70" s="1353"/>
    </row>
    <row r="71" spans="1:59" x14ac:dyDescent="0.35">
      <c r="B71" s="702" t="s">
        <v>5846</v>
      </c>
      <c r="C71" s="292" t="s">
        <v>5847</v>
      </c>
      <c r="D71" s="1356">
        <f>IFERROR(((D69+D70)/D$68),0)</f>
        <v>0</v>
      </c>
      <c r="E71" s="1357"/>
      <c r="F71" s="602"/>
      <c r="G71" s="1352">
        <v>1.5</v>
      </c>
      <c r="H71" s="1352">
        <v>12</v>
      </c>
      <c r="I71" s="1352">
        <v>8</v>
      </c>
      <c r="AR71" s="1353"/>
      <c r="AS71" s="1353"/>
      <c r="AT71" s="1353"/>
      <c r="AU71" s="1353"/>
      <c r="AV71" s="1353"/>
      <c r="AW71" s="1353"/>
      <c r="AX71" s="1353"/>
      <c r="AY71" s="1353"/>
      <c r="AZ71" s="1353"/>
      <c r="BA71" s="1353"/>
      <c r="BB71" s="1353"/>
      <c r="BC71" s="1353"/>
      <c r="BD71" s="1353"/>
      <c r="BE71" s="1353"/>
      <c r="BF71" s="1353"/>
      <c r="BG71" s="1353"/>
    </row>
    <row r="72" spans="1:59" x14ac:dyDescent="0.35">
      <c r="B72" s="1354" t="s">
        <v>5848</v>
      </c>
      <c r="C72" s="582" t="s">
        <v>5847</v>
      </c>
      <c r="D72" s="1358" t="e">
        <f>C54/D68*$C$63</f>
        <v>#DIV/0!</v>
      </c>
      <c r="E72" s="1355"/>
      <c r="F72" s="602"/>
      <c r="G72" s="1352"/>
      <c r="H72" s="1352"/>
      <c r="I72" s="1352"/>
      <c r="AR72" s="1353"/>
      <c r="AS72" s="1353"/>
      <c r="AT72" s="1353"/>
      <c r="AU72" s="1353"/>
      <c r="AV72" s="1353"/>
      <c r="AW72" s="1353"/>
      <c r="AX72" s="1353"/>
      <c r="AY72" s="1353"/>
      <c r="AZ72" s="1353"/>
      <c r="BA72" s="1353"/>
      <c r="BB72" s="1353"/>
      <c r="BC72" s="1353"/>
      <c r="BD72" s="1353"/>
      <c r="BE72" s="1353"/>
      <c r="BF72" s="1353"/>
      <c r="BG72" s="1353"/>
    </row>
    <row r="73" spans="1:59" x14ac:dyDescent="0.35">
      <c r="B73" s="702" t="s">
        <v>5849</v>
      </c>
      <c r="C73" s="292" t="s">
        <v>5847</v>
      </c>
      <c r="D73" s="1356" t="e">
        <f>D72-D71</f>
        <v>#DIV/0!</v>
      </c>
      <c r="E73" s="1357"/>
      <c r="F73" s="602"/>
      <c r="G73" s="1352">
        <v>12</v>
      </c>
      <c r="H73" s="1352">
        <v>10</v>
      </c>
      <c r="I73" s="1352">
        <v>12</v>
      </c>
      <c r="AR73" s="1353"/>
      <c r="AS73" s="1353"/>
      <c r="AT73" s="1353"/>
      <c r="AU73" s="1353"/>
      <c r="AV73" s="1353"/>
      <c r="AW73" s="1353"/>
      <c r="AX73" s="1353"/>
      <c r="AY73" s="1353"/>
      <c r="AZ73" s="1353"/>
      <c r="BA73" s="1353"/>
      <c r="BB73" s="1353"/>
      <c r="BC73" s="1353"/>
      <c r="BD73" s="1353"/>
      <c r="BE73" s="1353"/>
      <c r="BF73" s="1353"/>
      <c r="BG73" s="1353"/>
    </row>
    <row r="74" spans="1:59" x14ac:dyDescent="0.35">
      <c r="B74" s="1354" t="s">
        <v>5850</v>
      </c>
      <c r="C74" s="582" t="s">
        <v>5847</v>
      </c>
      <c r="D74" s="1358" t="e">
        <f>D80/$D$68+1</f>
        <v>#DIV/0!</v>
      </c>
      <c r="E74" s="1359"/>
      <c r="F74" s="602"/>
      <c r="G74" s="1352"/>
      <c r="H74" s="1352"/>
      <c r="I74" s="1352"/>
      <c r="AR74" s="1353"/>
      <c r="AS74" s="1353"/>
      <c r="AT74" s="1353"/>
      <c r="AU74" s="1353"/>
      <c r="AV74" s="1353"/>
      <c r="AW74" s="1353"/>
      <c r="AX74" s="1353"/>
      <c r="AY74" s="1353"/>
      <c r="AZ74" s="1353"/>
      <c r="BA74" s="1353"/>
      <c r="BB74" s="1353"/>
      <c r="BC74" s="1353"/>
      <c r="BD74" s="1353"/>
      <c r="BE74" s="1353"/>
      <c r="BF74" s="1353"/>
      <c r="BG74" s="1353"/>
    </row>
    <row r="75" spans="1:59" x14ac:dyDescent="0.35">
      <c r="B75" s="1354" t="s">
        <v>5851</v>
      </c>
      <c r="C75" s="582" t="s">
        <v>5847</v>
      </c>
      <c r="D75" s="1358" t="e">
        <f>D82/$D$68+0.7</f>
        <v>#DIV/0!</v>
      </c>
      <c r="E75" s="1359"/>
      <c r="F75" s="602"/>
      <c r="G75" s="1352"/>
      <c r="H75" s="1352"/>
      <c r="I75" s="1352"/>
      <c r="AR75" s="1353"/>
      <c r="AS75" s="1353"/>
      <c r="AT75" s="1353"/>
      <c r="AU75" s="1353"/>
      <c r="AV75" s="1353"/>
      <c r="AW75" s="1353"/>
      <c r="AX75" s="1353"/>
      <c r="AY75" s="1353"/>
      <c r="AZ75" s="1353"/>
      <c r="BA75" s="1353"/>
      <c r="BB75" s="1353"/>
      <c r="BC75" s="1353"/>
      <c r="BD75" s="1353"/>
      <c r="BE75" s="1353"/>
      <c r="BF75" s="1353"/>
      <c r="BG75" s="1353"/>
    </row>
    <row r="76" spans="1:59" x14ac:dyDescent="0.35">
      <c r="B76" s="1354" t="s">
        <v>5852</v>
      </c>
      <c r="C76" s="582" t="s">
        <v>5847</v>
      </c>
      <c r="D76" s="1358"/>
      <c r="E76" s="1355"/>
      <c r="F76" s="602"/>
      <c r="G76" s="1352"/>
      <c r="H76" s="1352"/>
      <c r="I76" s="1352"/>
      <c r="AR76" s="1353"/>
      <c r="AS76" s="1353"/>
      <c r="AT76" s="1353"/>
      <c r="AU76" s="1353"/>
      <c r="AV76" s="1353"/>
      <c r="AW76" s="1353"/>
      <c r="AX76" s="1353"/>
      <c r="AY76" s="1353"/>
      <c r="AZ76" s="1353"/>
      <c r="BA76" s="1353"/>
      <c r="BB76" s="1353"/>
      <c r="BC76" s="1353"/>
      <c r="BD76" s="1353"/>
      <c r="BE76" s="1353"/>
      <c r="BF76" s="1353"/>
      <c r="BG76" s="1353"/>
    </row>
    <row r="77" spans="1:59" x14ac:dyDescent="0.35">
      <c r="B77" s="1354" t="s">
        <v>5853</v>
      </c>
      <c r="C77" s="582" t="s">
        <v>5847</v>
      </c>
      <c r="D77" s="1360">
        <v>0.5</v>
      </c>
      <c r="E77" s="1355"/>
      <c r="F77" s="1361"/>
      <c r="G77" s="1352"/>
      <c r="H77" s="1352"/>
      <c r="I77" s="1352"/>
      <c r="AR77" s="1353"/>
      <c r="AS77" s="1353"/>
      <c r="AT77" s="1353"/>
      <c r="AU77" s="1353"/>
      <c r="AV77" s="1353"/>
      <c r="AW77" s="1353"/>
      <c r="AX77" s="1353"/>
      <c r="AY77" s="1353"/>
      <c r="AZ77" s="1353"/>
      <c r="BA77" s="1353"/>
      <c r="BB77" s="1353"/>
      <c r="BC77" s="1353"/>
      <c r="BD77" s="1353"/>
      <c r="BE77" s="1353"/>
      <c r="BF77" s="1353"/>
      <c r="BG77" s="1353"/>
    </row>
    <row r="78" spans="1:59" x14ac:dyDescent="0.35">
      <c r="B78" s="1354" t="s">
        <v>5854</v>
      </c>
      <c r="C78" s="582" t="s">
        <v>5847</v>
      </c>
      <c r="D78" s="1358"/>
      <c r="E78" s="1355"/>
      <c r="F78" s="1361"/>
      <c r="G78" s="1352"/>
      <c r="H78" s="1352"/>
      <c r="I78" s="1352"/>
      <c r="AR78" s="1353"/>
      <c r="AS78" s="1353"/>
      <c r="AT78" s="1353"/>
      <c r="AU78" s="1353"/>
      <c r="AV78" s="1353"/>
      <c r="AW78" s="1353"/>
      <c r="AX78" s="1353"/>
      <c r="AY78" s="1353"/>
      <c r="AZ78" s="1353"/>
      <c r="BA78" s="1353"/>
      <c r="BB78" s="1353"/>
      <c r="BC78" s="1353"/>
      <c r="BD78" s="1353"/>
      <c r="BE78" s="1353"/>
      <c r="BF78" s="1353"/>
      <c r="BG78" s="1353"/>
    </row>
    <row r="79" spans="1:59" x14ac:dyDescent="0.35">
      <c r="B79" s="702" t="s">
        <v>5855</v>
      </c>
      <c r="C79" s="292" t="s">
        <v>5847</v>
      </c>
      <c r="D79" s="1356" t="e">
        <f>SUM(D74:D78)-D84</f>
        <v>#DIV/0!</v>
      </c>
      <c r="E79" s="1357"/>
      <c r="F79" s="1361"/>
      <c r="G79" s="1352">
        <v>2</v>
      </c>
      <c r="H79" s="1352">
        <v>2</v>
      </c>
      <c r="I79" s="1352">
        <v>2</v>
      </c>
      <c r="AR79" s="1353"/>
      <c r="AS79" s="1353"/>
      <c r="AT79" s="1353"/>
      <c r="AU79" s="1353"/>
      <c r="AV79" s="1353"/>
      <c r="AW79" s="1353"/>
      <c r="AX79" s="1353"/>
      <c r="AY79" s="1353"/>
      <c r="AZ79" s="1353"/>
      <c r="BA79" s="1353"/>
      <c r="BB79" s="1353"/>
      <c r="BC79" s="1353"/>
      <c r="BD79" s="1353"/>
      <c r="BE79" s="1353"/>
      <c r="BF79" s="1353"/>
      <c r="BG79" s="1353"/>
    </row>
    <row r="80" spans="1:59" x14ac:dyDescent="0.35">
      <c r="B80" s="1354" t="s">
        <v>5856</v>
      </c>
      <c r="C80" s="582" t="s">
        <v>5844</v>
      </c>
      <c r="D80" s="1158">
        <f>($D$84*$D$68)*0.6</f>
        <v>0</v>
      </c>
      <c r="E80" s="1355"/>
      <c r="F80" s="602"/>
      <c r="G80" s="1352"/>
      <c r="H80" s="1352"/>
      <c r="I80" s="1352"/>
      <c r="AR80" s="1353"/>
      <c r="AS80" s="1353"/>
      <c r="AT80" s="1353"/>
      <c r="AU80" s="1353"/>
      <c r="AV80" s="1353"/>
      <c r="AW80" s="1353"/>
      <c r="AX80" s="1353"/>
      <c r="AY80" s="1353"/>
      <c r="AZ80" s="1353"/>
      <c r="BA80" s="1353"/>
      <c r="BB80" s="1353"/>
      <c r="BC80" s="1353"/>
      <c r="BD80" s="1353"/>
      <c r="BE80" s="1353"/>
      <c r="BF80" s="1353"/>
      <c r="BG80" s="1353"/>
    </row>
    <row r="81" spans="2:59" x14ac:dyDescent="0.35">
      <c r="B81" s="1354" t="s">
        <v>5857</v>
      </c>
      <c r="C81" s="582" t="s">
        <v>5844</v>
      </c>
      <c r="D81" s="1358"/>
      <c r="E81" s="1355"/>
      <c r="F81" s="602"/>
      <c r="G81" s="1352"/>
      <c r="H81" s="1352"/>
      <c r="I81" s="1352"/>
      <c r="AR81" s="1353"/>
      <c r="AS81" s="1353"/>
      <c r="AT81" s="1353"/>
      <c r="AU81" s="1353"/>
      <c r="AV81" s="1353"/>
      <c r="AW81" s="1353"/>
      <c r="AX81" s="1353"/>
      <c r="AY81" s="1353"/>
      <c r="AZ81" s="1353"/>
      <c r="BA81" s="1353"/>
      <c r="BB81" s="1353"/>
      <c r="BC81" s="1353"/>
      <c r="BD81" s="1353"/>
      <c r="BE81" s="1353"/>
      <c r="BF81" s="1353"/>
      <c r="BG81" s="1353"/>
    </row>
    <row r="82" spans="2:59" x14ac:dyDescent="0.35">
      <c r="B82" s="1354" t="s">
        <v>5858</v>
      </c>
      <c r="C82" s="582" t="s">
        <v>5844</v>
      </c>
      <c r="D82" s="1158">
        <f>($D$84*$D$68)*0.4</f>
        <v>0</v>
      </c>
      <c r="E82" s="1355"/>
      <c r="F82" s="371" t="s">
        <v>5859</v>
      </c>
      <c r="G82" s="1250">
        <v>0</v>
      </c>
      <c r="H82" s="1352"/>
      <c r="I82" s="1352"/>
      <c r="AR82" s="1353"/>
      <c r="AS82" s="1353"/>
      <c r="AT82" s="1353"/>
      <c r="AU82" s="1353"/>
      <c r="AV82" s="1353"/>
      <c r="AW82" s="1353"/>
      <c r="AX82" s="1353"/>
      <c r="AY82" s="1353"/>
      <c r="AZ82" s="1353"/>
      <c r="BA82" s="1353"/>
      <c r="BB82" s="1353"/>
      <c r="BC82" s="1353"/>
      <c r="BD82" s="1353"/>
      <c r="BE82" s="1353"/>
      <c r="BF82" s="1353"/>
      <c r="BG82" s="1353"/>
    </row>
    <row r="83" spans="2:59" x14ac:dyDescent="0.35">
      <c r="B83" s="1354" t="s">
        <v>5860</v>
      </c>
      <c r="C83" s="582" t="s">
        <v>5844</v>
      </c>
      <c r="D83" s="1358"/>
      <c r="E83" s="1355"/>
      <c r="F83" s="371" t="s">
        <v>5813</v>
      </c>
      <c r="G83" s="1250">
        <v>1.5</v>
      </c>
      <c r="H83" s="1352"/>
      <c r="I83" s="1352"/>
      <c r="AR83" s="1353"/>
      <c r="AS83" s="1353"/>
      <c r="AT83" s="1353"/>
      <c r="AU83" s="1353"/>
      <c r="AV83" s="1353"/>
      <c r="AW83" s="1353"/>
      <c r="AX83" s="1353"/>
      <c r="AY83" s="1353"/>
      <c r="AZ83" s="1353"/>
      <c r="BA83" s="1353"/>
      <c r="BB83" s="1353"/>
      <c r="BC83" s="1353"/>
      <c r="BD83" s="1353"/>
      <c r="BE83" s="1353"/>
      <c r="BF83" s="1353"/>
      <c r="BG83" s="1353"/>
    </row>
    <row r="84" spans="2:59" x14ac:dyDescent="0.35">
      <c r="B84" s="702" t="s">
        <v>5861</v>
      </c>
      <c r="C84" s="292" t="s">
        <v>5847</v>
      </c>
      <c r="D84" s="1362">
        <f>VLOOKUP(C33,$F$82:$G$84,2,0)</f>
        <v>1.5</v>
      </c>
      <c r="E84" s="1357"/>
      <c r="F84" s="371" t="s">
        <v>5862</v>
      </c>
      <c r="G84" s="1250">
        <v>3</v>
      </c>
      <c r="H84" s="1352">
        <v>3</v>
      </c>
      <c r="I84" s="1352">
        <v>3</v>
      </c>
      <c r="AR84" s="1353"/>
      <c r="AS84" s="1353"/>
      <c r="AT84" s="1353"/>
      <c r="AU84" s="1353"/>
      <c r="AV84" s="1353"/>
      <c r="AW84" s="1353"/>
      <c r="AX84" s="1353"/>
      <c r="AY84" s="1353"/>
      <c r="AZ84" s="1353"/>
      <c r="BA84" s="1353"/>
      <c r="BB84" s="1353"/>
      <c r="BC84" s="1353"/>
      <c r="BD84" s="1353"/>
      <c r="BE84" s="1353"/>
      <c r="BF84" s="1353"/>
      <c r="BG84" s="1353"/>
    </row>
    <row r="85" spans="2:59" x14ac:dyDescent="0.35">
      <c r="B85" s="1354" t="s">
        <v>5863</v>
      </c>
      <c r="C85" s="582" t="s">
        <v>5847</v>
      </c>
      <c r="D85" s="1358" t="e">
        <f>(C41+C43)/$D$68</f>
        <v>#DIV/0!</v>
      </c>
      <c r="E85" s="1355"/>
      <c r="F85" s="602"/>
      <c r="G85" s="1352"/>
      <c r="H85" s="1352"/>
      <c r="I85" s="1352"/>
      <c r="AR85" s="1353"/>
      <c r="AS85" s="1353"/>
      <c r="AT85" s="1353"/>
      <c r="AU85" s="1353"/>
      <c r="AV85" s="1353"/>
      <c r="AW85" s="1353"/>
      <c r="AX85" s="1353"/>
      <c r="AY85" s="1353"/>
      <c r="AZ85" s="1353"/>
      <c r="BA85" s="1353"/>
      <c r="BB85" s="1353"/>
      <c r="BC85" s="1353"/>
      <c r="BD85" s="1353"/>
      <c r="BE85" s="1353"/>
      <c r="BF85" s="1353"/>
      <c r="BG85" s="1353"/>
    </row>
    <row r="86" spans="2:59" x14ac:dyDescent="0.35">
      <c r="B86" s="1354" t="s">
        <v>5864</v>
      </c>
      <c r="C86" s="582" t="s">
        <v>5847</v>
      </c>
      <c r="D86" s="1358"/>
      <c r="E86" s="1355"/>
      <c r="F86" s="602"/>
      <c r="G86" s="1352"/>
      <c r="H86" s="1352"/>
      <c r="I86" s="1352"/>
      <c r="AR86" s="1353"/>
      <c r="AS86" s="1353"/>
      <c r="AT86" s="1353"/>
      <c r="AU86" s="1353"/>
      <c r="AV86" s="1353"/>
      <c r="AW86" s="1353"/>
      <c r="AX86" s="1353"/>
      <c r="AY86" s="1353"/>
      <c r="AZ86" s="1353"/>
      <c r="BA86" s="1353"/>
      <c r="BB86" s="1353"/>
      <c r="BC86" s="1353"/>
      <c r="BD86" s="1353"/>
      <c r="BE86" s="1353"/>
      <c r="BF86" s="1353"/>
      <c r="BG86" s="1353"/>
    </row>
    <row r="87" spans="2:59" x14ac:dyDescent="0.35">
      <c r="B87" s="702" t="s">
        <v>5865</v>
      </c>
      <c r="C87" s="292" t="s">
        <v>5847</v>
      </c>
      <c r="D87" s="1356" t="e">
        <f>D85+D86</f>
        <v>#DIV/0!</v>
      </c>
      <c r="E87" s="1357"/>
      <c r="F87" s="602"/>
      <c r="G87" s="1352">
        <v>1.5</v>
      </c>
      <c r="H87" s="1352">
        <v>3.5</v>
      </c>
      <c r="I87" s="1352">
        <v>3.5</v>
      </c>
      <c r="AR87" s="1353"/>
      <c r="AS87" s="1353"/>
      <c r="AT87" s="1353"/>
      <c r="AU87" s="1353"/>
      <c r="AV87" s="1353"/>
      <c r="AW87" s="1353"/>
      <c r="AX87" s="1353"/>
      <c r="AY87" s="1353"/>
      <c r="AZ87" s="1353"/>
      <c r="BA87" s="1353"/>
      <c r="BB87" s="1353"/>
      <c r="BC87" s="1353"/>
      <c r="BD87" s="1353"/>
      <c r="BE87" s="1353"/>
      <c r="BF87" s="1353"/>
      <c r="BG87" s="1353"/>
    </row>
    <row r="88" spans="2:59" x14ac:dyDescent="0.35">
      <c r="B88" s="1354" t="s">
        <v>5866</v>
      </c>
      <c r="C88" s="582" t="s">
        <v>5847</v>
      </c>
      <c r="D88" s="1358"/>
      <c r="E88" s="1355"/>
      <c r="F88" s="602"/>
      <c r="G88" s="1352"/>
      <c r="H88" s="1352"/>
      <c r="I88" s="1352"/>
      <c r="AR88" s="1353"/>
      <c r="AS88" s="1353"/>
      <c r="AT88" s="1353"/>
      <c r="AU88" s="1353"/>
      <c r="AV88" s="1353"/>
      <c r="AW88" s="1353"/>
      <c r="AX88" s="1353"/>
      <c r="AY88" s="1353"/>
      <c r="AZ88" s="1353"/>
      <c r="BA88" s="1353"/>
      <c r="BB88" s="1353"/>
      <c r="BC88" s="1353"/>
      <c r="BD88" s="1353"/>
      <c r="BE88" s="1353"/>
      <c r="BF88" s="1353"/>
      <c r="BG88" s="1353"/>
    </row>
    <row r="89" spans="2:59" x14ac:dyDescent="0.35">
      <c r="B89" s="1354" t="s">
        <v>5867</v>
      </c>
      <c r="C89" s="582" t="s">
        <v>5847</v>
      </c>
      <c r="D89" s="1358" t="e">
        <f>($C$19+$C$21+$C$23)*$C$35/$D$68</f>
        <v>#DIV/0!</v>
      </c>
      <c r="E89" s="1355"/>
      <c r="F89" s="602"/>
      <c r="G89" s="1352" t="s">
        <v>5868</v>
      </c>
      <c r="H89" s="1352" t="s">
        <v>5298</v>
      </c>
      <c r="I89" s="1352" t="s">
        <v>5869</v>
      </c>
      <c r="AR89" s="1353"/>
      <c r="AS89" s="1353"/>
      <c r="AT89" s="1353"/>
      <c r="AU89" s="1353"/>
      <c r="AV89" s="1353"/>
      <c r="AW89" s="1353"/>
      <c r="AX89" s="1353"/>
      <c r="AY89" s="1353"/>
      <c r="AZ89" s="1353"/>
      <c r="BA89" s="1353"/>
      <c r="BB89" s="1353"/>
      <c r="BC89" s="1353"/>
      <c r="BD89" s="1353"/>
      <c r="BE89" s="1353"/>
      <c r="BF89" s="1353"/>
      <c r="BG89" s="1353"/>
    </row>
    <row r="90" spans="2:59" x14ac:dyDescent="0.35">
      <c r="B90" s="1354" t="s">
        <v>5870</v>
      </c>
      <c r="C90" s="582" t="s">
        <v>5847</v>
      </c>
      <c r="D90" s="1358" t="e">
        <f>$C$24*$C$35/$D$68/G90</f>
        <v>#DIV/0!</v>
      </c>
      <c r="E90" s="1355"/>
      <c r="F90" s="602"/>
      <c r="G90" s="1352">
        <f>H90*$C$35+I90*$C$36</f>
        <v>0</v>
      </c>
      <c r="H90" s="1309">
        <v>0.95</v>
      </c>
      <c r="I90" s="1309">
        <v>0.65</v>
      </c>
      <c r="AR90" s="1353"/>
      <c r="AS90" s="1353"/>
      <c r="AT90" s="1353"/>
      <c r="AU90" s="1353"/>
      <c r="AV90" s="1353"/>
      <c r="AW90" s="1353"/>
      <c r="AX90" s="1353"/>
      <c r="AY90" s="1353"/>
      <c r="AZ90" s="1353"/>
      <c r="BA90" s="1353"/>
      <c r="BB90" s="1353"/>
      <c r="BC90" s="1353"/>
      <c r="BD90" s="1353"/>
      <c r="BE90" s="1353"/>
      <c r="BF90" s="1353"/>
      <c r="BG90" s="1353"/>
    </row>
    <row r="91" spans="2:59" x14ac:dyDescent="0.35">
      <c r="B91" s="1354" t="s">
        <v>5871</v>
      </c>
      <c r="C91" s="582" t="s">
        <v>5847</v>
      </c>
      <c r="D91" s="1358" t="e">
        <f>$C$15*$C$35/$D$68/G91</f>
        <v>#DIV/0!</v>
      </c>
      <c r="E91" s="1355"/>
      <c r="F91" s="602"/>
      <c r="G91" s="1352">
        <f t="shared" ref="G91:G93" si="0">H91*$C$35+I91*$C$36</f>
        <v>0</v>
      </c>
      <c r="H91" s="1309">
        <v>0.75</v>
      </c>
      <c r="I91" s="1309">
        <v>0.5</v>
      </c>
      <c r="AR91" s="1353"/>
      <c r="AS91" s="1353"/>
      <c r="AT91" s="1353"/>
      <c r="AU91" s="1353"/>
      <c r="AV91" s="1353"/>
      <c r="AW91" s="1353"/>
      <c r="AX91" s="1353"/>
      <c r="AY91" s="1353"/>
      <c r="AZ91" s="1353"/>
      <c r="BA91" s="1353"/>
      <c r="BB91" s="1353"/>
      <c r="BC91" s="1353"/>
      <c r="BD91" s="1353"/>
      <c r="BE91" s="1353"/>
      <c r="BF91" s="1353"/>
      <c r="BG91" s="1353"/>
    </row>
    <row r="92" spans="2:59" x14ac:dyDescent="0.35">
      <c r="B92" s="1354" t="s">
        <v>5872</v>
      </c>
      <c r="C92" s="582" t="s">
        <v>5847</v>
      </c>
      <c r="D92" s="1358" t="e">
        <f>$C$25*$C$35/$D$68/G92</f>
        <v>#DIV/0!</v>
      </c>
      <c r="E92" s="1355"/>
      <c r="F92" s="602"/>
      <c r="G92" s="1352">
        <f t="shared" si="0"/>
        <v>0</v>
      </c>
      <c r="H92" s="1309">
        <v>0.9</v>
      </c>
      <c r="I92" s="1309">
        <v>0.65</v>
      </c>
      <c r="AR92" s="1353"/>
      <c r="AS92" s="1353"/>
      <c r="AT92" s="1353"/>
      <c r="AU92" s="1353"/>
      <c r="AV92" s="1353"/>
      <c r="AW92" s="1353"/>
      <c r="AX92" s="1353"/>
      <c r="AY92" s="1353"/>
      <c r="AZ92" s="1353"/>
      <c r="BA92" s="1353"/>
      <c r="BB92" s="1353"/>
      <c r="BC92" s="1353"/>
      <c r="BD92" s="1353"/>
      <c r="BE92" s="1353"/>
      <c r="BF92" s="1353"/>
      <c r="BG92" s="1353"/>
    </row>
    <row r="93" spans="2:59" x14ac:dyDescent="0.35">
      <c r="B93" s="1354" t="s">
        <v>5873</v>
      </c>
      <c r="C93" s="582" t="s">
        <v>5847</v>
      </c>
      <c r="D93" s="1358" t="e">
        <f>$C$26*$C$35/$D$68/G93</f>
        <v>#DIV/0!</v>
      </c>
      <c r="E93" s="1355"/>
      <c r="F93" s="602"/>
      <c r="G93" s="1352">
        <f t="shared" si="0"/>
        <v>0</v>
      </c>
      <c r="H93" s="1309">
        <v>1</v>
      </c>
      <c r="I93" s="1309">
        <v>1</v>
      </c>
      <c r="AR93" s="1353"/>
      <c r="AS93" s="1353"/>
      <c r="AT93" s="1353"/>
      <c r="AU93" s="1353"/>
      <c r="AV93" s="1353"/>
      <c r="AW93" s="1353"/>
      <c r="AX93" s="1353"/>
      <c r="AY93" s="1353"/>
      <c r="AZ93" s="1353"/>
      <c r="BA93" s="1353"/>
      <c r="BB93" s="1353"/>
      <c r="BC93" s="1353"/>
      <c r="BD93" s="1353"/>
      <c r="BE93" s="1353"/>
      <c r="BF93" s="1353"/>
      <c r="BG93" s="1353"/>
    </row>
    <row r="94" spans="2:59" x14ac:dyDescent="0.35">
      <c r="B94" s="702" t="s">
        <v>5874</v>
      </c>
      <c r="C94" s="292" t="s">
        <v>5847</v>
      </c>
      <c r="D94" s="1356" t="e">
        <f>SUM(D88:D93)</f>
        <v>#DIV/0!</v>
      </c>
      <c r="E94" s="1357"/>
      <c r="F94" s="602"/>
      <c r="G94" s="1352"/>
      <c r="H94" s="1352"/>
      <c r="I94" s="1352"/>
      <c r="AR94" s="1353"/>
      <c r="AS94" s="1353"/>
      <c r="AT94" s="1353"/>
      <c r="AU94" s="1353"/>
      <c r="AV94" s="1353"/>
      <c r="AW94" s="1353"/>
      <c r="AX94" s="1353"/>
      <c r="AY94" s="1353"/>
      <c r="AZ94" s="1353"/>
      <c r="BA94" s="1353"/>
      <c r="BB94" s="1353"/>
      <c r="BC94" s="1353"/>
      <c r="BD94" s="1353"/>
      <c r="BE94" s="1353"/>
      <c r="BF94" s="1353"/>
      <c r="BG94" s="1353"/>
    </row>
    <row r="95" spans="2:59" x14ac:dyDescent="0.35">
      <c r="B95" s="1354" t="s">
        <v>5866</v>
      </c>
      <c r="C95" s="582" t="s">
        <v>5847</v>
      </c>
      <c r="D95" s="1363"/>
      <c r="E95" s="1355"/>
      <c r="F95" s="602"/>
      <c r="G95" s="1352"/>
      <c r="H95" s="1352"/>
      <c r="I95" s="1352"/>
      <c r="AR95" s="1353"/>
      <c r="AS95" s="1353"/>
      <c r="AT95" s="1353"/>
      <c r="AU95" s="1353"/>
      <c r="AV95" s="1353"/>
      <c r="AW95" s="1353"/>
      <c r="AX95" s="1353"/>
      <c r="AY95" s="1353"/>
      <c r="AZ95" s="1353"/>
      <c r="BA95" s="1353"/>
      <c r="BB95" s="1353"/>
      <c r="BC95" s="1353"/>
      <c r="BD95" s="1353"/>
      <c r="BE95" s="1353"/>
      <c r="BF95" s="1353"/>
      <c r="BG95" s="1353"/>
    </row>
    <row r="96" spans="2:59" x14ac:dyDescent="0.35">
      <c r="B96" s="1354" t="s">
        <v>5867</v>
      </c>
      <c r="C96" s="582" t="s">
        <v>5847</v>
      </c>
      <c r="D96" s="1363" t="e">
        <f>($C$19+$C$21+$C$23)*$C$36/$D$68</f>
        <v>#DIV/0!</v>
      </c>
      <c r="E96" s="1355"/>
      <c r="F96" s="602"/>
      <c r="G96" s="1352"/>
      <c r="H96" s="1352"/>
      <c r="I96" s="1352"/>
      <c r="AR96" s="1353"/>
      <c r="AS96" s="1353"/>
      <c r="AT96" s="1353"/>
      <c r="AU96" s="1353"/>
      <c r="AV96" s="1353"/>
      <c r="AW96" s="1353"/>
      <c r="AX96" s="1353"/>
      <c r="AY96" s="1353"/>
      <c r="AZ96" s="1353"/>
      <c r="BA96" s="1353"/>
      <c r="BB96" s="1353"/>
      <c r="BC96" s="1353"/>
      <c r="BD96" s="1353"/>
      <c r="BE96" s="1353"/>
      <c r="BF96" s="1353"/>
      <c r="BG96" s="1353"/>
    </row>
    <row r="97" spans="1:59" x14ac:dyDescent="0.35">
      <c r="B97" s="1354" t="s">
        <v>5870</v>
      </c>
      <c r="C97" s="582" t="s">
        <v>5847</v>
      </c>
      <c r="D97" s="1363" t="e">
        <f>$C$24*$C$36/$D$68</f>
        <v>#DIV/0!</v>
      </c>
      <c r="E97" s="1355"/>
      <c r="F97" s="602"/>
      <c r="G97" s="1352"/>
      <c r="H97" s="1352"/>
      <c r="I97" s="1352"/>
      <c r="AR97" s="1353"/>
      <c r="AS97" s="1353"/>
      <c r="AT97" s="1353"/>
      <c r="AU97" s="1353"/>
      <c r="AV97" s="1353"/>
      <c r="AW97" s="1353"/>
      <c r="AX97" s="1353"/>
      <c r="AY97" s="1353"/>
      <c r="AZ97" s="1353"/>
      <c r="BA97" s="1353"/>
      <c r="BB97" s="1353"/>
      <c r="BC97" s="1353"/>
      <c r="BD97" s="1353"/>
      <c r="BE97" s="1353"/>
      <c r="BF97" s="1353"/>
      <c r="BG97" s="1353"/>
    </row>
    <row r="98" spans="1:59" x14ac:dyDescent="0.35">
      <c r="B98" s="1354" t="s">
        <v>5871</v>
      </c>
      <c r="C98" s="582" t="s">
        <v>5847</v>
      </c>
      <c r="D98" s="1363" t="e">
        <f>$C$15*$C$36/$D$68</f>
        <v>#DIV/0!</v>
      </c>
      <c r="E98" s="1355"/>
      <c r="F98" s="602"/>
      <c r="G98" s="1352"/>
      <c r="H98" s="1352"/>
      <c r="I98" s="1352"/>
      <c r="AR98" s="1353"/>
      <c r="AS98" s="1353"/>
      <c r="AT98" s="1353"/>
      <c r="AU98" s="1353"/>
      <c r="AV98" s="1353"/>
      <c r="AW98" s="1353"/>
      <c r="AX98" s="1353"/>
      <c r="AY98" s="1353"/>
      <c r="AZ98" s="1353"/>
      <c r="BA98" s="1353"/>
      <c r="BB98" s="1353"/>
      <c r="BC98" s="1353"/>
      <c r="BD98" s="1353"/>
      <c r="BE98" s="1353"/>
      <c r="BF98" s="1353"/>
      <c r="BG98" s="1353"/>
    </row>
    <row r="99" spans="1:59" x14ac:dyDescent="0.35">
      <c r="B99" s="1354" t="s">
        <v>5872</v>
      </c>
      <c r="C99" s="582" t="s">
        <v>5847</v>
      </c>
      <c r="D99" s="1363" t="e">
        <f>$C$25*$C$36/$D$68</f>
        <v>#DIV/0!</v>
      </c>
      <c r="E99" s="1355"/>
      <c r="F99" s="602"/>
      <c r="G99" s="1352"/>
      <c r="H99" s="1352"/>
      <c r="I99" s="1352"/>
      <c r="AR99" s="1353"/>
      <c r="AS99" s="1353"/>
      <c r="AT99" s="1353"/>
      <c r="AU99" s="1353"/>
      <c r="AV99" s="1353"/>
      <c r="AW99" s="1353"/>
      <c r="AX99" s="1353"/>
      <c r="AY99" s="1353"/>
      <c r="AZ99" s="1353"/>
      <c r="BA99" s="1353"/>
      <c r="BB99" s="1353"/>
      <c r="BC99" s="1353"/>
      <c r="BD99" s="1353"/>
      <c r="BE99" s="1353"/>
      <c r="BF99" s="1353"/>
      <c r="BG99" s="1353"/>
    </row>
    <row r="100" spans="1:59" x14ac:dyDescent="0.35">
      <c r="B100" s="1354" t="s">
        <v>5873</v>
      </c>
      <c r="C100" s="582" t="s">
        <v>5847</v>
      </c>
      <c r="D100" s="1363" t="e">
        <f>$C$26*$C$36/$D$68</f>
        <v>#DIV/0!</v>
      </c>
      <c r="E100" s="1355"/>
      <c r="F100" s="602"/>
      <c r="G100" s="1352"/>
      <c r="H100" s="1352"/>
      <c r="I100" s="1352"/>
      <c r="AR100" s="1353"/>
      <c r="AS100" s="1353"/>
      <c r="AT100" s="1353"/>
      <c r="AU100" s="1353"/>
      <c r="AV100" s="1353"/>
      <c r="AW100" s="1353"/>
      <c r="AX100" s="1353"/>
      <c r="AY100" s="1353"/>
      <c r="AZ100" s="1353"/>
      <c r="BA100" s="1353"/>
      <c r="BB100" s="1353"/>
      <c r="BC100" s="1353"/>
      <c r="BD100" s="1353"/>
      <c r="BE100" s="1353"/>
      <c r="BF100" s="1353"/>
      <c r="BG100" s="1353"/>
    </row>
    <row r="101" spans="1:59" ht="15" thickBot="1" x14ac:dyDescent="0.4">
      <c r="B101" s="1364" t="s">
        <v>5875</v>
      </c>
      <c r="C101" s="1364" t="s">
        <v>5847</v>
      </c>
      <c r="D101" s="1365" t="e">
        <f>SUM(D95:D100)</f>
        <v>#DIV/0!</v>
      </c>
      <c r="E101" s="1357"/>
      <c r="F101" s="602"/>
      <c r="G101" s="1352">
        <v>18</v>
      </c>
      <c r="H101" s="1352">
        <v>4</v>
      </c>
      <c r="I101" s="1352">
        <v>7</v>
      </c>
      <c r="AR101" s="1353"/>
      <c r="AS101" s="1353"/>
      <c r="AT101" s="1353"/>
      <c r="AU101" s="1353"/>
      <c r="AV101" s="1353"/>
      <c r="AW101" s="1353"/>
      <c r="AX101" s="1353"/>
      <c r="AY101" s="1353"/>
      <c r="AZ101" s="1353"/>
      <c r="BA101" s="1353"/>
      <c r="BB101" s="1353"/>
      <c r="BC101" s="1353"/>
      <c r="BD101" s="1353"/>
      <c r="BE101" s="1353"/>
      <c r="BF101" s="1353"/>
      <c r="BG101" s="1353"/>
    </row>
    <row r="102" spans="1:59" s="602" customFormat="1" outlineLevel="1" x14ac:dyDescent="0.35">
      <c r="A102" s="1319"/>
      <c r="B102" s="1366" t="s">
        <v>5876</v>
      </c>
      <c r="C102" s="1367" t="s">
        <v>5847</v>
      </c>
      <c r="D102" s="1368" t="e">
        <f t="shared" ref="D102:D104" si="1">D90+D97</f>
        <v>#DIV/0!</v>
      </c>
      <c r="E102" s="1357"/>
      <c r="G102" s="1352"/>
      <c r="H102" s="1352"/>
      <c r="I102" s="1352"/>
    </row>
    <row r="103" spans="1:59" s="602" customFormat="1" outlineLevel="1" x14ac:dyDescent="0.35">
      <c r="A103" s="1319"/>
      <c r="B103" s="1369" t="s">
        <v>5877</v>
      </c>
      <c r="C103" s="292" t="s">
        <v>5847</v>
      </c>
      <c r="D103" s="1370" t="e">
        <f t="shared" si="1"/>
        <v>#DIV/0!</v>
      </c>
      <c r="E103" s="1357"/>
      <c r="G103" s="1352"/>
      <c r="H103" s="1352"/>
      <c r="I103" s="1352"/>
    </row>
    <row r="104" spans="1:59" s="602" customFormat="1" outlineLevel="1" x14ac:dyDescent="0.35">
      <c r="A104" s="1319"/>
      <c r="B104" s="1369" t="s">
        <v>5878</v>
      </c>
      <c r="C104" s="292" t="s">
        <v>5847</v>
      </c>
      <c r="D104" s="1370" t="e">
        <f t="shared" si="1"/>
        <v>#DIV/0!</v>
      </c>
      <c r="E104" s="1357"/>
      <c r="G104" s="1352"/>
      <c r="H104" s="1352"/>
      <c r="I104" s="1352"/>
    </row>
    <row r="105" spans="1:59" s="602" customFormat="1" outlineLevel="1" x14ac:dyDescent="0.35">
      <c r="A105" s="1319"/>
      <c r="B105" s="1369" t="s">
        <v>5879</v>
      </c>
      <c r="C105" s="292" t="s">
        <v>5847</v>
      </c>
      <c r="D105" s="1370" t="e">
        <f>D73+D71+D77+D78+D95+D96+D100</f>
        <v>#DIV/0!</v>
      </c>
      <c r="E105" s="1357"/>
      <c r="G105" s="1352"/>
      <c r="H105" s="1352"/>
      <c r="I105" s="1352"/>
    </row>
    <row r="106" spans="1:59" s="602" customFormat="1" outlineLevel="1" x14ac:dyDescent="0.35">
      <c r="A106" s="1319"/>
      <c r="B106" s="1369" t="s">
        <v>5880</v>
      </c>
      <c r="C106" s="292" t="s">
        <v>5847</v>
      </c>
      <c r="D106" s="1370" t="e">
        <f>D74+IFERROR(((D80+D81)/D68),0)+D88+D89+D93</f>
        <v>#DIV/0!</v>
      </c>
      <c r="E106" s="1357"/>
      <c r="G106" s="1352"/>
      <c r="H106" s="1352"/>
      <c r="I106" s="1352"/>
    </row>
    <row r="107" spans="1:59" s="602" customFormat="1" ht="15" outlineLevel="1" thickBot="1" x14ac:dyDescent="0.4">
      <c r="A107" s="1319"/>
      <c r="B107" s="1371" t="s">
        <v>5881</v>
      </c>
      <c r="C107" s="1372" t="s">
        <v>5847</v>
      </c>
      <c r="D107" s="1373" t="e">
        <f>D75+D76+IFERROR(((D82+D83)/D68),0)+D87</f>
        <v>#DIV/0!</v>
      </c>
      <c r="E107" s="1357"/>
      <c r="G107" s="1352"/>
      <c r="H107" s="1352"/>
      <c r="I107" s="1352"/>
    </row>
    <row r="108" spans="1:59" s="602" customFormat="1" ht="16.5" outlineLevel="1" x14ac:dyDescent="0.45">
      <c r="A108" s="1319"/>
      <c r="B108" s="1366" t="s">
        <v>5882</v>
      </c>
      <c r="C108" s="1367" t="s">
        <v>5883</v>
      </c>
      <c r="D108" s="1368" t="e">
        <f>D102*$C$119+D103*$C$120+D104*$C$121+D105*$C$122+D106*$C$123+D107*$C$124</f>
        <v>#DIV/0!</v>
      </c>
      <c r="E108" s="1357"/>
      <c r="G108" s="1352"/>
      <c r="H108" s="1352"/>
      <c r="I108" s="1352"/>
    </row>
    <row r="109" spans="1:59" s="602" customFormat="1" outlineLevel="1" x14ac:dyDescent="0.35">
      <c r="A109" s="1319"/>
      <c r="B109" s="1369" t="s">
        <v>5884</v>
      </c>
      <c r="C109" s="292" t="s">
        <v>5847</v>
      </c>
      <c r="D109" s="1370" t="e">
        <f>D102*$D$119+D103*$D$120+D104*$D$121+D105*$D$122+D106*$D$123+D107*$D$124</f>
        <v>#DIV/0!</v>
      </c>
      <c r="E109" s="1357"/>
      <c r="G109" s="1352"/>
      <c r="H109" s="1352"/>
      <c r="I109" s="1352"/>
    </row>
    <row r="110" spans="1:59" s="602" customFormat="1" ht="16.5" outlineLevel="1" x14ac:dyDescent="0.45">
      <c r="A110" s="1319"/>
      <c r="B110" s="1369" t="s">
        <v>5001</v>
      </c>
      <c r="C110" s="292" t="s">
        <v>5883</v>
      </c>
      <c r="D110" s="1370" t="e">
        <f>D102*$C$128+D103*$C$129+D104*$C$130+D105*$C$131+D106*$C$132+D107*$C$133</f>
        <v>#DIV/0!</v>
      </c>
      <c r="E110" s="1357"/>
      <c r="G110" s="1352"/>
      <c r="H110" s="1352"/>
      <c r="I110" s="1352"/>
    </row>
    <row r="111" spans="1:59" s="602" customFormat="1" ht="15" outlineLevel="1" thickBot="1" x14ac:dyDescent="0.4">
      <c r="A111" s="1319"/>
      <c r="B111" s="1371" t="s">
        <v>5885</v>
      </c>
      <c r="C111" s="1372" t="s">
        <v>5847</v>
      </c>
      <c r="D111" s="1373" t="e">
        <f>D102*$D$128+D103*$D$129+D104*$D$130+D105*$D$131+D106*$D$132+D107*$D$133</f>
        <v>#DIV/0!</v>
      </c>
      <c r="E111" s="1357"/>
      <c r="G111" s="1352"/>
      <c r="H111" s="1352"/>
      <c r="I111" s="1352"/>
    </row>
    <row r="112" spans="1:59" s="602" customFormat="1" x14ac:dyDescent="0.35">
      <c r="A112" s="1319"/>
      <c r="D112" s="601"/>
      <c r="E112" s="601"/>
    </row>
    <row r="113" spans="1:10" s="602" customFormat="1" ht="15" thickBot="1" x14ac:dyDescent="0.4">
      <c r="A113" s="1319"/>
      <c r="B113" s="292" t="s">
        <v>5886</v>
      </c>
      <c r="C113" s="292" t="s">
        <v>4359</v>
      </c>
      <c r="D113" s="1374">
        <v>2020</v>
      </c>
      <c r="E113" s="1374">
        <v>2030</v>
      </c>
    </row>
    <row r="114" spans="1:10" s="602" customFormat="1" ht="17" thickBot="1" x14ac:dyDescent="0.5">
      <c r="A114" s="1319"/>
      <c r="B114" s="292" t="s">
        <v>5887</v>
      </c>
      <c r="C114" s="1305" t="s">
        <v>5888</v>
      </c>
      <c r="D114" s="1375" t="e">
        <f>D108*$D$68/D68</f>
        <v>#DIV/0!</v>
      </c>
      <c r="E114" s="1375" t="e">
        <f>D110*$D$68/D68</f>
        <v>#DIV/0!</v>
      </c>
    </row>
    <row r="115" spans="1:10" s="602" customFormat="1" ht="15" thickBot="1" x14ac:dyDescent="0.4">
      <c r="A115" s="1319"/>
      <c r="B115" s="292" t="s">
        <v>5889</v>
      </c>
      <c r="C115" s="1305" t="s">
        <v>5847</v>
      </c>
      <c r="D115" s="1375" t="e">
        <f>D109*$D$68/D68</f>
        <v>#DIV/0!</v>
      </c>
      <c r="E115" s="1375" t="e">
        <f>D111*$D$68/D68</f>
        <v>#DIV/0!</v>
      </c>
    </row>
    <row r="116" spans="1:10" s="602" customFormat="1" x14ac:dyDescent="0.35">
      <c r="A116" s="1319"/>
      <c r="D116" s="601"/>
      <c r="E116" s="601"/>
    </row>
    <row r="117" spans="1:10" s="602" customFormat="1" ht="16.5" hidden="1" outlineLevel="1" x14ac:dyDescent="0.45">
      <c r="A117" s="1319"/>
      <c r="B117" s="1376" t="s">
        <v>5890</v>
      </c>
      <c r="C117" s="1377" t="s">
        <v>5891</v>
      </c>
      <c r="D117" s="1377" t="s">
        <v>5892</v>
      </c>
      <c r="E117" s="305"/>
    </row>
    <row r="118" spans="1:10" s="602" customFormat="1" hidden="1" outlineLevel="1" x14ac:dyDescent="0.35">
      <c r="A118" s="1319"/>
      <c r="B118" s="371" t="s">
        <v>4929</v>
      </c>
      <c r="C118" s="1247" t="s">
        <v>5893</v>
      </c>
      <c r="D118" s="1247" t="s">
        <v>5894</v>
      </c>
      <c r="E118" s="350"/>
    </row>
    <row r="119" spans="1:10" s="602" customFormat="1" hidden="1" outlineLevel="1" x14ac:dyDescent="0.35">
      <c r="A119" s="1319"/>
      <c r="B119" s="371" t="s">
        <v>5895</v>
      </c>
      <c r="C119" s="1247">
        <v>5.3999999999999999E-2</v>
      </c>
      <c r="D119" s="1247">
        <v>0.68</v>
      </c>
      <c r="E119" s="350"/>
    </row>
    <row r="120" spans="1:10" s="602" customFormat="1" hidden="1" outlineLevel="1" x14ac:dyDescent="0.35">
      <c r="A120" s="1319"/>
      <c r="B120" s="371" t="s">
        <v>5896</v>
      </c>
      <c r="C120" s="1247">
        <v>4.4999999999999998E-2</v>
      </c>
      <c r="D120" s="1247">
        <v>1.1499999999999999</v>
      </c>
      <c r="E120" s="350"/>
    </row>
    <row r="121" spans="1:10" s="602" customFormat="1" hidden="1" outlineLevel="1" x14ac:dyDescent="0.35">
      <c r="A121" s="1319"/>
      <c r="B121" s="371" t="s">
        <v>5878</v>
      </c>
      <c r="C121" s="1247">
        <v>0.26200000000000001</v>
      </c>
      <c r="D121" s="1247">
        <v>1.17</v>
      </c>
      <c r="E121" s="350"/>
    </row>
    <row r="122" spans="1:10" s="602" customFormat="1" hidden="1" outlineLevel="1" x14ac:dyDescent="0.35">
      <c r="A122" s="1319"/>
      <c r="B122" s="371" t="s">
        <v>5897</v>
      </c>
      <c r="C122" s="1247">
        <v>0.27400000000000002</v>
      </c>
      <c r="D122" s="1378">
        <v>2.2999999999999998</v>
      </c>
      <c r="E122" s="1379"/>
    </row>
    <row r="123" spans="1:10" s="602" customFormat="1" hidden="1" outlineLevel="1" x14ac:dyDescent="0.35">
      <c r="A123" s="1319"/>
      <c r="B123" s="371" t="s">
        <v>5898</v>
      </c>
      <c r="C123" s="1247">
        <v>0.38300000000000001</v>
      </c>
      <c r="D123" s="1247">
        <v>2.61</v>
      </c>
      <c r="E123" s="350"/>
    </row>
    <row r="124" spans="1:10" s="602" customFormat="1" hidden="1" outlineLevel="1" x14ac:dyDescent="0.35">
      <c r="A124" s="1319"/>
      <c r="B124" s="371" t="s">
        <v>5899</v>
      </c>
      <c r="C124" s="1247">
        <v>0.155</v>
      </c>
      <c r="D124" s="1247">
        <v>1.96</v>
      </c>
      <c r="E124" s="350"/>
    </row>
    <row r="125" spans="1:10" s="602" customFormat="1" hidden="1" outlineLevel="1" x14ac:dyDescent="0.35">
      <c r="A125" s="1319"/>
      <c r="B125" s="1361"/>
      <c r="C125" s="1361"/>
      <c r="D125" s="350"/>
      <c r="E125" s="350"/>
    </row>
    <row r="126" spans="1:10" s="602" customFormat="1" ht="16.5" hidden="1" outlineLevel="1" x14ac:dyDescent="0.45">
      <c r="A126" s="1319"/>
      <c r="B126" s="1376" t="s">
        <v>5900</v>
      </c>
      <c r="C126" s="1377" t="s">
        <v>5891</v>
      </c>
      <c r="D126" s="1377" t="s">
        <v>5892</v>
      </c>
      <c r="E126" s="305"/>
      <c r="F126" s="1377" t="s">
        <v>5891</v>
      </c>
      <c r="G126" s="1247" t="s">
        <v>5893</v>
      </c>
      <c r="I126" s="1377" t="s">
        <v>5892</v>
      </c>
      <c r="J126" s="1247" t="s">
        <v>5894</v>
      </c>
    </row>
    <row r="127" spans="1:10" s="602" customFormat="1" hidden="1" outlineLevel="1" x14ac:dyDescent="0.35">
      <c r="A127" s="1319"/>
      <c r="B127" s="371" t="s">
        <v>4929</v>
      </c>
      <c r="C127" s="1247" t="s">
        <v>5893</v>
      </c>
      <c r="D127" s="1247" t="s">
        <v>5894</v>
      </c>
      <c r="E127" s="350"/>
    </row>
    <row r="128" spans="1:10" s="602" customFormat="1" hidden="1" outlineLevel="1" x14ac:dyDescent="0.35">
      <c r="A128" s="1319"/>
      <c r="B128" s="371" t="s">
        <v>5901</v>
      </c>
      <c r="C128" s="1247">
        <v>8.9999999999999993E-3</v>
      </c>
      <c r="D128" s="1247">
        <v>0.94</v>
      </c>
      <c r="E128" s="350"/>
    </row>
    <row r="129" spans="1:10" s="602" customFormat="1" hidden="1" outlineLevel="1" x14ac:dyDescent="0.35">
      <c r="A129" s="1319"/>
      <c r="B129" s="371" t="s">
        <v>5896</v>
      </c>
      <c r="C129" s="1247">
        <v>4.4999999999999998E-2</v>
      </c>
      <c r="D129" s="1247">
        <v>1.1499999999999999</v>
      </c>
      <c r="E129" s="350"/>
      <c r="F129" s="311">
        <f>1-G129</f>
        <v>1</v>
      </c>
      <c r="G129" s="311">
        <f>C60</f>
        <v>0</v>
      </c>
      <c r="I129" s="311">
        <f>F129</f>
        <v>1</v>
      </c>
      <c r="J129" s="311">
        <f>G129</f>
        <v>0</v>
      </c>
    </row>
    <row r="130" spans="1:10" s="602" customFormat="1" hidden="1" outlineLevel="1" x14ac:dyDescent="0.35">
      <c r="A130" s="1319"/>
      <c r="B130" s="371" t="s">
        <v>5878</v>
      </c>
      <c r="C130" s="1247">
        <v>0.26200000000000001</v>
      </c>
      <c r="D130" s="1247">
        <v>1.17</v>
      </c>
      <c r="E130" s="350"/>
      <c r="F130" s="1377">
        <v>2030</v>
      </c>
      <c r="G130" s="1377">
        <v>2050</v>
      </c>
      <c r="H130" s="601"/>
      <c r="I130" s="1377">
        <v>2030</v>
      </c>
      <c r="J130" s="1377">
        <v>2050</v>
      </c>
    </row>
    <row r="131" spans="1:10" s="602" customFormat="1" hidden="1" outlineLevel="1" x14ac:dyDescent="0.35">
      <c r="A131" s="1319"/>
      <c r="B131" s="371" t="s">
        <v>5902</v>
      </c>
      <c r="C131" s="1380">
        <f>F131*$F$129+G131*$G$129</f>
        <v>0.158</v>
      </c>
      <c r="D131" s="1378">
        <f>I131*$I$129+J131*$J$129</f>
        <v>1.67</v>
      </c>
      <c r="E131" s="350"/>
      <c r="F131" s="1247">
        <v>0.158</v>
      </c>
      <c r="G131" s="1247">
        <v>4.2000000000000003E-2</v>
      </c>
      <c r="I131" s="1247">
        <v>1.67</v>
      </c>
      <c r="J131" s="1247">
        <v>1.99</v>
      </c>
    </row>
    <row r="132" spans="1:10" s="602" customFormat="1" hidden="1" outlineLevel="1" x14ac:dyDescent="0.35">
      <c r="A132" s="1319"/>
      <c r="B132" s="371" t="s">
        <v>5903</v>
      </c>
      <c r="C132" s="1380">
        <f t="shared" ref="C132:C133" si="2">F132*$F$129+G132*$G$129</f>
        <v>0.224</v>
      </c>
      <c r="D132" s="1378">
        <f t="shared" ref="D132:D133" si="3">I132*$I$129+J132*$J$129</f>
        <v>1.79</v>
      </c>
      <c r="E132" s="1379"/>
      <c r="F132" s="1247">
        <v>0.224</v>
      </c>
      <c r="G132" s="1247">
        <v>6.5000000000000002E-2</v>
      </c>
      <c r="I132" s="1378">
        <v>1.79</v>
      </c>
      <c r="J132" s="1378">
        <v>2.2000000000000002</v>
      </c>
    </row>
    <row r="133" spans="1:10" s="602" customFormat="1" hidden="1" outlineLevel="1" x14ac:dyDescent="0.35">
      <c r="A133" s="1319"/>
      <c r="B133" s="371" t="s">
        <v>5904</v>
      </c>
      <c r="C133" s="1380">
        <f t="shared" si="2"/>
        <v>9.6000000000000002E-2</v>
      </c>
      <c r="D133" s="1378">
        <f t="shared" si="3"/>
        <v>1.61</v>
      </c>
      <c r="E133" s="350"/>
      <c r="F133" s="1247">
        <v>9.6000000000000002E-2</v>
      </c>
      <c r="G133" s="1247">
        <v>3.6999999999999998E-2</v>
      </c>
      <c r="I133" s="1247">
        <v>1.61</v>
      </c>
      <c r="J133" s="1247">
        <v>1.79</v>
      </c>
    </row>
    <row r="134" spans="1:10" s="602" customFormat="1" collapsed="1" x14ac:dyDescent="0.35">
      <c r="A134" s="1319"/>
      <c r="D134" s="601"/>
      <c r="E134" s="601"/>
    </row>
    <row r="135" spans="1:10" s="602" customFormat="1" x14ac:dyDescent="0.35">
      <c r="A135" s="1319"/>
      <c r="D135" s="601"/>
      <c r="E135" s="601"/>
    </row>
    <row r="136" spans="1:10" s="602" customFormat="1" x14ac:dyDescent="0.35">
      <c r="A136" s="1319"/>
      <c r="D136" s="601"/>
      <c r="E136" s="601"/>
    </row>
    <row r="137" spans="1:10" s="602" customFormat="1" x14ac:dyDescent="0.35">
      <c r="A137" s="1319"/>
      <c r="D137" s="601"/>
      <c r="E137" s="601"/>
    </row>
    <row r="138" spans="1:10" s="602" customFormat="1" x14ac:dyDescent="0.35">
      <c r="A138" s="1319"/>
      <c r="D138" s="601"/>
      <c r="E138" s="601"/>
    </row>
    <row r="139" spans="1:10" s="602" customFormat="1" x14ac:dyDescent="0.35">
      <c r="A139" s="1319"/>
      <c r="D139" s="601"/>
      <c r="E139" s="601"/>
    </row>
    <row r="140" spans="1:10" s="602" customFormat="1" x14ac:dyDescent="0.35">
      <c r="A140" s="1319"/>
      <c r="D140" s="601"/>
      <c r="E140" s="601"/>
    </row>
    <row r="141" spans="1:10" s="602" customFormat="1" x14ac:dyDescent="0.35">
      <c r="A141" s="1319"/>
      <c r="D141" s="601"/>
      <c r="E141" s="601"/>
    </row>
    <row r="142" spans="1:10" s="602" customFormat="1" x14ac:dyDescent="0.35">
      <c r="A142" s="1319"/>
      <c r="D142" s="601"/>
      <c r="E142" s="601"/>
    </row>
    <row r="143" spans="1:10" s="602" customFormat="1" x14ac:dyDescent="0.35">
      <c r="A143" s="1319"/>
      <c r="D143" s="601"/>
      <c r="E143" s="601"/>
    </row>
    <row r="144" spans="1:10" s="602" customFormat="1" x14ac:dyDescent="0.35">
      <c r="A144" s="1319"/>
      <c r="D144" s="601"/>
      <c r="E144" s="601"/>
    </row>
    <row r="145" spans="1:5" s="602" customFormat="1" x14ac:dyDescent="0.35">
      <c r="A145" s="1319"/>
      <c r="D145" s="601"/>
      <c r="E145" s="601"/>
    </row>
    <row r="146" spans="1:5" s="602" customFormat="1" x14ac:dyDescent="0.35">
      <c r="A146" s="1319"/>
      <c r="D146" s="601"/>
      <c r="E146" s="601"/>
    </row>
    <row r="147" spans="1:5" s="602" customFormat="1" x14ac:dyDescent="0.35">
      <c r="A147" s="1319"/>
      <c r="D147" s="601"/>
      <c r="E147" s="601"/>
    </row>
    <row r="148" spans="1:5" s="602" customFormat="1" x14ac:dyDescent="0.35">
      <c r="A148" s="1319"/>
      <c r="D148" s="601"/>
      <c r="E148" s="601"/>
    </row>
    <row r="149" spans="1:5" s="602" customFormat="1" x14ac:dyDescent="0.35">
      <c r="A149" s="1319"/>
      <c r="D149" s="601"/>
      <c r="E149" s="601"/>
    </row>
    <row r="150" spans="1:5" s="602" customFormat="1" x14ac:dyDescent="0.35">
      <c r="A150" s="1319"/>
      <c r="D150" s="601"/>
      <c r="E150" s="601"/>
    </row>
    <row r="151" spans="1:5" s="602" customFormat="1" x14ac:dyDescent="0.35">
      <c r="A151" s="1319"/>
      <c r="D151" s="601"/>
      <c r="E151" s="601"/>
    </row>
    <row r="152" spans="1:5" s="602" customFormat="1" x14ac:dyDescent="0.35">
      <c r="A152" s="1319"/>
      <c r="D152" s="601"/>
      <c r="E152" s="601"/>
    </row>
    <row r="153" spans="1:5" s="602" customFormat="1" x14ac:dyDescent="0.35">
      <c r="A153" s="1319"/>
      <c r="D153" s="601"/>
      <c r="E153" s="601"/>
    </row>
    <row r="154" spans="1:5" s="602" customFormat="1" x14ac:dyDescent="0.35">
      <c r="A154" s="1319"/>
      <c r="D154" s="601"/>
      <c r="E154" s="601"/>
    </row>
    <row r="155" spans="1:5" s="602" customFormat="1" x14ac:dyDescent="0.35">
      <c r="A155" s="1319"/>
      <c r="D155" s="601"/>
      <c r="E155" s="601"/>
    </row>
    <row r="156" spans="1:5" s="602" customFormat="1" x14ac:dyDescent="0.35">
      <c r="A156" s="1319"/>
      <c r="D156" s="601"/>
      <c r="E156" s="601"/>
    </row>
    <row r="157" spans="1:5" s="602" customFormat="1" x14ac:dyDescent="0.35">
      <c r="A157" s="1319"/>
      <c r="D157" s="601"/>
      <c r="E157" s="601"/>
    </row>
    <row r="158" spans="1:5" s="602" customFormat="1" x14ac:dyDescent="0.35">
      <c r="A158" s="1319"/>
      <c r="D158" s="601"/>
      <c r="E158" s="601"/>
    </row>
    <row r="159" spans="1:5" s="602" customFormat="1" x14ac:dyDescent="0.35">
      <c r="A159" s="1319"/>
      <c r="D159" s="601"/>
      <c r="E159" s="601"/>
    </row>
    <row r="160" spans="1:5" s="602" customFormat="1" x14ac:dyDescent="0.35">
      <c r="A160" s="1319"/>
      <c r="D160" s="601"/>
      <c r="E160" s="601"/>
    </row>
    <row r="161" spans="1:5" s="602" customFormat="1" x14ac:dyDescent="0.35">
      <c r="A161" s="1319"/>
      <c r="D161" s="601"/>
      <c r="E161" s="601"/>
    </row>
    <row r="162" spans="1:5" s="602" customFormat="1" x14ac:dyDescent="0.35">
      <c r="A162" s="1319"/>
      <c r="D162" s="601"/>
      <c r="E162" s="601"/>
    </row>
    <row r="163" spans="1:5" s="602" customFormat="1" x14ac:dyDescent="0.35">
      <c r="A163" s="1319"/>
      <c r="D163" s="601"/>
      <c r="E163" s="601"/>
    </row>
    <row r="164" spans="1:5" s="602" customFormat="1" x14ac:dyDescent="0.35">
      <c r="A164" s="1319"/>
      <c r="D164" s="601"/>
      <c r="E164" s="601"/>
    </row>
    <row r="165" spans="1:5" s="602" customFormat="1" x14ac:dyDescent="0.35">
      <c r="A165" s="1319"/>
      <c r="D165" s="601"/>
      <c r="E165" s="601"/>
    </row>
    <row r="166" spans="1:5" s="602" customFormat="1" x14ac:dyDescent="0.35">
      <c r="A166" s="1319"/>
      <c r="D166" s="601"/>
      <c r="E166" s="601"/>
    </row>
    <row r="167" spans="1:5" s="602" customFormat="1" x14ac:dyDescent="0.35">
      <c r="A167" s="1319"/>
      <c r="D167" s="601"/>
      <c r="E167" s="601"/>
    </row>
    <row r="168" spans="1:5" s="602" customFormat="1" x14ac:dyDescent="0.35">
      <c r="A168" s="1319"/>
      <c r="D168" s="601"/>
      <c r="E168" s="601"/>
    </row>
    <row r="169" spans="1:5" s="602" customFormat="1" x14ac:dyDescent="0.35">
      <c r="A169" s="1319"/>
      <c r="D169" s="601"/>
      <c r="E169" s="601"/>
    </row>
    <row r="170" spans="1:5" s="602" customFormat="1" x14ac:dyDescent="0.35">
      <c r="A170" s="1319"/>
      <c r="D170" s="601"/>
      <c r="E170" s="601"/>
    </row>
    <row r="171" spans="1:5" s="602" customFormat="1" x14ac:dyDescent="0.35">
      <c r="A171" s="1319"/>
      <c r="D171" s="601"/>
      <c r="E171" s="601"/>
    </row>
    <row r="172" spans="1:5" s="602" customFormat="1" x14ac:dyDescent="0.35">
      <c r="A172" s="1319"/>
      <c r="D172" s="601"/>
      <c r="E172" s="601"/>
    </row>
    <row r="173" spans="1:5" s="602" customFormat="1" x14ac:dyDescent="0.35">
      <c r="A173" s="1319"/>
      <c r="D173" s="601"/>
      <c r="E173" s="601"/>
    </row>
    <row r="174" spans="1:5" s="602" customFormat="1" x14ac:dyDescent="0.35">
      <c r="A174" s="1319"/>
      <c r="D174" s="601"/>
      <c r="E174" s="601"/>
    </row>
    <row r="175" spans="1:5" s="602" customFormat="1" x14ac:dyDescent="0.35">
      <c r="A175" s="1319"/>
      <c r="D175" s="601"/>
      <c r="E175" s="601"/>
    </row>
    <row r="176" spans="1:5" s="602" customFormat="1" x14ac:dyDescent="0.35">
      <c r="A176" s="1319"/>
      <c r="D176" s="601"/>
      <c r="E176" s="601"/>
    </row>
    <row r="177" spans="1:5" s="602" customFormat="1" x14ac:dyDescent="0.35">
      <c r="A177" s="1319"/>
      <c r="D177" s="601"/>
      <c r="E177" s="601"/>
    </row>
    <row r="178" spans="1:5" s="602" customFormat="1" x14ac:dyDescent="0.35">
      <c r="A178" s="1319"/>
      <c r="D178" s="601"/>
      <c r="E178" s="601"/>
    </row>
    <row r="179" spans="1:5" s="602" customFormat="1" x14ac:dyDescent="0.35">
      <c r="A179" s="1319"/>
      <c r="D179" s="601"/>
      <c r="E179" s="601"/>
    </row>
    <row r="180" spans="1:5" s="602" customFormat="1" x14ac:dyDescent="0.35">
      <c r="A180" s="1319"/>
      <c r="D180" s="601"/>
      <c r="E180" s="601"/>
    </row>
    <row r="181" spans="1:5" s="602" customFormat="1" x14ac:dyDescent="0.35">
      <c r="A181" s="1319"/>
      <c r="D181" s="601"/>
      <c r="E181" s="601"/>
    </row>
    <row r="182" spans="1:5" s="602" customFormat="1" x14ac:dyDescent="0.35">
      <c r="A182" s="1319"/>
      <c r="D182" s="601"/>
      <c r="E182" s="601"/>
    </row>
    <row r="183" spans="1:5" s="602" customFormat="1" x14ac:dyDescent="0.35">
      <c r="A183" s="1319"/>
      <c r="D183" s="601"/>
      <c r="E183" s="601"/>
    </row>
    <row r="184" spans="1:5" s="602" customFormat="1" x14ac:dyDescent="0.35">
      <c r="A184" s="1319"/>
      <c r="D184" s="601"/>
      <c r="E184" s="601"/>
    </row>
    <row r="185" spans="1:5" s="602" customFormat="1" x14ac:dyDescent="0.35">
      <c r="A185" s="1319"/>
      <c r="D185" s="601"/>
      <c r="E185" s="601"/>
    </row>
    <row r="186" spans="1:5" s="602" customFormat="1" x14ac:dyDescent="0.35">
      <c r="A186" s="1319"/>
      <c r="D186" s="601"/>
      <c r="E186" s="601"/>
    </row>
    <row r="187" spans="1:5" s="602" customFormat="1" x14ac:dyDescent="0.35">
      <c r="A187" s="1319"/>
      <c r="D187" s="601"/>
      <c r="E187" s="601"/>
    </row>
    <row r="188" spans="1:5" s="602" customFormat="1" x14ac:dyDescent="0.35">
      <c r="A188" s="1319"/>
      <c r="D188" s="601"/>
      <c r="E188" s="601"/>
    </row>
    <row r="189" spans="1:5" s="602" customFormat="1" x14ac:dyDescent="0.35">
      <c r="A189" s="1319"/>
      <c r="D189" s="601"/>
      <c r="E189" s="601"/>
    </row>
    <row r="190" spans="1:5" s="602" customFormat="1" x14ac:dyDescent="0.35">
      <c r="A190" s="1319"/>
      <c r="D190" s="601"/>
      <c r="E190" s="601"/>
    </row>
    <row r="191" spans="1:5" s="602" customFormat="1" x14ac:dyDescent="0.35">
      <c r="A191" s="1319"/>
      <c r="D191" s="601"/>
      <c r="E191" s="601"/>
    </row>
    <row r="192" spans="1:5" s="602" customFormat="1" x14ac:dyDescent="0.35">
      <c r="A192" s="1319"/>
      <c r="D192" s="601"/>
      <c r="E192" s="601"/>
    </row>
    <row r="193" spans="1:6" s="602" customFormat="1" x14ac:dyDescent="0.35">
      <c r="A193" s="1319"/>
      <c r="D193" s="601"/>
      <c r="E193" s="601"/>
    </row>
    <row r="194" spans="1:6" s="602" customFormat="1" x14ac:dyDescent="0.35">
      <c r="A194" s="1319"/>
      <c r="D194" s="601"/>
      <c r="E194" s="601"/>
    </row>
    <row r="195" spans="1:6" s="602" customFormat="1" x14ac:dyDescent="0.35">
      <c r="A195" s="1319"/>
      <c r="D195" s="601"/>
      <c r="E195" s="601"/>
    </row>
    <row r="196" spans="1:6" s="602" customFormat="1" x14ac:dyDescent="0.35">
      <c r="A196" s="1319"/>
      <c r="D196" s="601"/>
      <c r="E196" s="601"/>
    </row>
    <row r="197" spans="1:6" s="602" customFormat="1" x14ac:dyDescent="0.35">
      <c r="A197" s="1319"/>
      <c r="D197" s="601"/>
      <c r="E197" s="601"/>
    </row>
    <row r="198" spans="1:6" s="602" customFormat="1" x14ac:dyDescent="0.35">
      <c r="A198" s="1319"/>
      <c r="D198" s="601"/>
      <c r="E198" s="601"/>
    </row>
    <row r="199" spans="1:6" s="602" customFormat="1" x14ac:dyDescent="0.35">
      <c r="A199" s="1319"/>
      <c r="D199" s="601"/>
      <c r="E199" s="601"/>
    </row>
    <row r="200" spans="1:6" s="602" customFormat="1" x14ac:dyDescent="0.35">
      <c r="A200" s="1319"/>
      <c r="D200" s="601"/>
      <c r="E200" s="601"/>
    </row>
    <row r="201" spans="1:6" s="602" customFormat="1" x14ac:dyDescent="0.35">
      <c r="A201" s="1319"/>
      <c r="D201" s="601"/>
      <c r="E201" s="601"/>
    </row>
    <row r="202" spans="1:6" s="602" customFormat="1" x14ac:dyDescent="0.35">
      <c r="A202" s="1319"/>
      <c r="F202" s="601"/>
    </row>
    <row r="203" spans="1:6" s="602" customFormat="1" x14ac:dyDescent="0.35">
      <c r="A203" s="1319"/>
      <c r="F203" s="601"/>
    </row>
    <row r="204" spans="1:6" s="602" customFormat="1" x14ac:dyDescent="0.35">
      <c r="A204" s="1319"/>
      <c r="F204" s="601"/>
    </row>
    <row r="205" spans="1:6" s="602" customFormat="1" x14ac:dyDescent="0.35">
      <c r="A205" s="1319"/>
      <c r="F205" s="601"/>
    </row>
    <row r="206" spans="1:6" s="602" customFormat="1" x14ac:dyDescent="0.35">
      <c r="A206" s="1319"/>
      <c r="F206" s="601"/>
    </row>
    <row r="207" spans="1:6" x14ac:dyDescent="0.35">
      <c r="B207" s="602"/>
      <c r="C207" s="602"/>
    </row>
    <row r="208" spans="1:6" x14ac:dyDescent="0.35">
      <c r="B208" s="602"/>
      <c r="C208" s="602"/>
    </row>
    <row r="209" spans="2:3" x14ac:dyDescent="0.35">
      <c r="B209" s="602"/>
      <c r="C209" s="602"/>
    </row>
    <row r="210" spans="2:3" x14ac:dyDescent="0.35">
      <c r="B210" s="602"/>
      <c r="C210" s="602"/>
    </row>
    <row r="211" spans="2:3" x14ac:dyDescent="0.35">
      <c r="B211" s="602"/>
      <c r="C211" s="602"/>
    </row>
    <row r="212" spans="2:3" x14ac:dyDescent="0.35">
      <c r="B212" s="602"/>
      <c r="C212" s="602"/>
    </row>
    <row r="213" spans="2:3" x14ac:dyDescent="0.35">
      <c r="B213" s="602"/>
      <c r="C213" s="602"/>
    </row>
    <row r="214" spans="2:3" x14ac:dyDescent="0.35">
      <c r="B214" s="602"/>
      <c r="C214" s="602"/>
    </row>
    <row r="215" spans="2:3" x14ac:dyDescent="0.35">
      <c r="B215" s="602"/>
      <c r="C215" s="602"/>
    </row>
    <row r="216" spans="2:3" x14ac:dyDescent="0.35">
      <c r="B216" s="602"/>
      <c r="C216" s="602"/>
    </row>
    <row r="217" spans="2:3" x14ac:dyDescent="0.35">
      <c r="B217" s="602"/>
      <c r="C217" s="602"/>
    </row>
    <row r="218" spans="2:3" x14ac:dyDescent="0.35">
      <c r="B218" s="602"/>
      <c r="C218" s="602"/>
    </row>
    <row r="219" spans="2:3" x14ac:dyDescent="0.35">
      <c r="B219" s="602"/>
      <c r="C219" s="602"/>
    </row>
    <row r="220" spans="2:3" x14ac:dyDescent="0.35">
      <c r="B220" s="602"/>
      <c r="C220" s="602"/>
    </row>
    <row r="221" spans="2:3" x14ac:dyDescent="0.35">
      <c r="B221" s="602"/>
      <c r="C221" s="602"/>
    </row>
    <row r="222" spans="2:3" x14ac:dyDescent="0.35">
      <c r="B222" s="602"/>
      <c r="C222" s="602"/>
    </row>
    <row r="223" spans="2:3" x14ac:dyDescent="0.35">
      <c r="B223" s="602"/>
      <c r="C223" s="602"/>
    </row>
    <row r="224" spans="2:3" x14ac:dyDescent="0.35">
      <c r="B224" s="602"/>
      <c r="C224" s="602"/>
    </row>
    <row r="225" spans="2:3" x14ac:dyDescent="0.35">
      <c r="B225" s="602"/>
      <c r="C225" s="602"/>
    </row>
    <row r="226" spans="2:3" x14ac:dyDescent="0.35">
      <c r="B226" s="602"/>
      <c r="C226" s="602"/>
    </row>
    <row r="227" spans="2:3" x14ac:dyDescent="0.35">
      <c r="B227" s="602"/>
      <c r="C227" s="602"/>
    </row>
    <row r="228" spans="2:3" x14ac:dyDescent="0.35">
      <c r="B228" s="602"/>
      <c r="C228" s="602"/>
    </row>
    <row r="229" spans="2:3" x14ac:dyDescent="0.35">
      <c r="B229" s="602"/>
      <c r="C229" s="602"/>
    </row>
    <row r="230" spans="2:3" x14ac:dyDescent="0.35">
      <c r="B230" s="602"/>
      <c r="C230" s="602"/>
    </row>
    <row r="231" spans="2:3" x14ac:dyDescent="0.35">
      <c r="B231" s="602"/>
      <c r="C231" s="602"/>
    </row>
    <row r="232" spans="2:3" x14ac:dyDescent="0.35">
      <c r="B232" s="602"/>
      <c r="C232" s="602"/>
    </row>
    <row r="233" spans="2:3" x14ac:dyDescent="0.35">
      <c r="B233" s="602"/>
      <c r="C233" s="602"/>
    </row>
    <row r="234" spans="2:3" x14ac:dyDescent="0.35">
      <c r="B234" s="602"/>
      <c r="C234" s="602"/>
    </row>
    <row r="235" spans="2:3" x14ac:dyDescent="0.35">
      <c r="B235" s="602"/>
      <c r="C235" s="602"/>
    </row>
    <row r="236" spans="2:3" x14ac:dyDescent="0.35">
      <c r="B236" s="602"/>
      <c r="C236" s="602"/>
    </row>
    <row r="237" spans="2:3" x14ac:dyDescent="0.35">
      <c r="B237" s="602"/>
      <c r="C237" s="602"/>
    </row>
    <row r="238" spans="2:3" x14ac:dyDescent="0.35">
      <c r="B238" s="602"/>
      <c r="C238" s="602"/>
    </row>
    <row r="239" spans="2:3" x14ac:dyDescent="0.35">
      <c r="B239" s="602"/>
      <c r="C239" s="602"/>
    </row>
    <row r="240" spans="2:3" x14ac:dyDescent="0.35">
      <c r="B240" s="602"/>
      <c r="C240" s="602"/>
    </row>
    <row r="241" spans="2:3" x14ac:dyDescent="0.35">
      <c r="B241" s="602"/>
      <c r="C241" s="602"/>
    </row>
    <row r="242" spans="2:3" x14ac:dyDescent="0.35">
      <c r="B242" s="602"/>
      <c r="C242" s="602"/>
    </row>
    <row r="243" spans="2:3" x14ac:dyDescent="0.35">
      <c r="B243" s="602"/>
      <c r="C243" s="602"/>
    </row>
    <row r="244" spans="2:3" x14ac:dyDescent="0.35">
      <c r="B244" s="602"/>
      <c r="C244" s="602"/>
    </row>
    <row r="245" spans="2:3" x14ac:dyDescent="0.35">
      <c r="B245" s="602"/>
      <c r="C245" s="602"/>
    </row>
    <row r="246" spans="2:3" x14ac:dyDescent="0.35">
      <c r="B246" s="602"/>
      <c r="C246" s="602"/>
    </row>
    <row r="247" spans="2:3" x14ac:dyDescent="0.35">
      <c r="B247" s="602"/>
      <c r="C247" s="602"/>
    </row>
    <row r="248" spans="2:3" x14ac:dyDescent="0.35">
      <c r="B248" s="602"/>
      <c r="C248" s="602"/>
    </row>
    <row r="249" spans="2:3" x14ac:dyDescent="0.35">
      <c r="B249" s="602"/>
      <c r="C249" s="602"/>
    </row>
    <row r="250" spans="2:3" x14ac:dyDescent="0.35">
      <c r="B250" s="602"/>
      <c r="C250" s="602"/>
    </row>
    <row r="251" spans="2:3" x14ac:dyDescent="0.35">
      <c r="B251" s="602"/>
      <c r="C251" s="602"/>
    </row>
    <row r="252" spans="2:3" x14ac:dyDescent="0.35">
      <c r="B252" s="602"/>
      <c r="C252" s="602"/>
    </row>
    <row r="253" spans="2:3" x14ac:dyDescent="0.35">
      <c r="B253" s="602"/>
      <c r="C253" s="602"/>
    </row>
    <row r="254" spans="2:3" x14ac:dyDescent="0.35">
      <c r="B254" s="602"/>
      <c r="C254" s="602"/>
    </row>
    <row r="255" spans="2:3" x14ac:dyDescent="0.35">
      <c r="B255" s="602"/>
      <c r="C255" s="602"/>
    </row>
    <row r="256" spans="2:3" x14ac:dyDescent="0.35">
      <c r="B256" s="602"/>
      <c r="C256" s="602"/>
    </row>
    <row r="257" spans="2:3" x14ac:dyDescent="0.35">
      <c r="B257" s="602"/>
      <c r="C257" s="602"/>
    </row>
    <row r="258" spans="2:3" x14ac:dyDescent="0.35">
      <c r="B258" s="602"/>
      <c r="C258" s="602"/>
    </row>
    <row r="259" spans="2:3" x14ac:dyDescent="0.35">
      <c r="B259" s="602"/>
      <c r="C259" s="602"/>
    </row>
    <row r="260" spans="2:3" x14ac:dyDescent="0.35">
      <c r="B260" s="602"/>
      <c r="C260" s="602"/>
    </row>
    <row r="261" spans="2:3" x14ac:dyDescent="0.35">
      <c r="B261" s="602"/>
      <c r="C261" s="602"/>
    </row>
    <row r="262" spans="2:3" x14ac:dyDescent="0.35">
      <c r="B262" s="602"/>
      <c r="C262" s="602"/>
    </row>
    <row r="263" spans="2:3" x14ac:dyDescent="0.35">
      <c r="B263" s="602"/>
      <c r="C263" s="602"/>
    </row>
    <row r="264" spans="2:3" x14ac:dyDescent="0.35">
      <c r="B264" s="602"/>
      <c r="C264" s="602"/>
    </row>
    <row r="265" spans="2:3" x14ac:dyDescent="0.35">
      <c r="B265" s="602"/>
      <c r="C265" s="602"/>
    </row>
    <row r="266" spans="2:3" x14ac:dyDescent="0.35">
      <c r="B266" s="602"/>
      <c r="C266" s="602"/>
    </row>
    <row r="267" spans="2:3" x14ac:dyDescent="0.35">
      <c r="B267" s="602"/>
      <c r="C267" s="602"/>
    </row>
    <row r="268" spans="2:3" x14ac:dyDescent="0.35">
      <c r="B268" s="602"/>
      <c r="C268" s="602"/>
    </row>
    <row r="269" spans="2:3" x14ac:dyDescent="0.35">
      <c r="B269" s="602"/>
      <c r="C269" s="602"/>
    </row>
    <row r="270" spans="2:3" x14ac:dyDescent="0.35">
      <c r="B270" s="602"/>
      <c r="C270" s="602"/>
    </row>
    <row r="271" spans="2:3" x14ac:dyDescent="0.35">
      <c r="B271" s="602"/>
      <c r="C271" s="602"/>
    </row>
    <row r="272" spans="2:3" x14ac:dyDescent="0.35">
      <c r="B272" s="602"/>
      <c r="C272" s="602"/>
    </row>
    <row r="273" spans="2:3" x14ac:dyDescent="0.35">
      <c r="B273" s="602"/>
      <c r="C273" s="602"/>
    </row>
    <row r="274" spans="2:3" x14ac:dyDescent="0.35">
      <c r="B274" s="602"/>
      <c r="C274" s="602"/>
    </row>
    <row r="275" spans="2:3" x14ac:dyDescent="0.35">
      <c r="B275" s="602"/>
      <c r="C275" s="602"/>
    </row>
    <row r="276" spans="2:3" x14ac:dyDescent="0.35">
      <c r="B276" s="602"/>
      <c r="C276" s="602"/>
    </row>
    <row r="277" spans="2:3" x14ac:dyDescent="0.35">
      <c r="B277" s="602"/>
      <c r="C277" s="602"/>
    </row>
    <row r="278" spans="2:3" x14ac:dyDescent="0.35">
      <c r="B278" s="602"/>
      <c r="C278" s="602"/>
    </row>
    <row r="279" spans="2:3" x14ac:dyDescent="0.35">
      <c r="B279" s="602"/>
      <c r="C279" s="602"/>
    </row>
    <row r="280" spans="2:3" x14ac:dyDescent="0.35">
      <c r="B280" s="602"/>
      <c r="C280" s="602"/>
    </row>
    <row r="281" spans="2:3" x14ac:dyDescent="0.35">
      <c r="B281" s="602"/>
      <c r="C281" s="602"/>
    </row>
    <row r="282" spans="2:3" x14ac:dyDescent="0.35">
      <c r="B282" s="602"/>
      <c r="C282" s="602"/>
    </row>
    <row r="283" spans="2:3" x14ac:dyDescent="0.35">
      <c r="B283" s="602"/>
      <c r="C283" s="602"/>
    </row>
    <row r="284" spans="2:3" x14ac:dyDescent="0.35">
      <c r="B284" s="602"/>
      <c r="C284" s="602"/>
    </row>
    <row r="285" spans="2:3" x14ac:dyDescent="0.35">
      <c r="B285" s="602"/>
      <c r="C285" s="602"/>
    </row>
    <row r="286" spans="2:3" x14ac:dyDescent="0.35">
      <c r="B286" s="602"/>
      <c r="C286" s="602"/>
    </row>
    <row r="287" spans="2:3" x14ac:dyDescent="0.35">
      <c r="B287" s="602"/>
      <c r="C287" s="602"/>
    </row>
    <row r="288" spans="2:3" x14ac:dyDescent="0.35">
      <c r="B288" s="602"/>
      <c r="C288" s="602"/>
    </row>
    <row r="289" spans="2:3" x14ac:dyDescent="0.35">
      <c r="B289" s="602"/>
      <c r="C289" s="602"/>
    </row>
    <row r="290" spans="2:3" x14ac:dyDescent="0.35">
      <c r="B290" s="602"/>
      <c r="C290" s="602"/>
    </row>
    <row r="291" spans="2:3" x14ac:dyDescent="0.35">
      <c r="B291" s="602"/>
      <c r="C291" s="602"/>
    </row>
    <row r="292" spans="2:3" x14ac:dyDescent="0.35">
      <c r="B292" s="602"/>
      <c r="C292" s="602"/>
    </row>
    <row r="293" spans="2:3" x14ac:dyDescent="0.35">
      <c r="B293" s="602"/>
      <c r="C293" s="602"/>
    </row>
    <row r="294" spans="2:3" x14ac:dyDescent="0.35">
      <c r="B294" s="602"/>
      <c r="C294" s="602"/>
    </row>
    <row r="295" spans="2:3" x14ac:dyDescent="0.35">
      <c r="B295" s="602"/>
      <c r="C295" s="602"/>
    </row>
    <row r="296" spans="2:3" x14ac:dyDescent="0.35">
      <c r="B296" s="602"/>
      <c r="C296" s="602"/>
    </row>
    <row r="297" spans="2:3" x14ac:dyDescent="0.35">
      <c r="B297" s="602"/>
      <c r="C297" s="602"/>
    </row>
    <row r="298" spans="2:3" x14ac:dyDescent="0.35">
      <c r="B298" s="602"/>
      <c r="C298" s="602"/>
    </row>
    <row r="299" spans="2:3" x14ac:dyDescent="0.35">
      <c r="B299" s="602"/>
      <c r="C299" s="602"/>
    </row>
    <row r="300" spans="2:3" x14ac:dyDescent="0.35">
      <c r="B300" s="602"/>
      <c r="C300" s="602"/>
    </row>
    <row r="301" spans="2:3" x14ac:dyDescent="0.35">
      <c r="B301" s="602"/>
      <c r="C301" s="602"/>
    </row>
    <row r="302" spans="2:3" x14ac:dyDescent="0.35">
      <c r="B302" s="602"/>
      <c r="C302" s="602"/>
    </row>
    <row r="303" spans="2:3" x14ac:dyDescent="0.35">
      <c r="B303" s="602"/>
      <c r="C303" s="602"/>
    </row>
    <row r="304" spans="2:3" x14ac:dyDescent="0.35">
      <c r="B304" s="602"/>
      <c r="C304" s="602"/>
    </row>
    <row r="305" spans="2:3" x14ac:dyDescent="0.35">
      <c r="B305" s="602"/>
      <c r="C305" s="602"/>
    </row>
    <row r="306" spans="2:3" x14ac:dyDescent="0.35">
      <c r="B306" s="602"/>
      <c r="C306" s="602"/>
    </row>
    <row r="307" spans="2:3" x14ac:dyDescent="0.35">
      <c r="B307" s="602"/>
      <c r="C307" s="602"/>
    </row>
    <row r="308" spans="2:3" x14ac:dyDescent="0.35">
      <c r="B308" s="602"/>
      <c r="C308" s="602"/>
    </row>
    <row r="309" spans="2:3" x14ac:dyDescent="0.35">
      <c r="B309" s="602"/>
      <c r="C309" s="602"/>
    </row>
    <row r="310" spans="2:3" x14ac:dyDescent="0.35">
      <c r="B310" s="602"/>
      <c r="C310" s="602"/>
    </row>
    <row r="311" spans="2:3" x14ac:dyDescent="0.35">
      <c r="B311" s="602"/>
      <c r="C311" s="602"/>
    </row>
    <row r="312" spans="2:3" x14ac:dyDescent="0.35">
      <c r="B312" s="602"/>
      <c r="C312" s="602"/>
    </row>
    <row r="313" spans="2:3" x14ac:dyDescent="0.35">
      <c r="B313" s="602"/>
      <c r="C313" s="602"/>
    </row>
    <row r="314" spans="2:3" x14ac:dyDescent="0.35">
      <c r="B314" s="602"/>
      <c r="C314" s="602"/>
    </row>
    <row r="315" spans="2:3" x14ac:dyDescent="0.35">
      <c r="B315" s="602"/>
      <c r="C315" s="602"/>
    </row>
    <row r="316" spans="2:3" x14ac:dyDescent="0.35">
      <c r="B316" s="602"/>
      <c r="C316" s="602"/>
    </row>
    <row r="317" spans="2:3" x14ac:dyDescent="0.35">
      <c r="B317" s="602"/>
      <c r="C317" s="602"/>
    </row>
    <row r="318" spans="2:3" x14ac:dyDescent="0.35">
      <c r="B318" s="602"/>
      <c r="C318" s="602"/>
    </row>
    <row r="319" spans="2:3" x14ac:dyDescent="0.35">
      <c r="B319" s="602"/>
      <c r="C319" s="602"/>
    </row>
    <row r="320" spans="2:3" x14ac:dyDescent="0.35">
      <c r="B320" s="602"/>
      <c r="C320" s="602"/>
    </row>
    <row r="321" spans="2:3" x14ac:dyDescent="0.35">
      <c r="B321" s="602"/>
      <c r="C321" s="602"/>
    </row>
    <row r="322" spans="2:3" x14ac:dyDescent="0.35">
      <c r="B322" s="602"/>
      <c r="C322" s="602"/>
    </row>
    <row r="323" spans="2:3" x14ac:dyDescent="0.35">
      <c r="B323" s="602"/>
      <c r="C323" s="602"/>
    </row>
    <row r="324" spans="2:3" x14ac:dyDescent="0.35">
      <c r="B324" s="602"/>
      <c r="C324" s="602"/>
    </row>
    <row r="325" spans="2:3" x14ac:dyDescent="0.35">
      <c r="B325" s="602"/>
      <c r="C325" s="602"/>
    </row>
    <row r="326" spans="2:3" x14ac:dyDescent="0.35">
      <c r="B326" s="602"/>
      <c r="C326" s="602"/>
    </row>
    <row r="327" spans="2:3" x14ac:dyDescent="0.35">
      <c r="B327" s="602"/>
      <c r="C327" s="602"/>
    </row>
    <row r="328" spans="2:3" x14ac:dyDescent="0.35">
      <c r="B328" s="602"/>
      <c r="C328" s="602"/>
    </row>
    <row r="329" spans="2:3" x14ac:dyDescent="0.35">
      <c r="B329" s="602"/>
      <c r="C329" s="602"/>
    </row>
    <row r="330" spans="2:3" x14ac:dyDescent="0.35">
      <c r="B330" s="602"/>
      <c r="C330" s="602"/>
    </row>
    <row r="331" spans="2:3" x14ac:dyDescent="0.35">
      <c r="B331" s="602"/>
      <c r="C331" s="602"/>
    </row>
    <row r="332" spans="2:3" x14ac:dyDescent="0.35">
      <c r="B332" s="602"/>
      <c r="C332" s="602"/>
    </row>
    <row r="333" spans="2:3" x14ac:dyDescent="0.35">
      <c r="B333" s="602"/>
      <c r="C333" s="602"/>
    </row>
    <row r="334" spans="2:3" x14ac:dyDescent="0.35">
      <c r="B334" s="602"/>
      <c r="C334" s="602"/>
    </row>
    <row r="335" spans="2:3" x14ac:dyDescent="0.35">
      <c r="B335" s="602"/>
      <c r="C335" s="602"/>
    </row>
    <row r="336" spans="2:3" x14ac:dyDescent="0.35">
      <c r="B336" s="602"/>
      <c r="C336" s="602"/>
    </row>
    <row r="337" spans="2:3" x14ac:dyDescent="0.35">
      <c r="B337" s="602"/>
      <c r="C337" s="602"/>
    </row>
    <row r="338" spans="2:3" x14ac:dyDescent="0.35">
      <c r="B338" s="602"/>
      <c r="C338" s="602"/>
    </row>
    <row r="339" spans="2:3" x14ac:dyDescent="0.35">
      <c r="B339" s="602"/>
      <c r="C339" s="602"/>
    </row>
    <row r="340" spans="2:3" x14ac:dyDescent="0.35">
      <c r="B340" s="602"/>
      <c r="C340" s="602"/>
    </row>
    <row r="341" spans="2:3" x14ac:dyDescent="0.35">
      <c r="B341" s="602"/>
      <c r="C341" s="602"/>
    </row>
    <row r="342" spans="2:3" x14ac:dyDescent="0.35">
      <c r="B342" s="602"/>
      <c r="C342" s="602"/>
    </row>
    <row r="343" spans="2:3" x14ac:dyDescent="0.35">
      <c r="B343" s="602"/>
      <c r="C343" s="602"/>
    </row>
    <row r="344" spans="2:3" x14ac:dyDescent="0.35">
      <c r="B344" s="602"/>
      <c r="C344" s="602"/>
    </row>
    <row r="345" spans="2:3" x14ac:dyDescent="0.35">
      <c r="B345" s="602"/>
      <c r="C345" s="602"/>
    </row>
    <row r="346" spans="2:3" x14ac:dyDescent="0.35">
      <c r="B346" s="602"/>
      <c r="C346" s="602"/>
    </row>
    <row r="347" spans="2:3" x14ac:dyDescent="0.35">
      <c r="B347" s="602"/>
      <c r="C347" s="602"/>
    </row>
    <row r="348" spans="2:3" x14ac:dyDescent="0.35">
      <c r="B348" s="602"/>
      <c r="C348" s="602"/>
    </row>
    <row r="349" spans="2:3" x14ac:dyDescent="0.35">
      <c r="B349" s="602"/>
      <c r="C349" s="602"/>
    </row>
    <row r="350" spans="2:3" x14ac:dyDescent="0.35">
      <c r="B350" s="602"/>
      <c r="C350" s="602"/>
    </row>
    <row r="351" spans="2:3" x14ac:dyDescent="0.35">
      <c r="B351" s="602"/>
      <c r="C351" s="602"/>
    </row>
    <row r="352" spans="2:3" x14ac:dyDescent="0.35">
      <c r="B352" s="602"/>
      <c r="C352" s="602"/>
    </row>
    <row r="353" spans="2:3" x14ac:dyDescent="0.35">
      <c r="B353" s="602"/>
      <c r="C353" s="602"/>
    </row>
    <row r="354" spans="2:3" x14ac:dyDescent="0.35">
      <c r="B354" s="602"/>
      <c r="C354" s="602"/>
    </row>
    <row r="355" spans="2:3" x14ac:dyDescent="0.35">
      <c r="B355" s="602"/>
      <c r="C355" s="602"/>
    </row>
    <row r="356" spans="2:3" x14ac:dyDescent="0.35">
      <c r="B356" s="602"/>
      <c r="C356" s="602"/>
    </row>
    <row r="357" spans="2:3" x14ac:dyDescent="0.35">
      <c r="B357" s="602"/>
      <c r="C357" s="602"/>
    </row>
    <row r="358" spans="2:3" x14ac:dyDescent="0.35">
      <c r="B358" s="602"/>
      <c r="C358" s="602"/>
    </row>
    <row r="359" spans="2:3" x14ac:dyDescent="0.35">
      <c r="B359" s="602"/>
      <c r="C359" s="602"/>
    </row>
    <row r="360" spans="2:3" x14ac:dyDescent="0.35">
      <c r="B360" s="602"/>
      <c r="C360" s="602"/>
    </row>
    <row r="361" spans="2:3" x14ac:dyDescent="0.35">
      <c r="B361" s="602"/>
      <c r="C361" s="602"/>
    </row>
    <row r="362" spans="2:3" x14ac:dyDescent="0.35">
      <c r="B362" s="602"/>
      <c r="C362" s="602"/>
    </row>
    <row r="363" spans="2:3" x14ac:dyDescent="0.35">
      <c r="B363" s="602"/>
      <c r="C363" s="602"/>
    </row>
    <row r="364" spans="2:3" x14ac:dyDescent="0.35">
      <c r="B364" s="602"/>
      <c r="C364" s="602"/>
    </row>
    <row r="365" spans="2:3" x14ac:dyDescent="0.35">
      <c r="B365" s="602"/>
      <c r="C365" s="602"/>
    </row>
    <row r="366" spans="2:3" x14ac:dyDescent="0.35">
      <c r="B366" s="602"/>
      <c r="C366" s="602"/>
    </row>
    <row r="367" spans="2:3" x14ac:dyDescent="0.35">
      <c r="B367" s="602"/>
      <c r="C367" s="602"/>
    </row>
    <row r="368" spans="2:3" x14ac:dyDescent="0.35">
      <c r="B368" s="602"/>
      <c r="C368" s="602"/>
    </row>
    <row r="369" spans="2:3" x14ac:dyDescent="0.35">
      <c r="B369" s="602"/>
      <c r="C369" s="602"/>
    </row>
    <row r="370" spans="2:3" x14ac:dyDescent="0.35">
      <c r="B370" s="602"/>
      <c r="C370" s="602"/>
    </row>
    <row r="371" spans="2:3" x14ac:dyDescent="0.35">
      <c r="B371" s="602"/>
      <c r="C371" s="602"/>
    </row>
    <row r="372" spans="2:3" x14ac:dyDescent="0.35">
      <c r="B372" s="602"/>
      <c r="C372" s="602"/>
    </row>
    <row r="373" spans="2:3" x14ac:dyDescent="0.35">
      <c r="B373" s="602"/>
      <c r="C373" s="602"/>
    </row>
    <row r="374" spans="2:3" x14ac:dyDescent="0.35">
      <c r="B374" s="602"/>
      <c r="C374" s="602"/>
    </row>
    <row r="375" spans="2:3" x14ac:dyDescent="0.35">
      <c r="B375" s="602"/>
      <c r="C375" s="602"/>
    </row>
    <row r="376" spans="2:3" x14ac:dyDescent="0.35">
      <c r="B376" s="602"/>
      <c r="C376" s="602"/>
    </row>
    <row r="377" spans="2:3" x14ac:dyDescent="0.35">
      <c r="B377" s="602"/>
      <c r="C377" s="602"/>
    </row>
    <row r="378" spans="2:3" x14ac:dyDescent="0.35">
      <c r="B378" s="602"/>
      <c r="C378" s="602"/>
    </row>
    <row r="379" spans="2:3" x14ac:dyDescent="0.35">
      <c r="B379" s="602"/>
      <c r="C379" s="602"/>
    </row>
    <row r="380" spans="2:3" x14ac:dyDescent="0.35">
      <c r="B380" s="602"/>
      <c r="C380" s="602"/>
    </row>
    <row r="381" spans="2:3" x14ac:dyDescent="0.35">
      <c r="B381" s="602"/>
      <c r="C381" s="602"/>
    </row>
    <row r="382" spans="2:3" x14ac:dyDescent="0.35">
      <c r="B382" s="602"/>
      <c r="C382" s="602"/>
    </row>
    <row r="383" spans="2:3" x14ac:dyDescent="0.35">
      <c r="B383" s="602"/>
      <c r="C383" s="602"/>
    </row>
    <row r="384" spans="2:3" x14ac:dyDescent="0.35">
      <c r="B384" s="602"/>
      <c r="C384" s="602"/>
    </row>
    <row r="385" spans="2:3" x14ac:dyDescent="0.35">
      <c r="B385" s="602"/>
      <c r="C385" s="602"/>
    </row>
    <row r="386" spans="2:3" x14ac:dyDescent="0.35">
      <c r="B386" s="602"/>
      <c r="C386" s="602"/>
    </row>
    <row r="387" spans="2:3" x14ac:dyDescent="0.35">
      <c r="B387" s="602"/>
      <c r="C387" s="602"/>
    </row>
    <row r="388" spans="2:3" x14ac:dyDescent="0.35">
      <c r="B388" s="602"/>
      <c r="C388" s="602"/>
    </row>
    <row r="389" spans="2:3" x14ac:dyDescent="0.35">
      <c r="B389" s="602"/>
      <c r="C389" s="602"/>
    </row>
    <row r="390" spans="2:3" x14ac:dyDescent="0.35">
      <c r="B390" s="602"/>
      <c r="C390" s="602"/>
    </row>
    <row r="391" spans="2:3" x14ac:dyDescent="0.35">
      <c r="B391" s="602"/>
      <c r="C391" s="602"/>
    </row>
    <row r="392" spans="2:3" x14ac:dyDescent="0.35">
      <c r="B392" s="602"/>
      <c r="C392" s="602"/>
    </row>
    <row r="393" spans="2:3" x14ac:dyDescent="0.35">
      <c r="B393" s="602"/>
      <c r="C393" s="602"/>
    </row>
    <row r="394" spans="2:3" x14ac:dyDescent="0.35">
      <c r="B394" s="602"/>
      <c r="C394" s="602"/>
    </row>
    <row r="395" spans="2:3" x14ac:dyDescent="0.35">
      <c r="B395" s="602"/>
      <c r="C395" s="602"/>
    </row>
    <row r="396" spans="2:3" x14ac:dyDescent="0.35">
      <c r="B396" s="602"/>
      <c r="C396" s="602"/>
    </row>
    <row r="397" spans="2:3" x14ac:dyDescent="0.35">
      <c r="B397" s="602"/>
      <c r="C397" s="602"/>
    </row>
    <row r="398" spans="2:3" x14ac:dyDescent="0.35">
      <c r="B398" s="602"/>
      <c r="C398" s="602"/>
    </row>
    <row r="399" spans="2:3" x14ac:dyDescent="0.35">
      <c r="B399" s="602"/>
      <c r="C399" s="602"/>
    </row>
    <row r="400" spans="2:3" x14ac:dyDescent="0.35">
      <c r="B400" s="602"/>
      <c r="C400" s="602"/>
    </row>
    <row r="401" spans="2:3" x14ac:dyDescent="0.35">
      <c r="B401" s="602"/>
      <c r="C401" s="602"/>
    </row>
    <row r="402" spans="2:3" x14ac:dyDescent="0.35">
      <c r="B402" s="602"/>
      <c r="C402" s="602"/>
    </row>
    <row r="403" spans="2:3" x14ac:dyDescent="0.35">
      <c r="B403" s="602"/>
      <c r="C403" s="602"/>
    </row>
    <row r="404" spans="2:3" x14ac:dyDescent="0.35">
      <c r="B404" s="602"/>
      <c r="C404" s="602"/>
    </row>
    <row r="405" spans="2:3" x14ac:dyDescent="0.35">
      <c r="B405" s="602"/>
      <c r="C405" s="602"/>
    </row>
    <row r="406" spans="2:3" x14ac:dyDescent="0.35">
      <c r="B406" s="602"/>
      <c r="C406" s="602"/>
    </row>
    <row r="407" spans="2:3" x14ac:dyDescent="0.35">
      <c r="B407" s="602"/>
      <c r="C407" s="602"/>
    </row>
    <row r="408" spans="2:3" x14ac:dyDescent="0.35">
      <c r="B408" s="602"/>
      <c r="C408" s="602"/>
    </row>
    <row r="409" spans="2:3" x14ac:dyDescent="0.35">
      <c r="B409" s="602"/>
      <c r="C409" s="602"/>
    </row>
    <row r="410" spans="2:3" x14ac:dyDescent="0.35">
      <c r="B410" s="602"/>
      <c r="C410" s="602"/>
    </row>
    <row r="411" spans="2:3" x14ac:dyDescent="0.35">
      <c r="B411" s="602"/>
      <c r="C411" s="602"/>
    </row>
    <row r="412" spans="2:3" x14ac:dyDescent="0.35">
      <c r="B412" s="602"/>
      <c r="C412" s="602"/>
    </row>
    <row r="413" spans="2:3" x14ac:dyDescent="0.35">
      <c r="B413" s="602"/>
      <c r="C413" s="602"/>
    </row>
    <row r="414" spans="2:3" x14ac:dyDescent="0.35">
      <c r="B414" s="602"/>
      <c r="C414" s="602"/>
    </row>
    <row r="415" spans="2:3" x14ac:dyDescent="0.35">
      <c r="B415" s="602"/>
      <c r="C415" s="602"/>
    </row>
    <row r="416" spans="2:3" x14ac:dyDescent="0.35">
      <c r="B416" s="602"/>
      <c r="C416" s="602"/>
    </row>
    <row r="417" spans="2:3" x14ac:dyDescent="0.35">
      <c r="B417" s="602"/>
      <c r="C417" s="602"/>
    </row>
    <row r="418" spans="2:3" x14ac:dyDescent="0.35">
      <c r="B418" s="602"/>
      <c r="C418" s="602"/>
    </row>
    <row r="419" spans="2:3" x14ac:dyDescent="0.35">
      <c r="B419" s="602"/>
      <c r="C419" s="602"/>
    </row>
    <row r="420" spans="2:3" x14ac:dyDescent="0.35">
      <c r="B420" s="602"/>
      <c r="C420" s="602"/>
    </row>
    <row r="421" spans="2:3" x14ac:dyDescent="0.35">
      <c r="B421" s="602"/>
      <c r="C421" s="602"/>
    </row>
    <row r="422" spans="2:3" x14ac:dyDescent="0.35">
      <c r="B422" s="602"/>
      <c r="C422" s="602"/>
    </row>
    <row r="423" spans="2:3" x14ac:dyDescent="0.35">
      <c r="B423" s="602"/>
      <c r="C423" s="602"/>
    </row>
    <row r="424" spans="2:3" x14ac:dyDescent="0.35">
      <c r="B424" s="602"/>
      <c r="C424" s="602"/>
    </row>
    <row r="425" spans="2:3" x14ac:dyDescent="0.35">
      <c r="B425" s="602"/>
      <c r="C425" s="602"/>
    </row>
    <row r="426" spans="2:3" x14ac:dyDescent="0.35">
      <c r="B426" s="602"/>
      <c r="C426" s="602"/>
    </row>
    <row r="427" spans="2:3" x14ac:dyDescent="0.35">
      <c r="B427" s="602"/>
      <c r="C427" s="602"/>
    </row>
    <row r="428" spans="2:3" x14ac:dyDescent="0.35">
      <c r="B428" s="602"/>
      <c r="C428" s="602"/>
    </row>
    <row r="429" spans="2:3" x14ac:dyDescent="0.35">
      <c r="B429" s="602"/>
      <c r="C429" s="602"/>
    </row>
    <row r="430" spans="2:3" x14ac:dyDescent="0.35">
      <c r="B430" s="602"/>
      <c r="C430" s="602"/>
    </row>
    <row r="431" spans="2:3" x14ac:dyDescent="0.35">
      <c r="B431" s="602"/>
      <c r="C431" s="602"/>
    </row>
    <row r="432" spans="2:3" x14ac:dyDescent="0.35">
      <c r="B432" s="602"/>
      <c r="C432" s="602"/>
    </row>
    <row r="433" spans="2:3" x14ac:dyDescent="0.35">
      <c r="B433" s="602"/>
      <c r="C433" s="602"/>
    </row>
    <row r="434" spans="2:3" x14ac:dyDescent="0.35">
      <c r="B434" s="602"/>
      <c r="C434" s="602"/>
    </row>
    <row r="435" spans="2:3" x14ac:dyDescent="0.35">
      <c r="B435" s="602"/>
      <c r="C435" s="602"/>
    </row>
    <row r="436" spans="2:3" x14ac:dyDescent="0.35">
      <c r="B436" s="602"/>
      <c r="C436" s="602"/>
    </row>
    <row r="437" spans="2:3" x14ac:dyDescent="0.35">
      <c r="B437" s="602"/>
      <c r="C437" s="602"/>
    </row>
    <row r="438" spans="2:3" x14ac:dyDescent="0.35">
      <c r="B438" s="602"/>
      <c r="C438" s="602"/>
    </row>
    <row r="439" spans="2:3" x14ac:dyDescent="0.35">
      <c r="B439" s="602"/>
      <c r="C439" s="602"/>
    </row>
    <row r="440" spans="2:3" x14ac:dyDescent="0.35">
      <c r="B440" s="602"/>
      <c r="C440" s="602"/>
    </row>
    <row r="441" spans="2:3" x14ac:dyDescent="0.35">
      <c r="B441" s="602"/>
      <c r="C441" s="602"/>
    </row>
    <row r="442" spans="2:3" x14ac:dyDescent="0.35">
      <c r="B442" s="602"/>
      <c r="C442" s="602"/>
    </row>
    <row r="443" spans="2:3" x14ac:dyDescent="0.35">
      <c r="B443" s="602"/>
      <c r="C443" s="602"/>
    </row>
    <row r="444" spans="2:3" x14ac:dyDescent="0.35">
      <c r="B444" s="602"/>
      <c r="C444" s="602"/>
    </row>
    <row r="445" spans="2:3" x14ac:dyDescent="0.35">
      <c r="B445" s="602"/>
      <c r="C445" s="602"/>
    </row>
    <row r="446" spans="2:3" x14ac:dyDescent="0.35">
      <c r="B446" s="602"/>
      <c r="C446" s="602"/>
    </row>
    <row r="447" spans="2:3" x14ac:dyDescent="0.35">
      <c r="B447" s="602"/>
      <c r="C447" s="602"/>
    </row>
    <row r="448" spans="2:3" x14ac:dyDescent="0.35">
      <c r="B448" s="602"/>
      <c r="C448" s="602"/>
    </row>
    <row r="449" spans="2:3" x14ac:dyDescent="0.35">
      <c r="B449" s="602"/>
      <c r="C449" s="602"/>
    </row>
    <row r="450" spans="2:3" x14ac:dyDescent="0.35">
      <c r="B450" s="602"/>
      <c r="C450" s="602"/>
    </row>
    <row r="451" spans="2:3" x14ac:dyDescent="0.35">
      <c r="B451" s="602"/>
      <c r="C451" s="602"/>
    </row>
    <row r="452" spans="2:3" x14ac:dyDescent="0.35">
      <c r="B452" s="602"/>
      <c r="C452" s="602"/>
    </row>
    <row r="453" spans="2:3" x14ac:dyDescent="0.35">
      <c r="B453" s="602"/>
      <c r="C453" s="602"/>
    </row>
    <row r="454" spans="2:3" x14ac:dyDescent="0.35">
      <c r="B454" s="602"/>
      <c r="C454" s="602"/>
    </row>
    <row r="455" spans="2:3" x14ac:dyDescent="0.35">
      <c r="B455" s="602"/>
      <c r="C455" s="602"/>
    </row>
    <row r="456" spans="2:3" x14ac:dyDescent="0.35">
      <c r="B456" s="602"/>
      <c r="C456" s="602"/>
    </row>
    <row r="457" spans="2:3" x14ac:dyDescent="0.35">
      <c r="B457" s="602"/>
      <c r="C457" s="602"/>
    </row>
    <row r="458" spans="2:3" x14ac:dyDescent="0.35">
      <c r="B458" s="602"/>
      <c r="C458" s="602"/>
    </row>
    <row r="459" spans="2:3" x14ac:dyDescent="0.35">
      <c r="B459" s="602"/>
      <c r="C459" s="602"/>
    </row>
    <row r="460" spans="2:3" x14ac:dyDescent="0.35">
      <c r="B460" s="602"/>
      <c r="C460" s="602"/>
    </row>
    <row r="461" spans="2:3" x14ac:dyDescent="0.35">
      <c r="B461" s="602"/>
      <c r="C461" s="602"/>
    </row>
    <row r="462" spans="2:3" x14ac:dyDescent="0.35">
      <c r="B462" s="602"/>
      <c r="C462" s="602"/>
    </row>
    <row r="463" spans="2:3" x14ac:dyDescent="0.35">
      <c r="B463" s="602"/>
      <c r="C463" s="602"/>
    </row>
    <row r="464" spans="2:3" x14ac:dyDescent="0.35">
      <c r="B464" s="602"/>
      <c r="C464" s="602"/>
    </row>
    <row r="465" spans="2:3" x14ac:dyDescent="0.35">
      <c r="B465" s="602"/>
      <c r="C465" s="602"/>
    </row>
    <row r="466" spans="2:3" x14ac:dyDescent="0.35">
      <c r="B466" s="602"/>
      <c r="C466" s="602"/>
    </row>
    <row r="467" spans="2:3" x14ac:dyDescent="0.35">
      <c r="B467" s="602"/>
      <c r="C467" s="602"/>
    </row>
    <row r="468" spans="2:3" x14ac:dyDescent="0.35">
      <c r="B468" s="602"/>
      <c r="C468" s="602"/>
    </row>
    <row r="469" spans="2:3" x14ac:dyDescent="0.35">
      <c r="B469" s="602"/>
      <c r="C469" s="602"/>
    </row>
    <row r="470" spans="2:3" x14ac:dyDescent="0.35">
      <c r="B470" s="602"/>
      <c r="C470" s="602"/>
    </row>
    <row r="471" spans="2:3" x14ac:dyDescent="0.35">
      <c r="B471" s="602"/>
      <c r="C471" s="602"/>
    </row>
    <row r="472" spans="2:3" x14ac:dyDescent="0.35">
      <c r="B472" s="602"/>
      <c r="C472" s="602"/>
    </row>
    <row r="473" spans="2:3" x14ac:dyDescent="0.35">
      <c r="B473" s="602"/>
      <c r="C473" s="602"/>
    </row>
    <row r="474" spans="2:3" x14ac:dyDescent="0.35">
      <c r="B474" s="602"/>
      <c r="C474" s="602"/>
    </row>
    <row r="475" spans="2:3" x14ac:dyDescent="0.35">
      <c r="B475" s="602"/>
      <c r="C475" s="602"/>
    </row>
    <row r="476" spans="2:3" x14ac:dyDescent="0.35">
      <c r="B476" s="602"/>
      <c r="C476" s="602"/>
    </row>
    <row r="477" spans="2:3" x14ac:dyDescent="0.35">
      <c r="B477" s="602"/>
      <c r="C477" s="602"/>
    </row>
    <row r="478" spans="2:3" x14ac:dyDescent="0.35">
      <c r="B478" s="602"/>
      <c r="C478" s="602"/>
    </row>
    <row r="479" spans="2:3" x14ac:dyDescent="0.35">
      <c r="B479" s="602"/>
      <c r="C479" s="602"/>
    </row>
    <row r="480" spans="2:3" x14ac:dyDescent="0.35">
      <c r="B480" s="602"/>
      <c r="C480" s="602"/>
    </row>
    <row r="481" spans="2:3" x14ac:dyDescent="0.35">
      <c r="B481" s="602"/>
      <c r="C481" s="602"/>
    </row>
    <row r="482" spans="2:3" x14ac:dyDescent="0.35">
      <c r="B482" s="602"/>
      <c r="C482" s="602"/>
    </row>
    <row r="483" spans="2:3" x14ac:dyDescent="0.35">
      <c r="B483" s="602"/>
      <c r="C483" s="602"/>
    </row>
    <row r="484" spans="2:3" x14ac:dyDescent="0.35">
      <c r="B484" s="602"/>
      <c r="C484" s="602"/>
    </row>
    <row r="485" spans="2:3" x14ac:dyDescent="0.35">
      <c r="B485" s="602"/>
      <c r="C485" s="602"/>
    </row>
    <row r="486" spans="2:3" x14ac:dyDescent="0.35">
      <c r="B486" s="602"/>
      <c r="C486" s="602"/>
    </row>
    <row r="487" spans="2:3" x14ac:dyDescent="0.35">
      <c r="B487" s="602"/>
      <c r="C487" s="602"/>
    </row>
    <row r="488" spans="2:3" x14ac:dyDescent="0.35">
      <c r="B488" s="602"/>
      <c r="C488" s="602"/>
    </row>
    <row r="489" spans="2:3" x14ac:dyDescent="0.35">
      <c r="B489" s="602"/>
      <c r="C489" s="602"/>
    </row>
    <row r="490" spans="2:3" x14ac:dyDescent="0.35">
      <c r="B490" s="602"/>
      <c r="C490" s="602"/>
    </row>
    <row r="491" spans="2:3" x14ac:dyDescent="0.35">
      <c r="B491" s="602"/>
      <c r="C491" s="602"/>
    </row>
    <row r="492" spans="2:3" x14ac:dyDescent="0.35">
      <c r="B492" s="602"/>
      <c r="C492" s="602"/>
    </row>
    <row r="493" spans="2:3" x14ac:dyDescent="0.35">
      <c r="B493" s="602"/>
      <c r="C493" s="602"/>
    </row>
    <row r="494" spans="2:3" x14ac:dyDescent="0.35">
      <c r="B494" s="602"/>
      <c r="C494" s="602"/>
    </row>
    <row r="495" spans="2:3" x14ac:dyDescent="0.35">
      <c r="B495" s="602"/>
      <c r="C495" s="602"/>
    </row>
    <row r="496" spans="2:3" x14ac:dyDescent="0.35">
      <c r="B496" s="602"/>
      <c r="C496" s="602"/>
    </row>
    <row r="497" spans="2:3" x14ac:dyDescent="0.35">
      <c r="B497" s="602"/>
      <c r="C497" s="602"/>
    </row>
    <row r="498" spans="2:3" x14ac:dyDescent="0.35">
      <c r="B498" s="602"/>
      <c r="C498" s="602"/>
    </row>
    <row r="499" spans="2:3" x14ac:dyDescent="0.35">
      <c r="B499" s="602"/>
      <c r="C499" s="602"/>
    </row>
    <row r="500" spans="2:3" x14ac:dyDescent="0.35">
      <c r="B500" s="602"/>
      <c r="C500" s="602"/>
    </row>
    <row r="501" spans="2:3" x14ac:dyDescent="0.35">
      <c r="B501" s="602"/>
      <c r="C501" s="602"/>
    </row>
    <row r="502" spans="2:3" x14ac:dyDescent="0.35">
      <c r="B502" s="602"/>
      <c r="C502" s="602"/>
    </row>
    <row r="503" spans="2:3" x14ac:dyDescent="0.35">
      <c r="B503" s="602"/>
      <c r="C503" s="602"/>
    </row>
    <row r="504" spans="2:3" x14ac:dyDescent="0.35">
      <c r="B504" s="602"/>
      <c r="C504" s="602"/>
    </row>
    <row r="505" spans="2:3" x14ac:dyDescent="0.35">
      <c r="B505" s="602"/>
      <c r="C505" s="602"/>
    </row>
    <row r="506" spans="2:3" x14ac:dyDescent="0.35">
      <c r="B506" s="602"/>
      <c r="C506" s="602"/>
    </row>
    <row r="507" spans="2:3" x14ac:dyDescent="0.35">
      <c r="B507" s="602"/>
      <c r="C507" s="602"/>
    </row>
    <row r="508" spans="2:3" x14ac:dyDescent="0.35">
      <c r="B508" s="602"/>
      <c r="C508" s="602"/>
    </row>
    <row r="509" spans="2:3" x14ac:dyDescent="0.35">
      <c r="B509" s="602"/>
      <c r="C509" s="602"/>
    </row>
    <row r="510" spans="2:3" x14ac:dyDescent="0.35">
      <c r="B510" s="602"/>
      <c r="C510" s="602"/>
    </row>
    <row r="511" spans="2:3" x14ac:dyDescent="0.35">
      <c r="B511" s="602"/>
      <c r="C511" s="602"/>
    </row>
    <row r="512" spans="2:3" x14ac:dyDescent="0.35">
      <c r="B512" s="602"/>
      <c r="C512" s="602"/>
    </row>
    <row r="513" spans="2:3" x14ac:dyDescent="0.35">
      <c r="B513" s="602"/>
      <c r="C513" s="602"/>
    </row>
    <row r="514" spans="2:3" x14ac:dyDescent="0.35">
      <c r="B514" s="602"/>
      <c r="C514" s="602"/>
    </row>
    <row r="515" spans="2:3" x14ac:dyDescent="0.35">
      <c r="B515" s="602"/>
      <c r="C515" s="602"/>
    </row>
    <row r="516" spans="2:3" x14ac:dyDescent="0.35">
      <c r="B516" s="602"/>
      <c r="C516" s="602"/>
    </row>
    <row r="517" spans="2:3" x14ac:dyDescent="0.35">
      <c r="B517" s="602"/>
      <c r="C517" s="602"/>
    </row>
    <row r="518" spans="2:3" x14ac:dyDescent="0.35">
      <c r="B518" s="602"/>
      <c r="C518" s="602"/>
    </row>
    <row r="519" spans="2:3" x14ac:dyDescent="0.35">
      <c r="B519" s="602"/>
      <c r="C519" s="602"/>
    </row>
    <row r="520" spans="2:3" x14ac:dyDescent="0.35">
      <c r="B520" s="602"/>
      <c r="C520" s="602"/>
    </row>
    <row r="521" spans="2:3" x14ac:dyDescent="0.35">
      <c r="B521" s="602"/>
      <c r="C521" s="602"/>
    </row>
    <row r="522" spans="2:3" x14ac:dyDescent="0.35">
      <c r="B522" s="602"/>
      <c r="C522" s="602"/>
    </row>
    <row r="523" spans="2:3" x14ac:dyDescent="0.35">
      <c r="B523" s="602"/>
      <c r="C523" s="602"/>
    </row>
    <row r="524" spans="2:3" x14ac:dyDescent="0.35">
      <c r="B524" s="602"/>
      <c r="C524" s="602"/>
    </row>
    <row r="525" spans="2:3" x14ac:dyDescent="0.35">
      <c r="B525" s="602"/>
      <c r="C525" s="602"/>
    </row>
    <row r="526" spans="2:3" x14ac:dyDescent="0.35">
      <c r="B526" s="602"/>
      <c r="C526" s="602"/>
    </row>
    <row r="527" spans="2:3" x14ac:dyDescent="0.35">
      <c r="B527" s="602"/>
      <c r="C527" s="602"/>
    </row>
    <row r="528" spans="2:3" x14ac:dyDescent="0.35">
      <c r="B528" s="602"/>
      <c r="C528" s="602"/>
    </row>
    <row r="529" spans="2:3" x14ac:dyDescent="0.35">
      <c r="B529" s="602"/>
      <c r="C529" s="602"/>
    </row>
    <row r="530" spans="2:3" x14ac:dyDescent="0.35">
      <c r="B530" s="602"/>
      <c r="C530" s="602"/>
    </row>
    <row r="531" spans="2:3" x14ac:dyDescent="0.35">
      <c r="B531" s="602"/>
      <c r="C531" s="602"/>
    </row>
    <row r="532" spans="2:3" x14ac:dyDescent="0.35">
      <c r="B532" s="602"/>
      <c r="C532" s="602"/>
    </row>
    <row r="533" spans="2:3" x14ac:dyDescent="0.35">
      <c r="B533" s="602"/>
      <c r="C533" s="602"/>
    </row>
    <row r="534" spans="2:3" x14ac:dyDescent="0.35">
      <c r="B534" s="602"/>
      <c r="C534" s="602"/>
    </row>
    <row r="535" spans="2:3" x14ac:dyDescent="0.35">
      <c r="B535" s="602"/>
      <c r="C535" s="602"/>
    </row>
    <row r="536" spans="2:3" x14ac:dyDescent="0.35">
      <c r="B536" s="602"/>
      <c r="C536" s="602"/>
    </row>
    <row r="537" spans="2:3" x14ac:dyDescent="0.35">
      <c r="B537" s="602"/>
      <c r="C537" s="602"/>
    </row>
    <row r="538" spans="2:3" x14ac:dyDescent="0.35">
      <c r="B538" s="602"/>
      <c r="C538" s="602"/>
    </row>
    <row r="539" spans="2:3" x14ac:dyDescent="0.35">
      <c r="B539" s="602"/>
      <c r="C539" s="602"/>
    </row>
    <row r="540" spans="2:3" x14ac:dyDescent="0.35">
      <c r="B540" s="602"/>
      <c r="C540" s="602"/>
    </row>
    <row r="541" spans="2:3" x14ac:dyDescent="0.35">
      <c r="B541" s="602"/>
      <c r="C541" s="602"/>
    </row>
    <row r="542" spans="2:3" x14ac:dyDescent="0.35">
      <c r="B542" s="602"/>
      <c r="C542" s="602"/>
    </row>
    <row r="543" spans="2:3" x14ac:dyDescent="0.35">
      <c r="B543" s="602"/>
      <c r="C543" s="602"/>
    </row>
    <row r="544" spans="2:3" x14ac:dyDescent="0.35">
      <c r="B544" s="602"/>
      <c r="C544" s="602"/>
    </row>
    <row r="545" spans="2:3" x14ac:dyDescent="0.35">
      <c r="B545" s="602"/>
      <c r="C545" s="602"/>
    </row>
    <row r="546" spans="2:3" x14ac:dyDescent="0.35">
      <c r="B546" s="602"/>
      <c r="C546" s="602"/>
    </row>
    <row r="547" spans="2:3" x14ac:dyDescent="0.35">
      <c r="B547" s="602"/>
      <c r="C547" s="602"/>
    </row>
    <row r="548" spans="2:3" x14ac:dyDescent="0.35">
      <c r="B548" s="602"/>
      <c r="C548" s="602"/>
    </row>
    <row r="549" spans="2:3" x14ac:dyDescent="0.35">
      <c r="B549" s="602"/>
      <c r="C549" s="602"/>
    </row>
    <row r="550" spans="2:3" x14ac:dyDescent="0.35">
      <c r="B550" s="602"/>
      <c r="C550" s="602"/>
    </row>
    <row r="551" spans="2:3" x14ac:dyDescent="0.35">
      <c r="B551" s="602"/>
      <c r="C551" s="602"/>
    </row>
    <row r="552" spans="2:3" x14ac:dyDescent="0.35">
      <c r="B552" s="602"/>
      <c r="C552" s="602"/>
    </row>
    <row r="553" spans="2:3" x14ac:dyDescent="0.35">
      <c r="B553" s="602"/>
      <c r="C553" s="602"/>
    </row>
    <row r="554" spans="2:3" x14ac:dyDescent="0.35">
      <c r="B554" s="602"/>
      <c r="C554" s="602"/>
    </row>
    <row r="555" spans="2:3" x14ac:dyDescent="0.35">
      <c r="B555" s="602"/>
      <c r="C555" s="602"/>
    </row>
    <row r="556" spans="2:3" x14ac:dyDescent="0.35">
      <c r="B556" s="602"/>
      <c r="C556" s="602"/>
    </row>
    <row r="557" spans="2:3" x14ac:dyDescent="0.35">
      <c r="B557" s="602"/>
      <c r="C557" s="602"/>
    </row>
    <row r="558" spans="2:3" x14ac:dyDescent="0.35">
      <c r="B558" s="602"/>
      <c r="C558" s="602"/>
    </row>
    <row r="559" spans="2:3" x14ac:dyDescent="0.35">
      <c r="B559" s="602"/>
      <c r="C559" s="602"/>
    </row>
    <row r="560" spans="2:3" x14ac:dyDescent="0.35">
      <c r="B560" s="602"/>
      <c r="C560" s="602"/>
    </row>
    <row r="561" spans="2:3" x14ac:dyDescent="0.35">
      <c r="B561" s="602"/>
      <c r="C561" s="602"/>
    </row>
    <row r="562" spans="2:3" x14ac:dyDescent="0.35">
      <c r="B562" s="602"/>
      <c r="C562" s="602"/>
    </row>
    <row r="563" spans="2:3" x14ac:dyDescent="0.35">
      <c r="B563" s="602"/>
      <c r="C563" s="602"/>
    </row>
    <row r="564" spans="2:3" x14ac:dyDescent="0.35">
      <c r="B564" s="602"/>
      <c r="C564" s="602"/>
    </row>
    <row r="565" spans="2:3" x14ac:dyDescent="0.35">
      <c r="B565" s="602"/>
      <c r="C565" s="602"/>
    </row>
    <row r="566" spans="2:3" x14ac:dyDescent="0.35">
      <c r="B566" s="602"/>
      <c r="C566" s="602"/>
    </row>
    <row r="567" spans="2:3" x14ac:dyDescent="0.35">
      <c r="B567" s="602"/>
      <c r="C567" s="602"/>
    </row>
    <row r="568" spans="2:3" x14ac:dyDescent="0.35">
      <c r="B568" s="602"/>
      <c r="C568" s="602"/>
    </row>
    <row r="569" spans="2:3" x14ac:dyDescent="0.35">
      <c r="B569" s="602"/>
      <c r="C569" s="602"/>
    </row>
    <row r="570" spans="2:3" x14ac:dyDescent="0.35">
      <c r="B570" s="602"/>
      <c r="C570" s="602"/>
    </row>
    <row r="571" spans="2:3" x14ac:dyDescent="0.35">
      <c r="B571" s="602"/>
      <c r="C571" s="602"/>
    </row>
    <row r="572" spans="2:3" x14ac:dyDescent="0.35">
      <c r="B572" s="602"/>
      <c r="C572" s="602"/>
    </row>
    <row r="573" spans="2:3" x14ac:dyDescent="0.35">
      <c r="B573" s="602"/>
      <c r="C573" s="602"/>
    </row>
    <row r="574" spans="2:3" x14ac:dyDescent="0.35">
      <c r="B574" s="602"/>
      <c r="C574" s="602"/>
    </row>
    <row r="575" spans="2:3" x14ac:dyDescent="0.35">
      <c r="B575" s="602"/>
      <c r="C575" s="602"/>
    </row>
    <row r="576" spans="2:3" x14ac:dyDescent="0.35">
      <c r="B576" s="602"/>
      <c r="C576" s="602"/>
    </row>
    <row r="577" spans="2:3" x14ac:dyDescent="0.35">
      <c r="B577" s="602"/>
      <c r="C577" s="602"/>
    </row>
    <row r="578" spans="2:3" x14ac:dyDescent="0.35">
      <c r="B578" s="602"/>
      <c r="C578" s="602"/>
    </row>
    <row r="579" spans="2:3" x14ac:dyDescent="0.35">
      <c r="B579" s="602"/>
      <c r="C579" s="602"/>
    </row>
    <row r="580" spans="2:3" x14ac:dyDescent="0.35">
      <c r="B580" s="602"/>
      <c r="C580" s="602"/>
    </row>
    <row r="581" spans="2:3" x14ac:dyDescent="0.35">
      <c r="B581" s="602"/>
      <c r="C581" s="602"/>
    </row>
    <row r="582" spans="2:3" x14ac:dyDescent="0.35">
      <c r="B582" s="602"/>
      <c r="C582" s="602"/>
    </row>
    <row r="583" spans="2:3" x14ac:dyDescent="0.35">
      <c r="B583" s="602"/>
      <c r="C583" s="602"/>
    </row>
    <row r="584" spans="2:3" x14ac:dyDescent="0.35">
      <c r="B584" s="602"/>
      <c r="C584" s="602"/>
    </row>
    <row r="585" spans="2:3" x14ac:dyDescent="0.35">
      <c r="B585" s="602"/>
      <c r="C585" s="602"/>
    </row>
    <row r="586" spans="2:3" x14ac:dyDescent="0.35">
      <c r="B586" s="602"/>
      <c r="C586" s="602"/>
    </row>
    <row r="587" spans="2:3" x14ac:dyDescent="0.35">
      <c r="B587" s="602"/>
      <c r="C587" s="602"/>
    </row>
    <row r="588" spans="2:3" x14ac:dyDescent="0.35">
      <c r="B588" s="602"/>
      <c r="C588" s="602"/>
    </row>
    <row r="589" spans="2:3" x14ac:dyDescent="0.35">
      <c r="B589" s="602"/>
      <c r="C589" s="602"/>
    </row>
    <row r="590" spans="2:3" x14ac:dyDescent="0.35">
      <c r="B590" s="602"/>
      <c r="C590" s="602"/>
    </row>
    <row r="591" spans="2:3" x14ac:dyDescent="0.35">
      <c r="B591" s="602"/>
      <c r="C591" s="602"/>
    </row>
    <row r="592" spans="2:3" x14ac:dyDescent="0.35">
      <c r="B592" s="602"/>
      <c r="C592" s="602"/>
    </row>
    <row r="593" spans="2:3" x14ac:dyDescent="0.35">
      <c r="B593" s="602"/>
      <c r="C593" s="602"/>
    </row>
    <row r="594" spans="2:3" x14ac:dyDescent="0.35">
      <c r="B594" s="602"/>
      <c r="C594" s="602"/>
    </row>
    <row r="595" spans="2:3" x14ac:dyDescent="0.35">
      <c r="B595" s="602"/>
      <c r="C595" s="602"/>
    </row>
    <row r="596" spans="2:3" x14ac:dyDescent="0.35">
      <c r="B596" s="602"/>
      <c r="C596" s="602"/>
    </row>
    <row r="597" spans="2:3" x14ac:dyDescent="0.35">
      <c r="B597" s="602"/>
      <c r="C597" s="602"/>
    </row>
    <row r="598" spans="2:3" x14ac:dyDescent="0.35">
      <c r="B598" s="602"/>
      <c r="C598" s="602"/>
    </row>
    <row r="599" spans="2:3" x14ac:dyDescent="0.35">
      <c r="B599" s="602"/>
      <c r="C599" s="602"/>
    </row>
    <row r="600" spans="2:3" x14ac:dyDescent="0.35">
      <c r="B600" s="602"/>
      <c r="C600" s="602"/>
    </row>
    <row r="601" spans="2:3" x14ac:dyDescent="0.35">
      <c r="B601" s="602"/>
      <c r="C601" s="602"/>
    </row>
    <row r="602" spans="2:3" x14ac:dyDescent="0.35">
      <c r="B602" s="602"/>
      <c r="C602" s="602"/>
    </row>
    <row r="603" spans="2:3" x14ac:dyDescent="0.35">
      <c r="B603" s="602"/>
      <c r="C603" s="602"/>
    </row>
    <row r="604" spans="2:3" x14ac:dyDescent="0.35">
      <c r="B604" s="602"/>
      <c r="C604" s="602"/>
    </row>
    <row r="605" spans="2:3" x14ac:dyDescent="0.35">
      <c r="B605" s="602"/>
      <c r="C605" s="602"/>
    </row>
    <row r="606" spans="2:3" x14ac:dyDescent="0.35">
      <c r="B606" s="602"/>
      <c r="C606" s="602"/>
    </row>
    <row r="607" spans="2:3" x14ac:dyDescent="0.35">
      <c r="B607" s="602"/>
      <c r="C607" s="602"/>
    </row>
    <row r="608" spans="2:3" x14ac:dyDescent="0.35">
      <c r="B608" s="602"/>
      <c r="C608" s="602"/>
    </row>
    <row r="609" spans="2:3" x14ac:dyDescent="0.35">
      <c r="B609" s="602"/>
      <c r="C609" s="602"/>
    </row>
    <row r="610" spans="2:3" x14ac:dyDescent="0.35">
      <c r="B610" s="602"/>
      <c r="C610" s="602"/>
    </row>
    <row r="611" spans="2:3" x14ac:dyDescent="0.35">
      <c r="B611" s="602"/>
      <c r="C611" s="602"/>
    </row>
    <row r="612" spans="2:3" x14ac:dyDescent="0.35">
      <c r="B612" s="602"/>
      <c r="C612" s="602"/>
    </row>
    <row r="613" spans="2:3" x14ac:dyDescent="0.35">
      <c r="B613" s="602"/>
      <c r="C613" s="602"/>
    </row>
    <row r="614" spans="2:3" x14ac:dyDescent="0.35">
      <c r="B614" s="602"/>
      <c r="C614" s="602"/>
    </row>
    <row r="615" spans="2:3" x14ac:dyDescent="0.35">
      <c r="B615" s="602"/>
      <c r="C615" s="602"/>
    </row>
    <row r="616" spans="2:3" x14ac:dyDescent="0.35">
      <c r="B616" s="602"/>
      <c r="C616" s="602"/>
    </row>
    <row r="617" spans="2:3" x14ac:dyDescent="0.35">
      <c r="B617" s="602"/>
      <c r="C617" s="602"/>
    </row>
    <row r="618" spans="2:3" x14ac:dyDescent="0.35">
      <c r="B618" s="602"/>
      <c r="C618" s="602"/>
    </row>
    <row r="619" spans="2:3" x14ac:dyDescent="0.35">
      <c r="B619" s="602"/>
      <c r="C619" s="602"/>
    </row>
    <row r="620" spans="2:3" x14ac:dyDescent="0.35">
      <c r="B620" s="602"/>
      <c r="C620" s="602"/>
    </row>
    <row r="621" spans="2:3" x14ac:dyDescent="0.35">
      <c r="B621" s="602"/>
      <c r="C621" s="602"/>
    </row>
    <row r="622" spans="2:3" x14ac:dyDescent="0.35">
      <c r="B622" s="602"/>
      <c r="C622" s="602"/>
    </row>
    <row r="623" spans="2:3" x14ac:dyDescent="0.35">
      <c r="B623" s="602"/>
      <c r="C623" s="602"/>
    </row>
    <row r="624" spans="2:3" x14ac:dyDescent="0.35">
      <c r="B624" s="602"/>
      <c r="C624" s="602"/>
    </row>
    <row r="625" spans="2:3" x14ac:dyDescent="0.35">
      <c r="B625" s="602"/>
      <c r="C625" s="602"/>
    </row>
    <row r="626" spans="2:3" x14ac:dyDescent="0.35">
      <c r="B626" s="602"/>
      <c r="C626" s="602"/>
    </row>
    <row r="627" spans="2:3" x14ac:dyDescent="0.35">
      <c r="B627" s="602"/>
      <c r="C627" s="602"/>
    </row>
    <row r="628" spans="2:3" x14ac:dyDescent="0.35">
      <c r="B628" s="602"/>
      <c r="C628" s="602"/>
    </row>
    <row r="629" spans="2:3" x14ac:dyDescent="0.35">
      <c r="B629" s="602"/>
      <c r="C629" s="602"/>
    </row>
    <row r="630" spans="2:3" x14ac:dyDescent="0.35">
      <c r="B630" s="602"/>
      <c r="C630" s="602"/>
    </row>
    <row r="631" spans="2:3" x14ac:dyDescent="0.35">
      <c r="B631" s="602"/>
      <c r="C631" s="602"/>
    </row>
    <row r="632" spans="2:3" x14ac:dyDescent="0.35">
      <c r="B632" s="602"/>
      <c r="C632" s="602"/>
    </row>
    <row r="633" spans="2:3" x14ac:dyDescent="0.35">
      <c r="B633" s="602"/>
      <c r="C633" s="602"/>
    </row>
    <row r="634" spans="2:3" x14ac:dyDescent="0.35">
      <c r="B634" s="602"/>
      <c r="C634" s="602"/>
    </row>
    <row r="635" spans="2:3" x14ac:dyDescent="0.35">
      <c r="B635" s="602"/>
      <c r="C635" s="602"/>
    </row>
    <row r="636" spans="2:3" x14ac:dyDescent="0.35">
      <c r="B636" s="602"/>
      <c r="C636" s="602"/>
    </row>
    <row r="637" spans="2:3" x14ac:dyDescent="0.35">
      <c r="B637" s="602"/>
      <c r="C637" s="602"/>
    </row>
    <row r="638" spans="2:3" x14ac:dyDescent="0.35">
      <c r="B638" s="602"/>
      <c r="C638" s="602"/>
    </row>
    <row r="639" spans="2:3" x14ac:dyDescent="0.35">
      <c r="B639" s="602"/>
      <c r="C639" s="602"/>
    </row>
    <row r="640" spans="2:3" x14ac:dyDescent="0.35">
      <c r="B640" s="602"/>
      <c r="C640" s="602"/>
    </row>
    <row r="641" spans="2:3" x14ac:dyDescent="0.35">
      <c r="B641" s="602"/>
      <c r="C641" s="602"/>
    </row>
    <row r="642" spans="2:3" x14ac:dyDescent="0.35">
      <c r="B642" s="602"/>
      <c r="C642" s="602"/>
    </row>
    <row r="643" spans="2:3" x14ac:dyDescent="0.35">
      <c r="B643" s="602"/>
      <c r="C643" s="602"/>
    </row>
    <row r="644" spans="2:3" x14ac:dyDescent="0.35">
      <c r="B644" s="602"/>
      <c r="C644" s="602"/>
    </row>
    <row r="645" spans="2:3" x14ac:dyDescent="0.35">
      <c r="B645" s="602"/>
      <c r="C645" s="602"/>
    </row>
    <row r="646" spans="2:3" x14ac:dyDescent="0.35">
      <c r="B646" s="602"/>
      <c r="C646" s="602"/>
    </row>
    <row r="647" spans="2:3" x14ac:dyDescent="0.35">
      <c r="B647" s="602"/>
      <c r="C647" s="602"/>
    </row>
    <row r="648" spans="2:3" x14ac:dyDescent="0.35">
      <c r="B648" s="602"/>
      <c r="C648" s="602"/>
    </row>
    <row r="649" spans="2:3" x14ac:dyDescent="0.35">
      <c r="B649" s="602"/>
      <c r="C649" s="602"/>
    </row>
    <row r="650" spans="2:3" x14ac:dyDescent="0.35">
      <c r="B650" s="602"/>
      <c r="C650" s="602"/>
    </row>
    <row r="651" spans="2:3" x14ac:dyDescent="0.35">
      <c r="B651" s="602"/>
      <c r="C651" s="602"/>
    </row>
    <row r="652" spans="2:3" x14ac:dyDescent="0.35">
      <c r="B652" s="602"/>
      <c r="C652" s="602"/>
    </row>
    <row r="653" spans="2:3" x14ac:dyDescent="0.35">
      <c r="B653" s="602"/>
      <c r="C653" s="602"/>
    </row>
    <row r="654" spans="2:3" x14ac:dyDescent="0.35">
      <c r="B654" s="602"/>
      <c r="C654" s="602"/>
    </row>
    <row r="655" spans="2:3" x14ac:dyDescent="0.35">
      <c r="B655" s="602"/>
      <c r="C655" s="602"/>
    </row>
    <row r="656" spans="2:3" x14ac:dyDescent="0.35">
      <c r="B656" s="602"/>
      <c r="C656" s="602"/>
    </row>
    <row r="657" spans="2:3" x14ac:dyDescent="0.35">
      <c r="B657" s="602"/>
      <c r="C657" s="602"/>
    </row>
    <row r="658" spans="2:3" x14ac:dyDescent="0.35">
      <c r="B658" s="602"/>
      <c r="C658" s="602"/>
    </row>
    <row r="659" spans="2:3" x14ac:dyDescent="0.35">
      <c r="B659" s="602"/>
      <c r="C659" s="602"/>
    </row>
    <row r="660" spans="2:3" x14ac:dyDescent="0.35">
      <c r="B660" s="602"/>
      <c r="C660" s="602"/>
    </row>
    <row r="661" spans="2:3" x14ac:dyDescent="0.35">
      <c r="B661" s="602"/>
      <c r="C661" s="602"/>
    </row>
    <row r="662" spans="2:3" x14ac:dyDescent="0.35">
      <c r="B662" s="602"/>
      <c r="C662" s="602"/>
    </row>
    <row r="663" spans="2:3" x14ac:dyDescent="0.35">
      <c r="B663" s="602"/>
      <c r="C663" s="602"/>
    </row>
    <row r="664" spans="2:3" x14ac:dyDescent="0.35">
      <c r="B664" s="602"/>
      <c r="C664" s="602"/>
    </row>
    <row r="665" spans="2:3" x14ac:dyDescent="0.35">
      <c r="B665" s="602"/>
      <c r="C665" s="602"/>
    </row>
    <row r="666" spans="2:3" x14ac:dyDescent="0.35">
      <c r="B666" s="602"/>
      <c r="C666" s="602"/>
    </row>
    <row r="667" spans="2:3" x14ac:dyDescent="0.35">
      <c r="B667" s="602"/>
      <c r="C667" s="602"/>
    </row>
    <row r="668" spans="2:3" x14ac:dyDescent="0.35">
      <c r="B668" s="602"/>
      <c r="C668" s="602"/>
    </row>
    <row r="669" spans="2:3" x14ac:dyDescent="0.35">
      <c r="B669" s="602"/>
      <c r="C669" s="602"/>
    </row>
    <row r="670" spans="2:3" x14ac:dyDescent="0.35">
      <c r="B670" s="602"/>
      <c r="C670" s="602"/>
    </row>
    <row r="671" spans="2:3" x14ac:dyDescent="0.35">
      <c r="B671" s="602"/>
      <c r="C671" s="602"/>
    </row>
    <row r="672" spans="2:3" x14ac:dyDescent="0.35">
      <c r="B672" s="602"/>
      <c r="C672" s="602"/>
    </row>
    <row r="673" spans="2:3" x14ac:dyDescent="0.35">
      <c r="B673" s="602"/>
      <c r="C673" s="602"/>
    </row>
    <row r="674" spans="2:3" x14ac:dyDescent="0.35">
      <c r="B674" s="602"/>
      <c r="C674" s="602"/>
    </row>
    <row r="675" spans="2:3" x14ac:dyDescent="0.35">
      <c r="B675" s="602"/>
      <c r="C675" s="602"/>
    </row>
    <row r="676" spans="2:3" x14ac:dyDescent="0.35">
      <c r="B676" s="602"/>
      <c r="C676" s="602"/>
    </row>
    <row r="677" spans="2:3" x14ac:dyDescent="0.35">
      <c r="B677" s="602"/>
      <c r="C677" s="602"/>
    </row>
    <row r="678" spans="2:3" x14ac:dyDescent="0.35">
      <c r="B678" s="602"/>
      <c r="C678" s="602"/>
    </row>
    <row r="679" spans="2:3" x14ac:dyDescent="0.35">
      <c r="B679" s="602"/>
      <c r="C679" s="602"/>
    </row>
    <row r="680" spans="2:3" x14ac:dyDescent="0.35">
      <c r="B680" s="602"/>
      <c r="C680" s="602"/>
    </row>
    <row r="681" spans="2:3" x14ac:dyDescent="0.35">
      <c r="B681" s="602"/>
      <c r="C681" s="602"/>
    </row>
    <row r="682" spans="2:3" x14ac:dyDescent="0.35">
      <c r="B682" s="602"/>
      <c r="C682" s="602"/>
    </row>
    <row r="683" spans="2:3" x14ac:dyDescent="0.35">
      <c r="B683" s="602"/>
      <c r="C683" s="602"/>
    </row>
    <row r="684" spans="2:3" x14ac:dyDescent="0.35">
      <c r="B684" s="602"/>
      <c r="C684" s="602"/>
    </row>
    <row r="685" spans="2:3" x14ac:dyDescent="0.35">
      <c r="B685" s="602"/>
      <c r="C685" s="602"/>
    </row>
    <row r="686" spans="2:3" x14ac:dyDescent="0.35">
      <c r="B686" s="602"/>
      <c r="C686" s="602"/>
    </row>
    <row r="687" spans="2:3" x14ac:dyDescent="0.35">
      <c r="B687" s="602"/>
      <c r="C687" s="602"/>
    </row>
    <row r="688" spans="2:3" x14ac:dyDescent="0.35">
      <c r="B688" s="602"/>
      <c r="C688" s="602"/>
    </row>
    <row r="689" spans="2:3" x14ac:dyDescent="0.35">
      <c r="B689" s="602"/>
      <c r="C689" s="602"/>
    </row>
    <row r="690" spans="2:3" x14ac:dyDescent="0.35">
      <c r="B690" s="602"/>
      <c r="C690" s="602"/>
    </row>
    <row r="691" spans="2:3" x14ac:dyDescent="0.35">
      <c r="B691" s="602"/>
      <c r="C691" s="602"/>
    </row>
    <row r="692" spans="2:3" x14ac:dyDescent="0.35">
      <c r="B692" s="602"/>
      <c r="C692" s="602"/>
    </row>
    <row r="693" spans="2:3" x14ac:dyDescent="0.35">
      <c r="B693" s="602"/>
      <c r="C693" s="602"/>
    </row>
    <row r="694" spans="2:3" x14ac:dyDescent="0.35">
      <c r="B694" s="602"/>
      <c r="C694" s="602"/>
    </row>
    <row r="695" spans="2:3" x14ac:dyDescent="0.35">
      <c r="B695" s="602"/>
      <c r="C695" s="602"/>
    </row>
    <row r="696" spans="2:3" x14ac:dyDescent="0.35">
      <c r="B696" s="602"/>
      <c r="C696" s="602"/>
    </row>
    <row r="697" spans="2:3" x14ac:dyDescent="0.35">
      <c r="B697" s="602"/>
      <c r="C697" s="602"/>
    </row>
    <row r="698" spans="2:3" x14ac:dyDescent="0.35">
      <c r="B698" s="602"/>
      <c r="C698" s="602"/>
    </row>
    <row r="699" spans="2:3" x14ac:dyDescent="0.35">
      <c r="B699" s="602"/>
      <c r="C699" s="602"/>
    </row>
    <row r="700" spans="2:3" x14ac:dyDescent="0.35">
      <c r="B700" s="602"/>
      <c r="C700" s="602"/>
    </row>
    <row r="701" spans="2:3" x14ac:dyDescent="0.35">
      <c r="B701" s="602"/>
      <c r="C701" s="602"/>
    </row>
    <row r="702" spans="2:3" x14ac:dyDescent="0.35">
      <c r="B702" s="602"/>
      <c r="C702" s="602"/>
    </row>
    <row r="703" spans="2:3" x14ac:dyDescent="0.35">
      <c r="B703" s="602"/>
      <c r="C703" s="602"/>
    </row>
    <row r="704" spans="2:3" x14ac:dyDescent="0.35">
      <c r="B704" s="602"/>
      <c r="C704" s="602"/>
    </row>
    <row r="705" spans="2:3" x14ac:dyDescent="0.35">
      <c r="B705" s="602"/>
      <c r="C705" s="602"/>
    </row>
    <row r="706" spans="2:3" x14ac:dyDescent="0.35">
      <c r="B706" s="602"/>
      <c r="C706" s="602"/>
    </row>
    <row r="707" spans="2:3" x14ac:dyDescent="0.35">
      <c r="B707" s="602"/>
      <c r="C707" s="602"/>
    </row>
    <row r="708" spans="2:3" x14ac:dyDescent="0.35">
      <c r="B708" s="602"/>
      <c r="C708" s="602"/>
    </row>
    <row r="709" spans="2:3" x14ac:dyDescent="0.35">
      <c r="B709" s="602"/>
      <c r="C709" s="602"/>
    </row>
    <row r="710" spans="2:3" x14ac:dyDescent="0.35">
      <c r="B710" s="602"/>
      <c r="C710" s="602"/>
    </row>
    <row r="711" spans="2:3" x14ac:dyDescent="0.35">
      <c r="B711" s="602"/>
      <c r="C711" s="602"/>
    </row>
    <row r="712" spans="2:3" x14ac:dyDescent="0.35">
      <c r="B712" s="602"/>
      <c r="C712" s="602"/>
    </row>
    <row r="713" spans="2:3" x14ac:dyDescent="0.35">
      <c r="B713" s="602"/>
      <c r="C713" s="602"/>
    </row>
    <row r="714" spans="2:3" x14ac:dyDescent="0.35">
      <c r="B714" s="602"/>
      <c r="C714" s="602"/>
    </row>
    <row r="715" spans="2:3" x14ac:dyDescent="0.35">
      <c r="B715" s="602"/>
      <c r="C715" s="602"/>
    </row>
    <row r="716" spans="2:3" x14ac:dyDescent="0.35">
      <c r="B716" s="602"/>
      <c r="C716" s="602"/>
    </row>
    <row r="717" spans="2:3" x14ac:dyDescent="0.35">
      <c r="B717" s="602"/>
      <c r="C717" s="602"/>
    </row>
    <row r="718" spans="2:3" x14ac:dyDescent="0.35">
      <c r="B718" s="602"/>
      <c r="C718" s="602"/>
    </row>
    <row r="719" spans="2:3" x14ac:dyDescent="0.35">
      <c r="B719" s="602"/>
      <c r="C719" s="602"/>
    </row>
    <row r="720" spans="2:3" x14ac:dyDescent="0.35">
      <c r="B720" s="602"/>
      <c r="C720" s="602"/>
    </row>
    <row r="721" spans="2:3" x14ac:dyDescent="0.35">
      <c r="B721" s="602"/>
      <c r="C721" s="602"/>
    </row>
    <row r="722" spans="2:3" x14ac:dyDescent="0.35">
      <c r="B722" s="602"/>
      <c r="C722" s="602"/>
    </row>
    <row r="723" spans="2:3" x14ac:dyDescent="0.35">
      <c r="B723" s="602"/>
      <c r="C723" s="602"/>
    </row>
    <row r="724" spans="2:3" x14ac:dyDescent="0.35">
      <c r="B724" s="602"/>
      <c r="C724" s="602"/>
    </row>
    <row r="725" spans="2:3" x14ac:dyDescent="0.35">
      <c r="B725" s="602"/>
      <c r="C725" s="602"/>
    </row>
    <row r="726" spans="2:3" x14ac:dyDescent="0.35">
      <c r="B726" s="602"/>
      <c r="C726" s="602"/>
    </row>
    <row r="727" spans="2:3" x14ac:dyDescent="0.35">
      <c r="B727" s="602"/>
      <c r="C727" s="602"/>
    </row>
    <row r="728" spans="2:3" x14ac:dyDescent="0.35">
      <c r="B728" s="602"/>
      <c r="C728" s="602"/>
    </row>
    <row r="729" spans="2:3" x14ac:dyDescent="0.35">
      <c r="B729" s="602"/>
      <c r="C729" s="602"/>
    </row>
    <row r="730" spans="2:3" x14ac:dyDescent="0.35">
      <c r="B730" s="602"/>
      <c r="C730" s="602"/>
    </row>
    <row r="731" spans="2:3" x14ac:dyDescent="0.35">
      <c r="B731" s="602"/>
      <c r="C731" s="602"/>
    </row>
    <row r="732" spans="2:3" x14ac:dyDescent="0.35">
      <c r="B732" s="602"/>
      <c r="C732" s="602"/>
    </row>
    <row r="733" spans="2:3" x14ac:dyDescent="0.35">
      <c r="B733" s="602"/>
      <c r="C733" s="602"/>
    </row>
    <row r="734" spans="2:3" x14ac:dyDescent="0.35">
      <c r="B734" s="602"/>
      <c r="C734" s="602"/>
    </row>
    <row r="735" spans="2:3" x14ac:dyDescent="0.35">
      <c r="B735" s="602"/>
      <c r="C735" s="602"/>
    </row>
    <row r="736" spans="2:3" x14ac:dyDescent="0.35">
      <c r="B736" s="602"/>
      <c r="C736" s="602"/>
    </row>
    <row r="737" spans="2:3" x14ac:dyDescent="0.35">
      <c r="B737" s="602"/>
      <c r="C737" s="602"/>
    </row>
    <row r="738" spans="2:3" x14ac:dyDescent="0.35">
      <c r="B738" s="602"/>
      <c r="C738" s="602"/>
    </row>
    <row r="739" spans="2:3" x14ac:dyDescent="0.35">
      <c r="B739" s="602"/>
      <c r="C739" s="602"/>
    </row>
    <row r="740" spans="2:3" x14ac:dyDescent="0.35">
      <c r="B740" s="602"/>
      <c r="C740" s="602"/>
    </row>
    <row r="741" spans="2:3" x14ac:dyDescent="0.35">
      <c r="B741" s="602"/>
      <c r="C741" s="602"/>
    </row>
    <row r="742" spans="2:3" x14ac:dyDescent="0.35">
      <c r="B742" s="602"/>
      <c r="C742" s="602"/>
    </row>
    <row r="743" spans="2:3" x14ac:dyDescent="0.35">
      <c r="B743" s="602"/>
      <c r="C743" s="602"/>
    </row>
    <row r="744" spans="2:3" x14ac:dyDescent="0.35">
      <c r="B744" s="602"/>
      <c r="C744" s="602"/>
    </row>
    <row r="745" spans="2:3" x14ac:dyDescent="0.35">
      <c r="B745" s="602"/>
      <c r="C745" s="602"/>
    </row>
    <row r="746" spans="2:3" x14ac:dyDescent="0.35">
      <c r="B746" s="602"/>
      <c r="C746" s="602"/>
    </row>
    <row r="747" spans="2:3" x14ac:dyDescent="0.35">
      <c r="B747" s="602"/>
      <c r="C747" s="602"/>
    </row>
    <row r="748" spans="2:3" x14ac:dyDescent="0.35">
      <c r="B748" s="602"/>
      <c r="C748" s="602"/>
    </row>
    <row r="749" spans="2:3" x14ac:dyDescent="0.35">
      <c r="B749" s="602"/>
      <c r="C749" s="602"/>
    </row>
    <row r="750" spans="2:3" x14ac:dyDescent="0.35">
      <c r="B750" s="602"/>
      <c r="C750" s="602"/>
    </row>
    <row r="751" spans="2:3" x14ac:dyDescent="0.35">
      <c r="B751" s="602"/>
      <c r="C751" s="602"/>
    </row>
    <row r="752" spans="2:3" x14ac:dyDescent="0.35">
      <c r="B752" s="602"/>
      <c r="C752" s="602"/>
    </row>
    <row r="753" spans="2:3" x14ac:dyDescent="0.35">
      <c r="B753" s="602"/>
      <c r="C753" s="602"/>
    </row>
    <row r="754" spans="2:3" x14ac:dyDescent="0.35">
      <c r="B754" s="602"/>
      <c r="C754" s="602"/>
    </row>
    <row r="755" spans="2:3" x14ac:dyDescent="0.35">
      <c r="B755" s="602"/>
      <c r="C755" s="602"/>
    </row>
    <row r="756" spans="2:3" x14ac:dyDescent="0.35">
      <c r="B756" s="602"/>
      <c r="C756" s="602"/>
    </row>
    <row r="757" spans="2:3" x14ac:dyDescent="0.35">
      <c r="B757" s="602"/>
      <c r="C757" s="602"/>
    </row>
    <row r="758" spans="2:3" x14ac:dyDescent="0.35">
      <c r="B758" s="602"/>
      <c r="C758" s="602"/>
    </row>
    <row r="759" spans="2:3" x14ac:dyDescent="0.35">
      <c r="B759" s="602"/>
      <c r="C759" s="602"/>
    </row>
    <row r="760" spans="2:3" x14ac:dyDescent="0.35">
      <c r="B760" s="602"/>
      <c r="C760" s="602"/>
    </row>
    <row r="761" spans="2:3" x14ac:dyDescent="0.35">
      <c r="B761" s="602"/>
      <c r="C761" s="602"/>
    </row>
    <row r="762" spans="2:3" x14ac:dyDescent="0.35">
      <c r="B762" s="602"/>
      <c r="C762" s="602"/>
    </row>
    <row r="763" spans="2:3" x14ac:dyDescent="0.35">
      <c r="B763" s="602"/>
      <c r="C763" s="602"/>
    </row>
    <row r="764" spans="2:3" x14ac:dyDescent="0.35">
      <c r="B764" s="602"/>
      <c r="C764" s="602"/>
    </row>
    <row r="765" spans="2:3" x14ac:dyDescent="0.35">
      <c r="B765" s="602"/>
      <c r="C765" s="602"/>
    </row>
    <row r="766" spans="2:3" x14ac:dyDescent="0.35">
      <c r="B766" s="602"/>
      <c r="C766" s="602"/>
    </row>
    <row r="767" spans="2:3" x14ac:dyDescent="0.35">
      <c r="B767" s="602"/>
      <c r="C767" s="602"/>
    </row>
    <row r="768" spans="2:3" x14ac:dyDescent="0.35">
      <c r="B768" s="602"/>
      <c r="C768" s="602"/>
    </row>
    <row r="769" spans="2:3" x14ac:dyDescent="0.35">
      <c r="B769" s="602"/>
      <c r="C769" s="602"/>
    </row>
    <row r="770" spans="2:3" x14ac:dyDescent="0.35">
      <c r="B770" s="602"/>
      <c r="C770" s="602"/>
    </row>
    <row r="771" spans="2:3" x14ac:dyDescent="0.35">
      <c r="B771" s="602"/>
      <c r="C771" s="602"/>
    </row>
    <row r="772" spans="2:3" x14ac:dyDescent="0.35">
      <c r="B772" s="602"/>
      <c r="C772" s="602"/>
    </row>
    <row r="773" spans="2:3" x14ac:dyDescent="0.35">
      <c r="B773" s="602"/>
      <c r="C773" s="602"/>
    </row>
    <row r="774" spans="2:3" x14ac:dyDescent="0.35">
      <c r="B774" s="602"/>
      <c r="C774" s="602"/>
    </row>
    <row r="775" spans="2:3" x14ac:dyDescent="0.35">
      <c r="B775" s="602"/>
      <c r="C775" s="602"/>
    </row>
    <row r="776" spans="2:3" x14ac:dyDescent="0.35">
      <c r="B776" s="602"/>
      <c r="C776" s="602"/>
    </row>
    <row r="777" spans="2:3" x14ac:dyDescent="0.35">
      <c r="B777" s="602"/>
      <c r="C777" s="602"/>
    </row>
    <row r="778" spans="2:3" x14ac:dyDescent="0.35">
      <c r="B778" s="602"/>
      <c r="C778" s="602"/>
    </row>
    <row r="779" spans="2:3" x14ac:dyDescent="0.35">
      <c r="B779" s="602"/>
      <c r="C779" s="602"/>
    </row>
    <row r="780" spans="2:3" x14ac:dyDescent="0.35">
      <c r="B780" s="602"/>
      <c r="C780" s="602"/>
    </row>
    <row r="781" spans="2:3" x14ac:dyDescent="0.35">
      <c r="B781" s="602"/>
      <c r="C781" s="602"/>
    </row>
    <row r="782" spans="2:3" x14ac:dyDescent="0.35">
      <c r="B782" s="602"/>
      <c r="C782" s="602"/>
    </row>
    <row r="783" spans="2:3" x14ac:dyDescent="0.35">
      <c r="B783" s="602"/>
      <c r="C783" s="602"/>
    </row>
    <row r="784" spans="2:3" x14ac:dyDescent="0.35">
      <c r="B784" s="602"/>
      <c r="C784" s="602"/>
    </row>
    <row r="785" spans="2:3" x14ac:dyDescent="0.35">
      <c r="B785" s="602"/>
      <c r="C785" s="602"/>
    </row>
    <row r="786" spans="2:3" x14ac:dyDescent="0.35">
      <c r="B786" s="602"/>
      <c r="C786" s="602"/>
    </row>
    <row r="787" spans="2:3" x14ac:dyDescent="0.35">
      <c r="B787" s="602"/>
      <c r="C787" s="602"/>
    </row>
    <row r="788" spans="2:3" x14ac:dyDescent="0.35">
      <c r="B788" s="602"/>
      <c r="C788" s="602"/>
    </row>
    <row r="789" spans="2:3" x14ac:dyDescent="0.35">
      <c r="B789" s="602"/>
      <c r="C789" s="602"/>
    </row>
    <row r="790" spans="2:3" x14ac:dyDescent="0.35">
      <c r="B790" s="602"/>
      <c r="C790" s="602"/>
    </row>
    <row r="791" spans="2:3" x14ac:dyDescent="0.35">
      <c r="B791" s="602"/>
      <c r="C791" s="602"/>
    </row>
    <row r="792" spans="2:3" x14ac:dyDescent="0.35">
      <c r="B792" s="602"/>
      <c r="C792" s="602"/>
    </row>
    <row r="793" spans="2:3" x14ac:dyDescent="0.35">
      <c r="B793" s="602"/>
      <c r="C793" s="602"/>
    </row>
    <row r="794" spans="2:3" x14ac:dyDescent="0.35">
      <c r="B794" s="602"/>
      <c r="C794" s="602"/>
    </row>
    <row r="795" spans="2:3" x14ac:dyDescent="0.35">
      <c r="B795" s="602"/>
      <c r="C795" s="602"/>
    </row>
    <row r="796" spans="2:3" x14ac:dyDescent="0.35">
      <c r="B796" s="602"/>
      <c r="C796" s="602"/>
    </row>
    <row r="797" spans="2:3" x14ac:dyDescent="0.35">
      <c r="B797" s="602"/>
      <c r="C797" s="602"/>
    </row>
    <row r="798" spans="2:3" x14ac:dyDescent="0.35">
      <c r="B798" s="602"/>
      <c r="C798" s="602"/>
    </row>
    <row r="799" spans="2:3" x14ac:dyDescent="0.35">
      <c r="B799" s="602"/>
      <c r="C799" s="602"/>
    </row>
    <row r="800" spans="2:3" x14ac:dyDescent="0.35">
      <c r="B800" s="602"/>
      <c r="C800" s="602"/>
    </row>
    <row r="801" spans="2:3" x14ac:dyDescent="0.35">
      <c r="B801" s="602"/>
      <c r="C801" s="602"/>
    </row>
    <row r="802" spans="2:3" x14ac:dyDescent="0.35">
      <c r="B802" s="602"/>
      <c r="C802" s="602"/>
    </row>
    <row r="803" spans="2:3" x14ac:dyDescent="0.35">
      <c r="B803" s="602"/>
      <c r="C803" s="602"/>
    </row>
    <row r="804" spans="2:3" x14ac:dyDescent="0.35">
      <c r="B804" s="602"/>
      <c r="C804" s="602"/>
    </row>
    <row r="805" spans="2:3" x14ac:dyDescent="0.35">
      <c r="B805" s="602"/>
      <c r="C805" s="602"/>
    </row>
    <row r="806" spans="2:3" x14ac:dyDescent="0.35">
      <c r="B806" s="602"/>
      <c r="C806" s="602"/>
    </row>
    <row r="807" spans="2:3" x14ac:dyDescent="0.35">
      <c r="B807" s="602"/>
      <c r="C807" s="602"/>
    </row>
    <row r="808" spans="2:3" x14ac:dyDescent="0.35">
      <c r="B808" s="602"/>
      <c r="C808" s="602"/>
    </row>
    <row r="809" spans="2:3" x14ac:dyDescent="0.35">
      <c r="B809" s="602"/>
      <c r="C809" s="602"/>
    </row>
    <row r="810" spans="2:3" x14ac:dyDescent="0.35">
      <c r="B810" s="602"/>
      <c r="C810" s="602"/>
    </row>
    <row r="811" spans="2:3" x14ac:dyDescent="0.35">
      <c r="B811" s="602"/>
      <c r="C811" s="602"/>
    </row>
    <row r="812" spans="2:3" x14ac:dyDescent="0.35">
      <c r="B812" s="602"/>
      <c r="C812" s="602"/>
    </row>
    <row r="813" spans="2:3" x14ac:dyDescent="0.35">
      <c r="B813" s="602"/>
      <c r="C813" s="602"/>
    </row>
    <row r="814" spans="2:3" x14ac:dyDescent="0.35">
      <c r="B814" s="602"/>
      <c r="C814" s="602"/>
    </row>
    <row r="815" spans="2:3" x14ac:dyDescent="0.35">
      <c r="B815" s="602"/>
      <c r="C815" s="602"/>
    </row>
    <row r="816" spans="2:3" x14ac:dyDescent="0.35">
      <c r="B816" s="602"/>
      <c r="C816" s="602"/>
    </row>
    <row r="817" spans="2:3" x14ac:dyDescent="0.35">
      <c r="B817" s="602"/>
      <c r="C817" s="602"/>
    </row>
    <row r="818" spans="2:3" x14ac:dyDescent="0.35">
      <c r="B818" s="602"/>
      <c r="C818" s="602"/>
    </row>
    <row r="819" spans="2:3" x14ac:dyDescent="0.35">
      <c r="B819" s="602"/>
      <c r="C819" s="602"/>
    </row>
    <row r="820" spans="2:3" x14ac:dyDescent="0.35">
      <c r="B820" s="602"/>
      <c r="C820" s="602"/>
    </row>
    <row r="821" spans="2:3" x14ac:dyDescent="0.35">
      <c r="B821" s="602"/>
      <c r="C821" s="602"/>
    </row>
    <row r="822" spans="2:3" x14ac:dyDescent="0.35">
      <c r="B822" s="602"/>
      <c r="C822" s="602"/>
    </row>
    <row r="823" spans="2:3" x14ac:dyDescent="0.35">
      <c r="B823" s="602"/>
      <c r="C823" s="602"/>
    </row>
    <row r="824" spans="2:3" x14ac:dyDescent="0.35">
      <c r="B824" s="602"/>
      <c r="C824" s="602"/>
    </row>
    <row r="825" spans="2:3" x14ac:dyDescent="0.35">
      <c r="B825" s="602"/>
      <c r="C825" s="602"/>
    </row>
    <row r="826" spans="2:3" x14ac:dyDescent="0.35">
      <c r="B826" s="602"/>
      <c r="C826" s="602"/>
    </row>
    <row r="827" spans="2:3" x14ac:dyDescent="0.35">
      <c r="B827" s="602"/>
      <c r="C827" s="602"/>
    </row>
    <row r="828" spans="2:3" x14ac:dyDescent="0.35">
      <c r="B828" s="602"/>
      <c r="C828" s="602"/>
    </row>
    <row r="829" spans="2:3" x14ac:dyDescent="0.35">
      <c r="B829" s="602"/>
      <c r="C829" s="602"/>
    </row>
    <row r="830" spans="2:3" x14ac:dyDescent="0.35">
      <c r="B830" s="602"/>
      <c r="C830" s="602"/>
    </row>
    <row r="831" spans="2:3" x14ac:dyDescent="0.35">
      <c r="B831" s="602"/>
      <c r="C831" s="602"/>
    </row>
    <row r="832" spans="2:3" x14ac:dyDescent="0.35">
      <c r="B832" s="602"/>
      <c r="C832" s="602"/>
    </row>
    <row r="833" spans="2:3" x14ac:dyDescent="0.35">
      <c r="B833" s="602"/>
      <c r="C833" s="602"/>
    </row>
    <row r="834" spans="2:3" x14ac:dyDescent="0.35">
      <c r="B834" s="602"/>
      <c r="C834" s="602"/>
    </row>
    <row r="835" spans="2:3" x14ac:dyDescent="0.35">
      <c r="B835" s="602"/>
      <c r="C835" s="602"/>
    </row>
    <row r="836" spans="2:3" x14ac:dyDescent="0.35">
      <c r="B836" s="602"/>
      <c r="C836" s="602"/>
    </row>
    <row r="837" spans="2:3" x14ac:dyDescent="0.35">
      <c r="B837" s="602"/>
      <c r="C837" s="602"/>
    </row>
    <row r="838" spans="2:3" x14ac:dyDescent="0.35">
      <c r="B838" s="602"/>
      <c r="C838" s="602"/>
    </row>
    <row r="839" spans="2:3" x14ac:dyDescent="0.35">
      <c r="B839" s="602"/>
      <c r="C839" s="602"/>
    </row>
    <row r="840" spans="2:3" x14ac:dyDescent="0.35">
      <c r="B840" s="602"/>
      <c r="C840" s="602"/>
    </row>
    <row r="841" spans="2:3" x14ac:dyDescent="0.35">
      <c r="B841" s="602"/>
      <c r="C841" s="602"/>
    </row>
    <row r="842" spans="2:3" x14ac:dyDescent="0.35">
      <c r="B842" s="602"/>
      <c r="C842" s="602"/>
    </row>
    <row r="843" spans="2:3" x14ac:dyDescent="0.35">
      <c r="B843" s="602"/>
      <c r="C843" s="602"/>
    </row>
    <row r="844" spans="2:3" x14ac:dyDescent="0.35">
      <c r="B844" s="602"/>
      <c r="C844" s="602"/>
    </row>
    <row r="845" spans="2:3" x14ac:dyDescent="0.35">
      <c r="B845" s="602"/>
      <c r="C845" s="602"/>
    </row>
    <row r="846" spans="2:3" x14ac:dyDescent="0.35">
      <c r="B846" s="602"/>
      <c r="C846" s="602"/>
    </row>
    <row r="847" spans="2:3" x14ac:dyDescent="0.35">
      <c r="B847" s="602"/>
      <c r="C847" s="602"/>
    </row>
    <row r="848" spans="2:3" x14ac:dyDescent="0.35">
      <c r="B848" s="602"/>
      <c r="C848" s="602"/>
    </row>
    <row r="849" spans="2:3" x14ac:dyDescent="0.35">
      <c r="B849" s="602"/>
      <c r="C849" s="602"/>
    </row>
    <row r="850" spans="2:3" x14ac:dyDescent="0.35">
      <c r="B850" s="602"/>
      <c r="C850" s="602"/>
    </row>
    <row r="851" spans="2:3" x14ac:dyDescent="0.35">
      <c r="B851" s="602"/>
      <c r="C851" s="602"/>
    </row>
    <row r="852" spans="2:3" x14ac:dyDescent="0.35">
      <c r="B852" s="602"/>
      <c r="C852" s="602"/>
    </row>
    <row r="853" spans="2:3" x14ac:dyDescent="0.35">
      <c r="B853" s="602"/>
      <c r="C853" s="602"/>
    </row>
    <row r="854" spans="2:3" x14ac:dyDescent="0.35">
      <c r="B854" s="602"/>
      <c r="C854" s="602"/>
    </row>
    <row r="855" spans="2:3" x14ac:dyDescent="0.35">
      <c r="B855" s="602"/>
      <c r="C855" s="602"/>
    </row>
    <row r="856" spans="2:3" x14ac:dyDescent="0.35">
      <c r="B856" s="602"/>
      <c r="C856" s="602"/>
    </row>
    <row r="857" spans="2:3" x14ac:dyDescent="0.35">
      <c r="B857" s="602"/>
      <c r="C857" s="602"/>
    </row>
    <row r="858" spans="2:3" x14ac:dyDescent="0.35">
      <c r="B858" s="602"/>
      <c r="C858" s="602"/>
    </row>
    <row r="859" spans="2:3" x14ac:dyDescent="0.35">
      <c r="B859" s="602"/>
      <c r="C859" s="602"/>
    </row>
    <row r="860" spans="2:3" x14ac:dyDescent="0.35">
      <c r="B860" s="602"/>
      <c r="C860" s="602"/>
    </row>
    <row r="861" spans="2:3" x14ac:dyDescent="0.35">
      <c r="B861" s="602"/>
      <c r="C861" s="602"/>
    </row>
    <row r="862" spans="2:3" x14ac:dyDescent="0.35">
      <c r="B862" s="602"/>
      <c r="C862" s="602"/>
    </row>
    <row r="863" spans="2:3" x14ac:dyDescent="0.35">
      <c r="B863" s="602"/>
      <c r="C863" s="602"/>
    </row>
    <row r="864" spans="2:3" x14ac:dyDescent="0.35">
      <c r="B864" s="602"/>
      <c r="C864" s="602"/>
    </row>
    <row r="865" spans="2:3" x14ac:dyDescent="0.35">
      <c r="B865" s="602"/>
      <c r="C865" s="602"/>
    </row>
    <row r="866" spans="2:3" x14ac:dyDescent="0.35">
      <c r="B866" s="602"/>
      <c r="C866" s="602"/>
    </row>
    <row r="867" spans="2:3" x14ac:dyDescent="0.35">
      <c r="B867" s="602"/>
      <c r="C867" s="602"/>
    </row>
    <row r="868" spans="2:3" x14ac:dyDescent="0.35">
      <c r="B868" s="602"/>
      <c r="C868" s="602"/>
    </row>
    <row r="869" spans="2:3" x14ac:dyDescent="0.35">
      <c r="B869" s="602"/>
      <c r="C869" s="602"/>
    </row>
    <row r="870" spans="2:3" x14ac:dyDescent="0.35">
      <c r="B870" s="602"/>
      <c r="C870" s="602"/>
    </row>
    <row r="871" spans="2:3" x14ac:dyDescent="0.35">
      <c r="B871" s="602"/>
      <c r="C871" s="602"/>
    </row>
    <row r="872" spans="2:3" x14ac:dyDescent="0.35">
      <c r="B872" s="602"/>
      <c r="C872" s="602"/>
    </row>
    <row r="873" spans="2:3" x14ac:dyDescent="0.35">
      <c r="B873" s="602"/>
      <c r="C873" s="602"/>
    </row>
    <row r="874" spans="2:3" x14ac:dyDescent="0.35">
      <c r="B874" s="602"/>
      <c r="C874" s="602"/>
    </row>
    <row r="875" spans="2:3" x14ac:dyDescent="0.35">
      <c r="B875" s="602"/>
      <c r="C875" s="602"/>
    </row>
    <row r="876" spans="2:3" x14ac:dyDescent="0.35">
      <c r="B876" s="602"/>
      <c r="C876" s="602"/>
    </row>
    <row r="877" spans="2:3" x14ac:dyDescent="0.35">
      <c r="B877" s="602"/>
      <c r="C877" s="602"/>
    </row>
    <row r="878" spans="2:3" x14ac:dyDescent="0.35">
      <c r="B878" s="602"/>
      <c r="C878" s="602"/>
    </row>
    <row r="879" spans="2:3" x14ac:dyDescent="0.35">
      <c r="B879" s="602"/>
      <c r="C879" s="602"/>
    </row>
    <row r="880" spans="2:3" x14ac:dyDescent="0.35">
      <c r="B880" s="602"/>
      <c r="C880" s="602"/>
    </row>
    <row r="881" spans="2:3" x14ac:dyDescent="0.35">
      <c r="B881" s="602"/>
      <c r="C881" s="602"/>
    </row>
    <row r="882" spans="2:3" x14ac:dyDescent="0.35">
      <c r="B882" s="602"/>
      <c r="C882" s="602"/>
    </row>
    <row r="883" spans="2:3" x14ac:dyDescent="0.35">
      <c r="B883" s="602"/>
      <c r="C883" s="602"/>
    </row>
    <row r="884" spans="2:3" x14ac:dyDescent="0.35">
      <c r="B884" s="602"/>
      <c r="C884" s="602"/>
    </row>
    <row r="885" spans="2:3" x14ac:dyDescent="0.35">
      <c r="B885" s="602"/>
      <c r="C885" s="602"/>
    </row>
    <row r="886" spans="2:3" x14ac:dyDescent="0.35">
      <c r="B886" s="602"/>
      <c r="C886" s="602"/>
    </row>
    <row r="887" spans="2:3" x14ac:dyDescent="0.35">
      <c r="B887" s="602"/>
      <c r="C887" s="602"/>
    </row>
    <row r="888" spans="2:3" x14ac:dyDescent="0.35">
      <c r="B888" s="602"/>
      <c r="C888" s="602"/>
    </row>
    <row r="889" spans="2:3" x14ac:dyDescent="0.35">
      <c r="B889" s="602"/>
      <c r="C889" s="602"/>
    </row>
    <row r="890" spans="2:3" x14ac:dyDescent="0.35">
      <c r="B890" s="602"/>
      <c r="C890" s="602"/>
    </row>
    <row r="891" spans="2:3" x14ac:dyDescent="0.35">
      <c r="B891" s="602"/>
      <c r="C891" s="602"/>
    </row>
    <row r="892" spans="2:3" x14ac:dyDescent="0.35">
      <c r="B892" s="602"/>
      <c r="C892" s="602"/>
    </row>
    <row r="893" spans="2:3" x14ac:dyDescent="0.35">
      <c r="B893" s="602"/>
      <c r="C893" s="602"/>
    </row>
    <row r="894" spans="2:3" x14ac:dyDescent="0.35">
      <c r="B894" s="602"/>
      <c r="C894" s="602"/>
    </row>
    <row r="895" spans="2:3" x14ac:dyDescent="0.35">
      <c r="B895" s="602"/>
      <c r="C895" s="602"/>
    </row>
    <row r="896" spans="2:3" x14ac:dyDescent="0.35">
      <c r="B896" s="602"/>
      <c r="C896" s="602"/>
    </row>
    <row r="897" spans="2:3" x14ac:dyDescent="0.35">
      <c r="B897" s="602"/>
      <c r="C897" s="602"/>
    </row>
    <row r="898" spans="2:3" x14ac:dyDescent="0.35">
      <c r="B898" s="602"/>
      <c r="C898" s="602"/>
    </row>
    <row r="899" spans="2:3" x14ac:dyDescent="0.35">
      <c r="B899" s="602"/>
      <c r="C899" s="602"/>
    </row>
    <row r="900" spans="2:3" x14ac:dyDescent="0.35">
      <c r="B900" s="602"/>
      <c r="C900" s="602"/>
    </row>
    <row r="901" spans="2:3" x14ac:dyDescent="0.35">
      <c r="B901" s="602"/>
      <c r="C901" s="602"/>
    </row>
    <row r="902" spans="2:3" x14ac:dyDescent="0.35">
      <c r="B902" s="602"/>
      <c r="C902" s="602"/>
    </row>
    <row r="903" spans="2:3" x14ac:dyDescent="0.35">
      <c r="B903" s="602"/>
      <c r="C903" s="602"/>
    </row>
    <row r="904" spans="2:3" x14ac:dyDescent="0.35">
      <c r="B904" s="602"/>
      <c r="C904" s="602"/>
    </row>
    <row r="905" spans="2:3" x14ac:dyDescent="0.35">
      <c r="B905" s="602"/>
      <c r="C905" s="602"/>
    </row>
    <row r="906" spans="2:3" x14ac:dyDescent="0.35">
      <c r="B906" s="602"/>
      <c r="C906" s="602"/>
    </row>
    <row r="907" spans="2:3" x14ac:dyDescent="0.35">
      <c r="B907" s="602"/>
      <c r="C907" s="602"/>
    </row>
    <row r="908" spans="2:3" x14ac:dyDescent="0.35">
      <c r="B908" s="602"/>
      <c r="C908" s="602"/>
    </row>
    <row r="909" spans="2:3" x14ac:dyDescent="0.35">
      <c r="B909" s="602"/>
      <c r="C909" s="602"/>
    </row>
    <row r="910" spans="2:3" x14ac:dyDescent="0.35">
      <c r="B910" s="602"/>
      <c r="C910" s="602"/>
    </row>
    <row r="911" spans="2:3" x14ac:dyDescent="0.35">
      <c r="B911" s="602"/>
      <c r="C911" s="602"/>
    </row>
    <row r="912" spans="2:3" x14ac:dyDescent="0.35">
      <c r="B912" s="602"/>
      <c r="C912" s="602"/>
    </row>
    <row r="913" spans="2:3" x14ac:dyDescent="0.35">
      <c r="B913" s="602"/>
      <c r="C913" s="602"/>
    </row>
    <row r="914" spans="2:3" x14ac:dyDescent="0.35">
      <c r="B914" s="602"/>
      <c r="C914" s="602"/>
    </row>
    <row r="915" spans="2:3" x14ac:dyDescent="0.35">
      <c r="B915" s="602"/>
      <c r="C915" s="602"/>
    </row>
    <row r="916" spans="2:3" x14ac:dyDescent="0.35">
      <c r="B916" s="602"/>
      <c r="C916" s="602"/>
    </row>
    <row r="917" spans="2:3" x14ac:dyDescent="0.35">
      <c r="B917" s="602"/>
      <c r="C917" s="602"/>
    </row>
    <row r="918" spans="2:3" x14ac:dyDescent="0.35">
      <c r="B918" s="602"/>
      <c r="C918" s="602"/>
    </row>
    <row r="919" spans="2:3" x14ac:dyDescent="0.35">
      <c r="B919" s="602"/>
      <c r="C919" s="602"/>
    </row>
    <row r="920" spans="2:3" x14ac:dyDescent="0.35">
      <c r="B920" s="602"/>
      <c r="C920" s="602"/>
    </row>
    <row r="921" spans="2:3" x14ac:dyDescent="0.35">
      <c r="B921" s="602"/>
      <c r="C921" s="602"/>
    </row>
    <row r="922" spans="2:3" x14ac:dyDescent="0.35">
      <c r="B922" s="602"/>
      <c r="C922" s="602"/>
    </row>
    <row r="923" spans="2:3" x14ac:dyDescent="0.35">
      <c r="B923" s="602"/>
      <c r="C923" s="602"/>
    </row>
    <row r="924" spans="2:3" x14ac:dyDescent="0.35">
      <c r="B924" s="602"/>
      <c r="C924" s="602"/>
    </row>
    <row r="925" spans="2:3" x14ac:dyDescent="0.35">
      <c r="B925" s="602"/>
      <c r="C925" s="602"/>
    </row>
    <row r="926" spans="2:3" x14ac:dyDescent="0.35">
      <c r="B926" s="602"/>
      <c r="C926" s="602"/>
    </row>
    <row r="927" spans="2:3" x14ac:dyDescent="0.35">
      <c r="B927" s="602"/>
      <c r="C927" s="602"/>
    </row>
    <row r="928" spans="2:3" x14ac:dyDescent="0.35">
      <c r="B928" s="602"/>
      <c r="C928" s="602"/>
    </row>
    <row r="929" spans="2:3" x14ac:dyDescent="0.35">
      <c r="B929" s="602"/>
      <c r="C929" s="602"/>
    </row>
    <row r="930" spans="2:3" x14ac:dyDescent="0.35">
      <c r="B930" s="602"/>
      <c r="C930" s="602"/>
    </row>
    <row r="931" spans="2:3" x14ac:dyDescent="0.35">
      <c r="B931" s="602"/>
      <c r="C931" s="602"/>
    </row>
    <row r="932" spans="2:3" x14ac:dyDescent="0.35">
      <c r="B932" s="602"/>
      <c r="C932" s="602"/>
    </row>
    <row r="933" spans="2:3" x14ac:dyDescent="0.35">
      <c r="B933" s="602"/>
      <c r="C933" s="602"/>
    </row>
    <row r="934" spans="2:3" x14ac:dyDescent="0.35">
      <c r="B934" s="602"/>
      <c r="C934" s="602"/>
    </row>
    <row r="935" spans="2:3" x14ac:dyDescent="0.35">
      <c r="B935" s="602"/>
      <c r="C935" s="602"/>
    </row>
    <row r="936" spans="2:3" x14ac:dyDescent="0.35">
      <c r="B936" s="602"/>
      <c r="C936" s="602"/>
    </row>
    <row r="937" spans="2:3" x14ac:dyDescent="0.35">
      <c r="B937" s="602"/>
      <c r="C937" s="602"/>
    </row>
    <row r="938" spans="2:3" x14ac:dyDescent="0.35">
      <c r="B938" s="602"/>
      <c r="C938" s="602"/>
    </row>
    <row r="939" spans="2:3" x14ac:dyDescent="0.35">
      <c r="B939" s="602"/>
      <c r="C939" s="602"/>
    </row>
    <row r="940" spans="2:3" x14ac:dyDescent="0.35">
      <c r="B940" s="602"/>
      <c r="C940" s="602"/>
    </row>
    <row r="941" spans="2:3" x14ac:dyDescent="0.35">
      <c r="B941" s="602"/>
      <c r="C941" s="602"/>
    </row>
    <row r="942" spans="2:3" x14ac:dyDescent="0.35">
      <c r="B942" s="602"/>
      <c r="C942" s="602"/>
    </row>
    <row r="943" spans="2:3" x14ac:dyDescent="0.35">
      <c r="B943" s="602"/>
      <c r="C943" s="602"/>
    </row>
    <row r="944" spans="2:3" x14ac:dyDescent="0.35">
      <c r="B944" s="602"/>
      <c r="C944" s="602"/>
    </row>
    <row r="945" spans="2:3" x14ac:dyDescent="0.35">
      <c r="B945" s="602"/>
      <c r="C945" s="602"/>
    </row>
    <row r="946" spans="2:3" x14ac:dyDescent="0.35">
      <c r="B946" s="602"/>
      <c r="C946" s="602"/>
    </row>
    <row r="947" spans="2:3" x14ac:dyDescent="0.35">
      <c r="B947" s="602"/>
      <c r="C947" s="602"/>
    </row>
    <row r="948" spans="2:3" x14ac:dyDescent="0.35">
      <c r="B948" s="602"/>
      <c r="C948" s="602"/>
    </row>
    <row r="949" spans="2:3" x14ac:dyDescent="0.35">
      <c r="B949" s="602"/>
      <c r="C949" s="602"/>
    </row>
    <row r="950" spans="2:3" x14ac:dyDescent="0.35">
      <c r="B950" s="602"/>
      <c r="C950" s="602"/>
    </row>
    <row r="951" spans="2:3" x14ac:dyDescent="0.35">
      <c r="B951" s="602"/>
      <c r="C951" s="602"/>
    </row>
    <row r="952" spans="2:3" x14ac:dyDescent="0.35">
      <c r="B952" s="602"/>
      <c r="C952" s="602"/>
    </row>
    <row r="953" spans="2:3" x14ac:dyDescent="0.35">
      <c r="B953" s="602"/>
      <c r="C953" s="602"/>
    </row>
    <row r="954" spans="2:3" x14ac:dyDescent="0.35">
      <c r="B954" s="602"/>
      <c r="C954" s="602"/>
    </row>
    <row r="955" spans="2:3" x14ac:dyDescent="0.35">
      <c r="B955" s="602"/>
      <c r="C955" s="602"/>
    </row>
    <row r="956" spans="2:3" x14ac:dyDescent="0.35">
      <c r="B956" s="602"/>
      <c r="C956" s="602"/>
    </row>
    <row r="957" spans="2:3" x14ac:dyDescent="0.35">
      <c r="B957" s="602"/>
      <c r="C957" s="602"/>
    </row>
    <row r="958" spans="2:3" x14ac:dyDescent="0.35">
      <c r="B958" s="602"/>
      <c r="C958" s="602"/>
    </row>
    <row r="959" spans="2:3" x14ac:dyDescent="0.35">
      <c r="B959" s="602"/>
      <c r="C959" s="602"/>
    </row>
    <row r="960" spans="2:3" x14ac:dyDescent="0.35">
      <c r="B960" s="602"/>
      <c r="C960" s="602"/>
    </row>
    <row r="961" spans="2:3" x14ac:dyDescent="0.35">
      <c r="B961" s="602"/>
      <c r="C961" s="602"/>
    </row>
    <row r="962" spans="2:3" x14ac:dyDescent="0.35">
      <c r="B962" s="602"/>
      <c r="C962" s="602"/>
    </row>
    <row r="963" spans="2:3" x14ac:dyDescent="0.35">
      <c r="B963" s="602"/>
      <c r="C963" s="602"/>
    </row>
    <row r="964" spans="2:3" x14ac:dyDescent="0.35">
      <c r="B964" s="602"/>
      <c r="C964" s="602"/>
    </row>
    <row r="965" spans="2:3" x14ac:dyDescent="0.35">
      <c r="B965" s="602"/>
      <c r="C965" s="602"/>
    </row>
    <row r="966" spans="2:3" x14ac:dyDescent="0.35">
      <c r="B966" s="602"/>
      <c r="C966" s="602"/>
    </row>
    <row r="967" spans="2:3" x14ac:dyDescent="0.35">
      <c r="B967" s="602"/>
      <c r="C967" s="602"/>
    </row>
    <row r="968" spans="2:3" x14ac:dyDescent="0.35">
      <c r="B968" s="602"/>
      <c r="C968" s="602"/>
    </row>
    <row r="969" spans="2:3" x14ac:dyDescent="0.35">
      <c r="B969" s="602"/>
      <c r="C969" s="602"/>
    </row>
    <row r="970" spans="2:3" x14ac:dyDescent="0.35">
      <c r="B970" s="602"/>
      <c r="C970" s="602"/>
    </row>
    <row r="971" spans="2:3" x14ac:dyDescent="0.35">
      <c r="B971" s="602"/>
      <c r="C971" s="602"/>
    </row>
    <row r="972" spans="2:3" x14ac:dyDescent="0.35">
      <c r="B972" s="602"/>
      <c r="C972" s="602"/>
    </row>
    <row r="973" spans="2:3" x14ac:dyDescent="0.35">
      <c r="B973" s="602"/>
      <c r="C973" s="602"/>
    </row>
    <row r="974" spans="2:3" x14ac:dyDescent="0.35">
      <c r="B974" s="602"/>
      <c r="C974" s="602"/>
    </row>
    <row r="975" spans="2:3" x14ac:dyDescent="0.35">
      <c r="B975" s="602"/>
      <c r="C975" s="602"/>
    </row>
    <row r="976" spans="2:3" x14ac:dyDescent="0.35">
      <c r="B976" s="602"/>
      <c r="C976" s="602"/>
    </row>
    <row r="977" spans="2:3" x14ac:dyDescent="0.35">
      <c r="B977" s="602"/>
      <c r="C977" s="602"/>
    </row>
    <row r="978" spans="2:3" x14ac:dyDescent="0.35">
      <c r="B978" s="602"/>
      <c r="C978" s="602"/>
    </row>
    <row r="979" spans="2:3" x14ac:dyDescent="0.35">
      <c r="B979" s="602"/>
      <c r="C979" s="602"/>
    </row>
    <row r="980" spans="2:3" x14ac:dyDescent="0.35">
      <c r="B980" s="602"/>
      <c r="C980" s="602"/>
    </row>
    <row r="981" spans="2:3" x14ac:dyDescent="0.35">
      <c r="B981" s="602"/>
      <c r="C981" s="602"/>
    </row>
    <row r="982" spans="2:3" x14ac:dyDescent="0.35">
      <c r="B982" s="602"/>
      <c r="C982" s="602"/>
    </row>
    <row r="983" spans="2:3" x14ac:dyDescent="0.35">
      <c r="B983" s="602"/>
      <c r="C983" s="602"/>
    </row>
    <row r="984" spans="2:3" x14ac:dyDescent="0.35">
      <c r="B984" s="602"/>
      <c r="C984" s="602"/>
    </row>
    <row r="985" spans="2:3" x14ac:dyDescent="0.35">
      <c r="B985" s="602"/>
      <c r="C985" s="602"/>
    </row>
    <row r="986" spans="2:3" x14ac:dyDescent="0.35">
      <c r="B986" s="602"/>
      <c r="C986" s="602"/>
    </row>
    <row r="987" spans="2:3" x14ac:dyDescent="0.35">
      <c r="B987" s="602"/>
      <c r="C987" s="602"/>
    </row>
    <row r="988" spans="2:3" x14ac:dyDescent="0.35">
      <c r="B988" s="602"/>
      <c r="C988" s="602"/>
    </row>
    <row r="989" spans="2:3" x14ac:dyDescent="0.35">
      <c r="B989" s="602"/>
      <c r="C989" s="602"/>
    </row>
    <row r="990" spans="2:3" x14ac:dyDescent="0.35">
      <c r="B990" s="602"/>
      <c r="C990" s="602"/>
    </row>
    <row r="991" spans="2:3" x14ac:dyDescent="0.35">
      <c r="B991" s="602"/>
      <c r="C991" s="602"/>
    </row>
    <row r="992" spans="2:3" x14ac:dyDescent="0.35">
      <c r="B992" s="602"/>
      <c r="C992" s="602"/>
    </row>
    <row r="993" spans="2:3" x14ac:dyDescent="0.35">
      <c r="B993" s="602"/>
      <c r="C993" s="602"/>
    </row>
    <row r="994" spans="2:3" x14ac:dyDescent="0.35">
      <c r="B994" s="602"/>
      <c r="C994" s="602"/>
    </row>
    <row r="995" spans="2:3" x14ac:dyDescent="0.35">
      <c r="B995" s="602"/>
      <c r="C995" s="602"/>
    </row>
    <row r="996" spans="2:3" x14ac:dyDescent="0.35">
      <c r="B996" s="602"/>
      <c r="C996" s="602"/>
    </row>
    <row r="997" spans="2:3" x14ac:dyDescent="0.35">
      <c r="B997" s="602"/>
      <c r="C997" s="602"/>
    </row>
    <row r="998" spans="2:3" x14ac:dyDescent="0.35">
      <c r="B998" s="602"/>
      <c r="C998" s="602"/>
    </row>
    <row r="999" spans="2:3" x14ac:dyDescent="0.35">
      <c r="B999" s="602"/>
      <c r="C999" s="602"/>
    </row>
    <row r="1000" spans="2:3" x14ac:dyDescent="0.35">
      <c r="B1000" s="602"/>
      <c r="C1000" s="602"/>
    </row>
    <row r="1001" spans="2:3" x14ac:dyDescent="0.35">
      <c r="B1001" s="602"/>
      <c r="C1001" s="602"/>
    </row>
    <row r="1002" spans="2:3" x14ac:dyDescent="0.35">
      <c r="B1002" s="602"/>
      <c r="C1002" s="602"/>
    </row>
    <row r="1003" spans="2:3" x14ac:dyDescent="0.35">
      <c r="B1003" s="602"/>
      <c r="C1003" s="602"/>
    </row>
    <row r="1004" spans="2:3" x14ac:dyDescent="0.35">
      <c r="B1004" s="602"/>
      <c r="C1004" s="602"/>
    </row>
    <row r="1005" spans="2:3" x14ac:dyDescent="0.35">
      <c r="B1005" s="602"/>
      <c r="C1005" s="602"/>
    </row>
    <row r="1006" spans="2:3" x14ac:dyDescent="0.35">
      <c r="B1006" s="602"/>
      <c r="C1006" s="602"/>
    </row>
    <row r="1007" spans="2:3" x14ac:dyDescent="0.35">
      <c r="B1007" s="602"/>
      <c r="C1007" s="602"/>
    </row>
    <row r="1008" spans="2:3" x14ac:dyDescent="0.35">
      <c r="B1008" s="602"/>
      <c r="C1008" s="602"/>
    </row>
    <row r="1009" spans="2:3" x14ac:dyDescent="0.35">
      <c r="B1009" s="602"/>
      <c r="C1009" s="602"/>
    </row>
    <row r="1010" spans="2:3" x14ac:dyDescent="0.35">
      <c r="B1010" s="602"/>
      <c r="C1010" s="602"/>
    </row>
    <row r="1011" spans="2:3" x14ac:dyDescent="0.35">
      <c r="B1011" s="602"/>
      <c r="C1011" s="602"/>
    </row>
    <row r="1012" spans="2:3" x14ac:dyDescent="0.35">
      <c r="B1012" s="602"/>
      <c r="C1012" s="602"/>
    </row>
    <row r="1013" spans="2:3" x14ac:dyDescent="0.35">
      <c r="B1013" s="602"/>
      <c r="C1013" s="602"/>
    </row>
    <row r="1014" spans="2:3" x14ac:dyDescent="0.35">
      <c r="B1014" s="602"/>
      <c r="C1014" s="602"/>
    </row>
    <row r="1015" spans="2:3" x14ac:dyDescent="0.35">
      <c r="B1015" s="602"/>
      <c r="C1015" s="602"/>
    </row>
    <row r="1016" spans="2:3" x14ac:dyDescent="0.35">
      <c r="B1016" s="602"/>
      <c r="C1016" s="602"/>
    </row>
    <row r="1017" spans="2:3" x14ac:dyDescent="0.35">
      <c r="B1017" s="602"/>
      <c r="C1017" s="602"/>
    </row>
    <row r="1018" spans="2:3" x14ac:dyDescent="0.35">
      <c r="B1018" s="602"/>
      <c r="C1018" s="602"/>
    </row>
    <row r="1019" spans="2:3" x14ac:dyDescent="0.35">
      <c r="B1019" s="602"/>
      <c r="C1019" s="602"/>
    </row>
    <row r="1020" spans="2:3" x14ac:dyDescent="0.35">
      <c r="B1020" s="602"/>
      <c r="C1020" s="602"/>
    </row>
    <row r="1021" spans="2:3" x14ac:dyDescent="0.35">
      <c r="B1021" s="602"/>
      <c r="C1021" s="602"/>
    </row>
    <row r="1022" spans="2:3" x14ac:dyDescent="0.35">
      <c r="B1022" s="602"/>
      <c r="C1022" s="602"/>
    </row>
    <row r="1023" spans="2:3" x14ac:dyDescent="0.35">
      <c r="B1023" s="602"/>
      <c r="C1023" s="602"/>
    </row>
    <row r="1024" spans="2:3" x14ac:dyDescent="0.35">
      <c r="B1024" s="602"/>
      <c r="C1024" s="602"/>
    </row>
    <row r="1025" spans="2:3" x14ac:dyDescent="0.35">
      <c r="B1025" s="602"/>
      <c r="C1025" s="602"/>
    </row>
    <row r="1026" spans="2:3" x14ac:dyDescent="0.35">
      <c r="B1026" s="602"/>
      <c r="C1026" s="602"/>
    </row>
    <row r="1027" spans="2:3" x14ac:dyDescent="0.35">
      <c r="B1027" s="602"/>
      <c r="C1027" s="602"/>
    </row>
    <row r="1028" spans="2:3" x14ac:dyDescent="0.35">
      <c r="B1028" s="602"/>
      <c r="C1028" s="602"/>
    </row>
    <row r="1029" spans="2:3" x14ac:dyDescent="0.35">
      <c r="B1029" s="602"/>
      <c r="C1029" s="602"/>
    </row>
    <row r="1030" spans="2:3" x14ac:dyDescent="0.35">
      <c r="B1030" s="602"/>
      <c r="C1030" s="602"/>
    </row>
    <row r="1031" spans="2:3" x14ac:dyDescent="0.35">
      <c r="B1031" s="602"/>
      <c r="C1031" s="602"/>
    </row>
    <row r="1032" spans="2:3" x14ac:dyDescent="0.35">
      <c r="B1032" s="602"/>
      <c r="C1032" s="602"/>
    </row>
    <row r="1033" spans="2:3" x14ac:dyDescent="0.35">
      <c r="B1033" s="602"/>
      <c r="C1033" s="602"/>
    </row>
    <row r="1034" spans="2:3" x14ac:dyDescent="0.35">
      <c r="B1034" s="602"/>
      <c r="C1034" s="602"/>
    </row>
    <row r="1035" spans="2:3" x14ac:dyDescent="0.35">
      <c r="B1035" s="602"/>
      <c r="C1035" s="602"/>
    </row>
    <row r="1036" spans="2:3" x14ac:dyDescent="0.35">
      <c r="B1036" s="602"/>
      <c r="C1036" s="602"/>
    </row>
    <row r="1037" spans="2:3" x14ac:dyDescent="0.35">
      <c r="B1037" s="602"/>
      <c r="C1037" s="602"/>
    </row>
    <row r="1038" spans="2:3" x14ac:dyDescent="0.35">
      <c r="B1038" s="602"/>
      <c r="C1038" s="602"/>
    </row>
    <row r="1039" spans="2:3" x14ac:dyDescent="0.35">
      <c r="B1039" s="602"/>
      <c r="C1039" s="602"/>
    </row>
    <row r="1040" spans="2:3" x14ac:dyDescent="0.35">
      <c r="B1040" s="602"/>
      <c r="C1040" s="602"/>
    </row>
    <row r="1041" spans="2:3" x14ac:dyDescent="0.35">
      <c r="B1041" s="602"/>
      <c r="C1041" s="602"/>
    </row>
    <row r="1042" spans="2:3" x14ac:dyDescent="0.35">
      <c r="B1042" s="602"/>
      <c r="C1042" s="602"/>
    </row>
    <row r="1043" spans="2:3" x14ac:dyDescent="0.35">
      <c r="B1043" s="602"/>
      <c r="C1043" s="602"/>
    </row>
    <row r="1044" spans="2:3" x14ac:dyDescent="0.35">
      <c r="B1044" s="602"/>
      <c r="C1044" s="602"/>
    </row>
    <row r="1045" spans="2:3" x14ac:dyDescent="0.35">
      <c r="B1045" s="602"/>
      <c r="C1045" s="602"/>
    </row>
    <row r="1046" spans="2:3" x14ac:dyDescent="0.35">
      <c r="B1046" s="602"/>
      <c r="C1046" s="602"/>
    </row>
    <row r="1047" spans="2:3" x14ac:dyDescent="0.35">
      <c r="B1047" s="602"/>
      <c r="C1047" s="602"/>
    </row>
    <row r="1048" spans="2:3" x14ac:dyDescent="0.35">
      <c r="B1048" s="602"/>
      <c r="C1048" s="602"/>
    </row>
    <row r="1049" spans="2:3" x14ac:dyDescent="0.35">
      <c r="B1049" s="602"/>
      <c r="C1049" s="602"/>
    </row>
    <row r="1050" spans="2:3" x14ac:dyDescent="0.35">
      <c r="B1050" s="602"/>
      <c r="C1050" s="602"/>
    </row>
    <row r="1051" spans="2:3" x14ac:dyDescent="0.35">
      <c r="B1051" s="602"/>
      <c r="C1051" s="602"/>
    </row>
    <row r="1052" spans="2:3" x14ac:dyDescent="0.35">
      <c r="B1052" s="602"/>
      <c r="C1052" s="602"/>
    </row>
    <row r="1053" spans="2:3" x14ac:dyDescent="0.35">
      <c r="B1053" s="602"/>
      <c r="C1053" s="602"/>
    </row>
    <row r="1054" spans="2:3" x14ac:dyDescent="0.35">
      <c r="B1054" s="602"/>
      <c r="C1054" s="602"/>
    </row>
    <row r="1055" spans="2:3" x14ac:dyDescent="0.35">
      <c r="B1055" s="602"/>
      <c r="C1055" s="602"/>
    </row>
    <row r="1056" spans="2:3" x14ac:dyDescent="0.35">
      <c r="B1056" s="602"/>
      <c r="C1056" s="602"/>
    </row>
    <row r="1057" spans="2:3" x14ac:dyDescent="0.35">
      <c r="B1057" s="602"/>
      <c r="C1057" s="602"/>
    </row>
    <row r="1058" spans="2:3" x14ac:dyDescent="0.35">
      <c r="B1058" s="602"/>
      <c r="C1058" s="602"/>
    </row>
    <row r="1059" spans="2:3" x14ac:dyDescent="0.35">
      <c r="B1059" s="602"/>
      <c r="C1059" s="602"/>
    </row>
    <row r="1060" spans="2:3" x14ac:dyDescent="0.35">
      <c r="B1060" s="602"/>
      <c r="C1060" s="602"/>
    </row>
    <row r="1061" spans="2:3" x14ac:dyDescent="0.35">
      <c r="B1061" s="602"/>
      <c r="C1061" s="602"/>
    </row>
    <row r="1062" spans="2:3" x14ac:dyDescent="0.35">
      <c r="B1062" s="602"/>
      <c r="C1062" s="602"/>
    </row>
    <row r="1063" spans="2:3" x14ac:dyDescent="0.35">
      <c r="B1063" s="602"/>
      <c r="C1063" s="602"/>
    </row>
    <row r="1064" spans="2:3" x14ac:dyDescent="0.35">
      <c r="B1064" s="602"/>
      <c r="C1064" s="602"/>
    </row>
    <row r="1065" spans="2:3" x14ac:dyDescent="0.35">
      <c r="B1065" s="602"/>
      <c r="C1065" s="602"/>
    </row>
    <row r="1066" spans="2:3" x14ac:dyDescent="0.35">
      <c r="B1066" s="602"/>
      <c r="C1066" s="602"/>
    </row>
    <row r="1067" spans="2:3" x14ac:dyDescent="0.35">
      <c r="B1067" s="602"/>
      <c r="C1067" s="602"/>
    </row>
    <row r="1068" spans="2:3" x14ac:dyDescent="0.35">
      <c r="B1068" s="602"/>
      <c r="C1068" s="602"/>
    </row>
    <row r="1069" spans="2:3" x14ac:dyDescent="0.35">
      <c r="B1069" s="602"/>
      <c r="C1069" s="602"/>
    </row>
    <row r="1070" spans="2:3" x14ac:dyDescent="0.35">
      <c r="B1070" s="602"/>
      <c r="C1070" s="602"/>
    </row>
    <row r="1071" spans="2:3" x14ac:dyDescent="0.35">
      <c r="B1071" s="602"/>
      <c r="C1071" s="602"/>
    </row>
    <row r="1072" spans="2:3" x14ac:dyDescent="0.35">
      <c r="B1072" s="602"/>
      <c r="C1072" s="602"/>
    </row>
    <row r="1073" spans="2:3" x14ac:dyDescent="0.35">
      <c r="B1073" s="602"/>
      <c r="C1073" s="602"/>
    </row>
    <row r="1074" spans="2:3" x14ac:dyDescent="0.35">
      <c r="B1074" s="602"/>
      <c r="C1074" s="602"/>
    </row>
    <row r="1075" spans="2:3" x14ac:dyDescent="0.35">
      <c r="B1075" s="602"/>
      <c r="C1075" s="602"/>
    </row>
    <row r="1076" spans="2:3" x14ac:dyDescent="0.35">
      <c r="B1076" s="602"/>
      <c r="C1076" s="602"/>
    </row>
    <row r="1077" spans="2:3" x14ac:dyDescent="0.35">
      <c r="B1077" s="602"/>
      <c r="C1077" s="602"/>
    </row>
    <row r="1078" spans="2:3" x14ac:dyDescent="0.35">
      <c r="B1078" s="602"/>
      <c r="C1078" s="602"/>
    </row>
    <row r="1079" spans="2:3" x14ac:dyDescent="0.35">
      <c r="B1079" s="602"/>
      <c r="C1079" s="602"/>
    </row>
    <row r="1080" spans="2:3" x14ac:dyDescent="0.35">
      <c r="B1080" s="602"/>
      <c r="C1080" s="602"/>
    </row>
    <row r="1081" spans="2:3" x14ac:dyDescent="0.35">
      <c r="B1081" s="602"/>
      <c r="C1081" s="602"/>
    </row>
    <row r="1082" spans="2:3" x14ac:dyDescent="0.35">
      <c r="B1082" s="602"/>
      <c r="C1082" s="602"/>
    </row>
    <row r="1083" spans="2:3" x14ac:dyDescent="0.35">
      <c r="B1083" s="602"/>
      <c r="C1083" s="602"/>
    </row>
    <row r="1084" spans="2:3" x14ac:dyDescent="0.35">
      <c r="B1084" s="602"/>
      <c r="C1084" s="602"/>
    </row>
    <row r="1085" spans="2:3" x14ac:dyDescent="0.35">
      <c r="B1085" s="602"/>
      <c r="C1085" s="602"/>
    </row>
    <row r="1086" spans="2:3" x14ac:dyDescent="0.35">
      <c r="B1086" s="602"/>
      <c r="C1086" s="602"/>
    </row>
    <row r="1087" spans="2:3" x14ac:dyDescent="0.35">
      <c r="B1087" s="602"/>
      <c r="C1087" s="602"/>
    </row>
    <row r="1088" spans="2:3" x14ac:dyDescent="0.35">
      <c r="B1088" s="602"/>
      <c r="C1088" s="602"/>
    </row>
    <row r="1089" spans="2:3" x14ac:dyDescent="0.35">
      <c r="B1089" s="602"/>
      <c r="C1089" s="602"/>
    </row>
    <row r="1090" spans="2:3" x14ac:dyDescent="0.35">
      <c r="B1090" s="602"/>
      <c r="C1090" s="602"/>
    </row>
    <row r="1091" spans="2:3" x14ac:dyDescent="0.35">
      <c r="B1091" s="602"/>
      <c r="C1091" s="602"/>
    </row>
    <row r="1092" spans="2:3" x14ac:dyDescent="0.35">
      <c r="B1092" s="602"/>
      <c r="C1092" s="602"/>
    </row>
    <row r="1093" spans="2:3" x14ac:dyDescent="0.35">
      <c r="B1093" s="602"/>
      <c r="C1093" s="602"/>
    </row>
    <row r="1094" spans="2:3" x14ac:dyDescent="0.35">
      <c r="B1094" s="602"/>
      <c r="C1094" s="602"/>
    </row>
    <row r="1095" spans="2:3" x14ac:dyDescent="0.35">
      <c r="B1095" s="602"/>
      <c r="C1095" s="602"/>
    </row>
    <row r="1096" spans="2:3" x14ac:dyDescent="0.35">
      <c r="B1096" s="602"/>
      <c r="C1096" s="602"/>
    </row>
    <row r="1097" spans="2:3" x14ac:dyDescent="0.35">
      <c r="B1097" s="602"/>
      <c r="C1097" s="602"/>
    </row>
    <row r="1098" spans="2:3" x14ac:dyDescent="0.35">
      <c r="B1098" s="602"/>
      <c r="C1098" s="602"/>
    </row>
    <row r="1099" spans="2:3" x14ac:dyDescent="0.35">
      <c r="B1099" s="602"/>
      <c r="C1099" s="602"/>
    </row>
    <row r="1100" spans="2:3" x14ac:dyDescent="0.35">
      <c r="B1100" s="602"/>
      <c r="C1100" s="602"/>
    </row>
    <row r="1101" spans="2:3" x14ac:dyDescent="0.35">
      <c r="B1101" s="602"/>
      <c r="C1101" s="602"/>
    </row>
    <row r="1102" spans="2:3" x14ac:dyDescent="0.35">
      <c r="B1102" s="602"/>
      <c r="C1102" s="602"/>
    </row>
    <row r="1103" spans="2:3" x14ac:dyDescent="0.35">
      <c r="B1103" s="602"/>
      <c r="C1103" s="602"/>
    </row>
    <row r="1104" spans="2:3" x14ac:dyDescent="0.35">
      <c r="B1104" s="602"/>
      <c r="C1104" s="602"/>
    </row>
    <row r="1105" spans="2:3" x14ac:dyDescent="0.35">
      <c r="B1105" s="602"/>
      <c r="C1105" s="602"/>
    </row>
    <row r="1106" spans="2:3" x14ac:dyDescent="0.35">
      <c r="B1106" s="602"/>
      <c r="C1106" s="602"/>
    </row>
    <row r="1107" spans="2:3" x14ac:dyDescent="0.35">
      <c r="B1107" s="602"/>
      <c r="C1107" s="602"/>
    </row>
    <row r="1108" spans="2:3" x14ac:dyDescent="0.35">
      <c r="B1108" s="602"/>
      <c r="C1108" s="602"/>
    </row>
    <row r="1109" spans="2:3" x14ac:dyDescent="0.35">
      <c r="B1109" s="602"/>
      <c r="C1109" s="602"/>
    </row>
    <row r="1110" spans="2:3" x14ac:dyDescent="0.35">
      <c r="B1110" s="602"/>
      <c r="C1110" s="602"/>
    </row>
    <row r="1111" spans="2:3" x14ac:dyDescent="0.35">
      <c r="B1111" s="602"/>
      <c r="C1111" s="602"/>
    </row>
    <row r="1112" spans="2:3" x14ac:dyDescent="0.35">
      <c r="B1112" s="602"/>
      <c r="C1112" s="602"/>
    </row>
    <row r="1113" spans="2:3" x14ac:dyDescent="0.35">
      <c r="B1113" s="602"/>
      <c r="C1113" s="602"/>
    </row>
    <row r="1114" spans="2:3" x14ac:dyDescent="0.35">
      <c r="B1114" s="602"/>
      <c r="C1114" s="602"/>
    </row>
    <row r="1115" spans="2:3" x14ac:dyDescent="0.35">
      <c r="B1115" s="602"/>
      <c r="C1115" s="602"/>
    </row>
    <row r="1116" spans="2:3" x14ac:dyDescent="0.35">
      <c r="B1116" s="602"/>
      <c r="C1116" s="602"/>
    </row>
    <row r="1117" spans="2:3" x14ac:dyDescent="0.35">
      <c r="B1117" s="602"/>
      <c r="C1117" s="602"/>
    </row>
    <row r="1118" spans="2:3" x14ac:dyDescent="0.35">
      <c r="B1118" s="602"/>
      <c r="C1118" s="602"/>
    </row>
    <row r="1119" spans="2:3" x14ac:dyDescent="0.35">
      <c r="B1119" s="602"/>
      <c r="C1119" s="602"/>
    </row>
    <row r="1120" spans="2:3" x14ac:dyDescent="0.35">
      <c r="B1120" s="602"/>
      <c r="C1120" s="602"/>
    </row>
    <row r="1121" spans="2:3" x14ac:dyDescent="0.35">
      <c r="B1121" s="602"/>
      <c r="C1121" s="602"/>
    </row>
    <row r="1122" spans="2:3" x14ac:dyDescent="0.35">
      <c r="B1122" s="602"/>
      <c r="C1122" s="602"/>
    </row>
    <row r="1123" spans="2:3" x14ac:dyDescent="0.35">
      <c r="B1123" s="602"/>
      <c r="C1123" s="602"/>
    </row>
    <row r="1124" spans="2:3" x14ac:dyDescent="0.35">
      <c r="B1124" s="602"/>
      <c r="C1124" s="602"/>
    </row>
    <row r="1125" spans="2:3" x14ac:dyDescent="0.35">
      <c r="B1125" s="602"/>
      <c r="C1125" s="602"/>
    </row>
    <row r="1126" spans="2:3" x14ac:dyDescent="0.35">
      <c r="B1126" s="602"/>
      <c r="C1126" s="602"/>
    </row>
    <row r="1127" spans="2:3" x14ac:dyDescent="0.35">
      <c r="B1127" s="602"/>
      <c r="C1127" s="602"/>
    </row>
    <row r="1128" spans="2:3" x14ac:dyDescent="0.35">
      <c r="B1128" s="602"/>
      <c r="C1128" s="602"/>
    </row>
    <row r="1129" spans="2:3" x14ac:dyDescent="0.35">
      <c r="B1129" s="602"/>
      <c r="C1129" s="602"/>
    </row>
    <row r="1130" spans="2:3" x14ac:dyDescent="0.35">
      <c r="B1130" s="602"/>
      <c r="C1130" s="602"/>
    </row>
    <row r="1131" spans="2:3" x14ac:dyDescent="0.35">
      <c r="B1131" s="602"/>
      <c r="C1131" s="602"/>
    </row>
    <row r="1132" spans="2:3" x14ac:dyDescent="0.35">
      <c r="B1132" s="602"/>
      <c r="C1132" s="602"/>
    </row>
    <row r="1133" spans="2:3" x14ac:dyDescent="0.35">
      <c r="B1133" s="602"/>
      <c r="C1133" s="602"/>
    </row>
    <row r="1134" spans="2:3" x14ac:dyDescent="0.35">
      <c r="B1134" s="602"/>
      <c r="C1134" s="602"/>
    </row>
    <row r="1135" spans="2:3" x14ac:dyDescent="0.35">
      <c r="B1135" s="602"/>
      <c r="C1135" s="602"/>
    </row>
    <row r="1136" spans="2:3" x14ac:dyDescent="0.35">
      <c r="B1136" s="602"/>
      <c r="C1136" s="602"/>
    </row>
    <row r="1137" spans="2:3" x14ac:dyDescent="0.35">
      <c r="B1137" s="602"/>
      <c r="C1137" s="602"/>
    </row>
    <row r="1138" spans="2:3" x14ac:dyDescent="0.35">
      <c r="B1138" s="602"/>
      <c r="C1138" s="602"/>
    </row>
    <row r="1139" spans="2:3" x14ac:dyDescent="0.35">
      <c r="B1139" s="602"/>
      <c r="C1139" s="602"/>
    </row>
    <row r="1140" spans="2:3" x14ac:dyDescent="0.35">
      <c r="B1140" s="602"/>
      <c r="C1140" s="602"/>
    </row>
    <row r="1141" spans="2:3" x14ac:dyDescent="0.35">
      <c r="B1141" s="602"/>
      <c r="C1141" s="602"/>
    </row>
    <row r="1142" spans="2:3" x14ac:dyDescent="0.35">
      <c r="B1142" s="602"/>
      <c r="C1142" s="602"/>
    </row>
    <row r="1143" spans="2:3" x14ac:dyDescent="0.35">
      <c r="B1143" s="602"/>
      <c r="C1143" s="602"/>
    </row>
    <row r="1144" spans="2:3" x14ac:dyDescent="0.35">
      <c r="B1144" s="602"/>
      <c r="C1144" s="602"/>
    </row>
    <row r="1145" spans="2:3" x14ac:dyDescent="0.35">
      <c r="B1145" s="602"/>
      <c r="C1145" s="602"/>
    </row>
    <row r="1146" spans="2:3" x14ac:dyDescent="0.35">
      <c r="B1146" s="602"/>
      <c r="C1146" s="602"/>
    </row>
    <row r="1147" spans="2:3" x14ac:dyDescent="0.35">
      <c r="B1147" s="602"/>
      <c r="C1147" s="602"/>
    </row>
    <row r="1148" spans="2:3" x14ac:dyDescent="0.35">
      <c r="B1148" s="602"/>
      <c r="C1148" s="602"/>
    </row>
    <row r="1149" spans="2:3" x14ac:dyDescent="0.35">
      <c r="B1149" s="602"/>
      <c r="C1149" s="602"/>
    </row>
    <row r="1150" spans="2:3" x14ac:dyDescent="0.35">
      <c r="B1150" s="602"/>
      <c r="C1150" s="602"/>
    </row>
    <row r="1151" spans="2:3" x14ac:dyDescent="0.35">
      <c r="B1151" s="602"/>
      <c r="C1151" s="602"/>
    </row>
    <row r="1152" spans="2:3" x14ac:dyDescent="0.35">
      <c r="B1152" s="602"/>
      <c r="C1152" s="602"/>
    </row>
    <row r="1153" spans="2:3" x14ac:dyDescent="0.35">
      <c r="B1153" s="602"/>
      <c r="C1153" s="602"/>
    </row>
    <row r="1154" spans="2:3" x14ac:dyDescent="0.35">
      <c r="B1154" s="602"/>
      <c r="C1154" s="602"/>
    </row>
    <row r="1155" spans="2:3" x14ac:dyDescent="0.35">
      <c r="B1155" s="602"/>
      <c r="C1155" s="602"/>
    </row>
    <row r="1156" spans="2:3" x14ac:dyDescent="0.35">
      <c r="B1156" s="602"/>
      <c r="C1156" s="602"/>
    </row>
    <row r="1157" spans="2:3" x14ac:dyDescent="0.35">
      <c r="B1157" s="602"/>
      <c r="C1157" s="602"/>
    </row>
    <row r="1158" spans="2:3" x14ac:dyDescent="0.35">
      <c r="B1158" s="602"/>
      <c r="C1158" s="602"/>
    </row>
    <row r="1159" spans="2:3" x14ac:dyDescent="0.35">
      <c r="B1159" s="602"/>
      <c r="C1159" s="602"/>
    </row>
    <row r="1160" spans="2:3" x14ac:dyDescent="0.35">
      <c r="B1160" s="602"/>
      <c r="C1160" s="602"/>
    </row>
    <row r="1161" spans="2:3" x14ac:dyDescent="0.35">
      <c r="B1161" s="602"/>
      <c r="C1161" s="602"/>
    </row>
    <row r="1162" spans="2:3" x14ac:dyDescent="0.35">
      <c r="B1162" s="602"/>
      <c r="C1162" s="602"/>
    </row>
    <row r="1163" spans="2:3" x14ac:dyDescent="0.35">
      <c r="B1163" s="602"/>
      <c r="C1163" s="602"/>
    </row>
    <row r="1164" spans="2:3" x14ac:dyDescent="0.35">
      <c r="B1164" s="602"/>
      <c r="C1164" s="602"/>
    </row>
    <row r="1165" spans="2:3" x14ac:dyDescent="0.35">
      <c r="B1165" s="602"/>
      <c r="C1165" s="602"/>
    </row>
    <row r="1166" spans="2:3" x14ac:dyDescent="0.35">
      <c r="B1166" s="602"/>
      <c r="C1166" s="602"/>
    </row>
    <row r="1167" spans="2:3" x14ac:dyDescent="0.35">
      <c r="B1167" s="602"/>
      <c r="C1167" s="602"/>
    </row>
    <row r="1168" spans="2:3" x14ac:dyDescent="0.35">
      <c r="B1168" s="602"/>
      <c r="C1168" s="602"/>
    </row>
    <row r="1169" spans="2:3" x14ac:dyDescent="0.35">
      <c r="B1169" s="602"/>
      <c r="C1169" s="602"/>
    </row>
    <row r="1170" spans="2:3" x14ac:dyDescent="0.35">
      <c r="B1170" s="602"/>
      <c r="C1170" s="602"/>
    </row>
    <row r="1171" spans="2:3" x14ac:dyDescent="0.35">
      <c r="B1171" s="602"/>
      <c r="C1171" s="602"/>
    </row>
    <row r="1172" spans="2:3" x14ac:dyDescent="0.35">
      <c r="B1172" s="602"/>
      <c r="C1172" s="602"/>
    </row>
    <row r="1173" spans="2:3" x14ac:dyDescent="0.35">
      <c r="B1173" s="602"/>
      <c r="C1173" s="602"/>
    </row>
    <row r="1174" spans="2:3" x14ac:dyDescent="0.35">
      <c r="B1174" s="602"/>
      <c r="C1174" s="602"/>
    </row>
    <row r="1175" spans="2:3" x14ac:dyDescent="0.35">
      <c r="B1175" s="602"/>
      <c r="C1175" s="602"/>
    </row>
    <row r="1176" spans="2:3" x14ac:dyDescent="0.35">
      <c r="B1176" s="602"/>
      <c r="C1176" s="602"/>
    </row>
    <row r="1177" spans="2:3" x14ac:dyDescent="0.35">
      <c r="B1177" s="602"/>
      <c r="C1177" s="602"/>
    </row>
    <row r="1178" spans="2:3" x14ac:dyDescent="0.35">
      <c r="B1178" s="602"/>
      <c r="C1178" s="602"/>
    </row>
    <row r="1179" spans="2:3" x14ac:dyDescent="0.35">
      <c r="B1179" s="602"/>
      <c r="C1179" s="602"/>
    </row>
    <row r="1180" spans="2:3" x14ac:dyDescent="0.35">
      <c r="B1180" s="602"/>
      <c r="C1180" s="602"/>
    </row>
    <row r="1181" spans="2:3" x14ac:dyDescent="0.35">
      <c r="B1181" s="602"/>
      <c r="C1181" s="602"/>
    </row>
    <row r="1182" spans="2:3" x14ac:dyDescent="0.35">
      <c r="B1182" s="602"/>
      <c r="C1182" s="602"/>
    </row>
    <row r="1183" spans="2:3" x14ac:dyDescent="0.35">
      <c r="B1183" s="602"/>
      <c r="C1183" s="602"/>
    </row>
    <row r="1184" spans="2:3" x14ac:dyDescent="0.35">
      <c r="B1184" s="602"/>
      <c r="C1184" s="602"/>
    </row>
    <row r="1185" spans="2:3" x14ac:dyDescent="0.35">
      <c r="B1185" s="602"/>
      <c r="C1185" s="602"/>
    </row>
    <row r="1186" spans="2:3" x14ac:dyDescent="0.35">
      <c r="B1186" s="602"/>
      <c r="C1186" s="602"/>
    </row>
    <row r="1187" spans="2:3" x14ac:dyDescent="0.35">
      <c r="B1187" s="602"/>
      <c r="C1187" s="602"/>
    </row>
    <row r="1188" spans="2:3" x14ac:dyDescent="0.35">
      <c r="B1188" s="602"/>
      <c r="C1188" s="602"/>
    </row>
    <row r="1189" spans="2:3" x14ac:dyDescent="0.35">
      <c r="B1189" s="602"/>
      <c r="C1189" s="602"/>
    </row>
    <row r="1190" spans="2:3" x14ac:dyDescent="0.35">
      <c r="B1190" s="602"/>
      <c r="C1190" s="602"/>
    </row>
    <row r="1191" spans="2:3" x14ac:dyDescent="0.35">
      <c r="B1191" s="602"/>
      <c r="C1191" s="602"/>
    </row>
    <row r="1192" spans="2:3" x14ac:dyDescent="0.35">
      <c r="B1192" s="602"/>
      <c r="C1192" s="602"/>
    </row>
    <row r="1193" spans="2:3" x14ac:dyDescent="0.35">
      <c r="B1193" s="602"/>
      <c r="C1193" s="602"/>
    </row>
    <row r="1194" spans="2:3" x14ac:dyDescent="0.35">
      <c r="B1194" s="602"/>
      <c r="C1194" s="602"/>
    </row>
    <row r="1195" spans="2:3" x14ac:dyDescent="0.35">
      <c r="B1195" s="602"/>
      <c r="C1195" s="602"/>
    </row>
    <row r="1196" spans="2:3" x14ac:dyDescent="0.35">
      <c r="B1196" s="602"/>
      <c r="C1196" s="602"/>
    </row>
    <row r="1197" spans="2:3" x14ac:dyDescent="0.35">
      <c r="B1197" s="602"/>
      <c r="C1197" s="602"/>
    </row>
    <row r="1198" spans="2:3" x14ac:dyDescent="0.35">
      <c r="B1198" s="602"/>
      <c r="C1198" s="602"/>
    </row>
    <row r="1199" spans="2:3" x14ac:dyDescent="0.35">
      <c r="B1199" s="602"/>
      <c r="C1199" s="602"/>
    </row>
    <row r="1200" spans="2:3" x14ac:dyDescent="0.35">
      <c r="B1200" s="602"/>
      <c r="C1200" s="602"/>
    </row>
    <row r="1201" spans="2:3" x14ac:dyDescent="0.35">
      <c r="B1201" s="602"/>
      <c r="C1201" s="602"/>
    </row>
    <row r="1202" spans="2:3" x14ac:dyDescent="0.35">
      <c r="B1202" s="602"/>
      <c r="C1202" s="602"/>
    </row>
    <row r="1203" spans="2:3" x14ac:dyDescent="0.35">
      <c r="B1203" s="602"/>
      <c r="C1203" s="602"/>
    </row>
    <row r="1204" spans="2:3" x14ac:dyDescent="0.35">
      <c r="B1204" s="602"/>
      <c r="C1204" s="602"/>
    </row>
    <row r="1205" spans="2:3" x14ac:dyDescent="0.35">
      <c r="B1205" s="602"/>
      <c r="C1205" s="602"/>
    </row>
    <row r="1206" spans="2:3" x14ac:dyDescent="0.35">
      <c r="B1206" s="602"/>
      <c r="C1206" s="602"/>
    </row>
    <row r="1207" spans="2:3" x14ac:dyDescent="0.35">
      <c r="B1207" s="602"/>
      <c r="C1207" s="602"/>
    </row>
    <row r="1208" spans="2:3" x14ac:dyDescent="0.35">
      <c r="B1208" s="602"/>
      <c r="C1208" s="602"/>
    </row>
    <row r="1209" spans="2:3" x14ac:dyDescent="0.35">
      <c r="B1209" s="602"/>
      <c r="C1209" s="602"/>
    </row>
    <row r="1210" spans="2:3" x14ac:dyDescent="0.35">
      <c r="B1210" s="602"/>
      <c r="C1210" s="602"/>
    </row>
    <row r="1211" spans="2:3" x14ac:dyDescent="0.35">
      <c r="B1211" s="602"/>
      <c r="C1211" s="602"/>
    </row>
    <row r="1212" spans="2:3" x14ac:dyDescent="0.35">
      <c r="B1212" s="602"/>
      <c r="C1212" s="602"/>
    </row>
    <row r="1213" spans="2:3" x14ac:dyDescent="0.35">
      <c r="B1213" s="602"/>
      <c r="C1213" s="602"/>
    </row>
    <row r="1214" spans="2:3" x14ac:dyDescent="0.35">
      <c r="B1214" s="602"/>
      <c r="C1214" s="602"/>
    </row>
    <row r="1215" spans="2:3" x14ac:dyDescent="0.35">
      <c r="B1215" s="602"/>
      <c r="C1215" s="602"/>
    </row>
    <row r="1216" spans="2:3" x14ac:dyDescent="0.35">
      <c r="B1216" s="602"/>
      <c r="C1216" s="602"/>
    </row>
    <row r="1217" spans="2:3" x14ac:dyDescent="0.35">
      <c r="B1217" s="602"/>
      <c r="C1217" s="602"/>
    </row>
    <row r="1218" spans="2:3" x14ac:dyDescent="0.35">
      <c r="B1218" s="602"/>
      <c r="C1218" s="602"/>
    </row>
    <row r="1219" spans="2:3" x14ac:dyDescent="0.35">
      <c r="B1219" s="602"/>
      <c r="C1219" s="602"/>
    </row>
    <row r="1220" spans="2:3" x14ac:dyDescent="0.35">
      <c r="B1220" s="602"/>
      <c r="C1220" s="602"/>
    </row>
    <row r="1221" spans="2:3" x14ac:dyDescent="0.35">
      <c r="B1221" s="602"/>
      <c r="C1221" s="602"/>
    </row>
    <row r="1222" spans="2:3" x14ac:dyDescent="0.35">
      <c r="B1222" s="602"/>
      <c r="C1222" s="602"/>
    </row>
    <row r="1223" spans="2:3" x14ac:dyDescent="0.35">
      <c r="B1223" s="602"/>
      <c r="C1223" s="602"/>
    </row>
    <row r="1224" spans="2:3" x14ac:dyDescent="0.35">
      <c r="B1224" s="602"/>
      <c r="C1224" s="602"/>
    </row>
    <row r="1225" spans="2:3" x14ac:dyDescent="0.35">
      <c r="B1225" s="602"/>
      <c r="C1225" s="602"/>
    </row>
    <row r="1226" spans="2:3" x14ac:dyDescent="0.35">
      <c r="B1226" s="602"/>
      <c r="C1226" s="602"/>
    </row>
    <row r="1227" spans="2:3" x14ac:dyDescent="0.35">
      <c r="B1227" s="602"/>
      <c r="C1227" s="602"/>
    </row>
    <row r="1228" spans="2:3" x14ac:dyDescent="0.35">
      <c r="B1228" s="602"/>
      <c r="C1228" s="602"/>
    </row>
    <row r="1229" spans="2:3" x14ac:dyDescent="0.35">
      <c r="B1229" s="602"/>
      <c r="C1229" s="602"/>
    </row>
    <row r="1230" spans="2:3" x14ac:dyDescent="0.35">
      <c r="B1230" s="602"/>
      <c r="C1230" s="602"/>
    </row>
    <row r="1231" spans="2:3" x14ac:dyDescent="0.35">
      <c r="B1231" s="602"/>
      <c r="C1231" s="602"/>
    </row>
    <row r="1232" spans="2:3" x14ac:dyDescent="0.35">
      <c r="B1232" s="602"/>
      <c r="C1232" s="602"/>
    </row>
    <row r="1233" spans="2:3" x14ac:dyDescent="0.35">
      <c r="B1233" s="602"/>
      <c r="C1233" s="602"/>
    </row>
    <row r="1234" spans="2:3" x14ac:dyDescent="0.35">
      <c r="B1234" s="602"/>
      <c r="C1234" s="602"/>
    </row>
    <row r="1235" spans="2:3" x14ac:dyDescent="0.35">
      <c r="B1235" s="602"/>
      <c r="C1235" s="602"/>
    </row>
    <row r="1236" spans="2:3" x14ac:dyDescent="0.35">
      <c r="B1236" s="602"/>
      <c r="C1236" s="602"/>
    </row>
    <row r="1237" spans="2:3" x14ac:dyDescent="0.35">
      <c r="B1237" s="602"/>
      <c r="C1237" s="602"/>
    </row>
    <row r="1238" spans="2:3" x14ac:dyDescent="0.35">
      <c r="B1238" s="602"/>
      <c r="C1238" s="602"/>
    </row>
    <row r="1239" spans="2:3" x14ac:dyDescent="0.35">
      <c r="B1239" s="602"/>
      <c r="C1239" s="602"/>
    </row>
    <row r="1240" spans="2:3" x14ac:dyDescent="0.35">
      <c r="B1240" s="602"/>
      <c r="C1240" s="602"/>
    </row>
    <row r="1241" spans="2:3" x14ac:dyDescent="0.35">
      <c r="B1241" s="602"/>
      <c r="C1241" s="602"/>
    </row>
    <row r="1242" spans="2:3" x14ac:dyDescent="0.35">
      <c r="B1242" s="602"/>
      <c r="C1242" s="602"/>
    </row>
    <row r="1243" spans="2:3" x14ac:dyDescent="0.35">
      <c r="B1243" s="602"/>
      <c r="C1243" s="602"/>
    </row>
    <row r="1244" spans="2:3" x14ac:dyDescent="0.35">
      <c r="B1244" s="602"/>
      <c r="C1244" s="602"/>
    </row>
    <row r="1245" spans="2:3" x14ac:dyDescent="0.35">
      <c r="B1245" s="602"/>
      <c r="C1245" s="602"/>
    </row>
    <row r="1246" spans="2:3" x14ac:dyDescent="0.35">
      <c r="B1246" s="602"/>
      <c r="C1246" s="602"/>
    </row>
    <row r="1247" spans="2:3" x14ac:dyDescent="0.35">
      <c r="B1247" s="602"/>
      <c r="C1247" s="602"/>
    </row>
    <row r="1248" spans="2:3" x14ac:dyDescent="0.35">
      <c r="B1248" s="602"/>
      <c r="C1248" s="602"/>
    </row>
    <row r="1249" spans="2:3" x14ac:dyDescent="0.35">
      <c r="B1249" s="602"/>
      <c r="C1249" s="602"/>
    </row>
    <row r="1250" spans="2:3" x14ac:dyDescent="0.35">
      <c r="B1250" s="602"/>
      <c r="C1250" s="602"/>
    </row>
    <row r="1251" spans="2:3" x14ac:dyDescent="0.35">
      <c r="B1251" s="602"/>
      <c r="C1251" s="602"/>
    </row>
    <row r="1252" spans="2:3" x14ac:dyDescent="0.35">
      <c r="B1252" s="602"/>
      <c r="C1252" s="602"/>
    </row>
    <row r="1253" spans="2:3" x14ac:dyDescent="0.35">
      <c r="B1253" s="602"/>
      <c r="C1253" s="602"/>
    </row>
    <row r="1254" spans="2:3" x14ac:dyDescent="0.35">
      <c r="B1254" s="602"/>
      <c r="C1254" s="602"/>
    </row>
    <row r="1255" spans="2:3" x14ac:dyDescent="0.35">
      <c r="B1255" s="602"/>
      <c r="C1255" s="602"/>
    </row>
    <row r="1256" spans="2:3" x14ac:dyDescent="0.35">
      <c r="B1256" s="602"/>
      <c r="C1256" s="602"/>
    </row>
    <row r="1257" spans="2:3" x14ac:dyDescent="0.35">
      <c r="B1257" s="602"/>
      <c r="C1257" s="602"/>
    </row>
    <row r="1258" spans="2:3" x14ac:dyDescent="0.35">
      <c r="B1258" s="602"/>
      <c r="C1258" s="602"/>
    </row>
    <row r="1259" spans="2:3" x14ac:dyDescent="0.35">
      <c r="B1259" s="602"/>
      <c r="C1259" s="602"/>
    </row>
    <row r="1260" spans="2:3" x14ac:dyDescent="0.35">
      <c r="B1260" s="602"/>
      <c r="C1260" s="602"/>
    </row>
    <row r="1261" spans="2:3" x14ac:dyDescent="0.35">
      <c r="B1261" s="602"/>
      <c r="C1261" s="602"/>
    </row>
    <row r="1262" spans="2:3" x14ac:dyDescent="0.35">
      <c r="B1262" s="602"/>
      <c r="C1262" s="602"/>
    </row>
    <row r="1263" spans="2:3" x14ac:dyDescent="0.35">
      <c r="B1263" s="602"/>
      <c r="C1263" s="602"/>
    </row>
    <row r="1264" spans="2:3" x14ac:dyDescent="0.35">
      <c r="B1264" s="602"/>
      <c r="C1264" s="602"/>
    </row>
    <row r="1265" spans="2:3" x14ac:dyDescent="0.35">
      <c r="B1265" s="602"/>
      <c r="C1265" s="602"/>
    </row>
    <row r="1266" spans="2:3" x14ac:dyDescent="0.35">
      <c r="B1266" s="602"/>
      <c r="C1266" s="602"/>
    </row>
    <row r="1267" spans="2:3" x14ac:dyDescent="0.35">
      <c r="B1267" s="602"/>
      <c r="C1267" s="602"/>
    </row>
    <row r="1268" spans="2:3" x14ac:dyDescent="0.35">
      <c r="B1268" s="602"/>
      <c r="C1268" s="602"/>
    </row>
    <row r="1269" spans="2:3" x14ac:dyDescent="0.35">
      <c r="B1269" s="602"/>
      <c r="C1269" s="602"/>
    </row>
    <row r="1270" spans="2:3" x14ac:dyDescent="0.35">
      <c r="B1270" s="602"/>
      <c r="C1270" s="602"/>
    </row>
    <row r="1271" spans="2:3" x14ac:dyDescent="0.35">
      <c r="B1271" s="602"/>
      <c r="C1271" s="602"/>
    </row>
    <row r="1272" spans="2:3" x14ac:dyDescent="0.35">
      <c r="B1272" s="602"/>
      <c r="C1272" s="602"/>
    </row>
    <row r="1273" spans="2:3" x14ac:dyDescent="0.35">
      <c r="B1273" s="602"/>
      <c r="C1273" s="602"/>
    </row>
    <row r="1274" spans="2:3" x14ac:dyDescent="0.35">
      <c r="B1274" s="602"/>
      <c r="C1274" s="602"/>
    </row>
    <row r="1275" spans="2:3" x14ac:dyDescent="0.35">
      <c r="B1275" s="602"/>
      <c r="C1275" s="602"/>
    </row>
    <row r="1276" spans="2:3" x14ac:dyDescent="0.35">
      <c r="B1276" s="602"/>
      <c r="C1276" s="602"/>
    </row>
    <row r="1277" spans="2:3" x14ac:dyDescent="0.35">
      <c r="B1277" s="602"/>
      <c r="C1277" s="602"/>
    </row>
    <row r="1278" spans="2:3" x14ac:dyDescent="0.35">
      <c r="B1278" s="602"/>
      <c r="C1278" s="602"/>
    </row>
    <row r="1279" spans="2:3" x14ac:dyDescent="0.35">
      <c r="B1279" s="602"/>
      <c r="C1279" s="602"/>
    </row>
    <row r="1280" spans="2:3" x14ac:dyDescent="0.35">
      <c r="B1280" s="602"/>
      <c r="C1280" s="602"/>
    </row>
    <row r="1281" spans="2:3" x14ac:dyDescent="0.35">
      <c r="B1281" s="602"/>
      <c r="C1281" s="602"/>
    </row>
    <row r="1282" spans="2:3" x14ac:dyDescent="0.35">
      <c r="B1282" s="602"/>
      <c r="C1282" s="602"/>
    </row>
    <row r="1283" spans="2:3" x14ac:dyDescent="0.35">
      <c r="B1283" s="602"/>
      <c r="C1283" s="602"/>
    </row>
    <row r="1284" spans="2:3" x14ac:dyDescent="0.35">
      <c r="B1284" s="602"/>
      <c r="C1284" s="602"/>
    </row>
    <row r="1285" spans="2:3" x14ac:dyDescent="0.35">
      <c r="B1285" s="602"/>
      <c r="C1285" s="602"/>
    </row>
    <row r="1286" spans="2:3" x14ac:dyDescent="0.35">
      <c r="B1286" s="602"/>
      <c r="C1286" s="602"/>
    </row>
    <row r="1287" spans="2:3" x14ac:dyDescent="0.35">
      <c r="B1287" s="602"/>
      <c r="C1287" s="602"/>
    </row>
    <row r="1288" spans="2:3" x14ac:dyDescent="0.35">
      <c r="B1288" s="602"/>
      <c r="C1288" s="602"/>
    </row>
    <row r="1289" spans="2:3" x14ac:dyDescent="0.35">
      <c r="B1289" s="602"/>
      <c r="C1289" s="602"/>
    </row>
    <row r="1290" spans="2:3" x14ac:dyDescent="0.35">
      <c r="B1290" s="602"/>
      <c r="C1290" s="602"/>
    </row>
    <row r="1291" spans="2:3" x14ac:dyDescent="0.35">
      <c r="B1291" s="602"/>
      <c r="C1291" s="602"/>
    </row>
    <row r="1292" spans="2:3" x14ac:dyDescent="0.35">
      <c r="B1292" s="602"/>
      <c r="C1292" s="602"/>
    </row>
    <row r="1293" spans="2:3" x14ac:dyDescent="0.35">
      <c r="B1293" s="602"/>
      <c r="C1293" s="602"/>
    </row>
    <row r="1294" spans="2:3" x14ac:dyDescent="0.35">
      <c r="B1294" s="602"/>
      <c r="C1294" s="602"/>
    </row>
    <row r="1295" spans="2:3" x14ac:dyDescent="0.35">
      <c r="B1295" s="602"/>
      <c r="C1295" s="602"/>
    </row>
    <row r="1296" spans="2:3" x14ac:dyDescent="0.35">
      <c r="B1296" s="602"/>
      <c r="C1296" s="602"/>
    </row>
    <row r="1297" spans="2:3" x14ac:dyDescent="0.35">
      <c r="B1297" s="602"/>
      <c r="C1297" s="602"/>
    </row>
    <row r="1298" spans="2:3" x14ac:dyDescent="0.35">
      <c r="B1298" s="602"/>
      <c r="C1298" s="602"/>
    </row>
    <row r="1299" spans="2:3" x14ac:dyDescent="0.35">
      <c r="B1299" s="602"/>
      <c r="C1299" s="602"/>
    </row>
    <row r="1300" spans="2:3" x14ac:dyDescent="0.35">
      <c r="B1300" s="602"/>
      <c r="C1300" s="602"/>
    </row>
    <row r="1301" spans="2:3" x14ac:dyDescent="0.35">
      <c r="B1301" s="602"/>
      <c r="C1301" s="602"/>
    </row>
    <row r="1302" spans="2:3" x14ac:dyDescent="0.35">
      <c r="B1302" s="602"/>
      <c r="C1302" s="602"/>
    </row>
    <row r="1303" spans="2:3" x14ac:dyDescent="0.35">
      <c r="B1303" s="602"/>
      <c r="C1303" s="602"/>
    </row>
    <row r="1304" spans="2:3" x14ac:dyDescent="0.35">
      <c r="B1304" s="602"/>
      <c r="C1304" s="602"/>
    </row>
    <row r="1305" spans="2:3" x14ac:dyDescent="0.35">
      <c r="B1305" s="602"/>
      <c r="C1305" s="602"/>
    </row>
    <row r="1306" spans="2:3" x14ac:dyDescent="0.35">
      <c r="B1306" s="602"/>
      <c r="C1306" s="602"/>
    </row>
    <row r="1307" spans="2:3" x14ac:dyDescent="0.35">
      <c r="B1307" s="602"/>
      <c r="C1307" s="602"/>
    </row>
    <row r="1308" spans="2:3" x14ac:dyDescent="0.35">
      <c r="B1308" s="602"/>
      <c r="C1308" s="602"/>
    </row>
    <row r="1309" spans="2:3" x14ac:dyDescent="0.35">
      <c r="B1309" s="602"/>
      <c r="C1309" s="602"/>
    </row>
    <row r="1310" spans="2:3" x14ac:dyDescent="0.35">
      <c r="B1310" s="602"/>
      <c r="C1310" s="602"/>
    </row>
    <row r="1311" spans="2:3" x14ac:dyDescent="0.35">
      <c r="B1311" s="602"/>
      <c r="C1311" s="602"/>
    </row>
    <row r="1312" spans="2:3" x14ac:dyDescent="0.35">
      <c r="B1312" s="602"/>
      <c r="C1312" s="602"/>
    </row>
    <row r="1313" spans="2:3" x14ac:dyDescent="0.35">
      <c r="B1313" s="602"/>
      <c r="C1313" s="602"/>
    </row>
    <row r="1314" spans="2:3" x14ac:dyDescent="0.35">
      <c r="B1314" s="602"/>
      <c r="C1314" s="602"/>
    </row>
    <row r="1315" spans="2:3" x14ac:dyDescent="0.35">
      <c r="B1315" s="602"/>
      <c r="C1315" s="602"/>
    </row>
    <row r="1316" spans="2:3" x14ac:dyDescent="0.35">
      <c r="B1316" s="602"/>
      <c r="C1316" s="602"/>
    </row>
    <row r="1317" spans="2:3" x14ac:dyDescent="0.35">
      <c r="B1317" s="602"/>
      <c r="C1317" s="602"/>
    </row>
    <row r="1318" spans="2:3" x14ac:dyDescent="0.35">
      <c r="B1318" s="602"/>
      <c r="C1318" s="602"/>
    </row>
    <row r="1319" spans="2:3" x14ac:dyDescent="0.35">
      <c r="B1319" s="602"/>
      <c r="C1319" s="602"/>
    </row>
    <row r="1320" spans="2:3" x14ac:dyDescent="0.35">
      <c r="B1320" s="602"/>
      <c r="C1320" s="602"/>
    </row>
    <row r="1321" spans="2:3" x14ac:dyDescent="0.35">
      <c r="B1321" s="602"/>
      <c r="C1321" s="602"/>
    </row>
    <row r="1322" spans="2:3" x14ac:dyDescent="0.35">
      <c r="B1322" s="602"/>
      <c r="C1322" s="602"/>
    </row>
    <row r="1323" spans="2:3" x14ac:dyDescent="0.35">
      <c r="B1323" s="602"/>
      <c r="C1323" s="602"/>
    </row>
    <row r="1324" spans="2:3" x14ac:dyDescent="0.35">
      <c r="B1324" s="602"/>
      <c r="C1324" s="602"/>
    </row>
    <row r="1325" spans="2:3" x14ac:dyDescent="0.35">
      <c r="B1325" s="602"/>
      <c r="C1325" s="602"/>
    </row>
    <row r="1326" spans="2:3" x14ac:dyDescent="0.35">
      <c r="B1326" s="602"/>
      <c r="C1326" s="602"/>
    </row>
    <row r="1327" spans="2:3" x14ac:dyDescent="0.35">
      <c r="B1327" s="602"/>
      <c r="C1327" s="602"/>
    </row>
    <row r="1328" spans="2:3" x14ac:dyDescent="0.35">
      <c r="B1328" s="602"/>
      <c r="C1328" s="602"/>
    </row>
    <row r="1329" spans="2:3" x14ac:dyDescent="0.35">
      <c r="B1329" s="602"/>
      <c r="C1329" s="602"/>
    </row>
    <row r="1330" spans="2:3" x14ac:dyDescent="0.35">
      <c r="B1330" s="602"/>
      <c r="C1330" s="602"/>
    </row>
    <row r="1331" spans="2:3" x14ac:dyDescent="0.35">
      <c r="B1331" s="602"/>
      <c r="C1331" s="602"/>
    </row>
    <row r="1332" spans="2:3" x14ac:dyDescent="0.35">
      <c r="B1332" s="602"/>
      <c r="C1332" s="602"/>
    </row>
    <row r="1333" spans="2:3" x14ac:dyDescent="0.35">
      <c r="B1333" s="602"/>
      <c r="C1333" s="602"/>
    </row>
    <row r="1334" spans="2:3" x14ac:dyDescent="0.35">
      <c r="B1334" s="602"/>
      <c r="C1334" s="602"/>
    </row>
    <row r="1335" spans="2:3" x14ac:dyDescent="0.35">
      <c r="B1335" s="602"/>
      <c r="C1335" s="602"/>
    </row>
    <row r="1336" spans="2:3" x14ac:dyDescent="0.35">
      <c r="B1336" s="602"/>
      <c r="C1336" s="602"/>
    </row>
    <row r="1337" spans="2:3" x14ac:dyDescent="0.35">
      <c r="B1337" s="602"/>
      <c r="C1337" s="602"/>
    </row>
    <row r="1338" spans="2:3" x14ac:dyDescent="0.35">
      <c r="B1338" s="602"/>
      <c r="C1338" s="602"/>
    </row>
    <row r="1339" spans="2:3" x14ac:dyDescent="0.35">
      <c r="B1339" s="602"/>
      <c r="C1339" s="602"/>
    </row>
    <row r="1340" spans="2:3" x14ac:dyDescent="0.35">
      <c r="B1340" s="602"/>
      <c r="C1340" s="602"/>
    </row>
    <row r="1341" spans="2:3" x14ac:dyDescent="0.35">
      <c r="B1341" s="602"/>
      <c r="C1341" s="602"/>
    </row>
    <row r="1342" spans="2:3" x14ac:dyDescent="0.35">
      <c r="B1342" s="602"/>
      <c r="C1342" s="602"/>
    </row>
    <row r="1343" spans="2:3" x14ac:dyDescent="0.35">
      <c r="B1343" s="602"/>
      <c r="C1343" s="602"/>
    </row>
    <row r="1344" spans="2:3" x14ac:dyDescent="0.35">
      <c r="B1344" s="602"/>
      <c r="C1344" s="602"/>
    </row>
    <row r="1345" spans="2:3" x14ac:dyDescent="0.35">
      <c r="B1345" s="602"/>
      <c r="C1345" s="602"/>
    </row>
    <row r="1346" spans="2:3" x14ac:dyDescent="0.35">
      <c r="B1346" s="602"/>
      <c r="C1346" s="602"/>
    </row>
    <row r="1347" spans="2:3" x14ac:dyDescent="0.35">
      <c r="B1347" s="602"/>
      <c r="C1347" s="602"/>
    </row>
    <row r="1348" spans="2:3" x14ac:dyDescent="0.35">
      <c r="B1348" s="602"/>
      <c r="C1348" s="602"/>
    </row>
    <row r="1349" spans="2:3" x14ac:dyDescent="0.35">
      <c r="B1349" s="602"/>
      <c r="C1349" s="602"/>
    </row>
    <row r="1350" spans="2:3" x14ac:dyDescent="0.35">
      <c r="B1350" s="602"/>
      <c r="C1350" s="602"/>
    </row>
    <row r="1351" spans="2:3" x14ac:dyDescent="0.35">
      <c r="B1351" s="602"/>
      <c r="C1351" s="602"/>
    </row>
    <row r="1352" spans="2:3" x14ac:dyDescent="0.35">
      <c r="B1352" s="602"/>
      <c r="C1352" s="602"/>
    </row>
    <row r="1353" spans="2:3" x14ac:dyDescent="0.35">
      <c r="B1353" s="602"/>
      <c r="C1353" s="602"/>
    </row>
    <row r="1354" spans="2:3" x14ac:dyDescent="0.35">
      <c r="B1354" s="602"/>
      <c r="C1354" s="602"/>
    </row>
    <row r="1355" spans="2:3" x14ac:dyDescent="0.35">
      <c r="B1355" s="602"/>
      <c r="C1355" s="602"/>
    </row>
    <row r="1356" spans="2:3" x14ac:dyDescent="0.35">
      <c r="B1356" s="602"/>
      <c r="C1356" s="602"/>
    </row>
    <row r="1357" spans="2:3" x14ac:dyDescent="0.35">
      <c r="B1357" s="602"/>
      <c r="C1357" s="602"/>
    </row>
    <row r="1358" spans="2:3" x14ac:dyDescent="0.35">
      <c r="B1358" s="602"/>
      <c r="C1358" s="602"/>
    </row>
    <row r="1359" spans="2:3" x14ac:dyDescent="0.35">
      <c r="B1359" s="602"/>
      <c r="C1359" s="602"/>
    </row>
    <row r="1360" spans="2:3" x14ac:dyDescent="0.35">
      <c r="B1360" s="602"/>
      <c r="C1360" s="602"/>
    </row>
    <row r="1361" spans="2:3" x14ac:dyDescent="0.35">
      <c r="B1361" s="602"/>
      <c r="C1361" s="602"/>
    </row>
    <row r="1362" spans="2:3" x14ac:dyDescent="0.35">
      <c r="B1362" s="602"/>
      <c r="C1362" s="602"/>
    </row>
    <row r="1363" spans="2:3" x14ac:dyDescent="0.35">
      <c r="B1363" s="602"/>
      <c r="C1363" s="602"/>
    </row>
    <row r="1364" spans="2:3" x14ac:dyDescent="0.35">
      <c r="B1364" s="602"/>
      <c r="C1364" s="602"/>
    </row>
    <row r="1365" spans="2:3" x14ac:dyDescent="0.35">
      <c r="B1365" s="602"/>
      <c r="C1365" s="602"/>
    </row>
    <row r="1366" spans="2:3" x14ac:dyDescent="0.35">
      <c r="B1366" s="602"/>
      <c r="C1366" s="602"/>
    </row>
    <row r="1367" spans="2:3" x14ac:dyDescent="0.35">
      <c r="B1367" s="602"/>
      <c r="C1367" s="602"/>
    </row>
    <row r="1368" spans="2:3" x14ac:dyDescent="0.35">
      <c r="B1368" s="602"/>
      <c r="C1368" s="602"/>
    </row>
    <row r="1369" spans="2:3" x14ac:dyDescent="0.35">
      <c r="B1369" s="602"/>
      <c r="C1369" s="602"/>
    </row>
    <row r="1370" spans="2:3" x14ac:dyDescent="0.35">
      <c r="B1370" s="602"/>
      <c r="C1370" s="602"/>
    </row>
    <row r="1371" spans="2:3" x14ac:dyDescent="0.35">
      <c r="B1371" s="602"/>
      <c r="C1371" s="602"/>
    </row>
    <row r="1372" spans="2:3" x14ac:dyDescent="0.35">
      <c r="B1372" s="602"/>
      <c r="C1372" s="602"/>
    </row>
    <row r="1373" spans="2:3" x14ac:dyDescent="0.35">
      <c r="B1373" s="602"/>
      <c r="C1373" s="602"/>
    </row>
    <row r="1374" spans="2:3" x14ac:dyDescent="0.35">
      <c r="B1374" s="602"/>
      <c r="C1374" s="602"/>
    </row>
    <row r="1375" spans="2:3" x14ac:dyDescent="0.35">
      <c r="B1375" s="602"/>
      <c r="C1375" s="602"/>
    </row>
    <row r="1376" spans="2:3" x14ac:dyDescent="0.35">
      <c r="B1376" s="602"/>
      <c r="C1376" s="602"/>
    </row>
    <row r="1377" spans="2:3" x14ac:dyDescent="0.35">
      <c r="B1377" s="602"/>
      <c r="C1377" s="602"/>
    </row>
    <row r="1378" spans="2:3" x14ac:dyDescent="0.35">
      <c r="B1378" s="602"/>
      <c r="C1378" s="602"/>
    </row>
    <row r="1379" spans="2:3" x14ac:dyDescent="0.35">
      <c r="B1379" s="602"/>
      <c r="C1379" s="602"/>
    </row>
    <row r="1380" spans="2:3" x14ac:dyDescent="0.35">
      <c r="B1380" s="602"/>
      <c r="C1380" s="602"/>
    </row>
    <row r="1381" spans="2:3" x14ac:dyDescent="0.35">
      <c r="B1381" s="602"/>
      <c r="C1381" s="602"/>
    </row>
    <row r="1382" spans="2:3" x14ac:dyDescent="0.35">
      <c r="B1382" s="602"/>
      <c r="C1382" s="602"/>
    </row>
    <row r="1383" spans="2:3" x14ac:dyDescent="0.35">
      <c r="B1383" s="602"/>
      <c r="C1383" s="602"/>
    </row>
    <row r="1384" spans="2:3" x14ac:dyDescent="0.35">
      <c r="B1384" s="602"/>
      <c r="C1384" s="602"/>
    </row>
    <row r="1385" spans="2:3" x14ac:dyDescent="0.35">
      <c r="B1385" s="602"/>
      <c r="C1385" s="602"/>
    </row>
    <row r="1386" spans="2:3" x14ac:dyDescent="0.35">
      <c r="B1386" s="602"/>
      <c r="C1386" s="602"/>
    </row>
    <row r="1387" spans="2:3" x14ac:dyDescent="0.35">
      <c r="B1387" s="602"/>
      <c r="C1387" s="602"/>
    </row>
    <row r="1388" spans="2:3" x14ac:dyDescent="0.35">
      <c r="B1388" s="602"/>
      <c r="C1388" s="602"/>
    </row>
    <row r="1389" spans="2:3" x14ac:dyDescent="0.35">
      <c r="B1389" s="602"/>
      <c r="C1389" s="602"/>
    </row>
    <row r="1390" spans="2:3" x14ac:dyDescent="0.35">
      <c r="B1390" s="602"/>
      <c r="C1390" s="602"/>
    </row>
    <row r="1391" spans="2:3" x14ac:dyDescent="0.35">
      <c r="B1391" s="602"/>
      <c r="C1391" s="602"/>
    </row>
    <row r="1392" spans="2:3" x14ac:dyDescent="0.35">
      <c r="B1392" s="602"/>
      <c r="C1392" s="602"/>
    </row>
    <row r="1393" spans="2:3" x14ac:dyDescent="0.35">
      <c r="B1393" s="602"/>
      <c r="C1393" s="602"/>
    </row>
    <row r="1394" spans="2:3" x14ac:dyDescent="0.35">
      <c r="B1394" s="602"/>
      <c r="C1394" s="602"/>
    </row>
    <row r="1395" spans="2:3" x14ac:dyDescent="0.35">
      <c r="B1395" s="602"/>
      <c r="C1395" s="602"/>
    </row>
    <row r="1396" spans="2:3" x14ac:dyDescent="0.35">
      <c r="B1396" s="602"/>
      <c r="C1396" s="602"/>
    </row>
    <row r="1397" spans="2:3" x14ac:dyDescent="0.35">
      <c r="B1397" s="602"/>
      <c r="C1397" s="602"/>
    </row>
    <row r="1398" spans="2:3" x14ac:dyDescent="0.35">
      <c r="B1398" s="602"/>
      <c r="C1398" s="602"/>
    </row>
    <row r="1399" spans="2:3" x14ac:dyDescent="0.35">
      <c r="B1399" s="602"/>
      <c r="C1399" s="602"/>
    </row>
    <row r="1400" spans="2:3" x14ac:dyDescent="0.35">
      <c r="B1400" s="602"/>
      <c r="C1400" s="602"/>
    </row>
    <row r="1401" spans="2:3" x14ac:dyDescent="0.35">
      <c r="B1401" s="602"/>
      <c r="C1401" s="602"/>
    </row>
    <row r="1402" spans="2:3" x14ac:dyDescent="0.35">
      <c r="B1402" s="602"/>
      <c r="C1402" s="602"/>
    </row>
    <row r="1403" spans="2:3" x14ac:dyDescent="0.35">
      <c r="B1403" s="602"/>
      <c r="C1403" s="602"/>
    </row>
    <row r="1404" spans="2:3" x14ac:dyDescent="0.35">
      <c r="B1404" s="602"/>
      <c r="C1404" s="602"/>
    </row>
    <row r="1405" spans="2:3" x14ac:dyDescent="0.35">
      <c r="B1405" s="602"/>
      <c r="C1405" s="602"/>
    </row>
    <row r="1406" spans="2:3" x14ac:dyDescent="0.35">
      <c r="B1406" s="602"/>
      <c r="C1406" s="602"/>
    </row>
    <row r="1407" spans="2:3" x14ac:dyDescent="0.35">
      <c r="B1407" s="602"/>
      <c r="C1407" s="602"/>
    </row>
    <row r="1408" spans="2:3" x14ac:dyDescent="0.35">
      <c r="B1408" s="602"/>
      <c r="C1408" s="602"/>
    </row>
    <row r="1409" spans="2:3" x14ac:dyDescent="0.35">
      <c r="B1409" s="602"/>
      <c r="C1409" s="602"/>
    </row>
    <row r="1410" spans="2:3" x14ac:dyDescent="0.35">
      <c r="B1410" s="602"/>
      <c r="C1410" s="602"/>
    </row>
    <row r="1411" spans="2:3" x14ac:dyDescent="0.35">
      <c r="B1411" s="602"/>
      <c r="C1411" s="602"/>
    </row>
    <row r="1412" spans="2:3" x14ac:dyDescent="0.35">
      <c r="B1412" s="602"/>
      <c r="C1412" s="602"/>
    </row>
    <row r="1413" spans="2:3" x14ac:dyDescent="0.35">
      <c r="B1413" s="602"/>
      <c r="C1413" s="602"/>
    </row>
    <row r="1414" spans="2:3" x14ac:dyDescent="0.35">
      <c r="B1414" s="602"/>
      <c r="C1414" s="602"/>
    </row>
    <row r="1415" spans="2:3" x14ac:dyDescent="0.35">
      <c r="B1415" s="602"/>
      <c r="C1415" s="602"/>
    </row>
    <row r="1416" spans="2:3" x14ac:dyDescent="0.35">
      <c r="B1416" s="602"/>
      <c r="C1416" s="602"/>
    </row>
    <row r="1417" spans="2:3" x14ac:dyDescent="0.35">
      <c r="B1417" s="602"/>
      <c r="C1417" s="602"/>
    </row>
    <row r="1418" spans="2:3" x14ac:dyDescent="0.35">
      <c r="B1418" s="602"/>
      <c r="C1418" s="602"/>
    </row>
    <row r="1419" spans="2:3" x14ac:dyDescent="0.35">
      <c r="B1419" s="602"/>
      <c r="C1419" s="602"/>
    </row>
    <row r="1420" spans="2:3" x14ac:dyDescent="0.35">
      <c r="B1420" s="602"/>
      <c r="C1420" s="602"/>
    </row>
    <row r="1421" spans="2:3" x14ac:dyDescent="0.35">
      <c r="B1421" s="602"/>
      <c r="C1421" s="602"/>
    </row>
    <row r="1422" spans="2:3" x14ac:dyDescent="0.35">
      <c r="B1422" s="602"/>
      <c r="C1422" s="602"/>
    </row>
    <row r="1423" spans="2:3" x14ac:dyDescent="0.35">
      <c r="B1423" s="602"/>
      <c r="C1423" s="602"/>
    </row>
    <row r="1424" spans="2:3" x14ac:dyDescent="0.35">
      <c r="B1424" s="602"/>
      <c r="C1424" s="602"/>
    </row>
    <row r="1425" spans="2:3" x14ac:dyDescent="0.35">
      <c r="B1425" s="602"/>
      <c r="C1425" s="602"/>
    </row>
    <row r="1426" spans="2:3" x14ac:dyDescent="0.35">
      <c r="B1426" s="602"/>
      <c r="C1426" s="602"/>
    </row>
    <row r="1427" spans="2:3" x14ac:dyDescent="0.35">
      <c r="B1427" s="602"/>
      <c r="C1427" s="602"/>
    </row>
    <row r="1428" spans="2:3" x14ac:dyDescent="0.35">
      <c r="B1428" s="602"/>
      <c r="C1428" s="602"/>
    </row>
    <row r="1429" spans="2:3" x14ac:dyDescent="0.35">
      <c r="B1429" s="602"/>
      <c r="C1429" s="602"/>
    </row>
    <row r="1430" spans="2:3" x14ac:dyDescent="0.35">
      <c r="B1430" s="602"/>
      <c r="C1430" s="602"/>
    </row>
    <row r="1431" spans="2:3" x14ac:dyDescent="0.35">
      <c r="B1431" s="602"/>
      <c r="C1431" s="602"/>
    </row>
    <row r="1432" spans="2:3" x14ac:dyDescent="0.35">
      <c r="B1432" s="602"/>
      <c r="C1432" s="602"/>
    </row>
    <row r="1433" spans="2:3" x14ac:dyDescent="0.35">
      <c r="B1433" s="602"/>
      <c r="C1433" s="602"/>
    </row>
    <row r="1434" spans="2:3" x14ac:dyDescent="0.35">
      <c r="B1434" s="602"/>
      <c r="C1434" s="602"/>
    </row>
    <row r="1435" spans="2:3" x14ac:dyDescent="0.35">
      <c r="B1435" s="602"/>
      <c r="C1435" s="602"/>
    </row>
    <row r="1436" spans="2:3" x14ac:dyDescent="0.35">
      <c r="B1436" s="602"/>
      <c r="C1436" s="602"/>
    </row>
    <row r="1437" spans="2:3" x14ac:dyDescent="0.35">
      <c r="B1437" s="602"/>
      <c r="C1437" s="602"/>
    </row>
    <row r="1438" spans="2:3" x14ac:dyDescent="0.35">
      <c r="B1438" s="602"/>
      <c r="C1438" s="602"/>
    </row>
    <row r="1439" spans="2:3" x14ac:dyDescent="0.35">
      <c r="B1439" s="602"/>
      <c r="C1439" s="602"/>
    </row>
    <row r="1440" spans="2:3" x14ac:dyDescent="0.35">
      <c r="B1440" s="602"/>
      <c r="C1440" s="602"/>
    </row>
    <row r="1441" spans="2:3" x14ac:dyDescent="0.35">
      <c r="B1441" s="602"/>
      <c r="C1441" s="602"/>
    </row>
    <row r="1442" spans="2:3" x14ac:dyDescent="0.35">
      <c r="B1442" s="602"/>
      <c r="C1442" s="602"/>
    </row>
    <row r="1443" spans="2:3" x14ac:dyDescent="0.35">
      <c r="B1443" s="602"/>
      <c r="C1443" s="602"/>
    </row>
    <row r="1444" spans="2:3" x14ac:dyDescent="0.35">
      <c r="B1444" s="602"/>
      <c r="C1444" s="602"/>
    </row>
    <row r="1445" spans="2:3" x14ac:dyDescent="0.35">
      <c r="B1445" s="602"/>
      <c r="C1445" s="602"/>
    </row>
    <row r="1446" spans="2:3" x14ac:dyDescent="0.35">
      <c r="B1446" s="602"/>
      <c r="C1446" s="602"/>
    </row>
    <row r="1447" spans="2:3" x14ac:dyDescent="0.35">
      <c r="B1447" s="602"/>
      <c r="C1447" s="602"/>
    </row>
    <row r="1448" spans="2:3" x14ac:dyDescent="0.35">
      <c r="B1448" s="602"/>
      <c r="C1448" s="602"/>
    </row>
    <row r="1449" spans="2:3" x14ac:dyDescent="0.35">
      <c r="B1449" s="602"/>
      <c r="C1449" s="602"/>
    </row>
    <row r="1450" spans="2:3" x14ac:dyDescent="0.35">
      <c r="B1450" s="602"/>
      <c r="C1450" s="602"/>
    </row>
    <row r="1451" spans="2:3" x14ac:dyDescent="0.35">
      <c r="B1451" s="602"/>
      <c r="C1451" s="602"/>
    </row>
    <row r="1452" spans="2:3" x14ac:dyDescent="0.35">
      <c r="B1452" s="602"/>
      <c r="C1452" s="602"/>
    </row>
    <row r="1453" spans="2:3" x14ac:dyDescent="0.35">
      <c r="B1453" s="602"/>
      <c r="C1453" s="602"/>
    </row>
    <row r="1454" spans="2:3" x14ac:dyDescent="0.35">
      <c r="B1454" s="602"/>
      <c r="C1454" s="602"/>
    </row>
    <row r="1455" spans="2:3" x14ac:dyDescent="0.35">
      <c r="B1455" s="602"/>
      <c r="C1455" s="602"/>
    </row>
    <row r="1456" spans="2:3" x14ac:dyDescent="0.35">
      <c r="B1456" s="602"/>
      <c r="C1456" s="602"/>
    </row>
    <row r="1457" spans="2:3" x14ac:dyDescent="0.35">
      <c r="B1457" s="602"/>
      <c r="C1457" s="602"/>
    </row>
    <row r="1458" spans="2:3" x14ac:dyDescent="0.35">
      <c r="B1458" s="602"/>
      <c r="C1458" s="602"/>
    </row>
    <row r="1459" spans="2:3" x14ac:dyDescent="0.35">
      <c r="B1459" s="602"/>
      <c r="C1459" s="602"/>
    </row>
    <row r="1460" spans="2:3" x14ac:dyDescent="0.35">
      <c r="B1460" s="602"/>
      <c r="C1460" s="602"/>
    </row>
    <row r="1461" spans="2:3" x14ac:dyDescent="0.35">
      <c r="B1461" s="602"/>
      <c r="C1461" s="602"/>
    </row>
    <row r="1462" spans="2:3" x14ac:dyDescent="0.35">
      <c r="B1462" s="602"/>
      <c r="C1462" s="602"/>
    </row>
    <row r="1463" spans="2:3" x14ac:dyDescent="0.35">
      <c r="B1463" s="602"/>
      <c r="C1463" s="602"/>
    </row>
    <row r="1464" spans="2:3" x14ac:dyDescent="0.35">
      <c r="B1464" s="602"/>
      <c r="C1464" s="602"/>
    </row>
    <row r="1465" spans="2:3" x14ac:dyDescent="0.35">
      <c r="B1465" s="602"/>
      <c r="C1465" s="602"/>
    </row>
    <row r="1466" spans="2:3" x14ac:dyDescent="0.35">
      <c r="B1466" s="602"/>
      <c r="C1466" s="602"/>
    </row>
    <row r="1467" spans="2:3" x14ac:dyDescent="0.35">
      <c r="B1467" s="602"/>
      <c r="C1467" s="602"/>
    </row>
    <row r="1468" spans="2:3" x14ac:dyDescent="0.35">
      <c r="B1468" s="602"/>
      <c r="C1468" s="602"/>
    </row>
    <row r="1469" spans="2:3" x14ac:dyDescent="0.35">
      <c r="B1469" s="602"/>
      <c r="C1469" s="602"/>
    </row>
    <row r="1470" spans="2:3" x14ac:dyDescent="0.35">
      <c r="B1470" s="602"/>
      <c r="C1470" s="602"/>
    </row>
    <row r="1471" spans="2:3" x14ac:dyDescent="0.35">
      <c r="B1471" s="602"/>
      <c r="C1471" s="602"/>
    </row>
    <row r="1472" spans="2:3" x14ac:dyDescent="0.35">
      <c r="B1472" s="602"/>
      <c r="C1472" s="602"/>
    </row>
    <row r="1473" spans="2:3" x14ac:dyDescent="0.35">
      <c r="B1473" s="602"/>
      <c r="C1473" s="602"/>
    </row>
    <row r="1474" spans="2:3" x14ac:dyDescent="0.35">
      <c r="B1474" s="602"/>
      <c r="C1474" s="602"/>
    </row>
    <row r="1475" spans="2:3" x14ac:dyDescent="0.35">
      <c r="B1475" s="602"/>
      <c r="C1475" s="602"/>
    </row>
    <row r="1476" spans="2:3" x14ac:dyDescent="0.35">
      <c r="B1476" s="602"/>
      <c r="C1476" s="602"/>
    </row>
    <row r="1477" spans="2:3" x14ac:dyDescent="0.35">
      <c r="B1477" s="602"/>
      <c r="C1477" s="602"/>
    </row>
    <row r="1478" spans="2:3" x14ac:dyDescent="0.35">
      <c r="B1478" s="602"/>
      <c r="C1478" s="602"/>
    </row>
    <row r="1479" spans="2:3" x14ac:dyDescent="0.35">
      <c r="B1479" s="602"/>
      <c r="C1479" s="602"/>
    </row>
    <row r="1480" spans="2:3" x14ac:dyDescent="0.35">
      <c r="B1480" s="602"/>
      <c r="C1480" s="602"/>
    </row>
    <row r="1481" spans="2:3" x14ac:dyDescent="0.35">
      <c r="B1481" s="602"/>
      <c r="C1481" s="602"/>
    </row>
    <row r="1482" spans="2:3" x14ac:dyDescent="0.35">
      <c r="B1482" s="602"/>
      <c r="C1482" s="602"/>
    </row>
    <row r="1483" spans="2:3" x14ac:dyDescent="0.35">
      <c r="B1483" s="602"/>
      <c r="C1483" s="602"/>
    </row>
    <row r="1484" spans="2:3" x14ac:dyDescent="0.35">
      <c r="B1484" s="602"/>
      <c r="C1484" s="602"/>
    </row>
    <row r="1485" spans="2:3" x14ac:dyDescent="0.35">
      <c r="B1485" s="602"/>
      <c r="C1485" s="602"/>
    </row>
    <row r="1486" spans="2:3" x14ac:dyDescent="0.35">
      <c r="B1486" s="602"/>
      <c r="C1486" s="602"/>
    </row>
    <row r="1487" spans="2:3" x14ac:dyDescent="0.35">
      <c r="B1487" s="602"/>
      <c r="C1487" s="602"/>
    </row>
    <row r="1488" spans="2:3" x14ac:dyDescent="0.35">
      <c r="B1488" s="602"/>
      <c r="C1488" s="602"/>
    </row>
    <row r="1489" spans="2:3" x14ac:dyDescent="0.35">
      <c r="B1489" s="602"/>
      <c r="C1489" s="602"/>
    </row>
    <row r="1490" spans="2:3" x14ac:dyDescent="0.35">
      <c r="B1490" s="602"/>
      <c r="C1490" s="602"/>
    </row>
    <row r="1491" spans="2:3" x14ac:dyDescent="0.35">
      <c r="B1491" s="602"/>
      <c r="C1491" s="602"/>
    </row>
    <row r="1492" spans="2:3" x14ac:dyDescent="0.35">
      <c r="B1492" s="602"/>
      <c r="C1492" s="602"/>
    </row>
    <row r="1493" spans="2:3" x14ac:dyDescent="0.35">
      <c r="B1493" s="602"/>
      <c r="C1493" s="602"/>
    </row>
    <row r="1494" spans="2:3" x14ac:dyDescent="0.35">
      <c r="B1494" s="602"/>
      <c r="C1494" s="602"/>
    </row>
    <row r="1495" spans="2:3" x14ac:dyDescent="0.35">
      <c r="B1495" s="602"/>
      <c r="C1495" s="602"/>
    </row>
    <row r="1496" spans="2:3" x14ac:dyDescent="0.35">
      <c r="B1496" s="602"/>
      <c r="C1496" s="602"/>
    </row>
    <row r="1497" spans="2:3" x14ac:dyDescent="0.35">
      <c r="B1497" s="602"/>
      <c r="C1497" s="602"/>
    </row>
    <row r="1498" spans="2:3" x14ac:dyDescent="0.35">
      <c r="B1498" s="602"/>
      <c r="C1498" s="602"/>
    </row>
    <row r="1499" spans="2:3" x14ac:dyDescent="0.35">
      <c r="B1499" s="602"/>
      <c r="C1499" s="602"/>
    </row>
    <row r="1500" spans="2:3" x14ac:dyDescent="0.35">
      <c r="B1500" s="602"/>
      <c r="C1500" s="602"/>
    </row>
    <row r="1501" spans="2:3" x14ac:dyDescent="0.35">
      <c r="B1501" s="602"/>
      <c r="C1501" s="602"/>
    </row>
    <row r="1502" spans="2:3" x14ac:dyDescent="0.35">
      <c r="B1502" s="602"/>
      <c r="C1502" s="602"/>
    </row>
    <row r="1503" spans="2:3" x14ac:dyDescent="0.35">
      <c r="B1503" s="602"/>
      <c r="C1503" s="602"/>
    </row>
    <row r="1504" spans="2:3" x14ac:dyDescent="0.35">
      <c r="B1504" s="602"/>
      <c r="C1504" s="602"/>
    </row>
    <row r="1505" spans="2:3" x14ac:dyDescent="0.35">
      <c r="B1505" s="602"/>
      <c r="C1505" s="602"/>
    </row>
    <row r="1506" spans="2:3" x14ac:dyDescent="0.35">
      <c r="B1506" s="602"/>
      <c r="C1506" s="602"/>
    </row>
    <row r="1507" spans="2:3" x14ac:dyDescent="0.35">
      <c r="B1507" s="602"/>
      <c r="C1507" s="602"/>
    </row>
    <row r="1508" spans="2:3" x14ac:dyDescent="0.35">
      <c r="B1508" s="602"/>
      <c r="C1508" s="602"/>
    </row>
    <row r="1509" spans="2:3" x14ac:dyDescent="0.35">
      <c r="B1509" s="602"/>
      <c r="C1509" s="602"/>
    </row>
    <row r="1510" spans="2:3" x14ac:dyDescent="0.35">
      <c r="B1510" s="602"/>
      <c r="C1510" s="602"/>
    </row>
    <row r="1511" spans="2:3" x14ac:dyDescent="0.35">
      <c r="B1511" s="602"/>
      <c r="C1511" s="602"/>
    </row>
    <row r="1512" spans="2:3" x14ac:dyDescent="0.35">
      <c r="B1512" s="602"/>
      <c r="C1512" s="602"/>
    </row>
    <row r="1513" spans="2:3" x14ac:dyDescent="0.35">
      <c r="B1513" s="602"/>
      <c r="C1513" s="602"/>
    </row>
    <row r="1514" spans="2:3" x14ac:dyDescent="0.35">
      <c r="B1514" s="602"/>
      <c r="C1514" s="602"/>
    </row>
    <row r="1515" spans="2:3" x14ac:dyDescent="0.35">
      <c r="B1515" s="602"/>
      <c r="C1515" s="602"/>
    </row>
    <row r="1516" spans="2:3" x14ac:dyDescent="0.35">
      <c r="B1516" s="602"/>
      <c r="C1516" s="602"/>
    </row>
    <row r="1517" spans="2:3" x14ac:dyDescent="0.35">
      <c r="B1517" s="602"/>
      <c r="C1517" s="602"/>
    </row>
    <row r="1518" spans="2:3" x14ac:dyDescent="0.35">
      <c r="B1518" s="602"/>
      <c r="C1518" s="602"/>
    </row>
    <row r="1519" spans="2:3" x14ac:dyDescent="0.35">
      <c r="B1519" s="602"/>
      <c r="C1519" s="602"/>
    </row>
    <row r="1520" spans="2:3" x14ac:dyDescent="0.35">
      <c r="B1520" s="602"/>
      <c r="C1520" s="602"/>
    </row>
    <row r="1521" spans="2:3" x14ac:dyDescent="0.35">
      <c r="B1521" s="602"/>
      <c r="C1521" s="602"/>
    </row>
    <row r="1522" spans="2:3" x14ac:dyDescent="0.35">
      <c r="B1522" s="602"/>
      <c r="C1522" s="602"/>
    </row>
    <row r="1523" spans="2:3" x14ac:dyDescent="0.35">
      <c r="B1523" s="602"/>
      <c r="C1523" s="602"/>
    </row>
    <row r="1524" spans="2:3" x14ac:dyDescent="0.35">
      <c r="B1524" s="602"/>
      <c r="C1524" s="602"/>
    </row>
    <row r="1525" spans="2:3" x14ac:dyDescent="0.35">
      <c r="B1525" s="602"/>
      <c r="C1525" s="602"/>
    </row>
    <row r="1526" spans="2:3" x14ac:dyDescent="0.35">
      <c r="B1526" s="602"/>
      <c r="C1526" s="602"/>
    </row>
    <row r="1527" spans="2:3" x14ac:dyDescent="0.35">
      <c r="B1527" s="602"/>
      <c r="C1527" s="602"/>
    </row>
    <row r="1528" spans="2:3" x14ac:dyDescent="0.35">
      <c r="B1528" s="602"/>
      <c r="C1528" s="602"/>
    </row>
    <row r="1529" spans="2:3" x14ac:dyDescent="0.35">
      <c r="B1529" s="602"/>
      <c r="C1529" s="602"/>
    </row>
    <row r="1530" spans="2:3" x14ac:dyDescent="0.35">
      <c r="B1530" s="602"/>
      <c r="C1530" s="602"/>
    </row>
    <row r="1531" spans="2:3" x14ac:dyDescent="0.35">
      <c r="B1531" s="602"/>
      <c r="C1531" s="602"/>
    </row>
    <row r="1532" spans="2:3" x14ac:dyDescent="0.35">
      <c r="B1532" s="602"/>
      <c r="C1532" s="602"/>
    </row>
    <row r="1533" spans="2:3" x14ac:dyDescent="0.35">
      <c r="B1533" s="602"/>
      <c r="C1533" s="602"/>
    </row>
    <row r="1534" spans="2:3" x14ac:dyDescent="0.35">
      <c r="B1534" s="602"/>
      <c r="C1534" s="602"/>
    </row>
    <row r="1535" spans="2:3" x14ac:dyDescent="0.35">
      <c r="B1535" s="602"/>
      <c r="C1535" s="602"/>
    </row>
    <row r="1536" spans="2:3" x14ac:dyDescent="0.35">
      <c r="B1536" s="602"/>
      <c r="C1536" s="602"/>
    </row>
    <row r="1537" spans="2:3" x14ac:dyDescent="0.35">
      <c r="B1537" s="602"/>
      <c r="C1537" s="602"/>
    </row>
    <row r="1538" spans="2:3" x14ac:dyDescent="0.35">
      <c r="B1538" s="602"/>
      <c r="C1538" s="602"/>
    </row>
    <row r="1539" spans="2:3" x14ac:dyDescent="0.35">
      <c r="B1539" s="602"/>
      <c r="C1539" s="602"/>
    </row>
    <row r="1540" spans="2:3" x14ac:dyDescent="0.35">
      <c r="B1540" s="602"/>
      <c r="C1540" s="602"/>
    </row>
    <row r="1541" spans="2:3" x14ac:dyDescent="0.35">
      <c r="B1541" s="602"/>
      <c r="C1541" s="602"/>
    </row>
    <row r="1542" spans="2:3" x14ac:dyDescent="0.35">
      <c r="B1542" s="602"/>
      <c r="C1542" s="602"/>
    </row>
    <row r="1543" spans="2:3" x14ac:dyDescent="0.35">
      <c r="B1543" s="602"/>
      <c r="C1543" s="602"/>
    </row>
    <row r="1544" spans="2:3" x14ac:dyDescent="0.35">
      <c r="B1544" s="602"/>
      <c r="C1544" s="602"/>
    </row>
    <row r="1545" spans="2:3" x14ac:dyDescent="0.35">
      <c r="B1545" s="602"/>
      <c r="C1545" s="602"/>
    </row>
    <row r="1546" spans="2:3" x14ac:dyDescent="0.35">
      <c r="B1546" s="602"/>
      <c r="C1546" s="602"/>
    </row>
    <row r="1547" spans="2:3" x14ac:dyDescent="0.35">
      <c r="B1547" s="602"/>
      <c r="C1547" s="602"/>
    </row>
    <row r="1548" spans="2:3" x14ac:dyDescent="0.35">
      <c r="B1548" s="602"/>
      <c r="C1548" s="602"/>
    </row>
    <row r="1549" spans="2:3" x14ac:dyDescent="0.35">
      <c r="B1549" s="602"/>
      <c r="C1549" s="602"/>
    </row>
    <row r="1550" spans="2:3" x14ac:dyDescent="0.35">
      <c r="B1550" s="602"/>
      <c r="C1550" s="602"/>
    </row>
    <row r="1551" spans="2:3" x14ac:dyDescent="0.35">
      <c r="B1551" s="602"/>
      <c r="C1551" s="602"/>
    </row>
    <row r="1552" spans="2:3" x14ac:dyDescent="0.35">
      <c r="B1552" s="602"/>
      <c r="C1552" s="602"/>
    </row>
    <row r="1553" spans="2:3" x14ac:dyDescent="0.35">
      <c r="B1553" s="602"/>
      <c r="C1553" s="602"/>
    </row>
    <row r="1554" spans="2:3" x14ac:dyDescent="0.35">
      <c r="B1554" s="602"/>
      <c r="C1554" s="602"/>
    </row>
    <row r="1555" spans="2:3" x14ac:dyDescent="0.35">
      <c r="B1555" s="602"/>
      <c r="C1555" s="602"/>
    </row>
    <row r="1556" spans="2:3" x14ac:dyDescent="0.35">
      <c r="B1556" s="602"/>
      <c r="C1556" s="602"/>
    </row>
    <row r="1557" spans="2:3" x14ac:dyDescent="0.35">
      <c r="B1557" s="602"/>
      <c r="C1557" s="602"/>
    </row>
    <row r="1558" spans="2:3" x14ac:dyDescent="0.35">
      <c r="B1558" s="602"/>
      <c r="C1558" s="602"/>
    </row>
    <row r="1559" spans="2:3" x14ac:dyDescent="0.35">
      <c r="B1559" s="602"/>
      <c r="C1559" s="602"/>
    </row>
    <row r="1560" spans="2:3" x14ac:dyDescent="0.35">
      <c r="B1560" s="602"/>
      <c r="C1560" s="602"/>
    </row>
    <row r="1561" spans="2:3" x14ac:dyDescent="0.35">
      <c r="B1561" s="602"/>
      <c r="C1561" s="602"/>
    </row>
    <row r="1562" spans="2:3" x14ac:dyDescent="0.35">
      <c r="B1562" s="602"/>
      <c r="C1562" s="602"/>
    </row>
    <row r="1563" spans="2:3" x14ac:dyDescent="0.35">
      <c r="B1563" s="602"/>
      <c r="C1563" s="602"/>
    </row>
    <row r="1564" spans="2:3" x14ac:dyDescent="0.35">
      <c r="B1564" s="602"/>
      <c r="C1564" s="602"/>
    </row>
    <row r="1565" spans="2:3" x14ac:dyDescent="0.35">
      <c r="B1565" s="602"/>
      <c r="C1565" s="602"/>
    </row>
    <row r="1566" spans="2:3" x14ac:dyDescent="0.35">
      <c r="B1566" s="602"/>
      <c r="C1566" s="602"/>
    </row>
    <row r="1567" spans="2:3" x14ac:dyDescent="0.35">
      <c r="B1567" s="602"/>
      <c r="C1567" s="602"/>
    </row>
    <row r="1568" spans="2:3" x14ac:dyDescent="0.35">
      <c r="B1568" s="602"/>
      <c r="C1568" s="602"/>
    </row>
    <row r="1569" spans="2:3" x14ac:dyDescent="0.35">
      <c r="B1569" s="602"/>
      <c r="C1569" s="602"/>
    </row>
    <row r="1570" spans="2:3" x14ac:dyDescent="0.35">
      <c r="B1570" s="602"/>
      <c r="C1570" s="602"/>
    </row>
    <row r="1571" spans="2:3" x14ac:dyDescent="0.35">
      <c r="B1571" s="602"/>
      <c r="C1571" s="602"/>
    </row>
    <row r="1572" spans="2:3" x14ac:dyDescent="0.35">
      <c r="B1572" s="602"/>
      <c r="C1572" s="602"/>
    </row>
    <row r="1573" spans="2:3" x14ac:dyDescent="0.35">
      <c r="B1573" s="602"/>
      <c r="C1573" s="602"/>
    </row>
    <row r="1574" spans="2:3" x14ac:dyDescent="0.35">
      <c r="B1574" s="602"/>
      <c r="C1574" s="602"/>
    </row>
    <row r="1575" spans="2:3" x14ac:dyDescent="0.35">
      <c r="B1575" s="602"/>
      <c r="C1575" s="602"/>
    </row>
    <row r="1576" spans="2:3" x14ac:dyDescent="0.35">
      <c r="B1576" s="602"/>
      <c r="C1576" s="602"/>
    </row>
    <row r="1577" spans="2:3" x14ac:dyDescent="0.35">
      <c r="B1577" s="602"/>
      <c r="C1577" s="602"/>
    </row>
    <row r="1578" spans="2:3" x14ac:dyDescent="0.35">
      <c r="B1578" s="602"/>
      <c r="C1578" s="602"/>
    </row>
    <row r="1579" spans="2:3" x14ac:dyDescent="0.35">
      <c r="B1579" s="602"/>
      <c r="C1579" s="602"/>
    </row>
    <row r="1580" spans="2:3" x14ac:dyDescent="0.35">
      <c r="B1580" s="602"/>
      <c r="C1580" s="602"/>
    </row>
    <row r="1581" spans="2:3" x14ac:dyDescent="0.35">
      <c r="B1581" s="602"/>
      <c r="C1581" s="602"/>
    </row>
    <row r="1582" spans="2:3" x14ac:dyDescent="0.35">
      <c r="B1582" s="602"/>
      <c r="C1582" s="602"/>
    </row>
    <row r="1583" spans="2:3" x14ac:dyDescent="0.35">
      <c r="B1583" s="602"/>
      <c r="C1583" s="602"/>
    </row>
    <row r="1584" spans="2:3" x14ac:dyDescent="0.35">
      <c r="B1584" s="602"/>
      <c r="C1584" s="602"/>
    </row>
    <row r="1585" spans="2:3" x14ac:dyDescent="0.35">
      <c r="B1585" s="602"/>
      <c r="C1585" s="602"/>
    </row>
    <row r="1586" spans="2:3" x14ac:dyDescent="0.35">
      <c r="B1586" s="602"/>
      <c r="C1586" s="602"/>
    </row>
    <row r="1587" spans="2:3" x14ac:dyDescent="0.35">
      <c r="B1587" s="602"/>
      <c r="C1587" s="602"/>
    </row>
    <row r="1588" spans="2:3" x14ac:dyDescent="0.35">
      <c r="B1588" s="602"/>
      <c r="C1588" s="602"/>
    </row>
    <row r="1589" spans="2:3" x14ac:dyDescent="0.35">
      <c r="B1589" s="602"/>
      <c r="C1589" s="602"/>
    </row>
    <row r="1590" spans="2:3" x14ac:dyDescent="0.35">
      <c r="B1590" s="602"/>
      <c r="C1590" s="602"/>
    </row>
    <row r="1591" spans="2:3" x14ac:dyDescent="0.35">
      <c r="B1591" s="602"/>
      <c r="C1591" s="602"/>
    </row>
    <row r="1592" spans="2:3" x14ac:dyDescent="0.35">
      <c r="B1592" s="602"/>
      <c r="C1592" s="602"/>
    </row>
    <row r="1593" spans="2:3" x14ac:dyDescent="0.35">
      <c r="B1593" s="602"/>
      <c r="C1593" s="602"/>
    </row>
    <row r="1594" spans="2:3" x14ac:dyDescent="0.35">
      <c r="B1594" s="602"/>
      <c r="C1594" s="602"/>
    </row>
    <row r="1595" spans="2:3" x14ac:dyDescent="0.35">
      <c r="B1595" s="602"/>
      <c r="C1595" s="602"/>
    </row>
    <row r="1596" spans="2:3" x14ac:dyDescent="0.35">
      <c r="B1596" s="602"/>
      <c r="C1596" s="602"/>
    </row>
    <row r="1597" spans="2:3" x14ac:dyDescent="0.35">
      <c r="B1597" s="602"/>
      <c r="C1597" s="602"/>
    </row>
    <row r="1598" spans="2:3" x14ac:dyDescent="0.35">
      <c r="B1598" s="602"/>
      <c r="C1598" s="602"/>
    </row>
    <row r="1599" spans="2:3" x14ac:dyDescent="0.35">
      <c r="B1599" s="602"/>
      <c r="C1599" s="602"/>
    </row>
    <row r="1600" spans="2:3" x14ac:dyDescent="0.35">
      <c r="B1600" s="602"/>
      <c r="C1600" s="602"/>
    </row>
    <row r="1601" spans="2:3" x14ac:dyDescent="0.35">
      <c r="B1601" s="602"/>
      <c r="C1601" s="602"/>
    </row>
    <row r="1602" spans="2:3" x14ac:dyDescent="0.35">
      <c r="B1602" s="602"/>
      <c r="C1602" s="602"/>
    </row>
    <row r="1603" spans="2:3" x14ac:dyDescent="0.35">
      <c r="B1603" s="602"/>
      <c r="C1603" s="602"/>
    </row>
    <row r="1604" spans="2:3" x14ac:dyDescent="0.35">
      <c r="B1604" s="602"/>
      <c r="C1604" s="602"/>
    </row>
    <row r="1605" spans="2:3" x14ac:dyDescent="0.35">
      <c r="B1605" s="602"/>
      <c r="C1605" s="602"/>
    </row>
    <row r="1606" spans="2:3" x14ac:dyDescent="0.35">
      <c r="B1606" s="602"/>
      <c r="C1606" s="602"/>
    </row>
    <row r="1607" spans="2:3" x14ac:dyDescent="0.35">
      <c r="B1607" s="602"/>
      <c r="C1607" s="602"/>
    </row>
    <row r="1608" spans="2:3" x14ac:dyDescent="0.35">
      <c r="B1608" s="602"/>
      <c r="C1608" s="602"/>
    </row>
    <row r="1609" spans="2:3" x14ac:dyDescent="0.35">
      <c r="B1609" s="602"/>
      <c r="C1609" s="602"/>
    </row>
    <row r="1610" spans="2:3" x14ac:dyDescent="0.35">
      <c r="B1610" s="602"/>
      <c r="C1610" s="602"/>
    </row>
    <row r="1611" spans="2:3" x14ac:dyDescent="0.35">
      <c r="B1611" s="602"/>
      <c r="C1611" s="602"/>
    </row>
    <row r="1612" spans="2:3" x14ac:dyDescent="0.35">
      <c r="B1612" s="602"/>
      <c r="C1612" s="602"/>
    </row>
    <row r="1613" spans="2:3" x14ac:dyDescent="0.35">
      <c r="B1613" s="602"/>
      <c r="C1613" s="602"/>
    </row>
    <row r="1614" spans="2:3" x14ac:dyDescent="0.35">
      <c r="B1614" s="602"/>
      <c r="C1614" s="602"/>
    </row>
    <row r="1615" spans="2:3" x14ac:dyDescent="0.35">
      <c r="B1615" s="602"/>
      <c r="C1615" s="602"/>
    </row>
    <row r="1616" spans="2:3" x14ac:dyDescent="0.35">
      <c r="B1616" s="602"/>
      <c r="C1616" s="602"/>
    </row>
    <row r="1617" spans="2:3" x14ac:dyDescent="0.35">
      <c r="B1617" s="602"/>
      <c r="C1617" s="602"/>
    </row>
    <row r="1618" spans="2:3" x14ac:dyDescent="0.35">
      <c r="B1618" s="602"/>
      <c r="C1618" s="602"/>
    </row>
    <row r="1619" spans="2:3" x14ac:dyDescent="0.35">
      <c r="B1619" s="602"/>
      <c r="C1619" s="602"/>
    </row>
    <row r="1620" spans="2:3" x14ac:dyDescent="0.35">
      <c r="B1620" s="602"/>
      <c r="C1620" s="602"/>
    </row>
    <row r="1621" spans="2:3" x14ac:dyDescent="0.35">
      <c r="B1621" s="602"/>
      <c r="C1621" s="602"/>
    </row>
    <row r="1622" spans="2:3" x14ac:dyDescent="0.35">
      <c r="B1622" s="602"/>
      <c r="C1622" s="602"/>
    </row>
    <row r="1623" spans="2:3" x14ac:dyDescent="0.35">
      <c r="B1623" s="602"/>
      <c r="C1623" s="602"/>
    </row>
    <row r="1624" spans="2:3" x14ac:dyDescent="0.35">
      <c r="B1624" s="602"/>
      <c r="C1624" s="602"/>
    </row>
    <row r="1625" spans="2:3" x14ac:dyDescent="0.35">
      <c r="B1625" s="602"/>
      <c r="C1625" s="602"/>
    </row>
    <row r="1626" spans="2:3" x14ac:dyDescent="0.35">
      <c r="B1626" s="602"/>
      <c r="C1626" s="602"/>
    </row>
    <row r="1627" spans="2:3" x14ac:dyDescent="0.35">
      <c r="B1627" s="602"/>
      <c r="C1627" s="602"/>
    </row>
    <row r="1628" spans="2:3" x14ac:dyDescent="0.35">
      <c r="B1628" s="602"/>
      <c r="C1628" s="602"/>
    </row>
    <row r="1629" spans="2:3" x14ac:dyDescent="0.35">
      <c r="B1629" s="602"/>
      <c r="C1629" s="602"/>
    </row>
    <row r="1630" spans="2:3" x14ac:dyDescent="0.35">
      <c r="B1630" s="602"/>
      <c r="C1630" s="602"/>
    </row>
    <row r="1631" spans="2:3" x14ac:dyDescent="0.35">
      <c r="B1631" s="602"/>
      <c r="C1631" s="602"/>
    </row>
    <row r="1632" spans="2:3" x14ac:dyDescent="0.35">
      <c r="B1632" s="602"/>
      <c r="C1632" s="602"/>
    </row>
    <row r="1633" spans="2:3" x14ac:dyDescent="0.35">
      <c r="B1633" s="602"/>
      <c r="C1633" s="602"/>
    </row>
    <row r="1634" spans="2:3" x14ac:dyDescent="0.35">
      <c r="B1634" s="602"/>
      <c r="C1634" s="602"/>
    </row>
    <row r="1635" spans="2:3" x14ac:dyDescent="0.35">
      <c r="B1635" s="602"/>
      <c r="C1635" s="602"/>
    </row>
    <row r="1636" spans="2:3" x14ac:dyDescent="0.35">
      <c r="B1636" s="602"/>
      <c r="C1636" s="602"/>
    </row>
    <row r="1637" spans="2:3" x14ac:dyDescent="0.35">
      <c r="B1637" s="602"/>
      <c r="C1637" s="602"/>
    </row>
    <row r="1638" spans="2:3" x14ac:dyDescent="0.35">
      <c r="B1638" s="602"/>
      <c r="C1638" s="602"/>
    </row>
    <row r="1639" spans="2:3" x14ac:dyDescent="0.35">
      <c r="B1639" s="602"/>
      <c r="C1639" s="602"/>
    </row>
    <row r="1640" spans="2:3" x14ac:dyDescent="0.35">
      <c r="B1640" s="602"/>
      <c r="C1640" s="602"/>
    </row>
    <row r="1641" spans="2:3" x14ac:dyDescent="0.35">
      <c r="B1641" s="602"/>
      <c r="C1641" s="602"/>
    </row>
    <row r="1642" spans="2:3" x14ac:dyDescent="0.35">
      <c r="B1642" s="602"/>
      <c r="C1642" s="602"/>
    </row>
    <row r="1643" spans="2:3" x14ac:dyDescent="0.35">
      <c r="B1643" s="602"/>
      <c r="C1643" s="602"/>
    </row>
    <row r="1644" spans="2:3" x14ac:dyDescent="0.35">
      <c r="B1644" s="602"/>
      <c r="C1644" s="602"/>
    </row>
    <row r="1645" spans="2:3" x14ac:dyDescent="0.35">
      <c r="B1645" s="602"/>
      <c r="C1645" s="602"/>
    </row>
    <row r="1646" spans="2:3" x14ac:dyDescent="0.35">
      <c r="B1646" s="602"/>
      <c r="C1646" s="602"/>
    </row>
    <row r="1647" spans="2:3" x14ac:dyDescent="0.35">
      <c r="B1647" s="602"/>
      <c r="C1647" s="602"/>
    </row>
    <row r="1648" spans="2:3" x14ac:dyDescent="0.35">
      <c r="B1648" s="602"/>
      <c r="C1648" s="602"/>
    </row>
    <row r="1649" spans="2:3" x14ac:dyDescent="0.35">
      <c r="B1649" s="602"/>
      <c r="C1649" s="602"/>
    </row>
    <row r="1650" spans="2:3" x14ac:dyDescent="0.35">
      <c r="B1650" s="602"/>
      <c r="C1650" s="602"/>
    </row>
    <row r="1651" spans="2:3" x14ac:dyDescent="0.35">
      <c r="B1651" s="602"/>
      <c r="C1651" s="602"/>
    </row>
    <row r="1652" spans="2:3" x14ac:dyDescent="0.35">
      <c r="B1652" s="602"/>
      <c r="C1652" s="602"/>
    </row>
    <row r="1653" spans="2:3" x14ac:dyDescent="0.35">
      <c r="B1653" s="602"/>
      <c r="C1653" s="602"/>
    </row>
    <row r="1654" spans="2:3" x14ac:dyDescent="0.35">
      <c r="B1654" s="602"/>
      <c r="C1654" s="602"/>
    </row>
    <row r="1655" spans="2:3" x14ac:dyDescent="0.35">
      <c r="B1655" s="602"/>
      <c r="C1655" s="602"/>
    </row>
    <row r="1656" spans="2:3" x14ac:dyDescent="0.35">
      <c r="B1656" s="602"/>
      <c r="C1656" s="602"/>
    </row>
    <row r="1657" spans="2:3" x14ac:dyDescent="0.35">
      <c r="B1657" s="602"/>
      <c r="C1657" s="602"/>
    </row>
    <row r="1658" spans="2:3" x14ac:dyDescent="0.35">
      <c r="B1658" s="602"/>
      <c r="C1658" s="602"/>
    </row>
    <row r="1659" spans="2:3" x14ac:dyDescent="0.35">
      <c r="B1659" s="602"/>
      <c r="C1659" s="602"/>
    </row>
    <row r="1660" spans="2:3" x14ac:dyDescent="0.35">
      <c r="B1660" s="602"/>
      <c r="C1660" s="602"/>
    </row>
    <row r="1661" spans="2:3" x14ac:dyDescent="0.35">
      <c r="B1661" s="602"/>
      <c r="C1661" s="602"/>
    </row>
    <row r="1662" spans="2:3" x14ac:dyDescent="0.35">
      <c r="B1662" s="602"/>
      <c r="C1662" s="602"/>
    </row>
    <row r="1663" spans="2:3" x14ac:dyDescent="0.35">
      <c r="B1663" s="602"/>
      <c r="C1663" s="602"/>
    </row>
    <row r="1664" spans="2:3" x14ac:dyDescent="0.35">
      <c r="B1664" s="602"/>
      <c r="C1664" s="602"/>
    </row>
    <row r="1665" spans="2:3" x14ac:dyDescent="0.35">
      <c r="B1665" s="602"/>
      <c r="C1665" s="602"/>
    </row>
    <row r="1666" spans="2:3" x14ac:dyDescent="0.35">
      <c r="B1666" s="602"/>
      <c r="C1666" s="602"/>
    </row>
    <row r="1667" spans="2:3" x14ac:dyDescent="0.35">
      <c r="B1667" s="602"/>
      <c r="C1667" s="602"/>
    </row>
    <row r="1668" spans="2:3" x14ac:dyDescent="0.35">
      <c r="B1668" s="602"/>
      <c r="C1668" s="602"/>
    </row>
    <row r="1669" spans="2:3" x14ac:dyDescent="0.35">
      <c r="B1669" s="602"/>
      <c r="C1669" s="602"/>
    </row>
    <row r="1670" spans="2:3" x14ac:dyDescent="0.35">
      <c r="B1670" s="602"/>
      <c r="C1670" s="602"/>
    </row>
    <row r="1671" spans="2:3" x14ac:dyDescent="0.35">
      <c r="B1671" s="602"/>
      <c r="C1671" s="602"/>
    </row>
    <row r="1672" spans="2:3" x14ac:dyDescent="0.35">
      <c r="B1672" s="602"/>
      <c r="C1672" s="602"/>
    </row>
    <row r="1673" spans="2:3" x14ac:dyDescent="0.35">
      <c r="B1673" s="602"/>
      <c r="C1673" s="602"/>
    </row>
    <row r="1674" spans="2:3" x14ac:dyDescent="0.35">
      <c r="B1674" s="602"/>
      <c r="C1674" s="602"/>
    </row>
    <row r="1675" spans="2:3" x14ac:dyDescent="0.35">
      <c r="B1675" s="602"/>
      <c r="C1675" s="602"/>
    </row>
    <row r="1676" spans="2:3" x14ac:dyDescent="0.35">
      <c r="B1676" s="602"/>
      <c r="C1676" s="602"/>
    </row>
    <row r="1677" spans="2:3" x14ac:dyDescent="0.35">
      <c r="B1677" s="602"/>
      <c r="C1677" s="602"/>
    </row>
    <row r="1678" spans="2:3" x14ac:dyDescent="0.35">
      <c r="B1678" s="602"/>
      <c r="C1678" s="602"/>
    </row>
    <row r="1679" spans="2:3" x14ac:dyDescent="0.35">
      <c r="B1679" s="602"/>
      <c r="C1679" s="602"/>
    </row>
    <row r="1680" spans="2:3" x14ac:dyDescent="0.35">
      <c r="B1680" s="602"/>
      <c r="C1680" s="602"/>
    </row>
    <row r="1681" spans="2:3" x14ac:dyDescent="0.35">
      <c r="B1681" s="602"/>
      <c r="C1681" s="602"/>
    </row>
    <row r="1682" spans="2:3" x14ac:dyDescent="0.35">
      <c r="B1682" s="602"/>
      <c r="C1682" s="602"/>
    </row>
    <row r="1683" spans="2:3" x14ac:dyDescent="0.35">
      <c r="B1683" s="602"/>
      <c r="C1683" s="602"/>
    </row>
    <row r="1684" spans="2:3" x14ac:dyDescent="0.35">
      <c r="B1684" s="602"/>
      <c r="C1684" s="602"/>
    </row>
    <row r="1685" spans="2:3" x14ac:dyDescent="0.35">
      <c r="B1685" s="602"/>
      <c r="C1685" s="602"/>
    </row>
    <row r="1686" spans="2:3" x14ac:dyDescent="0.35">
      <c r="B1686" s="602"/>
      <c r="C1686" s="602"/>
    </row>
    <row r="1687" spans="2:3" x14ac:dyDescent="0.35">
      <c r="B1687" s="602"/>
      <c r="C1687" s="602"/>
    </row>
    <row r="1688" spans="2:3" x14ac:dyDescent="0.35">
      <c r="B1688" s="602"/>
      <c r="C1688" s="602"/>
    </row>
    <row r="1689" spans="2:3" x14ac:dyDescent="0.35">
      <c r="B1689" s="602"/>
      <c r="C1689" s="602"/>
    </row>
    <row r="1690" spans="2:3" x14ac:dyDescent="0.35">
      <c r="B1690" s="602"/>
      <c r="C1690" s="602"/>
    </row>
    <row r="1691" spans="2:3" x14ac:dyDescent="0.35">
      <c r="B1691" s="602"/>
      <c r="C1691" s="602"/>
    </row>
    <row r="1692" spans="2:3" x14ac:dyDescent="0.35">
      <c r="B1692" s="602"/>
      <c r="C1692" s="602"/>
    </row>
    <row r="1693" spans="2:3" x14ac:dyDescent="0.35">
      <c r="B1693" s="602"/>
      <c r="C1693" s="602"/>
    </row>
    <row r="1694" spans="2:3" x14ac:dyDescent="0.35">
      <c r="B1694" s="602"/>
      <c r="C1694" s="602"/>
    </row>
    <row r="1695" spans="2:3" x14ac:dyDescent="0.35">
      <c r="B1695" s="602"/>
      <c r="C1695" s="602"/>
    </row>
    <row r="1696" spans="2:3" x14ac:dyDescent="0.35">
      <c r="B1696" s="602"/>
      <c r="C1696" s="602"/>
    </row>
    <row r="1697" spans="2:3" x14ac:dyDescent="0.35">
      <c r="B1697" s="602"/>
      <c r="C1697" s="602"/>
    </row>
    <row r="1698" spans="2:3" x14ac:dyDescent="0.35">
      <c r="B1698" s="602"/>
      <c r="C1698" s="602"/>
    </row>
    <row r="1699" spans="2:3" x14ac:dyDescent="0.35">
      <c r="B1699" s="602"/>
      <c r="C1699" s="602"/>
    </row>
    <row r="1700" spans="2:3" x14ac:dyDescent="0.35">
      <c r="B1700" s="602"/>
      <c r="C1700" s="602"/>
    </row>
    <row r="1701" spans="2:3" x14ac:dyDescent="0.35">
      <c r="B1701" s="602"/>
      <c r="C1701" s="602"/>
    </row>
    <row r="1702" spans="2:3" x14ac:dyDescent="0.35">
      <c r="B1702" s="602"/>
      <c r="C1702" s="602"/>
    </row>
    <row r="1703" spans="2:3" x14ac:dyDescent="0.35">
      <c r="B1703" s="602"/>
      <c r="C1703" s="602"/>
    </row>
    <row r="1704" spans="2:3" x14ac:dyDescent="0.35">
      <c r="B1704" s="602"/>
      <c r="C1704" s="602"/>
    </row>
    <row r="1705" spans="2:3" x14ac:dyDescent="0.35">
      <c r="B1705" s="602"/>
      <c r="C1705" s="602"/>
    </row>
    <row r="1706" spans="2:3" x14ac:dyDescent="0.35">
      <c r="B1706" s="602"/>
      <c r="C1706" s="602"/>
    </row>
    <row r="1707" spans="2:3" x14ac:dyDescent="0.35">
      <c r="B1707" s="602"/>
      <c r="C1707" s="602"/>
    </row>
    <row r="1708" spans="2:3" x14ac:dyDescent="0.35">
      <c r="B1708" s="602"/>
      <c r="C1708" s="602"/>
    </row>
    <row r="1709" spans="2:3" x14ac:dyDescent="0.35">
      <c r="B1709" s="602"/>
      <c r="C1709" s="602"/>
    </row>
    <row r="1710" spans="2:3" x14ac:dyDescent="0.35">
      <c r="B1710" s="602"/>
      <c r="C1710" s="602"/>
    </row>
    <row r="1711" spans="2:3" x14ac:dyDescent="0.35">
      <c r="B1711" s="602"/>
      <c r="C1711" s="602"/>
    </row>
    <row r="1712" spans="2:3" x14ac:dyDescent="0.35">
      <c r="B1712" s="602"/>
      <c r="C1712" s="602"/>
    </row>
    <row r="1713" spans="2:3" x14ac:dyDescent="0.35">
      <c r="B1713" s="602"/>
      <c r="C1713" s="602"/>
    </row>
    <row r="1714" spans="2:3" x14ac:dyDescent="0.35">
      <c r="B1714" s="602"/>
      <c r="C1714" s="602"/>
    </row>
    <row r="1715" spans="2:3" x14ac:dyDescent="0.35">
      <c r="B1715" s="602"/>
      <c r="C1715" s="602"/>
    </row>
    <row r="1716" spans="2:3" x14ac:dyDescent="0.35">
      <c r="B1716" s="602"/>
      <c r="C1716" s="602"/>
    </row>
    <row r="1717" spans="2:3" x14ac:dyDescent="0.35">
      <c r="B1717" s="602"/>
      <c r="C1717" s="602"/>
    </row>
    <row r="1718" spans="2:3" x14ac:dyDescent="0.35">
      <c r="B1718" s="602"/>
      <c r="C1718" s="602"/>
    </row>
    <row r="1719" spans="2:3" x14ac:dyDescent="0.35">
      <c r="B1719" s="602"/>
      <c r="C1719" s="602"/>
    </row>
    <row r="1720" spans="2:3" x14ac:dyDescent="0.35">
      <c r="B1720" s="602"/>
      <c r="C1720" s="602"/>
    </row>
    <row r="1721" spans="2:3" x14ac:dyDescent="0.35">
      <c r="B1721" s="602"/>
      <c r="C1721" s="602"/>
    </row>
    <row r="1722" spans="2:3" x14ac:dyDescent="0.35">
      <c r="B1722" s="602"/>
      <c r="C1722" s="602"/>
    </row>
    <row r="1723" spans="2:3" x14ac:dyDescent="0.35">
      <c r="B1723" s="602"/>
      <c r="C1723" s="602"/>
    </row>
    <row r="1724" spans="2:3" x14ac:dyDescent="0.35">
      <c r="B1724" s="602"/>
      <c r="C1724" s="602"/>
    </row>
    <row r="1725" spans="2:3" x14ac:dyDescent="0.35">
      <c r="B1725" s="602"/>
      <c r="C1725" s="602"/>
    </row>
    <row r="1726" spans="2:3" x14ac:dyDescent="0.35">
      <c r="B1726" s="602"/>
      <c r="C1726" s="602"/>
    </row>
    <row r="1727" spans="2:3" x14ac:dyDescent="0.35">
      <c r="B1727" s="602"/>
      <c r="C1727" s="602"/>
    </row>
    <row r="1728" spans="2:3" x14ac:dyDescent="0.35">
      <c r="B1728" s="602"/>
      <c r="C1728" s="602"/>
    </row>
    <row r="1729" spans="2:3" x14ac:dyDescent="0.35">
      <c r="B1729" s="602"/>
      <c r="C1729" s="602"/>
    </row>
    <row r="1730" spans="2:3" x14ac:dyDescent="0.35">
      <c r="B1730" s="602"/>
      <c r="C1730" s="602"/>
    </row>
    <row r="1731" spans="2:3" x14ac:dyDescent="0.35">
      <c r="B1731" s="602"/>
      <c r="C1731" s="602"/>
    </row>
    <row r="1732" spans="2:3" x14ac:dyDescent="0.35">
      <c r="B1732" s="602"/>
      <c r="C1732" s="602"/>
    </row>
    <row r="1733" spans="2:3" x14ac:dyDescent="0.35">
      <c r="B1733" s="602"/>
      <c r="C1733" s="602"/>
    </row>
    <row r="1734" spans="2:3" x14ac:dyDescent="0.35">
      <c r="B1734" s="602"/>
      <c r="C1734" s="602"/>
    </row>
    <row r="1735" spans="2:3" x14ac:dyDescent="0.35">
      <c r="B1735" s="602"/>
      <c r="C1735" s="602"/>
    </row>
    <row r="1736" spans="2:3" x14ac:dyDescent="0.35">
      <c r="B1736" s="602"/>
      <c r="C1736" s="602"/>
    </row>
    <row r="1737" spans="2:3" x14ac:dyDescent="0.35">
      <c r="B1737" s="602"/>
      <c r="C1737" s="602"/>
    </row>
    <row r="1738" spans="2:3" x14ac:dyDescent="0.35">
      <c r="B1738" s="602"/>
      <c r="C1738" s="602"/>
    </row>
    <row r="1739" spans="2:3" x14ac:dyDescent="0.35">
      <c r="B1739" s="602"/>
      <c r="C1739" s="602"/>
    </row>
    <row r="1740" spans="2:3" x14ac:dyDescent="0.35">
      <c r="B1740" s="602"/>
      <c r="C1740" s="602"/>
    </row>
    <row r="1741" spans="2:3" x14ac:dyDescent="0.35">
      <c r="B1741" s="602"/>
      <c r="C1741" s="602"/>
    </row>
    <row r="1742" spans="2:3" x14ac:dyDescent="0.35">
      <c r="B1742" s="602"/>
      <c r="C1742" s="602"/>
    </row>
    <row r="1743" spans="2:3" x14ac:dyDescent="0.35">
      <c r="B1743" s="602"/>
      <c r="C1743" s="602"/>
    </row>
    <row r="1744" spans="2:3" x14ac:dyDescent="0.35">
      <c r="B1744" s="602"/>
      <c r="C1744" s="602"/>
    </row>
    <row r="1745" spans="2:3" x14ac:dyDescent="0.35">
      <c r="B1745" s="602"/>
      <c r="C1745" s="602"/>
    </row>
    <row r="1746" spans="2:3" x14ac:dyDescent="0.35">
      <c r="B1746" s="602"/>
      <c r="C1746" s="602"/>
    </row>
    <row r="1747" spans="2:3" x14ac:dyDescent="0.35">
      <c r="B1747" s="602"/>
      <c r="C1747" s="602"/>
    </row>
    <row r="1748" spans="2:3" x14ac:dyDescent="0.35">
      <c r="B1748" s="602"/>
      <c r="C1748" s="602"/>
    </row>
    <row r="1749" spans="2:3" x14ac:dyDescent="0.35">
      <c r="B1749" s="602"/>
      <c r="C1749" s="602"/>
    </row>
    <row r="1750" spans="2:3" x14ac:dyDescent="0.35">
      <c r="B1750" s="602"/>
      <c r="C1750" s="602"/>
    </row>
    <row r="1751" spans="2:3" x14ac:dyDescent="0.35">
      <c r="B1751" s="602"/>
      <c r="C1751" s="602"/>
    </row>
    <row r="1752" spans="2:3" x14ac:dyDescent="0.35">
      <c r="B1752" s="602"/>
      <c r="C1752" s="602"/>
    </row>
    <row r="1753" spans="2:3" x14ac:dyDescent="0.35">
      <c r="B1753" s="602"/>
      <c r="C1753" s="602"/>
    </row>
    <row r="1754" spans="2:3" x14ac:dyDescent="0.35">
      <c r="B1754" s="602"/>
      <c r="C1754" s="602"/>
    </row>
    <row r="1755" spans="2:3" x14ac:dyDescent="0.35">
      <c r="B1755" s="602"/>
      <c r="C1755" s="602"/>
    </row>
    <row r="1756" spans="2:3" x14ac:dyDescent="0.35">
      <c r="B1756" s="602"/>
      <c r="C1756" s="602"/>
    </row>
    <row r="1757" spans="2:3" x14ac:dyDescent="0.35">
      <c r="B1757" s="602"/>
      <c r="C1757" s="602"/>
    </row>
    <row r="1758" spans="2:3" x14ac:dyDescent="0.35">
      <c r="B1758" s="602"/>
      <c r="C1758" s="602"/>
    </row>
    <row r="1759" spans="2:3" x14ac:dyDescent="0.35">
      <c r="B1759" s="602"/>
      <c r="C1759" s="602"/>
    </row>
    <row r="1760" spans="2:3" x14ac:dyDescent="0.35">
      <c r="B1760" s="602"/>
      <c r="C1760" s="602"/>
    </row>
    <row r="1761" spans="2:3" x14ac:dyDescent="0.35">
      <c r="B1761" s="602"/>
      <c r="C1761" s="602"/>
    </row>
    <row r="1762" spans="2:3" x14ac:dyDescent="0.35">
      <c r="B1762" s="602"/>
      <c r="C1762" s="602"/>
    </row>
    <row r="1763" spans="2:3" x14ac:dyDescent="0.35">
      <c r="B1763" s="602"/>
      <c r="C1763" s="602"/>
    </row>
    <row r="1764" spans="2:3" x14ac:dyDescent="0.35">
      <c r="B1764" s="602"/>
      <c r="C1764" s="602"/>
    </row>
    <row r="1765" spans="2:3" x14ac:dyDescent="0.35">
      <c r="B1765" s="602"/>
      <c r="C1765" s="602"/>
    </row>
    <row r="1766" spans="2:3" x14ac:dyDescent="0.35">
      <c r="B1766" s="602"/>
      <c r="C1766" s="602"/>
    </row>
    <row r="1767" spans="2:3" x14ac:dyDescent="0.35">
      <c r="B1767" s="602"/>
      <c r="C1767" s="602"/>
    </row>
    <row r="1768" spans="2:3" x14ac:dyDescent="0.35">
      <c r="B1768" s="602"/>
      <c r="C1768" s="602"/>
    </row>
    <row r="1769" spans="2:3" x14ac:dyDescent="0.35">
      <c r="B1769" s="602"/>
      <c r="C1769" s="602"/>
    </row>
    <row r="1770" spans="2:3" x14ac:dyDescent="0.35">
      <c r="B1770" s="602"/>
      <c r="C1770" s="602"/>
    </row>
    <row r="1771" spans="2:3" x14ac:dyDescent="0.35">
      <c r="B1771" s="602"/>
      <c r="C1771" s="602"/>
    </row>
    <row r="1772" spans="2:3" x14ac:dyDescent="0.35">
      <c r="B1772" s="602"/>
      <c r="C1772" s="602"/>
    </row>
    <row r="1773" spans="2:3" x14ac:dyDescent="0.35">
      <c r="B1773" s="602"/>
      <c r="C1773" s="602"/>
    </row>
    <row r="1774" spans="2:3" x14ac:dyDescent="0.35">
      <c r="B1774" s="602"/>
      <c r="C1774" s="602"/>
    </row>
    <row r="1775" spans="2:3" x14ac:dyDescent="0.35">
      <c r="B1775" s="602"/>
      <c r="C1775" s="602"/>
    </row>
    <row r="1776" spans="2:3" x14ac:dyDescent="0.35">
      <c r="B1776" s="602"/>
      <c r="C1776" s="602"/>
    </row>
    <row r="1777" spans="2:3" x14ac:dyDescent="0.35">
      <c r="B1777" s="602"/>
      <c r="C1777" s="602"/>
    </row>
    <row r="1778" spans="2:3" x14ac:dyDescent="0.35">
      <c r="B1778" s="602"/>
      <c r="C1778" s="602"/>
    </row>
    <row r="1779" spans="2:3" x14ac:dyDescent="0.35">
      <c r="B1779" s="602"/>
      <c r="C1779" s="602"/>
    </row>
    <row r="1780" spans="2:3" x14ac:dyDescent="0.35">
      <c r="B1780" s="602"/>
      <c r="C1780" s="602"/>
    </row>
    <row r="1781" spans="2:3" x14ac:dyDescent="0.35">
      <c r="B1781" s="602"/>
      <c r="C1781" s="602"/>
    </row>
    <row r="1782" spans="2:3" x14ac:dyDescent="0.35">
      <c r="B1782" s="602"/>
      <c r="C1782" s="602"/>
    </row>
    <row r="1783" spans="2:3" x14ac:dyDescent="0.35">
      <c r="B1783" s="602"/>
      <c r="C1783" s="602"/>
    </row>
    <row r="1784" spans="2:3" x14ac:dyDescent="0.35">
      <c r="B1784" s="602"/>
      <c r="C1784" s="602"/>
    </row>
    <row r="1785" spans="2:3" x14ac:dyDescent="0.35">
      <c r="B1785" s="602"/>
      <c r="C1785" s="602"/>
    </row>
    <row r="1786" spans="2:3" x14ac:dyDescent="0.35">
      <c r="B1786" s="602"/>
      <c r="C1786" s="602"/>
    </row>
    <row r="1787" spans="2:3" x14ac:dyDescent="0.35">
      <c r="B1787" s="602"/>
      <c r="C1787" s="602"/>
    </row>
    <row r="1788" spans="2:3" x14ac:dyDescent="0.35">
      <c r="B1788" s="602"/>
      <c r="C1788" s="602"/>
    </row>
    <row r="1789" spans="2:3" x14ac:dyDescent="0.35">
      <c r="B1789" s="602"/>
      <c r="C1789" s="602"/>
    </row>
    <row r="1790" spans="2:3" x14ac:dyDescent="0.35">
      <c r="B1790" s="602"/>
      <c r="C1790" s="602"/>
    </row>
    <row r="1791" spans="2:3" x14ac:dyDescent="0.35">
      <c r="B1791" s="602"/>
      <c r="C1791" s="602"/>
    </row>
    <row r="1792" spans="2:3" x14ac:dyDescent="0.35">
      <c r="B1792" s="602"/>
      <c r="C1792" s="602"/>
    </row>
    <row r="1793" spans="2:3" x14ac:dyDescent="0.35">
      <c r="B1793" s="602"/>
      <c r="C1793" s="602"/>
    </row>
    <row r="1794" spans="2:3" x14ac:dyDescent="0.35">
      <c r="B1794" s="602"/>
      <c r="C1794" s="602"/>
    </row>
    <row r="1795" spans="2:3" x14ac:dyDescent="0.35">
      <c r="B1795" s="602"/>
      <c r="C1795" s="602"/>
    </row>
    <row r="1796" spans="2:3" x14ac:dyDescent="0.35">
      <c r="B1796" s="602"/>
      <c r="C1796" s="602"/>
    </row>
    <row r="1797" spans="2:3" x14ac:dyDescent="0.35">
      <c r="B1797" s="602"/>
      <c r="C1797" s="602"/>
    </row>
    <row r="1798" spans="2:3" x14ac:dyDescent="0.35">
      <c r="B1798" s="602"/>
      <c r="C1798" s="602"/>
    </row>
    <row r="1799" spans="2:3" x14ac:dyDescent="0.35">
      <c r="B1799" s="602"/>
      <c r="C1799" s="602"/>
    </row>
    <row r="1800" spans="2:3" x14ac:dyDescent="0.35">
      <c r="B1800" s="602"/>
      <c r="C1800" s="602"/>
    </row>
    <row r="1801" spans="2:3" x14ac:dyDescent="0.35">
      <c r="B1801" s="602"/>
      <c r="C1801" s="602"/>
    </row>
    <row r="1802" spans="2:3" x14ac:dyDescent="0.35">
      <c r="B1802" s="602"/>
      <c r="C1802" s="602"/>
    </row>
    <row r="1803" spans="2:3" x14ac:dyDescent="0.35">
      <c r="B1803" s="602"/>
      <c r="C1803" s="602"/>
    </row>
    <row r="1804" spans="2:3" x14ac:dyDescent="0.35">
      <c r="B1804" s="602"/>
      <c r="C1804" s="602"/>
    </row>
    <row r="1805" spans="2:3" x14ac:dyDescent="0.35">
      <c r="B1805" s="602"/>
      <c r="C1805" s="602"/>
    </row>
    <row r="1806" spans="2:3" x14ac:dyDescent="0.35">
      <c r="B1806" s="602"/>
      <c r="C1806" s="602"/>
    </row>
    <row r="1807" spans="2:3" x14ac:dyDescent="0.35">
      <c r="B1807" s="602"/>
      <c r="C1807" s="602"/>
    </row>
    <row r="1808" spans="2:3" x14ac:dyDescent="0.35">
      <c r="B1808" s="602"/>
      <c r="C1808" s="602"/>
    </row>
    <row r="1809" spans="2:3" x14ac:dyDescent="0.35">
      <c r="B1809" s="602"/>
      <c r="C1809" s="602"/>
    </row>
    <row r="1810" spans="2:3" x14ac:dyDescent="0.35">
      <c r="B1810" s="602"/>
      <c r="C1810" s="602"/>
    </row>
    <row r="1811" spans="2:3" x14ac:dyDescent="0.35">
      <c r="B1811" s="602"/>
      <c r="C1811" s="602"/>
    </row>
    <row r="1812" spans="2:3" x14ac:dyDescent="0.35">
      <c r="B1812" s="602"/>
      <c r="C1812" s="602"/>
    </row>
    <row r="1813" spans="2:3" x14ac:dyDescent="0.35">
      <c r="B1813" s="602"/>
      <c r="C1813" s="602"/>
    </row>
    <row r="1814" spans="2:3" x14ac:dyDescent="0.35">
      <c r="B1814" s="602"/>
      <c r="C1814" s="602"/>
    </row>
    <row r="1815" spans="2:3" x14ac:dyDescent="0.35">
      <c r="B1815" s="602"/>
      <c r="C1815" s="602"/>
    </row>
    <row r="1816" spans="2:3" x14ac:dyDescent="0.35">
      <c r="B1816" s="602"/>
      <c r="C1816" s="602"/>
    </row>
    <row r="1817" spans="2:3" x14ac:dyDescent="0.35">
      <c r="B1817" s="602"/>
      <c r="C1817" s="602"/>
    </row>
    <row r="1818" spans="2:3" x14ac:dyDescent="0.35">
      <c r="B1818" s="602"/>
      <c r="C1818" s="602"/>
    </row>
    <row r="1819" spans="2:3" x14ac:dyDescent="0.35">
      <c r="B1819" s="602"/>
      <c r="C1819" s="602"/>
    </row>
    <row r="1820" spans="2:3" x14ac:dyDescent="0.35">
      <c r="B1820" s="602"/>
      <c r="C1820" s="602"/>
    </row>
    <row r="1821" spans="2:3" x14ac:dyDescent="0.35">
      <c r="B1821" s="602"/>
      <c r="C1821" s="602"/>
    </row>
    <row r="1822" spans="2:3" x14ac:dyDescent="0.35">
      <c r="B1822" s="602"/>
      <c r="C1822" s="602"/>
    </row>
    <row r="1823" spans="2:3" x14ac:dyDescent="0.35">
      <c r="B1823" s="602"/>
      <c r="C1823" s="602"/>
    </row>
    <row r="1824" spans="2:3" x14ac:dyDescent="0.35">
      <c r="B1824" s="602"/>
      <c r="C1824" s="602"/>
    </row>
    <row r="1825" spans="2:3" x14ac:dyDescent="0.35">
      <c r="B1825" s="602"/>
      <c r="C1825" s="602"/>
    </row>
    <row r="1826" spans="2:3" x14ac:dyDescent="0.35">
      <c r="B1826" s="602"/>
      <c r="C1826" s="602"/>
    </row>
  </sheetData>
  <mergeCells count="1">
    <mergeCell ref="B4:D4"/>
  </mergeCells>
  <dataValidations count="3">
    <dataValidation type="list" allowBlank="1" showInputMessage="1" showErrorMessage="1" sqref="C62">
      <formula1>$F$61:$F$63</formula1>
    </dataValidation>
    <dataValidation type="list" allowBlank="1" showInputMessage="1" showErrorMessage="1" sqref="C34">
      <formula1>$F$34:$F$36</formula1>
    </dataValidation>
    <dataValidation type="list" allowBlank="1" showInputMessage="1" showErrorMessage="1" sqref="C33">
      <formula1>$F$82:$F$84</formula1>
    </dataValidation>
  </dataValidations>
  <hyperlinks>
    <hyperlink ref="D62" r:id="rId1"/>
  </hyperlinks>
  <pageMargins left="0.7" right="0.7" top="0.78740157499999996" bottom="0.78740157499999996"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0" tint="-0.249977111117893"/>
  </sheetPr>
  <dimension ref="A2:E52"/>
  <sheetViews>
    <sheetView zoomScaleNormal="100" workbookViewId="0"/>
  </sheetViews>
  <sheetFormatPr baseColWidth="10" defaultColWidth="11" defaultRowHeight="14.5" x14ac:dyDescent="0.35"/>
  <cols>
    <col min="1" max="1" width="3.08203125" style="550" customWidth="1"/>
    <col min="2" max="2" width="35.58203125" style="550" bestFit="1" customWidth="1"/>
    <col min="3" max="3" width="46.08203125" style="564" bestFit="1" customWidth="1"/>
    <col min="4" max="4" width="5" style="941" customWidth="1"/>
    <col min="5" max="5" width="37.08203125" style="916" customWidth="1"/>
    <col min="6" max="16384" width="11" style="550"/>
  </cols>
  <sheetData>
    <row r="2" spans="2:3" ht="18.5" x14ac:dyDescent="0.45">
      <c r="B2" s="32" t="s">
        <v>2093</v>
      </c>
    </row>
    <row r="3" spans="2:3" x14ac:dyDescent="0.35">
      <c r="B3" s="582" t="s">
        <v>2094</v>
      </c>
      <c r="C3" s="917"/>
    </row>
    <row r="4" spans="2:3" x14ac:dyDescent="0.35">
      <c r="B4" s="582" t="s">
        <v>4477</v>
      </c>
      <c r="C4" s="917"/>
    </row>
    <row r="5" spans="2:3" x14ac:dyDescent="0.35">
      <c r="B5" s="582" t="s">
        <v>32</v>
      </c>
      <c r="C5" s="918" t="s">
        <v>1844</v>
      </c>
    </row>
    <row r="6" spans="2:3" x14ac:dyDescent="0.35">
      <c r="B6" s="582" t="s">
        <v>29</v>
      </c>
      <c r="C6" s="695" t="str">
        <f>VLOOKUP(C5,Listen!$C$112:$E$2234,2,0)</f>
        <v>Tirol</v>
      </c>
    </row>
    <row r="7" spans="2:3" x14ac:dyDescent="0.35">
      <c r="B7" s="582" t="s">
        <v>5178</v>
      </c>
      <c r="C7" s="917"/>
    </row>
    <row r="8" spans="2:3" x14ac:dyDescent="0.35">
      <c r="B8" s="582" t="s">
        <v>4451</v>
      </c>
      <c r="C8" s="917"/>
    </row>
    <row r="9" spans="2:3" x14ac:dyDescent="0.35">
      <c r="B9" s="582" t="s">
        <v>5610</v>
      </c>
      <c r="C9" s="917"/>
    </row>
    <row r="10" spans="2:3" x14ac:dyDescent="0.35">
      <c r="B10" s="582" t="s">
        <v>5619</v>
      </c>
      <c r="C10" s="917"/>
    </row>
    <row r="11" spans="2:3" x14ac:dyDescent="0.35">
      <c r="B11" s="582" t="s">
        <v>5633</v>
      </c>
      <c r="C11" s="917"/>
    </row>
    <row r="12" spans="2:3" x14ac:dyDescent="0.35">
      <c r="B12" s="582" t="s">
        <v>27</v>
      </c>
      <c r="C12" s="917"/>
    </row>
    <row r="13" spans="2:3" x14ac:dyDescent="0.35">
      <c r="B13" s="582" t="s">
        <v>28</v>
      </c>
      <c r="C13" s="917"/>
    </row>
    <row r="14" spans="2:3" x14ac:dyDescent="0.35">
      <c r="B14" s="582" t="s">
        <v>5179</v>
      </c>
      <c r="C14" s="917"/>
    </row>
    <row r="15" spans="2:3" x14ac:dyDescent="0.35">
      <c r="B15" s="582" t="s">
        <v>5390</v>
      </c>
      <c r="C15" s="917"/>
    </row>
    <row r="16" spans="2:3" x14ac:dyDescent="0.35">
      <c r="B16" s="582" t="s">
        <v>4605</v>
      </c>
      <c r="C16" s="918" t="s">
        <v>4500</v>
      </c>
    </row>
    <row r="17" spans="1:5" x14ac:dyDescent="0.35">
      <c r="C17" s="919"/>
    </row>
    <row r="18" spans="1:5" ht="18.5" x14ac:dyDescent="0.45">
      <c r="B18" s="32" t="s">
        <v>4619</v>
      </c>
      <c r="D18" s="939"/>
      <c r="E18" s="24"/>
    </row>
    <row r="19" spans="1:5" x14ac:dyDescent="0.35">
      <c r="A19" s="1684"/>
      <c r="B19" s="582" t="s">
        <v>4493</v>
      </c>
      <c r="C19" s="918" t="s">
        <v>5389</v>
      </c>
      <c r="D19" s="915"/>
      <c r="E19" s="713"/>
    </row>
    <row r="20" spans="1:5" x14ac:dyDescent="0.35">
      <c r="A20" s="1684"/>
      <c r="B20" s="582" t="s">
        <v>4621</v>
      </c>
      <c r="C20" s="918" t="s">
        <v>4622</v>
      </c>
      <c r="D20" s="633" t="s">
        <v>5189</v>
      </c>
      <c r="E20" s="713"/>
    </row>
    <row r="21" spans="1:5" x14ac:dyDescent="0.35">
      <c r="A21" s="1684"/>
      <c r="B21" s="582" t="s">
        <v>5184</v>
      </c>
      <c r="C21" s="920"/>
      <c r="D21" s="939"/>
      <c r="E21" s="602"/>
    </row>
    <row r="22" spans="1:5" x14ac:dyDescent="0.35">
      <c r="A22" s="1684"/>
      <c r="B22" s="582" t="s">
        <v>5185</v>
      </c>
      <c r="C22" s="920"/>
      <c r="D22" s="939"/>
      <c r="E22" s="921"/>
    </row>
    <row r="23" spans="1:5" x14ac:dyDescent="0.35">
      <c r="A23" s="1684"/>
      <c r="B23" s="582" t="s">
        <v>2045</v>
      </c>
      <c r="C23" s="935" t="e">
        <f>C22/C21</f>
        <v>#DIV/0!</v>
      </c>
      <c r="D23" s="939"/>
      <c r="E23" s="713"/>
    </row>
    <row r="24" spans="1:5" x14ac:dyDescent="0.35">
      <c r="A24" s="1684"/>
      <c r="B24" s="582" t="s">
        <v>2046</v>
      </c>
      <c r="C24" s="917"/>
      <c r="D24" s="939"/>
      <c r="E24" s="922"/>
    </row>
    <row r="25" spans="1:5" x14ac:dyDescent="0.35">
      <c r="A25" s="1684"/>
      <c r="B25" s="582" t="s">
        <v>4445</v>
      </c>
      <c r="C25" s="923"/>
    </row>
    <row r="26" spans="1:5" x14ac:dyDescent="0.35">
      <c r="A26" s="1684"/>
      <c r="B26" s="582" t="s">
        <v>4490</v>
      </c>
      <c r="C26" s="920"/>
    </row>
    <row r="27" spans="1:5" x14ac:dyDescent="0.35">
      <c r="A27" s="1684"/>
      <c r="B27" s="582" t="s">
        <v>5180</v>
      </c>
      <c r="C27" s="920"/>
    </row>
    <row r="28" spans="1:5" x14ac:dyDescent="0.35">
      <c r="A28" s="1684"/>
      <c r="B28" s="582" t="s">
        <v>5182</v>
      </c>
      <c r="C28" s="936" t="e">
        <f>C27/(C21/10000)</f>
        <v>#DIV/0!</v>
      </c>
    </row>
    <row r="29" spans="1:5" x14ac:dyDescent="0.35">
      <c r="A29" s="1684"/>
      <c r="B29" s="582" t="s">
        <v>5181</v>
      </c>
      <c r="C29" s="937" t="e">
        <f>C22/1.25/C27</f>
        <v>#DIV/0!</v>
      </c>
    </row>
    <row r="30" spans="1:5" ht="15" thickBot="1" x14ac:dyDescent="0.4">
      <c r="A30" s="1684"/>
      <c r="B30" s="924" t="s">
        <v>4600</v>
      </c>
      <c r="C30" s="925"/>
    </row>
    <row r="31" spans="1:5" x14ac:dyDescent="0.35">
      <c r="A31" s="1684"/>
      <c r="B31" s="926" t="s">
        <v>4655</v>
      </c>
      <c r="C31" s="927" t="s">
        <v>2047</v>
      </c>
      <c r="D31" s="940" t="s">
        <v>5190</v>
      </c>
      <c r="E31" s="922"/>
    </row>
    <row r="32" spans="1:5" ht="15" thickBot="1" x14ac:dyDescent="0.4">
      <c r="A32" s="1684"/>
      <c r="B32" s="924" t="s">
        <v>4486</v>
      </c>
      <c r="C32" s="928" t="s">
        <v>2087</v>
      </c>
    </row>
    <row r="33" spans="1:5" x14ac:dyDescent="0.35">
      <c r="A33" s="1684"/>
      <c r="B33" s="926" t="s">
        <v>4343</v>
      </c>
      <c r="C33" s="929">
        <f>VLOOKUP(C5,Listen!$C$117:$E$2238,3,0)</f>
        <v>22</v>
      </c>
      <c r="D33" s="939"/>
      <c r="E33" s="713"/>
    </row>
    <row r="34" spans="1:5" x14ac:dyDescent="0.35">
      <c r="A34" s="1684"/>
      <c r="B34" s="582" t="s">
        <v>2089</v>
      </c>
      <c r="C34" s="930" t="s">
        <v>2090</v>
      </c>
      <c r="D34" s="915"/>
      <c r="E34" s="713"/>
    </row>
    <row r="35" spans="1:5" ht="15" thickBot="1" x14ac:dyDescent="0.4">
      <c r="A35" s="1684"/>
      <c r="B35" s="924" t="s">
        <v>4489</v>
      </c>
      <c r="C35" s="931" t="s">
        <v>4480</v>
      </c>
      <c r="D35" s="633" t="s">
        <v>5183</v>
      </c>
      <c r="E35" s="713"/>
    </row>
    <row r="36" spans="1:5" x14ac:dyDescent="0.35">
      <c r="A36" s="1684"/>
      <c r="B36" s="926" t="s">
        <v>2043</v>
      </c>
      <c r="C36" s="932"/>
    </row>
    <row r="37" spans="1:5" x14ac:dyDescent="0.35">
      <c r="A37" s="1684"/>
      <c r="B37" s="582" t="s">
        <v>2044</v>
      </c>
      <c r="C37" s="917"/>
    </row>
    <row r="38" spans="1:5" s="561" customFormat="1" x14ac:dyDescent="0.35">
      <c r="B38" s="646" t="s">
        <v>4494</v>
      </c>
      <c r="C38" s="600"/>
      <c r="D38" s="564"/>
      <c r="E38" s="674"/>
    </row>
    <row r="39" spans="1:5" s="561" customFormat="1" x14ac:dyDescent="0.35">
      <c r="B39" s="646" t="s">
        <v>4495</v>
      </c>
      <c r="C39" s="600"/>
      <c r="D39" s="564"/>
      <c r="E39" s="674"/>
    </row>
    <row r="40" spans="1:5" x14ac:dyDescent="0.35">
      <c r="C40" s="550"/>
    </row>
    <row r="41" spans="1:5" ht="18.5" x14ac:dyDescent="0.45">
      <c r="B41" s="32" t="s">
        <v>4606</v>
      </c>
    </row>
    <row r="42" spans="1:5" x14ac:dyDescent="0.35">
      <c r="B42" s="300" t="s">
        <v>5187</v>
      </c>
      <c r="C42" s="938" t="s">
        <v>5188</v>
      </c>
    </row>
    <row r="43" spans="1:5" x14ac:dyDescent="0.35">
      <c r="B43" s="599"/>
      <c r="C43" s="599"/>
    </row>
    <row r="44" spans="1:5" x14ac:dyDescent="0.35">
      <c r="B44" s="599"/>
      <c r="C44" s="599"/>
    </row>
    <row r="45" spans="1:5" x14ac:dyDescent="0.35">
      <c r="B45" s="599"/>
      <c r="C45" s="599"/>
    </row>
    <row r="46" spans="1:5" x14ac:dyDescent="0.35">
      <c r="B46" s="599"/>
      <c r="C46" s="599"/>
    </row>
    <row r="47" spans="1:5" x14ac:dyDescent="0.35">
      <c r="B47" s="599"/>
      <c r="C47" s="599"/>
    </row>
    <row r="48" spans="1:5" x14ac:dyDescent="0.35">
      <c r="B48" s="599"/>
      <c r="C48" s="599"/>
    </row>
    <row r="49" spans="2:3" x14ac:dyDescent="0.35">
      <c r="B49" s="599"/>
      <c r="C49" s="599"/>
    </row>
    <row r="50" spans="2:3" x14ac:dyDescent="0.35">
      <c r="B50" s="1022"/>
      <c r="C50" s="934"/>
    </row>
    <row r="51" spans="2:3" x14ac:dyDescent="0.35">
      <c r="B51" s="1022"/>
      <c r="C51" s="934"/>
    </row>
    <row r="52" spans="2:3" x14ac:dyDescent="0.35">
      <c r="B52" s="1022"/>
      <c r="C52" s="934"/>
    </row>
  </sheetData>
  <mergeCells count="4">
    <mergeCell ref="A33:A35"/>
    <mergeCell ref="A19:A30"/>
    <mergeCell ref="A31:A32"/>
    <mergeCell ref="A36:A37"/>
  </mergeCells>
  <dataValidations count="8">
    <dataValidation type="list" allowBlank="1" showInputMessage="1" showErrorMessage="1" sqref="C5">
      <formula1>Gemeinde</formula1>
    </dataValidation>
    <dataValidation type="list" allowBlank="1" showInputMessage="1" showErrorMessage="1" sqref="C34">
      <formula1>Standort</formula1>
    </dataValidation>
    <dataValidation type="list" allowBlank="1" showInputMessage="1" showErrorMessage="1" sqref="C31">
      <formula1>jn</formula1>
    </dataValidation>
    <dataValidation type="list" allowBlank="1" showInputMessage="1" showErrorMessage="1" sqref="C35">
      <formula1>ÖV</formula1>
    </dataValidation>
    <dataValidation type="list" allowBlank="1" showInputMessage="1" showErrorMessage="1" sqref="C32">
      <formula1>Energieträger</formula1>
    </dataValidation>
    <dataValidation type="list" allowBlank="1" showInputMessage="1" showErrorMessage="1" sqref="C19">
      <formula1>Art</formula1>
    </dataValidation>
    <dataValidation type="list" allowBlank="1" showInputMessage="1" showErrorMessage="1" sqref="C16">
      <formula1>Auditinhalt</formula1>
    </dataValidation>
    <dataValidation type="list" allowBlank="1" showInputMessage="1" showErrorMessage="1" sqref="C20">
      <formula1>sq</formula1>
    </dataValidation>
  </dataValidation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471D7A"/>
  </sheetPr>
  <dimension ref="A1:BG156"/>
  <sheetViews>
    <sheetView workbookViewId="0"/>
  </sheetViews>
  <sheetFormatPr baseColWidth="10" defaultColWidth="11" defaultRowHeight="14.5" outlineLevelRow="1" outlineLevelCol="1" x14ac:dyDescent="0.35"/>
  <cols>
    <col min="1" max="1" width="3.5" style="1319" customWidth="1"/>
    <col min="2" max="2" width="36.5" style="1353" customWidth="1"/>
    <col min="3" max="3" width="10.58203125" style="1353" bestFit="1" customWidth="1"/>
    <col min="4" max="4" width="16.25" style="1353" bestFit="1" customWidth="1"/>
    <col min="5" max="5" width="14" style="602" bestFit="1" customWidth="1"/>
    <col min="6" max="6" width="10.58203125" style="601" customWidth="1"/>
    <col min="7" max="10" width="10.58203125" style="602" customWidth="1"/>
    <col min="11" max="20" width="10.58203125" style="602" hidden="1" customWidth="1" outlineLevel="1"/>
    <col min="21" max="21" width="11" style="602" customWidth="1" collapsed="1"/>
    <col min="22" max="22" width="12.33203125" style="602" hidden="1" customWidth="1" outlineLevel="1"/>
    <col min="23" max="23" width="11.25" style="602" hidden="1" customWidth="1" outlineLevel="1"/>
    <col min="24" max="24" width="18.5" style="602" hidden="1" customWidth="1" outlineLevel="1"/>
    <col min="25" max="25" width="11" style="602" collapsed="1"/>
    <col min="26" max="59" width="11" style="602"/>
    <col min="60" max="16384" width="11" style="1353"/>
  </cols>
  <sheetData>
    <row r="1" spans="1:24" s="602" customFormat="1" ht="15" customHeight="1" x14ac:dyDescent="0.35">
      <c r="A1" s="1319"/>
      <c r="F1" s="601"/>
    </row>
    <row r="2" spans="1:24" s="1332" customFormat="1" ht="18.5" x14ac:dyDescent="0.45">
      <c r="A2" s="1329"/>
      <c r="B2" s="1381" t="s">
        <v>5905</v>
      </c>
      <c r="C2" s="1382"/>
      <c r="D2" s="1382"/>
      <c r="E2" s="1382"/>
      <c r="F2" s="1382"/>
      <c r="G2" s="1382"/>
      <c r="H2" s="86"/>
      <c r="I2" s="86"/>
      <c r="J2" s="86"/>
    </row>
    <row r="3" spans="1:24" s="602" customFormat="1" ht="15" customHeight="1" x14ac:dyDescent="0.35">
      <c r="A3" s="1319"/>
      <c r="B3" s="315"/>
      <c r="C3" s="550"/>
      <c r="D3" s="1325"/>
      <c r="E3" s="1325"/>
      <c r="F3" s="1325"/>
      <c r="G3" s="1325"/>
    </row>
    <row r="4" spans="1:24" s="602" customFormat="1" ht="45" customHeight="1" x14ac:dyDescent="0.35">
      <c r="A4" s="1319"/>
      <c r="B4" s="1742" t="s">
        <v>5793</v>
      </c>
      <c r="C4" s="1742"/>
      <c r="D4" s="1742"/>
      <c r="E4" s="1742"/>
      <c r="F4" s="1742"/>
      <c r="G4" s="1742"/>
      <c r="H4" s="1742"/>
      <c r="I4" s="1742"/>
      <c r="J4" s="1742"/>
    </row>
    <row r="5" spans="1:24" s="602" customFormat="1" ht="15" customHeight="1" x14ac:dyDescent="0.5">
      <c r="A5" s="1319"/>
      <c r="B5" s="1312"/>
      <c r="C5" s="550"/>
      <c r="D5" s="550"/>
      <c r="E5" s="550"/>
      <c r="F5" s="550"/>
      <c r="G5" s="550"/>
    </row>
    <row r="6" spans="1:24" s="1332" customFormat="1" ht="18.5" x14ac:dyDescent="0.45">
      <c r="A6" s="1329"/>
      <c r="B6" s="1383" t="s">
        <v>5794</v>
      </c>
      <c r="C6" s="1384"/>
      <c r="D6" s="1384"/>
      <c r="E6" s="1384"/>
      <c r="F6" s="1384"/>
      <c r="G6" s="1384"/>
      <c r="H6" s="86"/>
      <c r="I6" s="86"/>
      <c r="J6" s="86"/>
    </row>
    <row r="7" spans="1:24" s="602" customFormat="1" ht="15" customHeight="1" x14ac:dyDescent="0.35">
      <c r="A7" s="1319"/>
      <c r="F7" s="601"/>
    </row>
    <row r="8" spans="1:24" s="602" customFormat="1" ht="15" customHeight="1" x14ac:dyDescent="0.35">
      <c r="A8" s="1319"/>
      <c r="B8" s="550" t="s">
        <v>5906</v>
      </c>
      <c r="F8" s="601"/>
    </row>
    <row r="9" spans="1:24" s="602" customFormat="1" ht="15" customHeight="1" x14ac:dyDescent="0.35">
      <c r="A9" s="1319"/>
      <c r="B9" s="550" t="s">
        <v>5907</v>
      </c>
      <c r="F9" s="601"/>
    </row>
    <row r="10" spans="1:24" s="602" customFormat="1" ht="15" customHeight="1" x14ac:dyDescent="0.35">
      <c r="A10" s="1319"/>
      <c r="B10" s="550" t="s">
        <v>5807</v>
      </c>
      <c r="F10" s="601"/>
    </row>
    <row r="11" spans="1:24" s="602" customFormat="1" ht="15" customHeight="1" x14ac:dyDescent="0.35">
      <c r="A11" s="1319"/>
      <c r="F11" s="601"/>
    </row>
    <row r="12" spans="1:24" s="1332" customFormat="1" ht="18.5" x14ac:dyDescent="0.45">
      <c r="A12" s="1329"/>
      <c r="B12" s="1381" t="s">
        <v>5908</v>
      </c>
      <c r="C12" s="1381"/>
      <c r="D12" s="1381"/>
      <c r="E12" s="1381"/>
      <c r="F12" s="1385"/>
      <c r="G12" s="86"/>
      <c r="H12" s="86"/>
      <c r="I12" s="86"/>
      <c r="J12" s="86"/>
      <c r="K12" s="86"/>
      <c r="L12" s="86"/>
      <c r="M12" s="86"/>
      <c r="N12" s="86"/>
      <c r="O12" s="86"/>
      <c r="P12" s="86"/>
      <c r="Q12" s="86"/>
      <c r="R12" s="86"/>
      <c r="S12" s="86"/>
      <c r="T12" s="86"/>
    </row>
    <row r="13" spans="1:24" s="602" customFormat="1" ht="15" customHeight="1" x14ac:dyDescent="0.55000000000000004">
      <c r="A13" s="1319"/>
      <c r="B13" s="1386"/>
      <c r="C13" s="1386"/>
      <c r="D13" s="1386"/>
      <c r="F13" s="1387"/>
      <c r="H13" s="1387"/>
      <c r="J13" s="1387"/>
      <c r="L13" s="1387"/>
      <c r="N13" s="1387"/>
      <c r="P13" s="1387"/>
      <c r="R13" s="1387"/>
      <c r="T13" s="1387"/>
    </row>
    <row r="14" spans="1:24" s="1121" customFormat="1" ht="29" x14ac:dyDescent="0.35">
      <c r="A14" s="1350"/>
      <c r="B14" s="409" t="s">
        <v>5909</v>
      </c>
      <c r="C14" s="409" t="s">
        <v>5910</v>
      </c>
      <c r="D14" s="409" t="s">
        <v>5911</v>
      </c>
      <c r="E14" s="409" t="s">
        <v>5837</v>
      </c>
      <c r="F14" s="410">
        <f>'RH Gebäude'!B5</f>
        <v>0</v>
      </c>
      <c r="G14" s="410">
        <f>'RH Gebäude'!B6</f>
        <v>0</v>
      </c>
      <c r="H14" s="410">
        <f>'RH Gebäude'!B7</f>
        <v>0</v>
      </c>
      <c r="I14" s="410">
        <f>'RH Gebäude'!B8</f>
        <v>0</v>
      </c>
      <c r="J14" s="410">
        <f>'RH Gebäude'!B9</f>
        <v>0</v>
      </c>
      <c r="K14" s="410">
        <f>'RH Gebäude'!B10</f>
        <v>0</v>
      </c>
      <c r="L14" s="410">
        <f>'RH Gebäude'!B11</f>
        <v>0</v>
      </c>
      <c r="M14" s="410">
        <f>'RH Gebäude'!B12</f>
        <v>0</v>
      </c>
      <c r="N14" s="410">
        <f>'RH Gebäude'!B13</f>
        <v>0</v>
      </c>
      <c r="O14" s="410">
        <f>'RH Gebäude'!B14</f>
        <v>0</v>
      </c>
      <c r="P14" s="410">
        <f>'RH Gebäude'!B15</f>
        <v>0</v>
      </c>
      <c r="Q14" s="410">
        <f>'RH Gebäude'!B16</f>
        <v>0</v>
      </c>
      <c r="R14" s="410">
        <f>'RH Gebäude'!B17</f>
        <v>0</v>
      </c>
      <c r="S14" s="410">
        <f>'RH Gebäude'!B18</f>
        <v>0</v>
      </c>
      <c r="T14" s="410">
        <f>'RH Gebäude'!B19</f>
        <v>0</v>
      </c>
      <c r="V14" s="1351" t="s">
        <v>5838</v>
      </c>
      <c r="W14" s="1351" t="s">
        <v>5839</v>
      </c>
      <c r="X14" s="1351" t="s">
        <v>5840</v>
      </c>
    </row>
    <row r="15" spans="1:24" x14ac:dyDescent="0.35">
      <c r="B15" s="1388" t="s">
        <v>5841</v>
      </c>
      <c r="C15" s="292" t="s">
        <v>5912</v>
      </c>
      <c r="D15" s="292" t="s">
        <v>5913</v>
      </c>
      <c r="E15" s="292" t="s">
        <v>5842</v>
      </c>
      <c r="F15" s="313">
        <f>'RH Gebäude'!F5</f>
        <v>0</v>
      </c>
      <c r="G15" s="1389">
        <f>'RH Gebäude'!F6</f>
        <v>0</v>
      </c>
      <c r="H15" s="1389">
        <f>'RH Gebäude'!F7</f>
        <v>0</v>
      </c>
      <c r="I15" s="1389">
        <f>'RH Gebäude'!F8</f>
        <v>0</v>
      </c>
      <c r="J15" s="1389">
        <f>'RH Gebäude'!F9</f>
        <v>0</v>
      </c>
      <c r="K15" s="1389">
        <f>'RH Gebäude'!F10</f>
        <v>0</v>
      </c>
      <c r="L15" s="1389">
        <f>'RH Gebäude'!F11</f>
        <v>0</v>
      </c>
      <c r="M15" s="1389">
        <f>'RH Gebäude'!F12</f>
        <v>0</v>
      </c>
      <c r="N15" s="1389">
        <f>'RH Gebäude'!F13</f>
        <v>0</v>
      </c>
      <c r="O15" s="1389">
        <f>'RH Gebäude'!F14</f>
        <v>0</v>
      </c>
      <c r="P15" s="1389">
        <f>'RH Gebäude'!F15</f>
        <v>0</v>
      </c>
      <c r="Q15" s="1389">
        <f>'RH Gebäude'!F16</f>
        <v>0</v>
      </c>
      <c r="R15" s="1389">
        <f>'RH Gebäude'!F17</f>
        <v>0</v>
      </c>
      <c r="S15" s="1389">
        <f>'RH Gebäude'!F18</f>
        <v>0</v>
      </c>
      <c r="T15" s="1389">
        <f>'RH Gebäude'!F19</f>
        <v>0</v>
      </c>
      <c r="V15" s="1352"/>
      <c r="W15" s="1352"/>
      <c r="X15" s="1352"/>
    </row>
    <row r="16" spans="1:24" x14ac:dyDescent="0.35">
      <c r="B16" s="1390" t="s">
        <v>5843</v>
      </c>
      <c r="C16" s="582" t="s">
        <v>5116</v>
      </c>
      <c r="D16" s="582" t="s">
        <v>5914</v>
      </c>
      <c r="E16" s="582" t="s">
        <v>5844</v>
      </c>
      <c r="F16" s="1317"/>
      <c r="G16" s="1360"/>
      <c r="H16" s="1360"/>
      <c r="I16" s="1360"/>
      <c r="J16" s="1360"/>
      <c r="K16" s="1360"/>
      <c r="L16" s="1360"/>
      <c r="M16" s="1360"/>
      <c r="N16" s="1360"/>
      <c r="O16" s="1360"/>
      <c r="P16" s="1360"/>
      <c r="Q16" s="1360"/>
      <c r="R16" s="1360"/>
      <c r="S16" s="1360"/>
      <c r="T16" s="1360"/>
      <c r="V16" s="1352"/>
      <c r="W16" s="1352"/>
      <c r="X16" s="1352"/>
    </row>
    <row r="17" spans="2:24" x14ac:dyDescent="0.35">
      <c r="B17" s="1391" t="s">
        <v>5915</v>
      </c>
      <c r="C17" s="582" t="s">
        <v>5916</v>
      </c>
      <c r="D17" s="582" t="s">
        <v>5917</v>
      </c>
      <c r="E17" s="582" t="s">
        <v>5844</v>
      </c>
      <c r="F17" s="1317"/>
      <c r="G17" s="1360"/>
      <c r="H17" s="1360"/>
      <c r="I17" s="1360"/>
      <c r="J17" s="1360"/>
      <c r="K17" s="1360"/>
      <c r="L17" s="1360"/>
      <c r="M17" s="1360"/>
      <c r="N17" s="1360"/>
      <c r="O17" s="1360"/>
      <c r="P17" s="1360"/>
      <c r="Q17" s="1360"/>
      <c r="R17" s="1360"/>
      <c r="S17" s="1360"/>
      <c r="T17" s="1360"/>
      <c r="V17" s="1352"/>
      <c r="W17" s="1352"/>
      <c r="X17" s="1352"/>
    </row>
    <row r="18" spans="2:24" x14ac:dyDescent="0.35">
      <c r="B18" s="292" t="s">
        <v>5846</v>
      </c>
      <c r="C18" s="292"/>
      <c r="D18" s="292"/>
      <c r="E18" s="292" t="s">
        <v>5847</v>
      </c>
      <c r="F18" s="1356">
        <f t="shared" ref="F18:T18" si="0">IFERROR(((F16+F17)/F$15),0)</f>
        <v>0</v>
      </c>
      <c r="G18" s="1356">
        <f t="shared" si="0"/>
        <v>0</v>
      </c>
      <c r="H18" s="1356">
        <f t="shared" si="0"/>
        <v>0</v>
      </c>
      <c r="I18" s="1356">
        <f t="shared" si="0"/>
        <v>0</v>
      </c>
      <c r="J18" s="1356">
        <f t="shared" si="0"/>
        <v>0</v>
      </c>
      <c r="K18" s="1356">
        <f t="shared" si="0"/>
        <v>0</v>
      </c>
      <c r="L18" s="1356">
        <f t="shared" si="0"/>
        <v>0</v>
      </c>
      <c r="M18" s="1356">
        <f t="shared" si="0"/>
        <v>0</v>
      </c>
      <c r="N18" s="1356">
        <f t="shared" si="0"/>
        <v>0</v>
      </c>
      <c r="O18" s="1356">
        <f t="shared" si="0"/>
        <v>0</v>
      </c>
      <c r="P18" s="1356">
        <f t="shared" si="0"/>
        <v>0</v>
      </c>
      <c r="Q18" s="1356">
        <f t="shared" si="0"/>
        <v>0</v>
      </c>
      <c r="R18" s="1356">
        <f t="shared" si="0"/>
        <v>0</v>
      </c>
      <c r="S18" s="1356">
        <f t="shared" si="0"/>
        <v>0</v>
      </c>
      <c r="T18" s="1356">
        <f t="shared" si="0"/>
        <v>0</v>
      </c>
      <c r="U18" s="1392"/>
      <c r="V18" s="1393">
        <v>1.5</v>
      </c>
      <c r="W18" s="1393">
        <v>12</v>
      </c>
      <c r="X18" s="1393">
        <v>8</v>
      </c>
    </row>
    <row r="19" spans="2:24" x14ac:dyDescent="0.35">
      <c r="B19" s="1394" t="s">
        <v>5848</v>
      </c>
      <c r="C19" s="582" t="s">
        <v>5918</v>
      </c>
      <c r="D19" s="582" t="s">
        <v>5919</v>
      </c>
      <c r="E19" s="582" t="s">
        <v>5847</v>
      </c>
      <c r="F19" s="1360"/>
      <c r="G19" s="1360"/>
      <c r="H19" s="1360"/>
      <c r="I19" s="1360"/>
      <c r="J19" s="1360"/>
      <c r="K19" s="1360"/>
      <c r="L19" s="1360"/>
      <c r="M19" s="1360"/>
      <c r="N19" s="1360"/>
      <c r="O19" s="1360"/>
      <c r="P19" s="1360"/>
      <c r="Q19" s="1360"/>
      <c r="R19" s="1360"/>
      <c r="S19" s="1360"/>
      <c r="T19" s="1360"/>
      <c r="V19" s="1352"/>
      <c r="W19" s="1352"/>
      <c r="X19" s="1352"/>
    </row>
    <row r="20" spans="2:24" x14ac:dyDescent="0.35">
      <c r="B20" s="292" t="s">
        <v>5849</v>
      </c>
      <c r="C20" s="292"/>
      <c r="D20" s="292"/>
      <c r="E20" s="292" t="s">
        <v>5847</v>
      </c>
      <c r="F20" s="1356">
        <f>F19+F18</f>
        <v>0</v>
      </c>
      <c r="G20" s="1356">
        <f t="shared" ref="G20:T20" si="1">G19+G18</f>
        <v>0</v>
      </c>
      <c r="H20" s="1356">
        <f t="shared" si="1"/>
        <v>0</v>
      </c>
      <c r="I20" s="1356">
        <f t="shared" si="1"/>
        <v>0</v>
      </c>
      <c r="J20" s="1356">
        <f t="shared" si="1"/>
        <v>0</v>
      </c>
      <c r="K20" s="1356">
        <f t="shared" si="1"/>
        <v>0</v>
      </c>
      <c r="L20" s="1356">
        <f t="shared" si="1"/>
        <v>0</v>
      </c>
      <c r="M20" s="1356">
        <f t="shared" si="1"/>
        <v>0</v>
      </c>
      <c r="N20" s="1356">
        <f t="shared" si="1"/>
        <v>0</v>
      </c>
      <c r="O20" s="1356">
        <f t="shared" si="1"/>
        <v>0</v>
      </c>
      <c r="P20" s="1356">
        <f t="shared" si="1"/>
        <v>0</v>
      </c>
      <c r="Q20" s="1356">
        <f t="shared" si="1"/>
        <v>0</v>
      </c>
      <c r="R20" s="1356">
        <f t="shared" si="1"/>
        <v>0</v>
      </c>
      <c r="S20" s="1356">
        <f t="shared" si="1"/>
        <v>0</v>
      </c>
      <c r="T20" s="1356">
        <f t="shared" si="1"/>
        <v>0</v>
      </c>
      <c r="V20" s="1393">
        <v>12</v>
      </c>
      <c r="W20" s="1393">
        <v>10</v>
      </c>
      <c r="X20" s="1393">
        <v>12</v>
      </c>
    </row>
    <row r="21" spans="2:24" x14ac:dyDescent="0.35">
      <c r="B21" s="1395" t="s">
        <v>5850</v>
      </c>
      <c r="C21" s="582" t="s">
        <v>5918</v>
      </c>
      <c r="D21" s="582" t="s">
        <v>5920</v>
      </c>
      <c r="E21" s="582" t="s">
        <v>5847</v>
      </c>
      <c r="F21" s="1360"/>
      <c r="G21" s="1360"/>
      <c r="H21" s="1360"/>
      <c r="I21" s="1360"/>
      <c r="J21" s="1360"/>
      <c r="K21" s="1360"/>
      <c r="L21" s="1360"/>
      <c r="M21" s="1360"/>
      <c r="N21" s="1360"/>
      <c r="O21" s="1360"/>
      <c r="P21" s="1360"/>
      <c r="Q21" s="1360"/>
      <c r="R21" s="1360"/>
      <c r="S21" s="1360"/>
      <c r="T21" s="1360"/>
      <c r="V21" s="1352"/>
      <c r="W21" s="1352"/>
      <c r="X21" s="1352"/>
    </row>
    <row r="22" spans="2:24" x14ac:dyDescent="0.35">
      <c r="B22" s="1395" t="s">
        <v>5851</v>
      </c>
      <c r="C22" s="582" t="s">
        <v>5918</v>
      </c>
      <c r="D22" s="582" t="s">
        <v>5921</v>
      </c>
      <c r="E22" s="582" t="s">
        <v>5847</v>
      </c>
      <c r="F22" s="1360"/>
      <c r="G22" s="1360"/>
      <c r="H22" s="1360"/>
      <c r="I22" s="1360"/>
      <c r="J22" s="1360"/>
      <c r="K22" s="1360"/>
      <c r="L22" s="1360"/>
      <c r="M22" s="1360"/>
      <c r="N22" s="1360"/>
      <c r="O22" s="1360"/>
      <c r="P22" s="1360"/>
      <c r="Q22" s="1360"/>
      <c r="R22" s="1360"/>
      <c r="S22" s="1360"/>
      <c r="T22" s="1360"/>
      <c r="V22" s="1352"/>
      <c r="W22" s="1352"/>
      <c r="X22" s="1352"/>
    </row>
    <row r="23" spans="2:24" x14ac:dyDescent="0.35">
      <c r="B23" s="1395" t="s">
        <v>5852</v>
      </c>
      <c r="C23" s="582" t="s">
        <v>5918</v>
      </c>
      <c r="D23" s="582" t="s">
        <v>5922</v>
      </c>
      <c r="E23" s="582" t="s">
        <v>5847</v>
      </c>
      <c r="F23" s="1360"/>
      <c r="G23" s="1360"/>
      <c r="H23" s="1360"/>
      <c r="I23" s="1360"/>
      <c r="J23" s="1360"/>
      <c r="K23" s="1360"/>
      <c r="L23" s="1360"/>
      <c r="M23" s="1360"/>
      <c r="N23" s="1360"/>
      <c r="O23" s="1360"/>
      <c r="P23" s="1360"/>
      <c r="Q23" s="1360"/>
      <c r="R23" s="1360"/>
      <c r="S23" s="1360"/>
      <c r="T23" s="1360"/>
      <c r="V23" s="1352"/>
      <c r="W23" s="1352"/>
      <c r="X23" s="1352"/>
    </row>
    <row r="24" spans="2:24" x14ac:dyDescent="0.35">
      <c r="B24" s="1395" t="s">
        <v>5853</v>
      </c>
      <c r="C24" s="582" t="s">
        <v>5918</v>
      </c>
      <c r="D24" s="582" t="s">
        <v>5923</v>
      </c>
      <c r="E24" s="582" t="s">
        <v>5847</v>
      </c>
      <c r="F24" s="1360"/>
      <c r="G24" s="1360"/>
      <c r="H24" s="1360"/>
      <c r="I24" s="1360"/>
      <c r="J24" s="1360"/>
      <c r="K24" s="1360"/>
      <c r="L24" s="1360"/>
      <c r="M24" s="1360"/>
      <c r="N24" s="1360"/>
      <c r="O24" s="1360"/>
      <c r="P24" s="1360"/>
      <c r="Q24" s="1360"/>
      <c r="R24" s="1360"/>
      <c r="S24" s="1360"/>
      <c r="T24" s="1360"/>
      <c r="V24" s="1352"/>
      <c r="W24" s="1352"/>
      <c r="X24" s="1352"/>
    </row>
    <row r="25" spans="2:24" x14ac:dyDescent="0.35">
      <c r="B25" s="1395" t="s">
        <v>5854</v>
      </c>
      <c r="C25" s="582" t="s">
        <v>5918</v>
      </c>
      <c r="D25" s="582" t="s">
        <v>5924</v>
      </c>
      <c r="E25" s="582" t="s">
        <v>5847</v>
      </c>
      <c r="F25" s="1360"/>
      <c r="G25" s="1360"/>
      <c r="H25" s="1360"/>
      <c r="I25" s="1360"/>
      <c r="J25" s="1360"/>
      <c r="K25" s="1360"/>
      <c r="L25" s="1360"/>
      <c r="M25" s="1360"/>
      <c r="N25" s="1360"/>
      <c r="O25" s="1360"/>
      <c r="P25" s="1360"/>
      <c r="Q25" s="1360"/>
      <c r="R25" s="1360"/>
      <c r="S25" s="1360"/>
      <c r="T25" s="1360"/>
      <c r="V25" s="1352"/>
      <c r="W25" s="1352"/>
      <c r="X25" s="1352"/>
    </row>
    <row r="26" spans="2:24" x14ac:dyDescent="0.35">
      <c r="B26" s="292" t="s">
        <v>5855</v>
      </c>
      <c r="C26" s="292"/>
      <c r="D26" s="292"/>
      <c r="E26" s="292" t="s">
        <v>5847</v>
      </c>
      <c r="F26" s="1356">
        <f>SUM(F21:F25)</f>
        <v>0</v>
      </c>
      <c r="G26" s="1356">
        <f t="shared" ref="G26:T26" si="2">SUM(G21:G25)</f>
        <v>0</v>
      </c>
      <c r="H26" s="1356">
        <f t="shared" si="2"/>
        <v>0</v>
      </c>
      <c r="I26" s="1356">
        <f t="shared" si="2"/>
        <v>0</v>
      </c>
      <c r="J26" s="1356">
        <f t="shared" si="2"/>
        <v>0</v>
      </c>
      <c r="K26" s="1356">
        <f t="shared" si="2"/>
        <v>0</v>
      </c>
      <c r="L26" s="1356">
        <f t="shared" si="2"/>
        <v>0</v>
      </c>
      <c r="M26" s="1356">
        <f t="shared" si="2"/>
        <v>0</v>
      </c>
      <c r="N26" s="1356">
        <f t="shared" si="2"/>
        <v>0</v>
      </c>
      <c r="O26" s="1356">
        <f t="shared" si="2"/>
        <v>0</v>
      </c>
      <c r="P26" s="1356">
        <f t="shared" si="2"/>
        <v>0</v>
      </c>
      <c r="Q26" s="1356">
        <f t="shared" si="2"/>
        <v>0</v>
      </c>
      <c r="R26" s="1356">
        <f t="shared" si="2"/>
        <v>0</v>
      </c>
      <c r="S26" s="1356">
        <f t="shared" si="2"/>
        <v>0</v>
      </c>
      <c r="T26" s="1356">
        <f t="shared" si="2"/>
        <v>0</v>
      </c>
      <c r="V26" s="1393">
        <v>2</v>
      </c>
      <c r="W26" s="1393">
        <v>2</v>
      </c>
      <c r="X26" s="1393">
        <v>2</v>
      </c>
    </row>
    <row r="27" spans="2:24" x14ac:dyDescent="0.35">
      <c r="B27" s="1396" t="s">
        <v>5856</v>
      </c>
      <c r="C27" s="582" t="s">
        <v>5925</v>
      </c>
      <c r="D27" s="582" t="s">
        <v>5926</v>
      </c>
      <c r="E27" s="582" t="s">
        <v>5844</v>
      </c>
      <c r="F27" s="1360"/>
      <c r="G27" s="1360"/>
      <c r="H27" s="1360"/>
      <c r="I27" s="1360"/>
      <c r="J27" s="1360"/>
      <c r="K27" s="1360"/>
      <c r="L27" s="1360"/>
      <c r="M27" s="1360"/>
      <c r="N27" s="1360"/>
      <c r="O27" s="1360"/>
      <c r="P27" s="1360"/>
      <c r="Q27" s="1360"/>
      <c r="R27" s="1360"/>
      <c r="S27" s="1360"/>
      <c r="T27" s="1360"/>
      <c r="U27" s="1397"/>
      <c r="V27" s="1352"/>
      <c r="W27" s="1352"/>
      <c r="X27" s="1352"/>
    </row>
    <row r="28" spans="2:24" x14ac:dyDescent="0.35">
      <c r="B28" s="1396" t="s">
        <v>5857</v>
      </c>
      <c r="C28" s="582" t="s">
        <v>5925</v>
      </c>
      <c r="D28" s="582" t="s">
        <v>5927</v>
      </c>
      <c r="E28" s="582" t="s">
        <v>5844</v>
      </c>
      <c r="F28" s="1360"/>
      <c r="G28" s="1360"/>
      <c r="H28" s="1360"/>
      <c r="I28" s="1360"/>
      <c r="J28" s="1360"/>
      <c r="K28" s="1360"/>
      <c r="L28" s="1360"/>
      <c r="M28" s="1360"/>
      <c r="N28" s="1360"/>
      <c r="O28" s="1360"/>
      <c r="P28" s="1360"/>
      <c r="Q28" s="1360"/>
      <c r="R28" s="1360"/>
      <c r="S28" s="1360"/>
      <c r="T28" s="1360"/>
      <c r="V28" s="1352"/>
      <c r="W28" s="1352"/>
      <c r="X28" s="1352"/>
    </row>
    <row r="29" spans="2:24" x14ac:dyDescent="0.35">
      <c r="B29" s="1396" t="s">
        <v>5858</v>
      </c>
      <c r="C29" s="582" t="s">
        <v>5925</v>
      </c>
      <c r="D29" s="582" t="s">
        <v>5928</v>
      </c>
      <c r="E29" s="582" t="s">
        <v>5844</v>
      </c>
      <c r="F29" s="1360"/>
      <c r="G29" s="1360"/>
      <c r="H29" s="1360"/>
      <c r="I29" s="1360"/>
      <c r="J29" s="1360"/>
      <c r="K29" s="1360"/>
      <c r="L29" s="1360"/>
      <c r="M29" s="1360"/>
      <c r="N29" s="1360"/>
      <c r="O29" s="1360"/>
      <c r="P29" s="1360"/>
      <c r="Q29" s="1360"/>
      <c r="R29" s="1360"/>
      <c r="S29" s="1360"/>
      <c r="T29" s="1360"/>
      <c r="U29" s="1397"/>
      <c r="V29" s="1352"/>
      <c r="W29" s="1352"/>
      <c r="X29" s="1352"/>
    </row>
    <row r="30" spans="2:24" x14ac:dyDescent="0.35">
      <c r="B30" s="1396" t="s">
        <v>5860</v>
      </c>
      <c r="C30" s="582" t="s">
        <v>5925</v>
      </c>
      <c r="D30" s="582" t="s">
        <v>5929</v>
      </c>
      <c r="E30" s="582" t="s">
        <v>5844</v>
      </c>
      <c r="F30" s="1360"/>
      <c r="G30" s="1360"/>
      <c r="H30" s="1360"/>
      <c r="I30" s="1360"/>
      <c r="J30" s="1360"/>
      <c r="K30" s="1360"/>
      <c r="L30" s="1360"/>
      <c r="M30" s="1360"/>
      <c r="N30" s="1360"/>
      <c r="O30" s="1360"/>
      <c r="P30" s="1360"/>
      <c r="Q30" s="1360"/>
      <c r="R30" s="1360"/>
      <c r="S30" s="1360"/>
      <c r="T30" s="1360"/>
      <c r="V30" s="1352"/>
      <c r="W30" s="1352"/>
      <c r="X30" s="1352"/>
    </row>
    <row r="31" spans="2:24" x14ac:dyDescent="0.35">
      <c r="B31" s="292" t="s">
        <v>5861</v>
      </c>
      <c r="C31" s="292"/>
      <c r="D31" s="292"/>
      <c r="E31" s="292" t="s">
        <v>5847</v>
      </c>
      <c r="F31" s="1356">
        <f>IFERROR((SUM(F27:F30)/F$15),0)</f>
        <v>0</v>
      </c>
      <c r="G31" s="1356">
        <f t="shared" ref="G31:T31" si="3">IFERROR((SUM(G27:G30)/G$15),0)</f>
        <v>0</v>
      </c>
      <c r="H31" s="1356">
        <f t="shared" si="3"/>
        <v>0</v>
      </c>
      <c r="I31" s="1356">
        <f t="shared" si="3"/>
        <v>0</v>
      </c>
      <c r="J31" s="1356">
        <f t="shared" si="3"/>
        <v>0</v>
      </c>
      <c r="K31" s="1356">
        <f t="shared" si="3"/>
        <v>0</v>
      </c>
      <c r="L31" s="1356">
        <f t="shared" si="3"/>
        <v>0</v>
      </c>
      <c r="M31" s="1356">
        <f t="shared" si="3"/>
        <v>0</v>
      </c>
      <c r="N31" s="1356">
        <f t="shared" si="3"/>
        <v>0</v>
      </c>
      <c r="O31" s="1356">
        <f t="shared" si="3"/>
        <v>0</v>
      </c>
      <c r="P31" s="1356">
        <f t="shared" si="3"/>
        <v>0</v>
      </c>
      <c r="Q31" s="1356">
        <f t="shared" si="3"/>
        <v>0</v>
      </c>
      <c r="R31" s="1356">
        <f t="shared" si="3"/>
        <v>0</v>
      </c>
      <c r="S31" s="1356">
        <f t="shared" si="3"/>
        <v>0</v>
      </c>
      <c r="T31" s="1356">
        <f t="shared" si="3"/>
        <v>0</v>
      </c>
      <c r="V31" s="1393">
        <v>3</v>
      </c>
      <c r="W31" s="1393">
        <v>3</v>
      </c>
      <c r="X31" s="1393">
        <v>3</v>
      </c>
    </row>
    <row r="32" spans="2:24" x14ac:dyDescent="0.35">
      <c r="B32" s="1398" t="s">
        <v>5863</v>
      </c>
      <c r="C32" s="582" t="s">
        <v>5918</v>
      </c>
      <c r="D32" s="582" t="s">
        <v>5930</v>
      </c>
      <c r="E32" s="582" t="s">
        <v>5847</v>
      </c>
      <c r="F32" s="1360"/>
      <c r="G32" s="1360"/>
      <c r="H32" s="1360"/>
      <c r="I32" s="1360"/>
      <c r="J32" s="1360"/>
      <c r="K32" s="1360"/>
      <c r="L32" s="1360"/>
      <c r="M32" s="1360"/>
      <c r="N32" s="1360"/>
      <c r="O32" s="1360"/>
      <c r="P32" s="1360"/>
      <c r="Q32" s="1360"/>
      <c r="R32" s="1360"/>
      <c r="S32" s="1360"/>
      <c r="T32" s="1360"/>
      <c r="V32" s="1352"/>
      <c r="W32" s="1352"/>
      <c r="X32" s="1352"/>
    </row>
    <row r="33" spans="2:24" x14ac:dyDescent="0.35">
      <c r="B33" s="1398" t="s">
        <v>5864</v>
      </c>
      <c r="C33" s="582" t="s">
        <v>5918</v>
      </c>
      <c r="D33" s="582" t="s">
        <v>5931</v>
      </c>
      <c r="E33" s="582" t="s">
        <v>5847</v>
      </c>
      <c r="F33" s="1360"/>
      <c r="G33" s="1360"/>
      <c r="H33" s="1360"/>
      <c r="I33" s="1360"/>
      <c r="J33" s="1360"/>
      <c r="K33" s="1360"/>
      <c r="L33" s="1360"/>
      <c r="M33" s="1360"/>
      <c r="N33" s="1360"/>
      <c r="O33" s="1360"/>
      <c r="P33" s="1360"/>
      <c r="Q33" s="1360"/>
      <c r="R33" s="1360"/>
      <c r="S33" s="1360"/>
      <c r="T33" s="1360"/>
      <c r="V33" s="1352"/>
      <c r="W33" s="1352"/>
      <c r="X33" s="1352"/>
    </row>
    <row r="34" spans="2:24" x14ac:dyDescent="0.35">
      <c r="B34" s="292" t="s">
        <v>5865</v>
      </c>
      <c r="C34" s="292"/>
      <c r="D34" s="292"/>
      <c r="E34" s="292" t="s">
        <v>5847</v>
      </c>
      <c r="F34" s="1356">
        <f>F32+F33</f>
        <v>0</v>
      </c>
      <c r="G34" s="1356">
        <f>G32+G33</f>
        <v>0</v>
      </c>
      <c r="H34" s="1356">
        <f t="shared" ref="H34:T34" si="4">H32+H33</f>
        <v>0</v>
      </c>
      <c r="I34" s="1356">
        <f t="shared" si="4"/>
        <v>0</v>
      </c>
      <c r="J34" s="1356">
        <f t="shared" si="4"/>
        <v>0</v>
      </c>
      <c r="K34" s="1356">
        <f t="shared" si="4"/>
        <v>0</v>
      </c>
      <c r="L34" s="1356">
        <f t="shared" si="4"/>
        <v>0</v>
      </c>
      <c r="M34" s="1356">
        <f t="shared" si="4"/>
        <v>0</v>
      </c>
      <c r="N34" s="1356">
        <f t="shared" si="4"/>
        <v>0</v>
      </c>
      <c r="O34" s="1356">
        <f t="shared" si="4"/>
        <v>0</v>
      </c>
      <c r="P34" s="1356">
        <f t="shared" si="4"/>
        <v>0</v>
      </c>
      <c r="Q34" s="1356">
        <f t="shared" si="4"/>
        <v>0</v>
      </c>
      <c r="R34" s="1356">
        <f t="shared" si="4"/>
        <v>0</v>
      </c>
      <c r="S34" s="1356">
        <f t="shared" si="4"/>
        <v>0</v>
      </c>
      <c r="T34" s="1356">
        <f t="shared" si="4"/>
        <v>0</v>
      </c>
      <c r="V34" s="1393">
        <v>1.5</v>
      </c>
      <c r="W34" s="1393">
        <v>3.5</v>
      </c>
      <c r="X34" s="1393">
        <v>3.5</v>
      </c>
    </row>
    <row r="35" spans="2:24" x14ac:dyDescent="0.35">
      <c r="B35" s="1399" t="s">
        <v>5866</v>
      </c>
      <c r="C35" s="582" t="s">
        <v>5918</v>
      </c>
      <c r="D35" s="582" t="s">
        <v>5932</v>
      </c>
      <c r="E35" s="582" t="s">
        <v>5847</v>
      </c>
      <c r="F35" s="1360"/>
      <c r="G35" s="1360"/>
      <c r="H35" s="1360"/>
      <c r="I35" s="1360"/>
      <c r="J35" s="1360"/>
      <c r="K35" s="1360"/>
      <c r="L35" s="1360"/>
      <c r="M35" s="1360"/>
      <c r="N35" s="1360"/>
      <c r="O35" s="1360"/>
      <c r="P35" s="1360"/>
      <c r="Q35" s="1360"/>
      <c r="R35" s="1360"/>
      <c r="S35" s="1360"/>
      <c r="T35" s="1360"/>
      <c r="V35" s="1352"/>
      <c r="W35" s="1352"/>
      <c r="X35" s="1352"/>
    </row>
    <row r="36" spans="2:24" x14ac:dyDescent="0.35">
      <c r="B36" s="1399" t="s">
        <v>5867</v>
      </c>
      <c r="C36" s="582" t="s">
        <v>5918</v>
      </c>
      <c r="D36" s="582" t="s">
        <v>5933</v>
      </c>
      <c r="E36" s="582" t="s">
        <v>5847</v>
      </c>
      <c r="F36" s="1360"/>
      <c r="G36" s="1360"/>
      <c r="H36" s="1360"/>
      <c r="I36" s="1360"/>
      <c r="J36" s="1360"/>
      <c r="K36" s="1360"/>
      <c r="L36" s="1360"/>
      <c r="M36" s="1360"/>
      <c r="N36" s="1360"/>
      <c r="O36" s="1360"/>
      <c r="P36" s="1360"/>
      <c r="Q36" s="1360"/>
      <c r="R36" s="1360"/>
      <c r="S36" s="1360"/>
      <c r="T36" s="1360"/>
      <c r="V36" s="1352"/>
      <c r="W36" s="1352"/>
      <c r="X36" s="1352"/>
    </row>
    <row r="37" spans="2:24" x14ac:dyDescent="0.35">
      <c r="B37" s="1399" t="s">
        <v>5870</v>
      </c>
      <c r="C37" s="582" t="s">
        <v>5918</v>
      </c>
      <c r="D37" s="582" t="s">
        <v>5934</v>
      </c>
      <c r="E37" s="582" t="s">
        <v>5847</v>
      </c>
      <c r="F37" s="1360"/>
      <c r="G37" s="1360"/>
      <c r="H37" s="1360"/>
      <c r="I37" s="1360"/>
      <c r="J37" s="1360"/>
      <c r="K37" s="1360"/>
      <c r="L37" s="1360"/>
      <c r="M37" s="1360"/>
      <c r="N37" s="1360"/>
      <c r="O37" s="1360"/>
      <c r="P37" s="1360"/>
      <c r="Q37" s="1360"/>
      <c r="R37" s="1360"/>
      <c r="S37" s="1360"/>
      <c r="T37" s="1360"/>
      <c r="V37" s="1352"/>
      <c r="W37" s="1352"/>
      <c r="X37" s="1352"/>
    </row>
    <row r="38" spans="2:24" x14ac:dyDescent="0.35">
      <c r="B38" s="1399" t="s">
        <v>5871</v>
      </c>
      <c r="C38" s="582" t="s">
        <v>5918</v>
      </c>
      <c r="D38" s="582" t="s">
        <v>5935</v>
      </c>
      <c r="E38" s="582" t="s">
        <v>5847</v>
      </c>
      <c r="F38" s="1360"/>
      <c r="G38" s="1360"/>
      <c r="H38" s="1360"/>
      <c r="I38" s="1360"/>
      <c r="J38" s="1360"/>
      <c r="K38" s="1360"/>
      <c r="L38" s="1360"/>
      <c r="M38" s="1360"/>
      <c r="N38" s="1360"/>
      <c r="O38" s="1360"/>
      <c r="P38" s="1360"/>
      <c r="Q38" s="1360"/>
      <c r="R38" s="1360"/>
      <c r="S38" s="1360"/>
      <c r="T38" s="1360"/>
      <c r="V38" s="1352"/>
      <c r="W38" s="1352"/>
      <c r="X38" s="1352"/>
    </row>
    <row r="39" spans="2:24" x14ac:dyDescent="0.35">
      <c r="B39" s="1399" t="s">
        <v>5872</v>
      </c>
      <c r="C39" s="582" t="s">
        <v>5918</v>
      </c>
      <c r="D39" s="582" t="s">
        <v>5936</v>
      </c>
      <c r="E39" s="582" t="s">
        <v>5847</v>
      </c>
      <c r="F39" s="1360"/>
      <c r="G39" s="1360"/>
      <c r="H39" s="1360"/>
      <c r="I39" s="1360"/>
      <c r="J39" s="1360"/>
      <c r="K39" s="1360"/>
      <c r="L39" s="1360"/>
      <c r="M39" s="1360"/>
      <c r="N39" s="1360"/>
      <c r="O39" s="1360"/>
      <c r="P39" s="1360"/>
      <c r="Q39" s="1360"/>
      <c r="R39" s="1360"/>
      <c r="S39" s="1360"/>
      <c r="T39" s="1360"/>
      <c r="V39" s="1352"/>
      <c r="W39" s="1352"/>
      <c r="X39" s="1352"/>
    </row>
    <row r="40" spans="2:24" x14ac:dyDescent="0.35">
      <c r="B40" s="1399" t="s">
        <v>5873</v>
      </c>
      <c r="C40" s="582" t="s">
        <v>5918</v>
      </c>
      <c r="D40" s="582" t="s">
        <v>5937</v>
      </c>
      <c r="E40" s="582" t="s">
        <v>5847</v>
      </c>
      <c r="F40" s="1360"/>
      <c r="G40" s="1360"/>
      <c r="H40" s="1360"/>
      <c r="I40" s="1360"/>
      <c r="J40" s="1360"/>
      <c r="K40" s="1360"/>
      <c r="L40" s="1360"/>
      <c r="M40" s="1360"/>
      <c r="N40" s="1360"/>
      <c r="O40" s="1360"/>
      <c r="P40" s="1360"/>
      <c r="Q40" s="1360"/>
      <c r="R40" s="1360"/>
      <c r="S40" s="1360"/>
      <c r="T40" s="1360"/>
      <c r="V40" s="1352"/>
      <c r="W40" s="1352"/>
      <c r="X40" s="1352"/>
    </row>
    <row r="41" spans="2:24" x14ac:dyDescent="0.35">
      <c r="B41" s="292" t="s">
        <v>5874</v>
      </c>
      <c r="C41" s="292"/>
      <c r="D41" s="292"/>
      <c r="E41" s="292" t="s">
        <v>5847</v>
      </c>
      <c r="F41" s="1356">
        <f>SUM(F35:F40)</f>
        <v>0</v>
      </c>
      <c r="G41" s="1356">
        <f>SUM(G35:G40)</f>
        <v>0</v>
      </c>
      <c r="H41" s="1356">
        <f t="shared" ref="H41:T41" si="5">SUM(H35:H40)</f>
        <v>0</v>
      </c>
      <c r="I41" s="1356">
        <f t="shared" si="5"/>
        <v>0</v>
      </c>
      <c r="J41" s="1356">
        <f t="shared" si="5"/>
        <v>0</v>
      </c>
      <c r="K41" s="1356">
        <f t="shared" si="5"/>
        <v>0</v>
      </c>
      <c r="L41" s="1356">
        <f t="shared" si="5"/>
        <v>0</v>
      </c>
      <c r="M41" s="1356">
        <f t="shared" si="5"/>
        <v>0</v>
      </c>
      <c r="N41" s="1356">
        <f t="shared" si="5"/>
        <v>0</v>
      </c>
      <c r="O41" s="1356">
        <f t="shared" si="5"/>
        <v>0</v>
      </c>
      <c r="P41" s="1356">
        <f t="shared" si="5"/>
        <v>0</v>
      </c>
      <c r="Q41" s="1356">
        <f t="shared" si="5"/>
        <v>0</v>
      </c>
      <c r="R41" s="1356">
        <f t="shared" si="5"/>
        <v>0</v>
      </c>
      <c r="S41" s="1356">
        <f t="shared" si="5"/>
        <v>0</v>
      </c>
      <c r="T41" s="1356">
        <f t="shared" si="5"/>
        <v>0</v>
      </c>
      <c r="V41" s="1393"/>
      <c r="W41" s="1393"/>
      <c r="X41" s="1393"/>
    </row>
    <row r="42" spans="2:24" x14ac:dyDescent="0.35">
      <c r="B42" s="1400" t="s">
        <v>5866</v>
      </c>
      <c r="C42" s="582" t="s">
        <v>5918</v>
      </c>
      <c r="D42" s="582" t="s">
        <v>5938</v>
      </c>
      <c r="E42" s="582" t="s">
        <v>5847</v>
      </c>
      <c r="F42" s="1360"/>
      <c r="G42" s="1360"/>
      <c r="H42" s="1360"/>
      <c r="I42" s="1360"/>
      <c r="J42" s="1360"/>
      <c r="K42" s="1360"/>
      <c r="L42" s="1360"/>
      <c r="M42" s="1360"/>
      <c r="N42" s="1360"/>
      <c r="O42" s="1360"/>
      <c r="P42" s="1360"/>
      <c r="Q42" s="1360"/>
      <c r="R42" s="1360"/>
      <c r="S42" s="1360"/>
      <c r="T42" s="1360"/>
      <c r="V42" s="1352"/>
      <c r="W42" s="1352"/>
      <c r="X42" s="1352"/>
    </row>
    <row r="43" spans="2:24" x14ac:dyDescent="0.35">
      <c r="B43" s="1400" t="s">
        <v>5867</v>
      </c>
      <c r="C43" s="582" t="s">
        <v>5918</v>
      </c>
      <c r="D43" s="582" t="s">
        <v>5939</v>
      </c>
      <c r="E43" s="582" t="s">
        <v>5847</v>
      </c>
      <c r="F43" s="1360"/>
      <c r="G43" s="1360"/>
      <c r="H43" s="1360"/>
      <c r="I43" s="1360"/>
      <c r="J43" s="1360"/>
      <c r="K43" s="1360"/>
      <c r="L43" s="1360"/>
      <c r="M43" s="1360"/>
      <c r="N43" s="1360"/>
      <c r="O43" s="1360"/>
      <c r="P43" s="1360"/>
      <c r="Q43" s="1360"/>
      <c r="R43" s="1360"/>
      <c r="S43" s="1360"/>
      <c r="T43" s="1360"/>
      <c r="V43" s="1352"/>
      <c r="W43" s="1352"/>
      <c r="X43" s="1352"/>
    </row>
    <row r="44" spans="2:24" x14ac:dyDescent="0.35">
      <c r="B44" s="1400" t="s">
        <v>5870</v>
      </c>
      <c r="C44" s="582" t="s">
        <v>5918</v>
      </c>
      <c r="D44" s="582" t="s">
        <v>5940</v>
      </c>
      <c r="E44" s="582" t="s">
        <v>5847</v>
      </c>
      <c r="F44" s="1360"/>
      <c r="G44" s="1360"/>
      <c r="H44" s="1360"/>
      <c r="I44" s="1360"/>
      <c r="J44" s="1360"/>
      <c r="K44" s="1360"/>
      <c r="L44" s="1360"/>
      <c r="M44" s="1360"/>
      <c r="N44" s="1360"/>
      <c r="O44" s="1360"/>
      <c r="P44" s="1360"/>
      <c r="Q44" s="1360"/>
      <c r="R44" s="1360"/>
      <c r="S44" s="1360"/>
      <c r="T44" s="1360"/>
      <c r="V44" s="1352"/>
      <c r="W44" s="1352"/>
      <c r="X44" s="1352"/>
    </row>
    <row r="45" spans="2:24" x14ac:dyDescent="0.35">
      <c r="B45" s="1400" t="s">
        <v>5871</v>
      </c>
      <c r="C45" s="582" t="s">
        <v>5918</v>
      </c>
      <c r="D45" s="582" t="s">
        <v>5941</v>
      </c>
      <c r="E45" s="582" t="s">
        <v>5847</v>
      </c>
      <c r="F45" s="1360"/>
      <c r="G45" s="1360"/>
      <c r="H45" s="1360"/>
      <c r="I45" s="1360"/>
      <c r="J45" s="1360"/>
      <c r="K45" s="1360"/>
      <c r="L45" s="1360"/>
      <c r="M45" s="1360"/>
      <c r="N45" s="1360"/>
      <c r="O45" s="1360"/>
      <c r="P45" s="1360"/>
      <c r="Q45" s="1360"/>
      <c r="R45" s="1360"/>
      <c r="S45" s="1360"/>
      <c r="T45" s="1360"/>
      <c r="V45" s="1393">
        <v>18</v>
      </c>
      <c r="W45" s="1393">
        <v>4</v>
      </c>
      <c r="X45" s="1393">
        <v>7</v>
      </c>
    </row>
    <row r="46" spans="2:24" x14ac:dyDescent="0.35">
      <c r="B46" s="1400" t="s">
        <v>5872</v>
      </c>
      <c r="C46" s="582" t="s">
        <v>5918</v>
      </c>
      <c r="D46" s="582" t="s">
        <v>5942</v>
      </c>
      <c r="E46" s="582" t="s">
        <v>5847</v>
      </c>
      <c r="F46" s="1360"/>
      <c r="G46" s="1360"/>
      <c r="H46" s="1360"/>
      <c r="I46" s="1360"/>
      <c r="J46" s="1360"/>
      <c r="K46" s="1360"/>
      <c r="L46" s="1360"/>
      <c r="M46" s="1360"/>
      <c r="N46" s="1360"/>
      <c r="O46" s="1360"/>
      <c r="P46" s="1360"/>
      <c r="Q46" s="1360"/>
      <c r="R46" s="1360"/>
      <c r="S46" s="1360"/>
      <c r="T46" s="1360"/>
      <c r="V46" s="1352"/>
      <c r="W46" s="1352"/>
      <c r="X46" s="1352"/>
    </row>
    <row r="47" spans="2:24" x14ac:dyDescent="0.35">
      <c r="B47" s="1400" t="s">
        <v>5873</v>
      </c>
      <c r="C47" s="582" t="s">
        <v>5918</v>
      </c>
      <c r="D47" s="582" t="s">
        <v>5943</v>
      </c>
      <c r="E47" s="582" t="s">
        <v>5847</v>
      </c>
      <c r="F47" s="1360"/>
      <c r="G47" s="1360"/>
      <c r="H47" s="1360"/>
      <c r="I47" s="1360"/>
      <c r="J47" s="1360"/>
      <c r="K47" s="1360"/>
      <c r="L47" s="1360"/>
      <c r="M47" s="1360"/>
      <c r="N47" s="1360"/>
      <c r="O47" s="1360"/>
      <c r="P47" s="1360"/>
      <c r="Q47" s="1360"/>
      <c r="R47" s="1360"/>
      <c r="S47" s="1360"/>
      <c r="T47" s="1360"/>
      <c r="V47" s="1352"/>
      <c r="W47" s="1352"/>
      <c r="X47" s="1352"/>
    </row>
    <row r="48" spans="2:24" ht="15" thickBot="1" x14ac:dyDescent="0.4">
      <c r="B48" s="292" t="s">
        <v>5875</v>
      </c>
      <c r="C48" s="292"/>
      <c r="D48" s="292"/>
      <c r="E48" s="292" t="s">
        <v>5847</v>
      </c>
      <c r="F48" s="1356">
        <f>SUM(F42:F47)</f>
        <v>0</v>
      </c>
      <c r="G48" s="1356">
        <f>SUM(G42:G47)</f>
        <v>0</v>
      </c>
      <c r="H48" s="1356">
        <f t="shared" ref="H48:T48" si="6">SUM(H42:H47)</f>
        <v>0</v>
      </c>
      <c r="I48" s="1356">
        <f t="shared" si="6"/>
        <v>0</v>
      </c>
      <c r="J48" s="1356">
        <f t="shared" si="6"/>
        <v>0</v>
      </c>
      <c r="K48" s="1356">
        <f t="shared" si="6"/>
        <v>0</v>
      </c>
      <c r="L48" s="1356">
        <f t="shared" si="6"/>
        <v>0</v>
      </c>
      <c r="M48" s="1356">
        <f t="shared" si="6"/>
        <v>0</v>
      </c>
      <c r="N48" s="1356">
        <f t="shared" si="6"/>
        <v>0</v>
      </c>
      <c r="O48" s="1356">
        <f t="shared" si="6"/>
        <v>0</v>
      </c>
      <c r="P48" s="1356">
        <f t="shared" si="6"/>
        <v>0</v>
      </c>
      <c r="Q48" s="1356">
        <f t="shared" si="6"/>
        <v>0</v>
      </c>
      <c r="R48" s="1356">
        <f t="shared" si="6"/>
        <v>0</v>
      </c>
      <c r="S48" s="1356">
        <f t="shared" si="6"/>
        <v>0</v>
      </c>
      <c r="T48" s="1356">
        <f t="shared" si="6"/>
        <v>0</v>
      </c>
      <c r="V48" s="1393"/>
      <c r="W48" s="1393"/>
      <c r="X48" s="1393"/>
    </row>
    <row r="49" spans="1:24" s="602" customFormat="1" outlineLevel="1" x14ac:dyDescent="0.35">
      <c r="A49" s="1319"/>
      <c r="B49" s="1366" t="s">
        <v>5876</v>
      </c>
      <c r="C49" s="1367"/>
      <c r="D49" s="1367"/>
      <c r="E49" s="1367" t="s">
        <v>5847</v>
      </c>
      <c r="F49" s="1401">
        <f t="shared" ref="F49:T51" si="7">F37+F44</f>
        <v>0</v>
      </c>
      <c r="G49" s="1401">
        <f t="shared" si="7"/>
        <v>0</v>
      </c>
      <c r="H49" s="1401">
        <f t="shared" si="7"/>
        <v>0</v>
      </c>
      <c r="I49" s="1401">
        <f t="shared" si="7"/>
        <v>0</v>
      </c>
      <c r="J49" s="1401">
        <f t="shared" si="7"/>
        <v>0</v>
      </c>
      <c r="K49" s="1401">
        <f t="shared" si="7"/>
        <v>0</v>
      </c>
      <c r="L49" s="1401">
        <f t="shared" si="7"/>
        <v>0</v>
      </c>
      <c r="M49" s="1401">
        <f t="shared" si="7"/>
        <v>0</v>
      </c>
      <c r="N49" s="1401">
        <f t="shared" si="7"/>
        <v>0</v>
      </c>
      <c r="O49" s="1401">
        <f t="shared" si="7"/>
        <v>0</v>
      </c>
      <c r="P49" s="1401">
        <f t="shared" si="7"/>
        <v>0</v>
      </c>
      <c r="Q49" s="1401">
        <f t="shared" si="7"/>
        <v>0</v>
      </c>
      <c r="R49" s="1401">
        <f t="shared" si="7"/>
        <v>0</v>
      </c>
      <c r="S49" s="1401">
        <f t="shared" si="7"/>
        <v>0</v>
      </c>
      <c r="T49" s="1368">
        <f t="shared" si="7"/>
        <v>0</v>
      </c>
      <c r="V49" s="1393"/>
      <c r="W49" s="1393"/>
      <c r="X49" s="1393"/>
    </row>
    <row r="50" spans="1:24" s="602" customFormat="1" outlineLevel="1" x14ac:dyDescent="0.35">
      <c r="A50" s="1319"/>
      <c r="B50" s="1369" t="s">
        <v>5877</v>
      </c>
      <c r="C50" s="292"/>
      <c r="D50" s="292"/>
      <c r="E50" s="292" t="s">
        <v>5847</v>
      </c>
      <c r="F50" s="1356">
        <f t="shared" si="7"/>
        <v>0</v>
      </c>
      <c r="G50" s="1356">
        <f t="shared" si="7"/>
        <v>0</v>
      </c>
      <c r="H50" s="1356">
        <f t="shared" si="7"/>
        <v>0</v>
      </c>
      <c r="I50" s="1356">
        <f t="shared" si="7"/>
        <v>0</v>
      </c>
      <c r="J50" s="1356">
        <f t="shared" si="7"/>
        <v>0</v>
      </c>
      <c r="K50" s="1356">
        <f t="shared" si="7"/>
        <v>0</v>
      </c>
      <c r="L50" s="1356">
        <f t="shared" si="7"/>
        <v>0</v>
      </c>
      <c r="M50" s="1356">
        <f t="shared" si="7"/>
        <v>0</v>
      </c>
      <c r="N50" s="1356">
        <f t="shared" si="7"/>
        <v>0</v>
      </c>
      <c r="O50" s="1356">
        <f t="shared" si="7"/>
        <v>0</v>
      </c>
      <c r="P50" s="1356">
        <f t="shared" si="7"/>
        <v>0</v>
      </c>
      <c r="Q50" s="1356">
        <f t="shared" si="7"/>
        <v>0</v>
      </c>
      <c r="R50" s="1356">
        <f t="shared" si="7"/>
        <v>0</v>
      </c>
      <c r="S50" s="1356">
        <f t="shared" si="7"/>
        <v>0</v>
      </c>
      <c r="T50" s="1370">
        <f t="shared" si="7"/>
        <v>0</v>
      </c>
      <c r="V50" s="1393"/>
      <c r="W50" s="1393"/>
      <c r="X50" s="1393"/>
    </row>
    <row r="51" spans="1:24" s="602" customFormat="1" outlineLevel="1" x14ac:dyDescent="0.35">
      <c r="A51" s="1319"/>
      <c r="B51" s="1369" t="s">
        <v>5878</v>
      </c>
      <c r="C51" s="292"/>
      <c r="D51" s="292"/>
      <c r="E51" s="292" t="s">
        <v>5847</v>
      </c>
      <c r="F51" s="1356">
        <f t="shared" si="7"/>
        <v>0</v>
      </c>
      <c r="G51" s="1356">
        <f t="shared" si="7"/>
        <v>0</v>
      </c>
      <c r="H51" s="1356">
        <f t="shared" si="7"/>
        <v>0</v>
      </c>
      <c r="I51" s="1356">
        <f t="shared" si="7"/>
        <v>0</v>
      </c>
      <c r="J51" s="1356">
        <f t="shared" si="7"/>
        <v>0</v>
      </c>
      <c r="K51" s="1356">
        <f t="shared" si="7"/>
        <v>0</v>
      </c>
      <c r="L51" s="1356">
        <f t="shared" si="7"/>
        <v>0</v>
      </c>
      <c r="M51" s="1356">
        <f t="shared" si="7"/>
        <v>0</v>
      </c>
      <c r="N51" s="1356">
        <f t="shared" si="7"/>
        <v>0</v>
      </c>
      <c r="O51" s="1356">
        <f t="shared" si="7"/>
        <v>0</v>
      </c>
      <c r="P51" s="1356">
        <f t="shared" si="7"/>
        <v>0</v>
      </c>
      <c r="Q51" s="1356">
        <f t="shared" si="7"/>
        <v>0</v>
      </c>
      <c r="R51" s="1356">
        <f t="shared" si="7"/>
        <v>0</v>
      </c>
      <c r="S51" s="1356">
        <f t="shared" si="7"/>
        <v>0</v>
      </c>
      <c r="T51" s="1370">
        <f t="shared" si="7"/>
        <v>0</v>
      </c>
      <c r="V51" s="1393"/>
      <c r="W51" s="1393"/>
      <c r="X51" s="1393"/>
    </row>
    <row r="52" spans="1:24" s="602" customFormat="1" outlineLevel="1" x14ac:dyDescent="0.35">
      <c r="A52" s="1319"/>
      <c r="B52" s="1369" t="s">
        <v>5879</v>
      </c>
      <c r="C52" s="292"/>
      <c r="D52" s="292"/>
      <c r="E52" s="292" t="s">
        <v>5847</v>
      </c>
      <c r="F52" s="1356">
        <f t="shared" ref="F52:T52" si="8">F20+F18+F24+F25+F42+F43+F47</f>
        <v>0</v>
      </c>
      <c r="G52" s="1356">
        <f t="shared" si="8"/>
        <v>0</v>
      </c>
      <c r="H52" s="1356">
        <f t="shared" si="8"/>
        <v>0</v>
      </c>
      <c r="I52" s="1356">
        <f t="shared" si="8"/>
        <v>0</v>
      </c>
      <c r="J52" s="1356">
        <f t="shared" si="8"/>
        <v>0</v>
      </c>
      <c r="K52" s="1356">
        <f t="shared" si="8"/>
        <v>0</v>
      </c>
      <c r="L52" s="1356">
        <f t="shared" si="8"/>
        <v>0</v>
      </c>
      <c r="M52" s="1356">
        <f t="shared" si="8"/>
        <v>0</v>
      </c>
      <c r="N52" s="1356">
        <f t="shared" si="8"/>
        <v>0</v>
      </c>
      <c r="O52" s="1356">
        <f t="shared" si="8"/>
        <v>0</v>
      </c>
      <c r="P52" s="1356">
        <f t="shared" si="8"/>
        <v>0</v>
      </c>
      <c r="Q52" s="1356">
        <f t="shared" si="8"/>
        <v>0</v>
      </c>
      <c r="R52" s="1356">
        <f t="shared" si="8"/>
        <v>0</v>
      </c>
      <c r="S52" s="1356">
        <f t="shared" si="8"/>
        <v>0</v>
      </c>
      <c r="T52" s="1370">
        <f t="shared" si="8"/>
        <v>0</v>
      </c>
      <c r="V52" s="1393"/>
      <c r="W52" s="1393"/>
      <c r="X52" s="1393"/>
    </row>
    <row r="53" spans="1:24" s="602" customFormat="1" outlineLevel="1" x14ac:dyDescent="0.35">
      <c r="A53" s="1319"/>
      <c r="B53" s="1369" t="s">
        <v>5880</v>
      </c>
      <c r="C53" s="292"/>
      <c r="D53" s="292"/>
      <c r="E53" s="292" t="s">
        <v>5847</v>
      </c>
      <c r="F53" s="1356">
        <f t="shared" ref="F53:T53" si="9">F21+IFERROR(((F27+F28)/F15),0)+F35+F36+F40</f>
        <v>0</v>
      </c>
      <c r="G53" s="1356">
        <f t="shared" si="9"/>
        <v>0</v>
      </c>
      <c r="H53" s="1356">
        <f t="shared" si="9"/>
        <v>0</v>
      </c>
      <c r="I53" s="1356">
        <f t="shared" si="9"/>
        <v>0</v>
      </c>
      <c r="J53" s="1356">
        <f t="shared" si="9"/>
        <v>0</v>
      </c>
      <c r="K53" s="1356">
        <f t="shared" si="9"/>
        <v>0</v>
      </c>
      <c r="L53" s="1356">
        <f t="shared" si="9"/>
        <v>0</v>
      </c>
      <c r="M53" s="1356">
        <f t="shared" si="9"/>
        <v>0</v>
      </c>
      <c r="N53" s="1356">
        <f t="shared" si="9"/>
        <v>0</v>
      </c>
      <c r="O53" s="1356">
        <f t="shared" si="9"/>
        <v>0</v>
      </c>
      <c r="P53" s="1356">
        <f t="shared" si="9"/>
        <v>0</v>
      </c>
      <c r="Q53" s="1356">
        <f t="shared" si="9"/>
        <v>0</v>
      </c>
      <c r="R53" s="1356">
        <f t="shared" si="9"/>
        <v>0</v>
      </c>
      <c r="S53" s="1356">
        <f t="shared" si="9"/>
        <v>0</v>
      </c>
      <c r="T53" s="1370">
        <f t="shared" si="9"/>
        <v>0</v>
      </c>
      <c r="V53" s="1393"/>
      <c r="W53" s="1393"/>
      <c r="X53" s="1393"/>
    </row>
    <row r="54" spans="1:24" s="602" customFormat="1" ht="15" outlineLevel="1" thickBot="1" x14ac:dyDescent="0.4">
      <c r="A54" s="1319"/>
      <c r="B54" s="1371" t="s">
        <v>5881</v>
      </c>
      <c r="C54" s="1372"/>
      <c r="D54" s="1372"/>
      <c r="E54" s="1372" t="s">
        <v>5847</v>
      </c>
      <c r="F54" s="1402">
        <f t="shared" ref="F54:T54" si="10">F22+F23+IFERROR(((F29+F30)/F15),0)+F34</f>
        <v>0</v>
      </c>
      <c r="G54" s="1402">
        <f t="shared" si="10"/>
        <v>0</v>
      </c>
      <c r="H54" s="1402">
        <f t="shared" si="10"/>
        <v>0</v>
      </c>
      <c r="I54" s="1402">
        <f t="shared" si="10"/>
        <v>0</v>
      </c>
      <c r="J54" s="1402">
        <f t="shared" si="10"/>
        <v>0</v>
      </c>
      <c r="K54" s="1402">
        <f t="shared" si="10"/>
        <v>0</v>
      </c>
      <c r="L54" s="1402">
        <f t="shared" si="10"/>
        <v>0</v>
      </c>
      <c r="M54" s="1402">
        <f t="shared" si="10"/>
        <v>0</v>
      </c>
      <c r="N54" s="1402">
        <f t="shared" si="10"/>
        <v>0</v>
      </c>
      <c r="O54" s="1402">
        <f t="shared" si="10"/>
        <v>0</v>
      </c>
      <c r="P54" s="1402">
        <f t="shared" si="10"/>
        <v>0</v>
      </c>
      <c r="Q54" s="1402">
        <f t="shared" si="10"/>
        <v>0</v>
      </c>
      <c r="R54" s="1402">
        <f t="shared" si="10"/>
        <v>0</v>
      </c>
      <c r="S54" s="1402">
        <f t="shared" si="10"/>
        <v>0</v>
      </c>
      <c r="T54" s="1373">
        <f t="shared" si="10"/>
        <v>0</v>
      </c>
      <c r="V54" s="1393"/>
      <c r="W54" s="1393"/>
      <c r="X54" s="1393"/>
    </row>
    <row r="55" spans="1:24" s="602" customFormat="1" ht="16.5" outlineLevel="1" x14ac:dyDescent="0.45">
      <c r="A55" s="1319"/>
      <c r="B55" s="1403" t="s">
        <v>5882</v>
      </c>
      <c r="C55" s="981"/>
      <c r="D55" s="981"/>
      <c r="E55" s="981" t="s">
        <v>5883</v>
      </c>
      <c r="F55" s="1404">
        <f>F49*$E$69+F50*$E$70+F51*$E$71+F52*$E$72+F53*$E$73+F54*$E$74</f>
        <v>0</v>
      </c>
      <c r="G55" s="1404">
        <f>G49*$E$69+G50*$E$70+G51*$E$71+G52*$E$72+G53*$E$73+G54*$E$74</f>
        <v>0</v>
      </c>
      <c r="H55" s="1404">
        <f t="shared" ref="H55:T55" si="11">H49*$E$69+H50*$E$70+H51*$E$71+H52*$E$72+H53*$E$73+H54*$E$74</f>
        <v>0</v>
      </c>
      <c r="I55" s="1404">
        <f t="shared" si="11"/>
        <v>0</v>
      </c>
      <c r="J55" s="1404">
        <f t="shared" si="11"/>
        <v>0</v>
      </c>
      <c r="K55" s="1404">
        <f t="shared" si="11"/>
        <v>0</v>
      </c>
      <c r="L55" s="1404">
        <f t="shared" si="11"/>
        <v>0</v>
      </c>
      <c r="M55" s="1404">
        <f t="shared" si="11"/>
        <v>0</v>
      </c>
      <c r="N55" s="1404">
        <f t="shared" si="11"/>
        <v>0</v>
      </c>
      <c r="O55" s="1404">
        <f t="shared" si="11"/>
        <v>0</v>
      </c>
      <c r="P55" s="1404">
        <f t="shared" si="11"/>
        <v>0</v>
      </c>
      <c r="Q55" s="1404">
        <f t="shared" si="11"/>
        <v>0</v>
      </c>
      <c r="R55" s="1404">
        <f t="shared" si="11"/>
        <v>0</v>
      </c>
      <c r="S55" s="1404">
        <f t="shared" si="11"/>
        <v>0</v>
      </c>
      <c r="T55" s="1405">
        <f t="shared" si="11"/>
        <v>0</v>
      </c>
      <c r="V55" s="1393"/>
      <c r="W55" s="1393"/>
      <c r="X55" s="1393"/>
    </row>
    <row r="56" spans="1:24" s="602" customFormat="1" outlineLevel="1" x14ac:dyDescent="0.35">
      <c r="A56" s="1319"/>
      <c r="B56" s="1369" t="s">
        <v>5884</v>
      </c>
      <c r="C56" s="292"/>
      <c r="D56" s="292"/>
      <c r="E56" s="292" t="s">
        <v>5847</v>
      </c>
      <c r="F56" s="1356">
        <f>F49*$F$69+F50*$F$70+F51*$F$71+F52*$F$72+F53*$F$73+F54*$F$74</f>
        <v>0</v>
      </c>
      <c r="G56" s="1356">
        <f>G49*$F$69+G50*$F$70+G51*$F$71+G52*$F$72+G53*$F$73+G54*$F$74</f>
        <v>0</v>
      </c>
      <c r="H56" s="1356">
        <f t="shared" ref="H56:T56" si="12">H49*$F$69+H50*$F$70+H51*$F$71+H52*$F$72+H53*$F$73+H54*$F$74</f>
        <v>0</v>
      </c>
      <c r="I56" s="1356">
        <f t="shared" si="12"/>
        <v>0</v>
      </c>
      <c r="J56" s="1356">
        <f t="shared" si="12"/>
        <v>0</v>
      </c>
      <c r="K56" s="1356">
        <f t="shared" si="12"/>
        <v>0</v>
      </c>
      <c r="L56" s="1356">
        <f t="shared" si="12"/>
        <v>0</v>
      </c>
      <c r="M56" s="1356">
        <f t="shared" si="12"/>
        <v>0</v>
      </c>
      <c r="N56" s="1356">
        <f t="shared" si="12"/>
        <v>0</v>
      </c>
      <c r="O56" s="1356">
        <f t="shared" si="12"/>
        <v>0</v>
      </c>
      <c r="P56" s="1356">
        <f t="shared" si="12"/>
        <v>0</v>
      </c>
      <c r="Q56" s="1356">
        <f t="shared" si="12"/>
        <v>0</v>
      </c>
      <c r="R56" s="1356">
        <f t="shared" si="12"/>
        <v>0</v>
      </c>
      <c r="S56" s="1356">
        <f t="shared" si="12"/>
        <v>0</v>
      </c>
      <c r="T56" s="1370">
        <f t="shared" si="12"/>
        <v>0</v>
      </c>
      <c r="V56" s="1393"/>
      <c r="W56" s="1393"/>
      <c r="X56" s="1393"/>
    </row>
    <row r="57" spans="1:24" s="602" customFormat="1" ht="16.5" outlineLevel="1" x14ac:dyDescent="0.45">
      <c r="A57" s="1319"/>
      <c r="B57" s="1369" t="s">
        <v>5944</v>
      </c>
      <c r="C57" s="292"/>
      <c r="D57" s="292"/>
      <c r="E57" s="292" t="s">
        <v>5883</v>
      </c>
      <c r="F57" s="1356">
        <f>F49*$E$78+F50*$E$79+F51*$E$80+F52*$E$81+F53*$E$82+F54*$E$83</f>
        <v>0</v>
      </c>
      <c r="G57" s="1356">
        <f>G49*$E$78+G50*$E$79+G51*$E$80+G52*$E$81+G53*$E$82+G54*$E$83</f>
        <v>0</v>
      </c>
      <c r="H57" s="1356">
        <f t="shared" ref="H57:T57" si="13">H49*$E$78+H50*$E$79+H51*$E$80+H52*$E$81+H53*$E$82+H54*$E$83</f>
        <v>0</v>
      </c>
      <c r="I57" s="1356">
        <f t="shared" si="13"/>
        <v>0</v>
      </c>
      <c r="J57" s="1356">
        <f t="shared" si="13"/>
        <v>0</v>
      </c>
      <c r="K57" s="1356">
        <f t="shared" si="13"/>
        <v>0</v>
      </c>
      <c r="L57" s="1356">
        <f t="shared" si="13"/>
        <v>0</v>
      </c>
      <c r="M57" s="1356">
        <f t="shared" si="13"/>
        <v>0</v>
      </c>
      <c r="N57" s="1356">
        <f t="shared" si="13"/>
        <v>0</v>
      </c>
      <c r="O57" s="1356">
        <f t="shared" si="13"/>
        <v>0</v>
      </c>
      <c r="P57" s="1356">
        <f t="shared" si="13"/>
        <v>0</v>
      </c>
      <c r="Q57" s="1356">
        <f t="shared" si="13"/>
        <v>0</v>
      </c>
      <c r="R57" s="1356">
        <f t="shared" si="13"/>
        <v>0</v>
      </c>
      <c r="S57" s="1356">
        <f t="shared" si="13"/>
        <v>0</v>
      </c>
      <c r="T57" s="1370">
        <f t="shared" si="13"/>
        <v>0</v>
      </c>
      <c r="V57" s="1393"/>
      <c r="W57" s="1393"/>
      <c r="X57" s="1393"/>
    </row>
    <row r="58" spans="1:24" s="602" customFormat="1" ht="15" outlineLevel="1" thickBot="1" x14ac:dyDescent="0.4">
      <c r="A58" s="1319"/>
      <c r="B58" s="1371" t="s">
        <v>5885</v>
      </c>
      <c r="C58" s="1372"/>
      <c r="D58" s="1372"/>
      <c r="E58" s="1372" t="s">
        <v>5847</v>
      </c>
      <c r="F58" s="1402">
        <f>F49*$F$78+F50*$F$79+F51*$F$80+F52*$F$81+F53*$F$82+F54*$F$83</f>
        <v>0</v>
      </c>
      <c r="G58" s="1402">
        <f>G49*$F$78+G50*$F$79+G51*$F$80+G52*$F$81+G53*$F$82+G54*$F$83</f>
        <v>0</v>
      </c>
      <c r="H58" s="1402">
        <f t="shared" ref="H58:T58" si="14">H49*$F$78+H50*$F$79+H51*$F$80+H52*$F$81+H53*$F$82+H54*$F$83</f>
        <v>0</v>
      </c>
      <c r="I58" s="1402">
        <f t="shared" si="14"/>
        <v>0</v>
      </c>
      <c r="J58" s="1402">
        <f t="shared" si="14"/>
        <v>0</v>
      </c>
      <c r="K58" s="1402">
        <f t="shared" si="14"/>
        <v>0</v>
      </c>
      <c r="L58" s="1402">
        <f t="shared" si="14"/>
        <v>0</v>
      </c>
      <c r="M58" s="1402">
        <f t="shared" si="14"/>
        <v>0</v>
      </c>
      <c r="N58" s="1402">
        <f t="shared" si="14"/>
        <v>0</v>
      </c>
      <c r="O58" s="1402">
        <f t="shared" si="14"/>
        <v>0</v>
      </c>
      <c r="P58" s="1402">
        <f t="shared" si="14"/>
        <v>0</v>
      </c>
      <c r="Q58" s="1402">
        <f t="shared" si="14"/>
        <v>0</v>
      </c>
      <c r="R58" s="1402">
        <f t="shared" si="14"/>
        <v>0</v>
      </c>
      <c r="S58" s="1402">
        <f t="shared" si="14"/>
        <v>0</v>
      </c>
      <c r="T58" s="1373">
        <f t="shared" si="14"/>
        <v>0</v>
      </c>
      <c r="V58" s="1393"/>
      <c r="W58" s="1393"/>
      <c r="X58" s="1393"/>
    </row>
    <row r="59" spans="1:24" s="602" customFormat="1" x14ac:dyDescent="0.35">
      <c r="A59" s="1319"/>
      <c r="F59" s="601"/>
    </row>
    <row r="60" spans="1:24" s="602" customFormat="1" ht="246.5" x14ac:dyDescent="0.35">
      <c r="A60" s="1319"/>
      <c r="B60" s="645" t="s">
        <v>5945</v>
      </c>
      <c r="C60" s="685">
        <v>0</v>
      </c>
      <c r="D60" s="1346" t="s">
        <v>5828</v>
      </c>
      <c r="F60" s="601"/>
    </row>
    <row r="61" spans="1:24" s="602" customFormat="1" x14ac:dyDescent="0.35">
      <c r="A61" s="1319"/>
      <c r="B61" s="645" t="s">
        <v>4620</v>
      </c>
      <c r="C61" s="1232">
        <f>IFERROR(C60/SUM(F52:T54),0)</f>
        <v>0</v>
      </c>
      <c r="D61" s="687"/>
      <c r="F61" s="601"/>
    </row>
    <row r="62" spans="1:24" s="602" customFormat="1" x14ac:dyDescent="0.35">
      <c r="A62" s="1319"/>
      <c r="F62" s="601"/>
    </row>
    <row r="63" spans="1:24" s="602" customFormat="1" ht="15" thickBot="1" x14ac:dyDescent="0.4">
      <c r="A63" s="1319"/>
      <c r="B63" s="292" t="s">
        <v>5886</v>
      </c>
      <c r="C63" s="292"/>
      <c r="D63" s="292"/>
      <c r="E63" s="292" t="s">
        <v>4359</v>
      </c>
      <c r="F63" s="1374">
        <v>2020</v>
      </c>
      <c r="G63" s="1374">
        <v>2030</v>
      </c>
    </row>
    <row r="64" spans="1:24" s="602" customFormat="1" ht="17" thickBot="1" x14ac:dyDescent="0.5">
      <c r="A64" s="1319"/>
      <c r="B64" s="292" t="s">
        <v>5887</v>
      </c>
      <c r="C64" s="292"/>
      <c r="D64" s="292"/>
      <c r="E64" s="1305" t="s">
        <v>5888</v>
      </c>
      <c r="F64" s="1375" t="e">
        <f>(F55*$F$15+G55*$G$15+H55*$H$15+I55*$I$15+J55*$J$15+K55*$K$15+L55*$L$15+M55*$M$15+N55*$N$15+O55*$O$15+P55*$P$15+Q55*$Q$15+R55*$R$15+S55*$S$15+T55*$T$15)/SUM(F15:T15)</f>
        <v>#DIV/0!</v>
      </c>
      <c r="G64" s="1375" t="e">
        <f>(F57*$F$15+G57*$G$15+H57*$H$15+I57*$I$15+J57*$J$15+K57*$K$15+L57*$L$15+M57*$M$15+N57*$N$15+O57*$O$15+P57*$P$15+Q57*$Q$15+R57*$R$15+S57*$S$15+T57*$T$15)/SUM(F15:T15)</f>
        <v>#DIV/0!</v>
      </c>
    </row>
    <row r="65" spans="1:12" s="602" customFormat="1" ht="15" thickBot="1" x14ac:dyDescent="0.4">
      <c r="A65" s="1319"/>
      <c r="B65" s="292" t="s">
        <v>5889</v>
      </c>
      <c r="C65" s="292"/>
      <c r="D65" s="292"/>
      <c r="E65" s="1305" t="s">
        <v>5847</v>
      </c>
      <c r="F65" s="1375" t="e">
        <f>(F56*$F$15+G56*$G$15+H56*$H$15+I56*$I$15+J56*$J$15+K56*$K$15+L56*$L$15+M56*$M$15+N56*$N$15+O56*$O$15+P56*$P$15+Q56*$Q$15+R56*$R$15+S56*$S$15+T56*$T$15)/SUM(F15:T15)</f>
        <v>#DIV/0!</v>
      </c>
      <c r="G65" s="1375" t="e">
        <f>(F58*$F$15+G58*$G$15+H58*$H$15+I58*$I$15+J58*$J$15+K58*$K$15+L58*$L$15+M58*$M$15+N58*$N$15+O58*$O$15+P58*$P$15+Q58*$Q$15+R58*$R$15+S58*$S$15+T58*$T$15)/SUM(F15:T15)</f>
        <v>#DIV/0!</v>
      </c>
    </row>
    <row r="66" spans="1:12" s="602" customFormat="1" x14ac:dyDescent="0.35">
      <c r="A66" s="1319"/>
      <c r="F66" s="601"/>
    </row>
    <row r="67" spans="1:12" s="602" customFormat="1" ht="16.5" hidden="1" outlineLevel="1" x14ac:dyDescent="0.45">
      <c r="A67" s="1319"/>
      <c r="B67" s="1376" t="s">
        <v>5890</v>
      </c>
      <c r="C67" s="1376"/>
      <c r="D67" s="1376"/>
      <c r="E67" s="1377" t="s">
        <v>5891</v>
      </c>
      <c r="F67" s="1377" t="s">
        <v>5892</v>
      </c>
    </row>
    <row r="68" spans="1:12" s="602" customFormat="1" hidden="1" outlineLevel="1" x14ac:dyDescent="0.35">
      <c r="A68" s="1319"/>
      <c r="B68" s="371" t="s">
        <v>4929</v>
      </c>
      <c r="C68" s="371"/>
      <c r="D68" s="371"/>
      <c r="E68" s="1247" t="s">
        <v>5893</v>
      </c>
      <c r="F68" s="1247" t="s">
        <v>5894</v>
      </c>
    </row>
    <row r="69" spans="1:12" s="602" customFormat="1" hidden="1" outlineLevel="1" x14ac:dyDescent="0.35">
      <c r="A69" s="1319"/>
      <c r="B69" s="371" t="s">
        <v>5895</v>
      </c>
      <c r="C69" s="371"/>
      <c r="D69" s="371"/>
      <c r="E69" s="1247">
        <v>5.3999999999999999E-2</v>
      </c>
      <c r="F69" s="1247">
        <v>0.68</v>
      </c>
    </row>
    <row r="70" spans="1:12" s="602" customFormat="1" hidden="1" outlineLevel="1" x14ac:dyDescent="0.35">
      <c r="A70" s="1319"/>
      <c r="B70" s="371" t="s">
        <v>5896</v>
      </c>
      <c r="C70" s="371"/>
      <c r="D70" s="371"/>
      <c r="E70" s="1247">
        <v>4.4999999999999998E-2</v>
      </c>
      <c r="F70" s="1247">
        <v>1.1499999999999999</v>
      </c>
    </row>
    <row r="71" spans="1:12" s="602" customFormat="1" hidden="1" outlineLevel="1" x14ac:dyDescent="0.35">
      <c r="A71" s="1319"/>
      <c r="B71" s="371" t="s">
        <v>5878</v>
      </c>
      <c r="C71" s="371"/>
      <c r="D71" s="371"/>
      <c r="E71" s="1247">
        <v>0.26200000000000001</v>
      </c>
      <c r="F71" s="1247">
        <v>1.17</v>
      </c>
    </row>
    <row r="72" spans="1:12" s="602" customFormat="1" hidden="1" outlineLevel="1" x14ac:dyDescent="0.35">
      <c r="A72" s="1319"/>
      <c r="B72" s="371" t="s">
        <v>5946</v>
      </c>
      <c r="C72" s="371"/>
      <c r="D72" s="371"/>
      <c r="E72" s="1247">
        <v>0.27400000000000002</v>
      </c>
      <c r="F72" s="1378">
        <v>2.2999999999999998</v>
      </c>
    </row>
    <row r="73" spans="1:12" s="602" customFormat="1" hidden="1" outlineLevel="1" x14ac:dyDescent="0.35">
      <c r="A73" s="1319"/>
      <c r="B73" s="371" t="s">
        <v>5898</v>
      </c>
      <c r="C73" s="371"/>
      <c r="D73" s="371"/>
      <c r="E73" s="1247">
        <v>0.38300000000000001</v>
      </c>
      <c r="F73" s="1247">
        <v>2.61</v>
      </c>
    </row>
    <row r="74" spans="1:12" s="602" customFormat="1" hidden="1" outlineLevel="1" x14ac:dyDescent="0.35">
      <c r="A74" s="1319"/>
      <c r="B74" s="371" t="s">
        <v>5899</v>
      </c>
      <c r="C74" s="371"/>
      <c r="D74" s="371"/>
      <c r="E74" s="1247">
        <v>0.155</v>
      </c>
      <c r="F74" s="1247">
        <v>1.96</v>
      </c>
    </row>
    <row r="75" spans="1:12" s="602" customFormat="1" hidden="1" outlineLevel="1" x14ac:dyDescent="0.35">
      <c r="A75" s="1319"/>
      <c r="B75" s="1361"/>
      <c r="C75" s="1361"/>
      <c r="D75" s="1361"/>
      <c r="E75" s="1361"/>
      <c r="F75" s="350"/>
    </row>
    <row r="76" spans="1:12" s="602" customFormat="1" ht="16.5" hidden="1" outlineLevel="1" x14ac:dyDescent="0.45">
      <c r="A76" s="1319"/>
      <c r="B76" s="1376" t="s">
        <v>5900</v>
      </c>
      <c r="C76" s="1376"/>
      <c r="D76" s="1376"/>
      <c r="E76" s="1377" t="s">
        <v>5891</v>
      </c>
      <c r="F76" s="1377" t="s">
        <v>5892</v>
      </c>
      <c r="H76" s="1377" t="s">
        <v>5891</v>
      </c>
      <c r="I76" s="1247" t="s">
        <v>5893</v>
      </c>
      <c r="K76" s="1377" t="s">
        <v>5892</v>
      </c>
      <c r="L76" s="1247" t="s">
        <v>5894</v>
      </c>
    </row>
    <row r="77" spans="1:12" s="602" customFormat="1" hidden="1" outlineLevel="1" x14ac:dyDescent="0.35">
      <c r="A77" s="1319"/>
      <c r="B77" s="371" t="s">
        <v>4929</v>
      </c>
      <c r="C77" s="371"/>
      <c r="D77" s="371"/>
      <c r="E77" s="1247" t="s">
        <v>5893</v>
      </c>
      <c r="F77" s="1247" t="s">
        <v>5894</v>
      </c>
    </row>
    <row r="78" spans="1:12" s="602" customFormat="1" hidden="1" outlineLevel="1" x14ac:dyDescent="0.35">
      <c r="A78" s="1319"/>
      <c r="B78" s="371" t="s">
        <v>5901</v>
      </c>
      <c r="C78" s="371"/>
      <c r="D78" s="371"/>
      <c r="E78" s="1247">
        <v>8.9999999999999993E-3</v>
      </c>
      <c r="F78" s="1247">
        <v>0.94</v>
      </c>
    </row>
    <row r="79" spans="1:12" s="602" customFormat="1" hidden="1" outlineLevel="1" x14ac:dyDescent="0.35">
      <c r="A79" s="1319"/>
      <c r="B79" s="371" t="s">
        <v>5896</v>
      </c>
      <c r="C79" s="371"/>
      <c r="D79" s="371"/>
      <c r="E79" s="1247">
        <v>4.4999999999999998E-2</v>
      </c>
      <c r="F79" s="1247">
        <v>1.1499999999999999</v>
      </c>
      <c r="H79" s="311">
        <f>1-I79</f>
        <v>1</v>
      </c>
      <c r="I79" s="311">
        <f>C61</f>
        <v>0</v>
      </c>
      <c r="K79" s="311">
        <f>H79</f>
        <v>1</v>
      </c>
      <c r="L79" s="311">
        <f>I79</f>
        <v>0</v>
      </c>
    </row>
    <row r="80" spans="1:12" s="602" customFormat="1" hidden="1" outlineLevel="1" x14ac:dyDescent="0.35">
      <c r="A80" s="1319"/>
      <c r="B80" s="371" t="s">
        <v>5878</v>
      </c>
      <c r="C80" s="371"/>
      <c r="D80" s="371"/>
      <c r="E80" s="1247">
        <v>0.26200000000000001</v>
      </c>
      <c r="F80" s="1247">
        <v>1.17</v>
      </c>
      <c r="H80" s="1377">
        <v>2030</v>
      </c>
      <c r="I80" s="1377">
        <v>2050</v>
      </c>
      <c r="J80" s="601"/>
      <c r="K80" s="1377">
        <v>2030</v>
      </c>
      <c r="L80" s="1377">
        <v>2050</v>
      </c>
    </row>
    <row r="81" spans="1:12" s="602" customFormat="1" hidden="1" outlineLevel="1" x14ac:dyDescent="0.35">
      <c r="A81" s="1319"/>
      <c r="B81" s="371" t="s">
        <v>5902</v>
      </c>
      <c r="C81" s="371"/>
      <c r="D81" s="371"/>
      <c r="E81" s="1380">
        <f>H81*$H$79+I81*$I$79</f>
        <v>0.158</v>
      </c>
      <c r="F81" s="1378">
        <f>K81*$K$79+L81*$L$79</f>
        <v>1.67</v>
      </c>
      <c r="H81" s="1247">
        <v>0.158</v>
      </c>
      <c r="I81" s="1247">
        <v>4.2000000000000003E-2</v>
      </c>
      <c r="K81" s="1247">
        <v>1.67</v>
      </c>
      <c r="L81" s="1247">
        <v>1.99</v>
      </c>
    </row>
    <row r="82" spans="1:12" s="602" customFormat="1" hidden="1" outlineLevel="1" x14ac:dyDescent="0.35">
      <c r="A82" s="1319"/>
      <c r="B82" s="371" t="s">
        <v>5903</v>
      </c>
      <c r="C82" s="371"/>
      <c r="D82" s="371"/>
      <c r="E82" s="1380">
        <f t="shared" ref="E82:E83" si="15">H82*$H$79+I82*$I$79</f>
        <v>0.224</v>
      </c>
      <c r="F82" s="1378">
        <f t="shared" ref="F82:F83" si="16">K82*$K$79+L82*$L$79</f>
        <v>1.79</v>
      </c>
      <c r="H82" s="1247">
        <v>0.224</v>
      </c>
      <c r="I82" s="1247">
        <v>6.5000000000000002E-2</v>
      </c>
      <c r="K82" s="1378">
        <v>1.79</v>
      </c>
      <c r="L82" s="1378">
        <v>2.2000000000000002</v>
      </c>
    </row>
    <row r="83" spans="1:12" s="602" customFormat="1" hidden="1" outlineLevel="1" x14ac:dyDescent="0.35">
      <c r="A83" s="1319"/>
      <c r="B83" s="371" t="s">
        <v>5904</v>
      </c>
      <c r="C83" s="371"/>
      <c r="D83" s="371"/>
      <c r="E83" s="1380">
        <f t="shared" si="15"/>
        <v>9.6000000000000002E-2</v>
      </c>
      <c r="F83" s="1378">
        <f t="shared" si="16"/>
        <v>1.61</v>
      </c>
      <c r="H83" s="1247">
        <v>9.6000000000000002E-2</v>
      </c>
      <c r="I83" s="1247">
        <v>3.6999999999999998E-2</v>
      </c>
      <c r="K83" s="1247">
        <v>1.61</v>
      </c>
      <c r="L83" s="1247">
        <v>1.79</v>
      </c>
    </row>
    <row r="84" spans="1:12" s="602" customFormat="1" collapsed="1" x14ac:dyDescent="0.35">
      <c r="A84" s="1319"/>
      <c r="F84" s="658"/>
      <c r="G84" s="1359"/>
      <c r="H84" s="658"/>
    </row>
    <row r="85" spans="1:12" s="602" customFormat="1" x14ac:dyDescent="0.35">
      <c r="A85" s="1319"/>
      <c r="F85" s="658"/>
      <c r="G85" s="1359"/>
      <c r="H85" s="658"/>
    </row>
    <row r="86" spans="1:12" s="602" customFormat="1" x14ac:dyDescent="0.35">
      <c r="A86" s="1319"/>
      <c r="F86" s="601"/>
    </row>
    <row r="87" spans="1:12" s="602" customFormat="1" x14ac:dyDescent="0.35">
      <c r="A87" s="1319"/>
      <c r="F87" s="601"/>
    </row>
    <row r="88" spans="1:12" s="602" customFormat="1" x14ac:dyDescent="0.35">
      <c r="A88" s="1319"/>
      <c r="F88" s="601"/>
    </row>
    <row r="89" spans="1:12" s="602" customFormat="1" x14ac:dyDescent="0.35">
      <c r="A89" s="1319"/>
      <c r="F89" s="601"/>
    </row>
    <row r="90" spans="1:12" s="602" customFormat="1" x14ac:dyDescent="0.35">
      <c r="A90" s="1319"/>
      <c r="F90" s="601"/>
    </row>
    <row r="91" spans="1:12" s="602" customFormat="1" x14ac:dyDescent="0.35">
      <c r="A91" s="1319"/>
      <c r="F91" s="601"/>
    </row>
    <row r="92" spans="1:12" s="602" customFormat="1" x14ac:dyDescent="0.35">
      <c r="A92" s="1319"/>
      <c r="F92" s="601"/>
    </row>
    <row r="93" spans="1:12" s="602" customFormat="1" x14ac:dyDescent="0.35">
      <c r="A93" s="1319"/>
      <c r="F93" s="601"/>
    </row>
    <row r="94" spans="1:12" s="602" customFormat="1" x14ac:dyDescent="0.35">
      <c r="A94" s="1319"/>
      <c r="F94" s="601"/>
    </row>
    <row r="95" spans="1:12" s="602" customFormat="1" x14ac:dyDescent="0.35">
      <c r="A95" s="1319"/>
      <c r="F95" s="601"/>
    </row>
    <row r="96" spans="1:12" s="602" customFormat="1" x14ac:dyDescent="0.35">
      <c r="A96" s="1319"/>
      <c r="F96" s="601"/>
    </row>
    <row r="97" spans="1:6" s="602" customFormat="1" x14ac:dyDescent="0.35">
      <c r="A97" s="1319"/>
      <c r="F97" s="601"/>
    </row>
    <row r="98" spans="1:6" s="602" customFormat="1" x14ac:dyDescent="0.35">
      <c r="A98" s="1319"/>
      <c r="F98" s="601"/>
    </row>
    <row r="99" spans="1:6" s="602" customFormat="1" x14ac:dyDescent="0.35">
      <c r="A99" s="1319"/>
      <c r="F99" s="601"/>
    </row>
    <row r="100" spans="1:6" s="602" customFormat="1" x14ac:dyDescent="0.35">
      <c r="A100" s="1319"/>
      <c r="F100" s="601"/>
    </row>
    <row r="101" spans="1:6" s="602" customFormat="1" x14ac:dyDescent="0.35">
      <c r="A101" s="1319"/>
      <c r="F101" s="601"/>
    </row>
    <row r="102" spans="1:6" s="602" customFormat="1" x14ac:dyDescent="0.35">
      <c r="A102" s="1319"/>
      <c r="F102" s="601"/>
    </row>
    <row r="103" spans="1:6" s="602" customFormat="1" x14ac:dyDescent="0.35">
      <c r="A103" s="1319"/>
      <c r="F103" s="601"/>
    </row>
    <row r="104" spans="1:6" s="602" customFormat="1" x14ac:dyDescent="0.35">
      <c r="A104" s="1319"/>
      <c r="F104" s="601"/>
    </row>
    <row r="105" spans="1:6" s="602" customFormat="1" x14ac:dyDescent="0.35">
      <c r="A105" s="1319"/>
      <c r="F105" s="601"/>
    </row>
    <row r="106" spans="1:6" s="602" customFormat="1" x14ac:dyDescent="0.35">
      <c r="A106" s="1319"/>
      <c r="F106" s="601"/>
    </row>
    <row r="107" spans="1:6" s="602" customFormat="1" x14ac:dyDescent="0.35">
      <c r="A107" s="1319"/>
      <c r="F107" s="601"/>
    </row>
    <row r="108" spans="1:6" s="602" customFormat="1" x14ac:dyDescent="0.35">
      <c r="A108" s="1319"/>
      <c r="F108" s="601"/>
    </row>
    <row r="109" spans="1:6" s="602" customFormat="1" x14ac:dyDescent="0.35">
      <c r="A109" s="1319"/>
      <c r="F109" s="601"/>
    </row>
    <row r="110" spans="1:6" s="602" customFormat="1" x14ac:dyDescent="0.35">
      <c r="A110" s="1319"/>
      <c r="F110" s="601"/>
    </row>
    <row r="111" spans="1:6" s="602" customFormat="1" x14ac:dyDescent="0.35">
      <c r="A111" s="1319"/>
      <c r="F111" s="601"/>
    </row>
    <row r="112" spans="1:6" s="602" customFormat="1" x14ac:dyDescent="0.35">
      <c r="A112" s="1319"/>
      <c r="F112" s="601"/>
    </row>
    <row r="113" spans="1:6" s="602" customFormat="1" x14ac:dyDescent="0.35">
      <c r="A113" s="1319"/>
      <c r="F113" s="601"/>
    </row>
    <row r="114" spans="1:6" s="602" customFormat="1" x14ac:dyDescent="0.35">
      <c r="A114" s="1319"/>
      <c r="F114" s="601"/>
    </row>
    <row r="115" spans="1:6" s="602" customFormat="1" x14ac:dyDescent="0.35">
      <c r="A115" s="1319"/>
      <c r="F115" s="601"/>
    </row>
    <row r="116" spans="1:6" s="602" customFormat="1" x14ac:dyDescent="0.35">
      <c r="A116" s="1319"/>
      <c r="F116" s="601"/>
    </row>
    <row r="117" spans="1:6" s="602" customFormat="1" x14ac:dyDescent="0.35">
      <c r="A117" s="1319"/>
      <c r="F117" s="601"/>
    </row>
    <row r="118" spans="1:6" s="602" customFormat="1" x14ac:dyDescent="0.35">
      <c r="A118" s="1319"/>
      <c r="F118" s="601"/>
    </row>
    <row r="119" spans="1:6" s="602" customFormat="1" x14ac:dyDescent="0.35">
      <c r="A119" s="1319"/>
      <c r="F119" s="601"/>
    </row>
    <row r="120" spans="1:6" s="602" customFormat="1" x14ac:dyDescent="0.35">
      <c r="A120" s="1319"/>
      <c r="F120" s="601"/>
    </row>
    <row r="121" spans="1:6" s="602" customFormat="1" x14ac:dyDescent="0.35">
      <c r="A121" s="1319"/>
      <c r="F121" s="601"/>
    </row>
    <row r="122" spans="1:6" s="602" customFormat="1" x14ac:dyDescent="0.35">
      <c r="A122" s="1319"/>
      <c r="F122" s="601"/>
    </row>
    <row r="123" spans="1:6" s="602" customFormat="1" x14ac:dyDescent="0.35">
      <c r="A123" s="1319"/>
      <c r="F123" s="601"/>
    </row>
    <row r="124" spans="1:6" s="602" customFormat="1" x14ac:dyDescent="0.35">
      <c r="A124" s="1319"/>
      <c r="F124" s="601"/>
    </row>
    <row r="125" spans="1:6" s="602" customFormat="1" x14ac:dyDescent="0.35">
      <c r="A125" s="1319"/>
      <c r="F125" s="601"/>
    </row>
    <row r="126" spans="1:6" s="602" customFormat="1" x14ac:dyDescent="0.35">
      <c r="A126" s="1319"/>
      <c r="F126" s="601"/>
    </row>
    <row r="127" spans="1:6" s="602" customFormat="1" x14ac:dyDescent="0.35">
      <c r="A127" s="1319"/>
      <c r="F127" s="601"/>
    </row>
    <row r="128" spans="1:6" s="602" customFormat="1" x14ac:dyDescent="0.35">
      <c r="A128" s="1319"/>
      <c r="F128" s="601"/>
    </row>
    <row r="129" spans="1:6" s="602" customFormat="1" x14ac:dyDescent="0.35">
      <c r="A129" s="1319"/>
      <c r="F129" s="601"/>
    </row>
    <row r="130" spans="1:6" s="602" customFormat="1" x14ac:dyDescent="0.35">
      <c r="A130" s="1319"/>
      <c r="F130" s="601"/>
    </row>
    <row r="131" spans="1:6" s="602" customFormat="1" x14ac:dyDescent="0.35">
      <c r="A131" s="1319"/>
      <c r="F131" s="601"/>
    </row>
    <row r="132" spans="1:6" s="602" customFormat="1" x14ac:dyDescent="0.35">
      <c r="A132" s="1319"/>
      <c r="F132" s="601"/>
    </row>
    <row r="133" spans="1:6" s="602" customFormat="1" x14ac:dyDescent="0.35">
      <c r="A133" s="1319"/>
      <c r="F133" s="601"/>
    </row>
    <row r="134" spans="1:6" s="602" customFormat="1" x14ac:dyDescent="0.35">
      <c r="A134" s="1319"/>
      <c r="F134" s="601"/>
    </row>
    <row r="135" spans="1:6" s="602" customFormat="1" x14ac:dyDescent="0.35">
      <c r="A135" s="1319"/>
      <c r="F135" s="601"/>
    </row>
    <row r="136" spans="1:6" s="602" customFormat="1" x14ac:dyDescent="0.35">
      <c r="A136" s="1319"/>
      <c r="F136" s="601"/>
    </row>
    <row r="137" spans="1:6" s="602" customFormat="1" x14ac:dyDescent="0.35">
      <c r="A137" s="1319"/>
      <c r="F137" s="601"/>
    </row>
    <row r="138" spans="1:6" s="602" customFormat="1" x14ac:dyDescent="0.35">
      <c r="A138" s="1319"/>
      <c r="F138" s="601"/>
    </row>
    <row r="139" spans="1:6" s="602" customFormat="1" x14ac:dyDescent="0.35">
      <c r="A139" s="1319"/>
      <c r="F139" s="601"/>
    </row>
    <row r="140" spans="1:6" s="602" customFormat="1" x14ac:dyDescent="0.35">
      <c r="A140" s="1319"/>
      <c r="F140" s="601"/>
    </row>
    <row r="141" spans="1:6" s="602" customFormat="1" x14ac:dyDescent="0.35">
      <c r="A141" s="1319"/>
      <c r="F141" s="601"/>
    </row>
    <row r="142" spans="1:6" s="602" customFormat="1" x14ac:dyDescent="0.35">
      <c r="A142" s="1319"/>
      <c r="F142" s="601"/>
    </row>
    <row r="143" spans="1:6" s="602" customFormat="1" x14ac:dyDescent="0.35">
      <c r="A143" s="1319"/>
      <c r="F143" s="601"/>
    </row>
    <row r="144" spans="1:6" s="602" customFormat="1" x14ac:dyDescent="0.35">
      <c r="A144" s="1319"/>
      <c r="F144" s="601"/>
    </row>
    <row r="145" spans="1:6" s="602" customFormat="1" x14ac:dyDescent="0.35">
      <c r="A145" s="1319"/>
      <c r="F145" s="601"/>
    </row>
    <row r="146" spans="1:6" s="602" customFormat="1" x14ac:dyDescent="0.35">
      <c r="A146" s="1319"/>
      <c r="F146" s="601"/>
    </row>
    <row r="147" spans="1:6" s="602" customFormat="1" x14ac:dyDescent="0.35">
      <c r="A147" s="1319"/>
      <c r="F147" s="601"/>
    </row>
    <row r="148" spans="1:6" s="602" customFormat="1" x14ac:dyDescent="0.35">
      <c r="A148" s="1319"/>
      <c r="F148" s="601"/>
    </row>
    <row r="149" spans="1:6" s="602" customFormat="1" x14ac:dyDescent="0.35">
      <c r="A149" s="1319"/>
      <c r="F149" s="601"/>
    </row>
    <row r="150" spans="1:6" s="602" customFormat="1" x14ac:dyDescent="0.35">
      <c r="A150" s="1319"/>
      <c r="F150" s="601"/>
    </row>
    <row r="151" spans="1:6" s="602" customFormat="1" x14ac:dyDescent="0.35">
      <c r="A151" s="1319"/>
      <c r="F151" s="601"/>
    </row>
    <row r="152" spans="1:6" s="602" customFormat="1" x14ac:dyDescent="0.35">
      <c r="A152" s="1319"/>
      <c r="F152" s="601"/>
    </row>
    <row r="153" spans="1:6" s="602" customFormat="1" x14ac:dyDescent="0.35">
      <c r="A153" s="1319"/>
      <c r="F153" s="601"/>
    </row>
    <row r="154" spans="1:6" s="602" customFormat="1" x14ac:dyDescent="0.35">
      <c r="A154" s="1319"/>
      <c r="F154" s="601"/>
    </row>
    <row r="155" spans="1:6" s="602" customFormat="1" x14ac:dyDescent="0.35">
      <c r="A155" s="1319"/>
      <c r="F155" s="601"/>
    </row>
    <row r="156" spans="1:6" s="602" customFormat="1" x14ac:dyDescent="0.35">
      <c r="A156" s="1319"/>
      <c r="F156" s="601"/>
    </row>
  </sheetData>
  <mergeCells count="1">
    <mergeCell ref="B4:J4"/>
  </mergeCells>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71D7A"/>
  </sheetPr>
  <dimension ref="B1:L50"/>
  <sheetViews>
    <sheetView workbookViewId="0"/>
  </sheetViews>
  <sheetFormatPr baseColWidth="10" defaultColWidth="11" defaultRowHeight="14.5" outlineLevelRow="1" x14ac:dyDescent="0.35"/>
  <cols>
    <col min="1" max="1" width="3.5" style="550" customWidth="1"/>
    <col min="2" max="2" width="33.5" style="550" customWidth="1"/>
    <col min="3" max="7" width="16.58203125" style="550" customWidth="1"/>
    <col min="8" max="16384" width="11" style="550"/>
  </cols>
  <sheetData>
    <row r="1" spans="2:12" ht="15" customHeight="1" x14ac:dyDescent="0.5">
      <c r="B1" s="1312"/>
    </row>
    <row r="2" spans="2:12" s="62" customFormat="1" ht="18.5" x14ac:dyDescent="0.45">
      <c r="B2" s="1381" t="s">
        <v>5947</v>
      </c>
      <c r="C2" s="1382"/>
      <c r="D2" s="1382"/>
      <c r="E2" s="1382"/>
      <c r="F2" s="1406"/>
      <c r="G2" s="1406"/>
    </row>
    <row r="3" spans="2:12" ht="15.5" x14ac:dyDescent="0.35">
      <c r="B3" s="315"/>
      <c r="C3" s="1325"/>
      <c r="D3" s="1325"/>
      <c r="E3" s="1325"/>
    </row>
    <row r="4" spans="2:12" ht="45" customHeight="1" x14ac:dyDescent="0.35">
      <c r="B4" s="1742" t="s">
        <v>5793</v>
      </c>
      <c r="C4" s="1742"/>
      <c r="D4" s="1742"/>
      <c r="E4" s="1742"/>
      <c r="F4" s="1742"/>
      <c r="G4" s="1742"/>
    </row>
    <row r="5" spans="2:12" ht="15" customHeight="1" x14ac:dyDescent="0.5">
      <c r="B5" s="1312"/>
    </row>
    <row r="6" spans="2:12" s="62" customFormat="1" ht="18.5" x14ac:dyDescent="0.45">
      <c r="B6" s="1383" t="s">
        <v>5794</v>
      </c>
      <c r="C6" s="1384"/>
      <c r="D6" s="1384"/>
      <c r="E6" s="1384"/>
      <c r="F6" s="1406"/>
      <c r="G6" s="1406"/>
    </row>
    <row r="7" spans="2:12" s="208" customFormat="1" ht="15" customHeight="1" x14ac:dyDescent="0.35">
      <c r="B7" s="315"/>
    </row>
    <row r="8" spans="2:12" ht="15" customHeight="1" x14ac:dyDescent="0.35">
      <c r="B8" s="602" t="s">
        <v>5948</v>
      </c>
      <c r="E8" s="1314" t="s">
        <v>5949</v>
      </c>
    </row>
    <row r="9" spans="2:12" x14ac:dyDescent="0.35">
      <c r="B9" s="602" t="s">
        <v>5950</v>
      </c>
    </row>
    <row r="11" spans="2:12" s="62" customFormat="1" ht="18.5" x14ac:dyDescent="0.45">
      <c r="B11" s="1407" t="s">
        <v>5951</v>
      </c>
      <c r="C11" s="1407"/>
      <c r="D11" s="1407"/>
      <c r="E11" s="1407"/>
      <c r="F11" s="1406"/>
      <c r="G11" s="1406"/>
    </row>
    <row r="12" spans="2:12" s="1282" customFormat="1" ht="18.5" x14ac:dyDescent="0.45">
      <c r="B12" s="1298"/>
      <c r="C12" s="1408"/>
      <c r="D12" s="1408"/>
      <c r="E12" s="1408"/>
      <c r="G12" s="1409"/>
      <c r="H12" s="1409"/>
      <c r="I12" s="1409"/>
      <c r="J12" s="1409"/>
      <c r="K12" s="1409"/>
      <c r="L12" s="1409"/>
    </row>
    <row r="13" spans="2:12" s="674" customFormat="1" ht="43.5" x14ac:dyDescent="0.35">
      <c r="B13" s="1283" t="s">
        <v>5032</v>
      </c>
      <c r="C13" s="980" t="s">
        <v>5952</v>
      </c>
      <c r="D13" s="980" t="s">
        <v>5953</v>
      </c>
      <c r="E13" s="299" t="s">
        <v>5954</v>
      </c>
      <c r="F13" s="1315" t="s">
        <v>5955</v>
      </c>
      <c r="G13" s="1315" t="s">
        <v>5956</v>
      </c>
      <c r="I13" s="1410"/>
      <c r="J13" s="662"/>
      <c r="K13" s="662"/>
      <c r="L13" s="662"/>
    </row>
    <row r="14" spans="2:12" x14ac:dyDescent="0.35">
      <c r="B14" s="1316">
        <f>'RH Gebäude'!B5</f>
        <v>0</v>
      </c>
      <c r="C14" s="1495">
        <f>'RH Wärme-Strom'!H108</f>
        <v>0</v>
      </c>
      <c r="D14" s="1411">
        <f>C14/1000*6</f>
        <v>0</v>
      </c>
      <c r="E14" s="667"/>
      <c r="F14" s="1300" t="str">
        <f>IFERROR(VLOOKUP(E14,$B$45:$D$49,2,0)/20*D14,"")</f>
        <v/>
      </c>
      <c r="G14" s="1300" t="str">
        <f>IFERROR(VLOOKUP(E14,$B$45:$D$49,3,0)/20*D14,"")</f>
        <v/>
      </c>
      <c r="I14" s="602"/>
      <c r="J14" s="602"/>
      <c r="K14" s="602"/>
      <c r="L14" s="602"/>
    </row>
    <row r="15" spans="2:12" x14ac:dyDescent="0.35">
      <c r="B15" s="1316">
        <f>'RH Gebäude'!B6</f>
        <v>0</v>
      </c>
      <c r="C15" s="1495">
        <f>'RH Wärme-Strom'!H109</f>
        <v>0</v>
      </c>
      <c r="D15" s="1411">
        <f t="shared" ref="D15:D28" si="0">C15/1000*6</f>
        <v>0</v>
      </c>
      <c r="E15" s="667"/>
      <c r="F15" s="1300" t="str">
        <f t="shared" ref="F15:F28" si="1">IFERROR(VLOOKUP(E15,$B$45:$D$49,2,0)/20*D15,"")</f>
        <v/>
      </c>
      <c r="G15" s="1300" t="str">
        <f t="shared" ref="G15:G28" si="2">IFERROR(VLOOKUP(E15,$B$45:$D$49,3,0)/20*D15,"")</f>
        <v/>
      </c>
      <c r="I15" s="602"/>
      <c r="J15" s="602"/>
      <c r="K15" s="602"/>
      <c r="L15" s="602"/>
    </row>
    <row r="16" spans="2:12" x14ac:dyDescent="0.35">
      <c r="B16" s="1316">
        <f>'RH Gebäude'!B7</f>
        <v>0</v>
      </c>
      <c r="C16" s="1495">
        <f>'RH Wärme-Strom'!H110</f>
        <v>0</v>
      </c>
      <c r="D16" s="1411">
        <f t="shared" si="0"/>
        <v>0</v>
      </c>
      <c r="E16" s="667"/>
      <c r="F16" s="1300" t="str">
        <f t="shared" si="1"/>
        <v/>
      </c>
      <c r="G16" s="1300" t="str">
        <f t="shared" si="2"/>
        <v/>
      </c>
      <c r="I16" s="602"/>
      <c r="J16" s="602"/>
      <c r="K16" s="602"/>
      <c r="L16" s="602"/>
    </row>
    <row r="17" spans="2:12" x14ac:dyDescent="0.35">
      <c r="B17" s="1316">
        <f>'RH Gebäude'!B8</f>
        <v>0</v>
      </c>
      <c r="C17" s="1495">
        <f>'RH Wärme-Strom'!H111</f>
        <v>0</v>
      </c>
      <c r="D17" s="1411">
        <f t="shared" si="0"/>
        <v>0</v>
      </c>
      <c r="E17" s="667"/>
      <c r="F17" s="1300" t="str">
        <f t="shared" si="1"/>
        <v/>
      </c>
      <c r="G17" s="1300" t="str">
        <f t="shared" si="2"/>
        <v/>
      </c>
      <c r="I17" s="602"/>
      <c r="J17" s="602"/>
      <c r="K17" s="602"/>
      <c r="L17" s="602"/>
    </row>
    <row r="18" spans="2:12" x14ac:dyDescent="0.35">
      <c r="B18" s="1316">
        <f>'RH Gebäude'!B9</f>
        <v>0</v>
      </c>
      <c r="C18" s="1495">
        <f>'RH Wärme-Strom'!H112</f>
        <v>0</v>
      </c>
      <c r="D18" s="1411">
        <f t="shared" si="0"/>
        <v>0</v>
      </c>
      <c r="E18" s="667"/>
      <c r="F18" s="1300" t="str">
        <f t="shared" si="1"/>
        <v/>
      </c>
      <c r="G18" s="1300" t="str">
        <f t="shared" si="2"/>
        <v/>
      </c>
      <c r="I18" s="602"/>
      <c r="J18" s="602"/>
      <c r="K18" s="602"/>
      <c r="L18" s="602"/>
    </row>
    <row r="19" spans="2:12" x14ac:dyDescent="0.35">
      <c r="B19" s="1316">
        <f>'RH Gebäude'!B10</f>
        <v>0</v>
      </c>
      <c r="C19" s="1495">
        <f>'RH Wärme-Strom'!H113</f>
        <v>0</v>
      </c>
      <c r="D19" s="1411">
        <f t="shared" si="0"/>
        <v>0</v>
      </c>
      <c r="E19" s="667"/>
      <c r="F19" s="1300" t="str">
        <f t="shared" si="1"/>
        <v/>
      </c>
      <c r="G19" s="1300" t="str">
        <f t="shared" si="2"/>
        <v/>
      </c>
      <c r="I19" s="602"/>
      <c r="J19" s="602"/>
      <c r="K19" s="602"/>
      <c r="L19" s="602"/>
    </row>
    <row r="20" spans="2:12" x14ac:dyDescent="0.35">
      <c r="B20" s="1316">
        <f>'RH Gebäude'!B11</f>
        <v>0</v>
      </c>
      <c r="C20" s="1495">
        <f>'RH Wärme-Strom'!H114</f>
        <v>0</v>
      </c>
      <c r="D20" s="1411">
        <f t="shared" si="0"/>
        <v>0</v>
      </c>
      <c r="E20" s="667"/>
      <c r="F20" s="1300" t="str">
        <f t="shared" si="1"/>
        <v/>
      </c>
      <c r="G20" s="1300" t="str">
        <f t="shared" si="2"/>
        <v/>
      </c>
      <c r="I20" s="602"/>
      <c r="J20" s="602"/>
      <c r="K20" s="602"/>
      <c r="L20" s="602"/>
    </row>
    <row r="21" spans="2:12" x14ac:dyDescent="0.35">
      <c r="B21" s="1316">
        <f>'RH Gebäude'!B12</f>
        <v>0</v>
      </c>
      <c r="C21" s="1495">
        <f>'RH Wärme-Strom'!H115</f>
        <v>0</v>
      </c>
      <c r="D21" s="1411">
        <f t="shared" si="0"/>
        <v>0</v>
      </c>
      <c r="E21" s="667"/>
      <c r="F21" s="1300" t="str">
        <f t="shared" si="1"/>
        <v/>
      </c>
      <c r="G21" s="1300" t="str">
        <f t="shared" si="2"/>
        <v/>
      </c>
    </row>
    <row r="22" spans="2:12" x14ac:dyDescent="0.35">
      <c r="B22" s="1316">
        <f>'RH Gebäude'!B13</f>
        <v>0</v>
      </c>
      <c r="C22" s="1495">
        <f>'RH Wärme-Strom'!H116</f>
        <v>0</v>
      </c>
      <c r="D22" s="1411">
        <f t="shared" si="0"/>
        <v>0</v>
      </c>
      <c r="E22" s="667"/>
      <c r="F22" s="1300" t="str">
        <f t="shared" si="1"/>
        <v/>
      </c>
      <c r="G22" s="1300" t="str">
        <f t="shared" si="2"/>
        <v/>
      </c>
    </row>
    <row r="23" spans="2:12" x14ac:dyDescent="0.35">
      <c r="B23" s="1316">
        <f>'RH Gebäude'!B14</f>
        <v>0</v>
      </c>
      <c r="C23" s="1495">
        <f>'RH Wärme-Strom'!H117</f>
        <v>0</v>
      </c>
      <c r="D23" s="1411">
        <f t="shared" si="0"/>
        <v>0</v>
      </c>
      <c r="E23" s="667"/>
      <c r="F23" s="1300" t="str">
        <f t="shared" si="1"/>
        <v/>
      </c>
      <c r="G23" s="1300" t="str">
        <f t="shared" si="2"/>
        <v/>
      </c>
    </row>
    <row r="24" spans="2:12" x14ac:dyDescent="0.35">
      <c r="B24" s="1316">
        <f>'RH Gebäude'!B15</f>
        <v>0</v>
      </c>
      <c r="C24" s="1495">
        <f>'RH Wärme-Strom'!H118</f>
        <v>0</v>
      </c>
      <c r="D24" s="1411">
        <f t="shared" si="0"/>
        <v>0</v>
      </c>
      <c r="E24" s="667"/>
      <c r="F24" s="1300" t="str">
        <f t="shared" si="1"/>
        <v/>
      </c>
      <c r="G24" s="1300" t="str">
        <f t="shared" si="2"/>
        <v/>
      </c>
    </row>
    <row r="25" spans="2:12" x14ac:dyDescent="0.35">
      <c r="B25" s="1316">
        <f>'RH Gebäude'!B16</f>
        <v>0</v>
      </c>
      <c r="C25" s="1495">
        <f>'RH Wärme-Strom'!H119</f>
        <v>0</v>
      </c>
      <c r="D25" s="1411">
        <f t="shared" si="0"/>
        <v>0</v>
      </c>
      <c r="E25" s="667"/>
      <c r="F25" s="1300" t="str">
        <f t="shared" si="1"/>
        <v/>
      </c>
      <c r="G25" s="1300" t="str">
        <f t="shared" si="2"/>
        <v/>
      </c>
    </row>
    <row r="26" spans="2:12" x14ac:dyDescent="0.35">
      <c r="B26" s="1316">
        <f>'RH Gebäude'!B17</f>
        <v>0</v>
      </c>
      <c r="C26" s="1495">
        <f>'RH Wärme-Strom'!H120</f>
        <v>0</v>
      </c>
      <c r="D26" s="1411">
        <f t="shared" si="0"/>
        <v>0</v>
      </c>
      <c r="E26" s="667"/>
      <c r="F26" s="1300" t="str">
        <f t="shared" si="1"/>
        <v/>
      </c>
      <c r="G26" s="1300" t="str">
        <f t="shared" si="2"/>
        <v/>
      </c>
    </row>
    <row r="27" spans="2:12" x14ac:dyDescent="0.35">
      <c r="B27" s="1316">
        <f>'RH Gebäude'!B18</f>
        <v>0</v>
      </c>
      <c r="C27" s="1495">
        <f>'RH Wärme-Strom'!H121</f>
        <v>0</v>
      </c>
      <c r="D27" s="1411">
        <f t="shared" si="0"/>
        <v>0</v>
      </c>
      <c r="E27" s="667"/>
      <c r="F27" s="1300" t="str">
        <f t="shared" si="1"/>
        <v/>
      </c>
      <c r="G27" s="1300" t="str">
        <f t="shared" si="2"/>
        <v/>
      </c>
    </row>
    <row r="28" spans="2:12" x14ac:dyDescent="0.35">
      <c r="B28" s="1316">
        <f>'RH Gebäude'!B19</f>
        <v>0</v>
      </c>
      <c r="C28" s="1495">
        <f>'RH Wärme-Strom'!H122</f>
        <v>0</v>
      </c>
      <c r="D28" s="1411">
        <f t="shared" si="0"/>
        <v>0</v>
      </c>
      <c r="E28" s="667"/>
      <c r="F28" s="1300" t="str">
        <f t="shared" si="1"/>
        <v/>
      </c>
      <c r="G28" s="1300" t="str">
        <f t="shared" si="2"/>
        <v/>
      </c>
    </row>
    <row r="29" spans="2:12" x14ac:dyDescent="0.35">
      <c r="B29" s="981" t="s">
        <v>5802</v>
      </c>
      <c r="C29" s="1285">
        <f>SUM(C14:C28)</f>
        <v>0</v>
      </c>
      <c r="D29" s="1285"/>
      <c r="E29" s="582"/>
      <c r="F29" s="1285">
        <f t="shared" ref="F29:G29" si="3">SUM(F14:F28)</f>
        <v>0</v>
      </c>
      <c r="G29" s="1285">
        <f t="shared" si="3"/>
        <v>0</v>
      </c>
    </row>
    <row r="30" spans="2:12" x14ac:dyDescent="0.35">
      <c r="B30" s="315"/>
      <c r="C30" s="602"/>
      <c r="D30" s="1412"/>
      <c r="G30" s="1412"/>
      <c r="H30" s="1412"/>
    </row>
    <row r="31" spans="2:12" x14ac:dyDescent="0.35">
      <c r="B31" s="292" t="s">
        <v>5293</v>
      </c>
      <c r="C31" s="292" t="s">
        <v>4359</v>
      </c>
      <c r="D31" s="303">
        <v>2020</v>
      </c>
      <c r="E31" s="303">
        <v>2030</v>
      </c>
    </row>
    <row r="32" spans="2:12" ht="16.5" x14ac:dyDescent="0.45">
      <c r="B32" s="582" t="s">
        <v>5957</v>
      </c>
      <c r="C32" s="582" t="s">
        <v>5958</v>
      </c>
      <c r="D32" s="1358" t="e">
        <f>C29*D41*(-1)/'RH Gebäude'!$F$20</f>
        <v>#DIV/0!</v>
      </c>
      <c r="E32" s="1358" t="e">
        <f>C29*D42*(-1)/'RH Gebäude'!$F$20</f>
        <v>#DIV/0!</v>
      </c>
    </row>
    <row r="33" spans="2:10" ht="17" thickBot="1" x14ac:dyDescent="0.5">
      <c r="B33" s="582" t="s">
        <v>5959</v>
      </c>
      <c r="C33" s="582" t="s">
        <v>5958</v>
      </c>
      <c r="D33" s="1358" t="e">
        <f>F29/'RH Gebäude'!$F$20</f>
        <v>#DIV/0!</v>
      </c>
      <c r="E33" s="1358" t="e">
        <f>D33</f>
        <v>#DIV/0!</v>
      </c>
      <c r="F33" s="359" t="e">
        <f>D33/(D32*(-1))</f>
        <v>#DIV/0!</v>
      </c>
    </row>
    <row r="34" spans="2:10" ht="17" thickBot="1" x14ac:dyDescent="0.5">
      <c r="B34" s="292" t="s">
        <v>5960</v>
      </c>
      <c r="C34" s="1305" t="s">
        <v>5961</v>
      </c>
      <c r="D34" s="1375" t="e">
        <f>D32+D33</f>
        <v>#DIV/0!</v>
      </c>
      <c r="E34" s="1375" t="e">
        <f>E32+E33</f>
        <v>#DIV/0!</v>
      </c>
    </row>
    <row r="35" spans="2:10" x14ac:dyDescent="0.35">
      <c r="B35" s="582" t="s">
        <v>5962</v>
      </c>
      <c r="C35" s="582" t="s">
        <v>5847</v>
      </c>
      <c r="D35" s="1358" t="e">
        <f>C29*E41*(-1)/'RH Gebäude'!$F$20</f>
        <v>#DIV/0!</v>
      </c>
      <c r="E35" s="1358" t="e">
        <f>C29*E42*(-1)/'RH Gebäude'!$F$20</f>
        <v>#DIV/0!</v>
      </c>
    </row>
    <row r="36" spans="2:10" ht="15" thickBot="1" x14ac:dyDescent="0.4">
      <c r="B36" s="582" t="s">
        <v>5963</v>
      </c>
      <c r="C36" s="582" t="s">
        <v>5847</v>
      </c>
      <c r="D36" s="1358" t="e">
        <f>G29/'RH Gebäude'!$F$20</f>
        <v>#DIV/0!</v>
      </c>
      <c r="E36" s="1358" t="e">
        <f>D36</f>
        <v>#DIV/0!</v>
      </c>
      <c r="F36" s="359" t="e">
        <f>D36/(D35*(-1))</f>
        <v>#DIV/0!</v>
      </c>
    </row>
    <row r="37" spans="2:10" ht="15" thickBot="1" x14ac:dyDescent="0.4">
      <c r="B37" s="292" t="s">
        <v>5889</v>
      </c>
      <c r="C37" s="1305" t="s">
        <v>5847</v>
      </c>
      <c r="D37" s="1375" t="e">
        <f>D35+D36</f>
        <v>#DIV/0!</v>
      </c>
      <c r="E37" s="1375" t="e">
        <f>E35+E36</f>
        <v>#DIV/0!</v>
      </c>
    </row>
    <row r="39" spans="2:10" ht="16.5" hidden="1" outlineLevel="1" x14ac:dyDescent="0.45">
      <c r="B39" s="1376" t="s">
        <v>4735</v>
      </c>
      <c r="C39" s="582"/>
      <c r="D39" s="1377" t="s">
        <v>5891</v>
      </c>
      <c r="E39" s="1377" t="s">
        <v>5892</v>
      </c>
    </row>
    <row r="40" spans="2:10" hidden="1" outlineLevel="1" x14ac:dyDescent="0.35">
      <c r="B40" s="371" t="s">
        <v>4929</v>
      </c>
      <c r="C40" s="582"/>
      <c r="D40" s="1247" t="s">
        <v>5893</v>
      </c>
      <c r="E40" s="1247" t="s">
        <v>5894</v>
      </c>
    </row>
    <row r="41" spans="2:10" hidden="1" outlineLevel="1" x14ac:dyDescent="0.35">
      <c r="B41" s="371" t="s">
        <v>5899</v>
      </c>
      <c r="C41" s="582"/>
      <c r="D41" s="1247">
        <v>0.155</v>
      </c>
      <c r="E41" s="1247">
        <v>1.96</v>
      </c>
      <c r="I41" s="218"/>
      <c r="J41" s="218"/>
    </row>
    <row r="42" spans="2:10" hidden="1" outlineLevel="1" x14ac:dyDescent="0.35">
      <c r="B42" s="371" t="s">
        <v>5904</v>
      </c>
      <c r="C42" s="582"/>
      <c r="D42" s="1247">
        <v>9.6000000000000002E-2</v>
      </c>
      <c r="E42" s="1247">
        <v>1.79</v>
      </c>
      <c r="I42" s="672"/>
      <c r="J42" s="672"/>
    </row>
    <row r="43" spans="2:10" hidden="1" outlineLevel="1" x14ac:dyDescent="0.35">
      <c r="I43" s="1412"/>
      <c r="J43" s="1412"/>
    </row>
    <row r="44" spans="2:10" ht="29" hidden="1" outlineLevel="1" x14ac:dyDescent="0.35">
      <c r="B44" s="1307" t="s">
        <v>5954</v>
      </c>
      <c r="C44" s="1174" t="s">
        <v>5964</v>
      </c>
      <c r="D44" s="1174" t="s">
        <v>5965</v>
      </c>
      <c r="E44" s="1174" t="s">
        <v>5966</v>
      </c>
      <c r="I44" s="1412"/>
      <c r="J44" s="1412"/>
    </row>
    <row r="45" spans="2:10" hidden="1" outlineLevel="1" x14ac:dyDescent="0.35">
      <c r="B45" s="371" t="s">
        <v>5967</v>
      </c>
      <c r="C45" s="1413">
        <v>60.9</v>
      </c>
      <c r="D45" s="1413">
        <v>286.55555555555554</v>
      </c>
      <c r="E45" s="1250">
        <v>6.1</v>
      </c>
      <c r="I45" s="1414"/>
      <c r="J45" s="1414"/>
    </row>
    <row r="46" spans="2:10" hidden="1" outlineLevel="1" x14ac:dyDescent="0.35">
      <c r="B46" s="371" t="s">
        <v>5968</v>
      </c>
      <c r="C46" s="1413">
        <v>106</v>
      </c>
      <c r="D46" s="1413">
        <v>519.44444444444446</v>
      </c>
      <c r="E46" s="1250">
        <v>7.8</v>
      </c>
      <c r="I46" s="701"/>
      <c r="J46" s="701"/>
    </row>
    <row r="47" spans="2:10" hidden="1" outlineLevel="1" x14ac:dyDescent="0.35">
      <c r="B47" s="371" t="s">
        <v>5969</v>
      </c>
      <c r="C47" s="1413">
        <v>244</v>
      </c>
      <c r="D47" s="1413">
        <v>1218.8888888888889</v>
      </c>
      <c r="E47" s="1250">
        <v>6.1</v>
      </c>
      <c r="I47" s="1415"/>
      <c r="J47" s="1415"/>
    </row>
    <row r="48" spans="2:10" hidden="1" outlineLevel="1" x14ac:dyDescent="0.35">
      <c r="B48" s="371" t="s">
        <v>5970</v>
      </c>
      <c r="C48" s="1413">
        <v>211</v>
      </c>
      <c r="D48" s="1413">
        <v>1044.7222222222222</v>
      </c>
      <c r="E48" s="1250">
        <v>6.1</v>
      </c>
      <c r="I48" s="1415"/>
      <c r="J48" s="1415"/>
    </row>
    <row r="49" spans="2:5" hidden="1" outlineLevel="1" x14ac:dyDescent="0.35">
      <c r="B49" s="371" t="s">
        <v>5971</v>
      </c>
      <c r="C49" s="1413">
        <v>158</v>
      </c>
      <c r="D49" s="1413">
        <v>769.72222222222217</v>
      </c>
      <c r="E49" s="1250">
        <v>6.1</v>
      </c>
    </row>
    <row r="50" spans="2:5" collapsed="1" x14ac:dyDescent="0.35"/>
  </sheetData>
  <mergeCells count="1">
    <mergeCell ref="B4:G4"/>
  </mergeCells>
  <dataValidations count="1">
    <dataValidation type="list" allowBlank="1" showInputMessage="1" showErrorMessage="1" sqref="E14:E28">
      <formula1>$B$45:$B$49</formula1>
    </dataValidation>
  </dataValidations>
  <hyperlinks>
    <hyperlink ref="E8" r:id="rId1"/>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59C00"/>
  </sheetPr>
  <dimension ref="A2:AD155"/>
  <sheetViews>
    <sheetView zoomScaleNormal="100" workbookViewId="0"/>
  </sheetViews>
  <sheetFormatPr baseColWidth="10" defaultColWidth="11" defaultRowHeight="14.5" outlineLevelRow="1" outlineLevelCol="1" x14ac:dyDescent="0.35"/>
  <cols>
    <col min="1" max="1" width="3.5" style="550" customWidth="1"/>
    <col min="2" max="2" width="36.75" style="550" customWidth="1"/>
    <col min="3" max="3" width="15.58203125" style="672" customWidth="1"/>
    <col min="4" max="4" width="16.58203125" style="672" customWidth="1"/>
    <col min="5" max="5" width="16.58203125" style="551" customWidth="1"/>
    <col min="6" max="10" width="15.58203125" style="551" customWidth="1"/>
    <col min="11" max="15" width="15.58203125" style="1170" customWidth="1"/>
    <col min="16" max="19" width="18.58203125" style="1170" hidden="1" customWidth="1" outlineLevel="1"/>
    <col min="20" max="20" width="9" style="1170" bestFit="1" customWidth="1" collapsed="1"/>
    <col min="21" max="21" width="12" style="550" bestFit="1" customWidth="1"/>
    <col min="22" max="22" width="15.33203125" style="672" bestFit="1" customWidth="1"/>
    <col min="23" max="23" width="13.75" style="672" bestFit="1" customWidth="1"/>
    <col min="24" max="25" width="22.58203125" style="672" customWidth="1"/>
    <col min="26" max="28" width="11" style="550"/>
    <col min="29" max="29" width="51.83203125" style="550" bestFit="1" customWidth="1"/>
    <col min="30" max="30" width="85.33203125" style="561" customWidth="1"/>
    <col min="31" max="16384" width="11" style="550"/>
  </cols>
  <sheetData>
    <row r="2" spans="2:25" ht="21" x14ac:dyDescent="0.5">
      <c r="B2" s="1168" t="s">
        <v>5678</v>
      </c>
      <c r="C2" s="283"/>
      <c r="D2" s="283"/>
      <c r="E2" s="285"/>
      <c r="F2" s="285"/>
      <c r="G2" s="285"/>
      <c r="H2" s="285"/>
      <c r="I2" s="285"/>
      <c r="J2" s="285"/>
      <c r="K2" s="1169"/>
      <c r="L2" s="1169"/>
      <c r="M2" s="1169"/>
      <c r="N2" s="1169"/>
    </row>
    <row r="4" spans="2:25" x14ac:dyDescent="0.35">
      <c r="B4" s="646" t="s">
        <v>32</v>
      </c>
      <c r="C4" s="695" t="str">
        <f>Eckdaten!C5</f>
        <v>Abfaltersbach</v>
      </c>
      <c r="D4" s="526">
        <f>VLOOKUP(C4,Listen!$C$118:$E$2239,3,0)</f>
        <v>22</v>
      </c>
      <c r="E4" s="564"/>
      <c r="F4" s="564"/>
      <c r="G4" s="564"/>
      <c r="H4" s="564"/>
      <c r="I4" s="564"/>
      <c r="J4" s="564"/>
    </row>
    <row r="5" spans="2:25" x14ac:dyDescent="0.35">
      <c r="B5" s="348"/>
      <c r="C5" s="724"/>
      <c r="D5" s="1171"/>
      <c r="E5" s="1172"/>
      <c r="F5" s="1172"/>
      <c r="G5" s="1172"/>
      <c r="H5" s="1172"/>
      <c r="I5" s="1172"/>
      <c r="J5" s="1172"/>
    </row>
    <row r="6" spans="2:25" s="561" customFormat="1" ht="58" x14ac:dyDescent="0.35">
      <c r="B6" s="337" t="s">
        <v>5031</v>
      </c>
      <c r="C6" s="980" t="s">
        <v>5679</v>
      </c>
      <c r="D6" s="301" t="s">
        <v>5680</v>
      </c>
      <c r="E6" s="980" t="s">
        <v>5681</v>
      </c>
      <c r="F6" s="1173" t="s">
        <v>5682</v>
      </c>
      <c r="G6" s="749" t="s">
        <v>5683</v>
      </c>
      <c r="H6" s="1174" t="s">
        <v>5684</v>
      </c>
      <c r="I6" s="346"/>
      <c r="J6" s="346"/>
      <c r="K6" s="1170"/>
      <c r="L6" s="1170"/>
      <c r="M6" s="1170"/>
      <c r="N6" s="1170"/>
      <c r="O6" s="1170"/>
      <c r="P6" s="1170"/>
      <c r="Q6" s="1170"/>
      <c r="R6" s="1170"/>
      <c r="S6" s="1170"/>
      <c r="T6" s="1170"/>
      <c r="V6" s="682"/>
      <c r="W6" s="682"/>
      <c r="X6" s="682"/>
      <c r="Y6" s="682"/>
    </row>
    <row r="7" spans="2:25" x14ac:dyDescent="0.35">
      <c r="B7" s="1175" t="s">
        <v>4344</v>
      </c>
      <c r="C7" s="1493">
        <f>'RH Gebäude'!F23</f>
        <v>0</v>
      </c>
      <c r="D7" s="1176">
        <f>E7*VLOOKUP(D4,Listen!$B$104:$E$114,4,0)</f>
        <v>0</v>
      </c>
      <c r="E7" s="1493">
        <f>'RH Gebäude'!H23</f>
        <v>0</v>
      </c>
      <c r="F7" s="1177" t="e">
        <f>C7/$C$11</f>
        <v>#DIV/0!</v>
      </c>
      <c r="G7" s="1178">
        <f>IFERROR(C7/E7,0)</f>
        <v>0</v>
      </c>
      <c r="H7" s="1179">
        <v>44.3</v>
      </c>
      <c r="I7" s="669"/>
      <c r="J7" s="669"/>
    </row>
    <row r="8" spans="2:25" x14ac:dyDescent="0.35">
      <c r="B8" s="1175" t="s">
        <v>4345</v>
      </c>
      <c r="C8" s="1493">
        <f>'RH Gebäude'!F24</f>
        <v>0</v>
      </c>
      <c r="D8" s="1180">
        <f>E8</f>
        <v>0</v>
      </c>
      <c r="E8" s="1493">
        <f>'RH Gebäude'!H24</f>
        <v>0</v>
      </c>
      <c r="F8" s="1177" t="e">
        <f>C8/$C$11</f>
        <v>#DIV/0!</v>
      </c>
      <c r="G8" s="1178">
        <f t="shared" ref="G8:G10" si="0">IFERROR(C8/E8,0)</f>
        <v>0</v>
      </c>
      <c r="H8" s="1179">
        <v>20</v>
      </c>
      <c r="I8" s="669"/>
      <c r="J8" s="669"/>
    </row>
    <row r="9" spans="2:25" x14ac:dyDescent="0.35">
      <c r="B9" s="1175" t="s">
        <v>5043</v>
      </c>
      <c r="C9" s="1493">
        <f>'RH Gebäude'!F25</f>
        <v>0</v>
      </c>
      <c r="D9" s="1176">
        <f>E9*0.05</f>
        <v>0</v>
      </c>
      <c r="E9" s="1493">
        <f>'RH Gebäude'!H25</f>
        <v>0</v>
      </c>
      <c r="F9" s="1177" t="e">
        <f>C9/$C$11</f>
        <v>#DIV/0!</v>
      </c>
      <c r="G9" s="1178">
        <f t="shared" si="0"/>
        <v>0</v>
      </c>
      <c r="H9" s="1179">
        <v>12</v>
      </c>
      <c r="I9" s="669"/>
      <c r="J9" s="669"/>
    </row>
    <row r="10" spans="2:25" x14ac:dyDescent="0.35">
      <c r="B10" s="1175" t="s">
        <v>5044</v>
      </c>
      <c r="C10" s="1493">
        <f>'RH Gebäude'!F26</f>
        <v>0</v>
      </c>
      <c r="D10" s="1180">
        <f>E10</f>
        <v>0</v>
      </c>
      <c r="E10" s="1493">
        <f>'RH Gebäude'!H26</f>
        <v>0</v>
      </c>
      <c r="F10" s="1177" t="e">
        <f>C10/$C$11</f>
        <v>#DIV/0!</v>
      </c>
      <c r="G10" s="1178">
        <f t="shared" si="0"/>
        <v>0</v>
      </c>
      <c r="H10" s="1179">
        <v>28.5</v>
      </c>
      <c r="I10" s="669"/>
      <c r="J10" s="669"/>
    </row>
    <row r="11" spans="2:25" x14ac:dyDescent="0.35">
      <c r="B11" s="337" t="s">
        <v>11</v>
      </c>
      <c r="C11" s="995">
        <f>SUM(C7:C10)</f>
        <v>0</v>
      </c>
      <c r="D11" s="706">
        <f>SUM(D7:D10)</f>
        <v>0</v>
      </c>
      <c r="E11" s="995">
        <f>SUM(E7:E10)</f>
        <v>0</v>
      </c>
      <c r="F11" s="1181" t="e">
        <f>SUM(F7:F10)</f>
        <v>#DIV/0!</v>
      </c>
      <c r="G11" s="1182" t="e">
        <f>F7*G7+F8*G8+F9*G9+F10*G10</f>
        <v>#DIV/0!</v>
      </c>
      <c r="H11" s="1183" t="e">
        <f>F7*H7+F8*H8+F9*H9+F10*H10</f>
        <v>#DIV/0!</v>
      </c>
      <c r="I11" s="1172"/>
      <c r="J11" s="1172"/>
    </row>
    <row r="12" spans="2:25" x14ac:dyDescent="0.35">
      <c r="B12" s="348"/>
      <c r="C12" s="724"/>
      <c r="D12" s="1171"/>
      <c r="H12" s="1172"/>
      <c r="I12" s="1172"/>
      <c r="J12" s="1172"/>
    </row>
    <row r="13" spans="2:25" ht="21" x14ac:dyDescent="0.35">
      <c r="B13" s="1184" t="s">
        <v>5685</v>
      </c>
      <c r="C13" s="1185"/>
      <c r="D13" s="1186"/>
      <c r="E13" s="1187"/>
      <c r="F13" s="1187"/>
      <c r="G13" s="1187"/>
      <c r="H13" s="1187"/>
      <c r="I13" s="1187"/>
      <c r="J13" s="1187"/>
      <c r="K13" s="1169"/>
      <c r="L13" s="1169"/>
      <c r="M13" s="1169"/>
      <c r="N13" s="1169"/>
    </row>
    <row r="14" spans="2:25" x14ac:dyDescent="0.35">
      <c r="B14" s="348"/>
      <c r="C14" s="724"/>
      <c r="D14" s="1171"/>
      <c r="E14" s="1172"/>
      <c r="F14" s="1172"/>
      <c r="G14" s="1172"/>
      <c r="H14" s="1172"/>
      <c r="I14" s="1172"/>
      <c r="J14" s="1172"/>
    </row>
    <row r="15" spans="2:25" s="561" customFormat="1" x14ac:dyDescent="0.35">
      <c r="B15" s="1188" t="s">
        <v>5686</v>
      </c>
      <c r="C15" s="706" t="s">
        <v>5687</v>
      </c>
      <c r="D15" s="1189" t="s">
        <v>5663</v>
      </c>
      <c r="E15" s="1189" t="s">
        <v>5664</v>
      </c>
      <c r="F15" s="1190" t="s">
        <v>5665</v>
      </c>
      <c r="G15" s="1189" t="s">
        <v>5688</v>
      </c>
      <c r="H15" s="1190" t="s">
        <v>5666</v>
      </c>
      <c r="I15" s="1190" t="s">
        <v>5667</v>
      </c>
      <c r="J15" s="1189" t="s">
        <v>5689</v>
      </c>
      <c r="K15" s="1190" t="s">
        <v>5668</v>
      </c>
      <c r="L15" s="1190" t="s">
        <v>5669</v>
      </c>
      <c r="M15" s="1190" t="s">
        <v>5670</v>
      </c>
      <c r="N15" s="1190" t="s">
        <v>5671</v>
      </c>
      <c r="O15" s="353"/>
      <c r="P15" s="1170"/>
      <c r="Q15" s="1170"/>
      <c r="R15" s="1170"/>
      <c r="S15" s="1170"/>
      <c r="T15" s="1170"/>
      <c r="V15" s="682"/>
      <c r="W15" s="682"/>
      <c r="X15" s="682"/>
      <c r="Y15" s="682"/>
    </row>
    <row r="16" spans="2:25" hidden="1" outlineLevel="1" x14ac:dyDescent="0.35">
      <c r="B16" s="1747" t="s">
        <v>5690</v>
      </c>
      <c r="C16" s="581">
        <v>0</v>
      </c>
      <c r="D16" s="1191">
        <v>0</v>
      </c>
      <c r="E16" s="1191">
        <v>0</v>
      </c>
      <c r="F16" s="1191"/>
      <c r="G16" s="1191">
        <v>0.46</v>
      </c>
      <c r="H16" s="1191"/>
      <c r="I16" s="1191"/>
      <c r="J16" s="1191">
        <v>0</v>
      </c>
      <c r="K16" s="1191"/>
      <c r="L16" s="1191"/>
      <c r="M16" s="1192"/>
      <c r="N16" s="1192"/>
      <c r="O16" s="1193"/>
    </row>
    <row r="17" spans="1:30" ht="17.25" hidden="1" customHeight="1" outlineLevel="1" thickBot="1" x14ac:dyDescent="0.4">
      <c r="B17" s="1748"/>
      <c r="C17" s="1194">
        <v>1</v>
      </c>
      <c r="D17" s="1191">
        <v>0.06</v>
      </c>
      <c r="E17" s="1191">
        <v>0.04</v>
      </c>
      <c r="F17" s="1191"/>
      <c r="G17" s="1191">
        <v>0</v>
      </c>
      <c r="H17" s="1191"/>
      <c r="I17" s="1191"/>
      <c r="J17" s="1191">
        <v>0.36</v>
      </c>
      <c r="K17" s="1191"/>
      <c r="L17" s="1191"/>
      <c r="M17" s="1192"/>
      <c r="N17" s="1192"/>
      <c r="O17" s="1193"/>
    </row>
    <row r="18" spans="1:30" ht="17.25" hidden="1" customHeight="1" outlineLevel="1" x14ac:dyDescent="0.35">
      <c r="A18" s="1195"/>
      <c r="B18" s="1749" t="s">
        <v>5691</v>
      </c>
      <c r="C18" s="581">
        <v>0</v>
      </c>
      <c r="D18" s="1191">
        <v>0</v>
      </c>
      <c r="E18" s="1191">
        <v>0</v>
      </c>
      <c r="F18" s="1191"/>
      <c r="G18" s="1191">
        <v>-0.06</v>
      </c>
      <c r="H18" s="1191"/>
      <c r="I18" s="1191"/>
      <c r="J18" s="1191">
        <v>0</v>
      </c>
      <c r="K18" s="1191"/>
      <c r="L18" s="1191"/>
      <c r="M18" s="1192"/>
      <c r="N18" s="1192"/>
      <c r="O18" s="1193"/>
    </row>
    <row r="19" spans="1:30" ht="17.25" hidden="1" customHeight="1" outlineLevel="1" thickBot="1" x14ac:dyDescent="0.4">
      <c r="A19" s="1195"/>
      <c r="B19" s="1750"/>
      <c r="C19" s="1194">
        <v>1</v>
      </c>
      <c r="D19" s="1191">
        <v>-7.0000000000000007E-2</v>
      </c>
      <c r="E19" s="1191">
        <v>0.17</v>
      </c>
      <c r="F19" s="1191"/>
      <c r="G19" s="1191">
        <v>0</v>
      </c>
      <c r="H19" s="1191"/>
      <c r="I19" s="1191"/>
      <c r="J19" s="1191">
        <v>-0.04</v>
      </c>
      <c r="K19" s="1191"/>
      <c r="L19" s="1191"/>
      <c r="M19" s="1192"/>
      <c r="N19" s="1192"/>
      <c r="O19" s="1193"/>
    </row>
    <row r="20" spans="1:30" ht="17.25" hidden="1" customHeight="1" outlineLevel="1" x14ac:dyDescent="0.35">
      <c r="A20" s="1195"/>
      <c r="B20" s="1749" t="s">
        <v>5692</v>
      </c>
      <c r="C20" s="581">
        <v>0</v>
      </c>
      <c r="D20" s="1191">
        <v>0</v>
      </c>
      <c r="E20" s="1191">
        <v>0</v>
      </c>
      <c r="F20" s="1191"/>
      <c r="G20" s="1191">
        <v>0.24</v>
      </c>
      <c r="H20" s="1191"/>
      <c r="I20" s="1191"/>
      <c r="J20" s="1191">
        <v>0</v>
      </c>
      <c r="K20" s="1191"/>
      <c r="L20" s="1191"/>
      <c r="M20" s="1192"/>
      <c r="N20" s="1192"/>
      <c r="O20" s="1193"/>
    </row>
    <row r="21" spans="1:30" ht="17.25" hidden="1" customHeight="1" outlineLevel="1" thickBot="1" x14ac:dyDescent="0.4">
      <c r="A21" s="1195"/>
      <c r="B21" s="1750"/>
      <c r="C21" s="1194">
        <v>1</v>
      </c>
      <c r="D21" s="1191">
        <v>0.1</v>
      </c>
      <c r="E21" s="1191">
        <v>0.03</v>
      </c>
      <c r="F21" s="1191"/>
      <c r="G21" s="1191">
        <v>0</v>
      </c>
      <c r="H21" s="1191"/>
      <c r="I21" s="1191"/>
      <c r="J21" s="1191">
        <v>0.11</v>
      </c>
      <c r="K21" s="1191"/>
      <c r="L21" s="1191"/>
      <c r="M21" s="1192"/>
      <c r="N21" s="1192"/>
      <c r="O21" s="1193"/>
    </row>
    <row r="22" spans="1:30" ht="17.25" hidden="1" customHeight="1" outlineLevel="1" x14ac:dyDescent="0.35">
      <c r="A22" s="1195"/>
      <c r="B22" s="1749" t="s">
        <v>5693</v>
      </c>
      <c r="C22" s="581">
        <v>0</v>
      </c>
      <c r="D22" s="1191">
        <v>0</v>
      </c>
      <c r="E22" s="1191">
        <v>0</v>
      </c>
      <c r="F22" s="1191"/>
      <c r="G22" s="1191">
        <v>0.1</v>
      </c>
      <c r="H22" s="1191"/>
      <c r="I22" s="1191"/>
      <c r="J22" s="1191">
        <v>0.1</v>
      </c>
      <c r="K22" s="1191"/>
      <c r="L22" s="1191"/>
      <c r="M22" s="1192"/>
      <c r="N22" s="1192"/>
      <c r="O22" s="1193"/>
    </row>
    <row r="23" spans="1:30" ht="17.25" hidden="1" customHeight="1" outlineLevel="1" thickBot="1" x14ac:dyDescent="0.4">
      <c r="A23" s="1195"/>
      <c r="B23" s="1750"/>
      <c r="C23" s="1196">
        <v>1</v>
      </c>
      <c r="D23" s="1191">
        <v>0.1</v>
      </c>
      <c r="E23" s="1191">
        <v>0.1</v>
      </c>
      <c r="F23" s="1191"/>
      <c r="G23" s="1191">
        <v>0</v>
      </c>
      <c r="H23" s="1191"/>
      <c r="I23" s="1191"/>
      <c r="J23" s="1191">
        <v>0</v>
      </c>
      <c r="K23" s="1191"/>
      <c r="L23" s="1191"/>
      <c r="M23" s="1192"/>
      <c r="N23" s="1192"/>
      <c r="O23" s="1193"/>
    </row>
    <row r="24" spans="1:30" s="208" customFormat="1" collapsed="1" x14ac:dyDescent="0.35">
      <c r="A24" s="1197">
        <v>26</v>
      </c>
      <c r="B24" s="1198" t="s">
        <v>5013</v>
      </c>
      <c r="C24" s="1035">
        <f>Qualität_Ergebnis_HF!G135</f>
        <v>0</v>
      </c>
      <c r="D24" s="1199"/>
      <c r="E24" s="1199"/>
      <c r="F24" s="1199"/>
      <c r="G24" s="1199"/>
      <c r="H24" s="1199"/>
      <c r="I24" s="1199"/>
      <c r="J24" s="1199"/>
      <c r="K24" s="1200"/>
      <c r="L24" s="1201"/>
      <c r="M24" s="1202"/>
      <c r="N24" s="1202"/>
      <c r="O24" s="1203"/>
      <c r="P24" s="1204"/>
      <c r="Q24" s="1204"/>
      <c r="R24" s="1205"/>
      <c r="S24" s="1205"/>
      <c r="T24" s="1205"/>
      <c r="V24" s="218"/>
      <c r="W24" s="218"/>
      <c r="X24" s="218"/>
      <c r="Y24" s="218"/>
      <c r="AD24" s="463"/>
    </row>
    <row r="25" spans="1:30" x14ac:dyDescent="0.35">
      <c r="A25" s="1206">
        <f>17/$A$24</f>
        <v>0.65384615384615385</v>
      </c>
      <c r="B25" s="1207" t="s">
        <v>4852</v>
      </c>
      <c r="C25" s="1496">
        <f>Qualität_Ergebnis_HF!G136</f>
        <v>0</v>
      </c>
      <c r="D25" s="1191">
        <f t="shared" ref="D25:E27" si="1">TREND(D$16:D$17,$C$16:$C$17,$C25,1)</f>
        <v>-1.0408340855860843E-17</v>
      </c>
      <c r="E25" s="1191">
        <f t="shared" si="1"/>
        <v>3.4694469519536142E-18</v>
      </c>
      <c r="F25" s="1208"/>
      <c r="G25" s="1191">
        <f>TREND(G$16:G$17,$C$16:$C$17,$C25,1)</f>
        <v>0.46000000000000008</v>
      </c>
      <c r="H25" s="1208" t="e">
        <f>G25*$K$69</f>
        <v>#DIV/0!</v>
      </c>
      <c r="I25" s="1208" t="e">
        <f>G25-H25</f>
        <v>#DIV/0!</v>
      </c>
      <c r="J25" s="1191">
        <f>TREND(J$16:J$17,$C$16:$C$17,$C25,1)</f>
        <v>0</v>
      </c>
      <c r="K25" s="1208" t="e">
        <f>J25*$L$71</f>
        <v>#DIV/0!</v>
      </c>
      <c r="L25" s="1208" t="e">
        <f>J25*$L$72</f>
        <v>#DIV/0!</v>
      </c>
      <c r="M25" s="1208" t="e">
        <f>J25*$L$73</f>
        <v>#DIV/0!</v>
      </c>
      <c r="N25" s="1208" t="e">
        <f>J25*$L$74</f>
        <v>#DIV/0!</v>
      </c>
      <c r="O25" s="366"/>
      <c r="P25" s="1209"/>
      <c r="Q25" s="1209"/>
    </row>
    <row r="26" spans="1:30" x14ac:dyDescent="0.35">
      <c r="A26" s="1206">
        <f>7/$A$24</f>
        <v>0.26923076923076922</v>
      </c>
      <c r="B26" s="1210" t="s">
        <v>5694</v>
      </c>
      <c r="C26" s="1496">
        <f>Qualität_Ergebnis_HF!G137</f>
        <v>0</v>
      </c>
      <c r="D26" s="1191">
        <f t="shared" si="1"/>
        <v>-1.0408340855860843E-17</v>
      </c>
      <c r="E26" s="1191">
        <f t="shared" si="1"/>
        <v>3.4694469519536142E-18</v>
      </c>
      <c r="F26" s="1211"/>
      <c r="G26" s="1191">
        <f>TREND(G$16:G$17,$C$16:$C$17,$C26,1)</f>
        <v>0.46000000000000008</v>
      </c>
      <c r="H26" s="1208" t="e">
        <f>G26*$K$69</f>
        <v>#DIV/0!</v>
      </c>
      <c r="I26" s="1208" t="e">
        <f>G26-H26</f>
        <v>#DIV/0!</v>
      </c>
      <c r="J26" s="1191">
        <f>TREND(J$16:J$17,$C$16:$C$17,$C26,1)</f>
        <v>0</v>
      </c>
      <c r="K26" s="1208" t="e">
        <f>J26*$L$71</f>
        <v>#DIV/0!</v>
      </c>
      <c r="L26" s="1208" t="e">
        <f>J26*$L$72</f>
        <v>#DIV/0!</v>
      </c>
      <c r="M26" s="1208" t="e">
        <f>J26*$L$73</f>
        <v>#DIV/0!</v>
      </c>
      <c r="N26" s="1208" t="e">
        <f>J26*$L$74</f>
        <v>#DIV/0!</v>
      </c>
      <c r="O26" s="366"/>
      <c r="P26" s="1209"/>
      <c r="Q26" s="1209"/>
    </row>
    <row r="27" spans="1:30" ht="15" thickBot="1" x14ac:dyDescent="0.4">
      <c r="A27" s="1206">
        <f>2/$A$24</f>
        <v>7.6923076923076927E-2</v>
      </c>
      <c r="B27" s="1212" t="s">
        <v>5695</v>
      </c>
      <c r="C27" s="1498">
        <f>Qualität_Ergebnis_HF!G138</f>
        <v>0</v>
      </c>
      <c r="D27" s="1191">
        <f t="shared" si="1"/>
        <v>-1.0408340855860843E-17</v>
      </c>
      <c r="E27" s="1191">
        <f t="shared" si="1"/>
        <v>3.4694469519536142E-18</v>
      </c>
      <c r="F27" s="1211"/>
      <c r="G27" s="1191">
        <f>TREND(G$16:G$17,$C$16:$C$17,$C27,1)</f>
        <v>0.46000000000000008</v>
      </c>
      <c r="H27" s="1208" t="e">
        <f>G27*$K$69</f>
        <v>#DIV/0!</v>
      </c>
      <c r="I27" s="1208" t="e">
        <f>G27-H27</f>
        <v>#DIV/0!</v>
      </c>
      <c r="J27" s="1191">
        <f>TREND(J$16:J$17,$C$16:$C$17,$C27,1)</f>
        <v>0</v>
      </c>
      <c r="K27" s="1208" t="e">
        <f>J27*$L$71</f>
        <v>#DIV/0!</v>
      </c>
      <c r="L27" s="1208" t="e">
        <f>J27*$L$72</f>
        <v>#DIV/0!</v>
      </c>
      <c r="M27" s="1208" t="e">
        <f>J27*$L$73</f>
        <v>#DIV/0!</v>
      </c>
      <c r="N27" s="1208" t="e">
        <f>J27*$L$74</f>
        <v>#DIV/0!</v>
      </c>
      <c r="O27" s="366"/>
      <c r="P27" s="1209"/>
      <c r="Q27" s="1209"/>
    </row>
    <row r="28" spans="1:30" s="208" customFormat="1" x14ac:dyDescent="0.35">
      <c r="A28" s="1197">
        <v>96</v>
      </c>
      <c r="B28" s="1198" t="s">
        <v>5267</v>
      </c>
      <c r="C28" s="1497">
        <f>Qualität_Ergebnis_HF!G139</f>
        <v>0</v>
      </c>
      <c r="D28" s="1199"/>
      <c r="E28" s="1199"/>
      <c r="F28" s="1199"/>
      <c r="G28" s="1199"/>
      <c r="H28" s="1199"/>
      <c r="I28" s="1199"/>
      <c r="J28" s="1199"/>
      <c r="K28" s="1200"/>
      <c r="L28" s="1201"/>
      <c r="M28" s="1202"/>
      <c r="N28" s="1202"/>
      <c r="O28" s="1203"/>
      <c r="P28" s="1204"/>
      <c r="Q28" s="1204"/>
      <c r="R28" s="1205"/>
      <c r="S28" s="1205"/>
      <c r="T28" s="1205"/>
      <c r="V28" s="218"/>
      <c r="W28" s="218"/>
      <c r="X28" s="218"/>
      <c r="Y28" s="218"/>
      <c r="AD28" s="463"/>
    </row>
    <row r="29" spans="1:30" x14ac:dyDescent="0.35">
      <c r="A29" s="1206">
        <f>17/$A$28</f>
        <v>0.17708333333333334</v>
      </c>
      <c r="B29" s="1210" t="s">
        <v>4854</v>
      </c>
      <c r="C29" s="1496">
        <f>Qualität_Ergebnis_HF!G140</f>
        <v>0</v>
      </c>
      <c r="D29" s="1191">
        <f>TREND(D$18:D$19,$C$18:$C$19,$C29,1)</f>
        <v>1.3877787807814457E-17</v>
      </c>
      <c r="E29" s="1191">
        <f>TREND(E$18:E$19,$C$18:$C$19,$C29,1)</f>
        <v>-1.3877787807814457E-17</v>
      </c>
      <c r="F29" s="1211"/>
      <c r="G29" s="1191">
        <f>TREND(G$18:G$19,$C$18:$C$19,$C29,1)</f>
        <v>-6.0000000000000012E-2</v>
      </c>
      <c r="H29" s="1208" t="e">
        <f>G29*$K$69</f>
        <v>#DIV/0!</v>
      </c>
      <c r="I29" s="1208" t="e">
        <f>G29-H29</f>
        <v>#DIV/0!</v>
      </c>
      <c r="J29" s="1191">
        <f>TREND(J$18:J$19,$C$18:$C$19,$C29,1)</f>
        <v>-3.4694469519536142E-18</v>
      </c>
      <c r="K29" s="1208" t="e">
        <f>J29*$L$71</f>
        <v>#DIV/0!</v>
      </c>
      <c r="L29" s="1208" t="e">
        <f>J29*$L$72</f>
        <v>#DIV/0!</v>
      </c>
      <c r="M29" s="1208" t="e">
        <f>J29*$L$73</f>
        <v>#DIV/0!</v>
      </c>
      <c r="N29" s="1208" t="e">
        <f>J29*$L$74</f>
        <v>#DIV/0!</v>
      </c>
      <c r="O29" s="366"/>
      <c r="P29" s="1209"/>
      <c r="Q29" s="1209"/>
    </row>
    <row r="30" spans="1:30" x14ac:dyDescent="0.35">
      <c r="A30" s="1206">
        <f>27/$A$28</f>
        <v>0.28125</v>
      </c>
      <c r="B30" s="1210" t="s">
        <v>5589</v>
      </c>
      <c r="C30" s="1496">
        <f>Qualität_Ergebnis_HF!G141</f>
        <v>0</v>
      </c>
      <c r="D30" s="1191">
        <f t="shared" ref="D30:G31" si="2">TREND(D$18:D$19,$C$18:$C$19,$C30,1)</f>
        <v>1.3877787807814457E-17</v>
      </c>
      <c r="E30" s="1191">
        <f t="shared" si="2"/>
        <v>-1.3877787807814457E-17</v>
      </c>
      <c r="F30" s="1211"/>
      <c r="G30" s="1191">
        <f t="shared" si="2"/>
        <v>-6.0000000000000012E-2</v>
      </c>
      <c r="H30" s="1208" t="e">
        <f>G30*$K$69</f>
        <v>#DIV/0!</v>
      </c>
      <c r="I30" s="1208" t="e">
        <f>G30-H30</f>
        <v>#DIV/0!</v>
      </c>
      <c r="J30" s="1191">
        <f>TREND(J$18:J$19,$C$18:$C$19,$C30,1)</f>
        <v>-3.4694469519536142E-18</v>
      </c>
      <c r="K30" s="1208" t="e">
        <f>J30*$L$71</f>
        <v>#DIV/0!</v>
      </c>
      <c r="L30" s="1208" t="e">
        <f>J30*$L$72</f>
        <v>#DIV/0!</v>
      </c>
      <c r="M30" s="1208" t="e">
        <f>J30*$L$73</f>
        <v>#DIV/0!</v>
      </c>
      <c r="N30" s="1208" t="e">
        <f>J30*$L$74</f>
        <v>#DIV/0!</v>
      </c>
      <c r="O30" s="366"/>
      <c r="P30" s="1209"/>
      <c r="Q30" s="1209"/>
    </row>
    <row r="31" spans="1:30" ht="15" thickBot="1" x14ac:dyDescent="0.4">
      <c r="A31" s="1206">
        <f>52/$A$28</f>
        <v>0.54166666666666663</v>
      </c>
      <c r="B31" s="1212" t="s">
        <v>5590</v>
      </c>
      <c r="C31" s="1498">
        <f>Qualität_Ergebnis_HF!G142</f>
        <v>0</v>
      </c>
      <c r="D31" s="1191">
        <f t="shared" si="2"/>
        <v>1.3877787807814457E-17</v>
      </c>
      <c r="E31" s="1191">
        <f t="shared" si="2"/>
        <v>-1.3877787807814457E-17</v>
      </c>
      <c r="F31" s="1211"/>
      <c r="G31" s="1191">
        <f t="shared" si="2"/>
        <v>-6.0000000000000012E-2</v>
      </c>
      <c r="H31" s="1208" t="e">
        <f>G31*$K$69</f>
        <v>#DIV/0!</v>
      </c>
      <c r="I31" s="1208" t="e">
        <f>G31-H31</f>
        <v>#DIV/0!</v>
      </c>
      <c r="J31" s="1191">
        <f>TREND(J$18:J$19,$C$18:$C$19,$C31,1)</f>
        <v>-3.4694469519536142E-18</v>
      </c>
      <c r="K31" s="1208" t="e">
        <f>J31*$L$71</f>
        <v>#DIV/0!</v>
      </c>
      <c r="L31" s="1208" t="e">
        <f>J31*$L$72</f>
        <v>#DIV/0!</v>
      </c>
      <c r="M31" s="1208" t="e">
        <f>J31*$L$73</f>
        <v>#DIV/0!</v>
      </c>
      <c r="N31" s="1208" t="e">
        <f>J31*$L$74</f>
        <v>#DIV/0!</v>
      </c>
      <c r="O31" s="366"/>
      <c r="P31" s="1209"/>
      <c r="Q31" s="1209"/>
    </row>
    <row r="32" spans="1:30" s="208" customFormat="1" x14ac:dyDescent="0.35">
      <c r="A32" s="1197">
        <v>83</v>
      </c>
      <c r="B32" s="1198" t="s">
        <v>5591</v>
      </c>
      <c r="C32" s="1497">
        <f>Qualität_Ergebnis_HF!G143</f>
        <v>0</v>
      </c>
      <c r="D32" s="1199"/>
      <c r="E32" s="1199"/>
      <c r="F32" s="1199"/>
      <c r="G32" s="1199"/>
      <c r="H32" s="1199"/>
      <c r="I32" s="1199"/>
      <c r="J32" s="1199"/>
      <c r="K32" s="1200"/>
      <c r="L32" s="1201"/>
      <c r="M32" s="1202"/>
      <c r="N32" s="1202"/>
      <c r="O32" s="1203"/>
      <c r="P32" s="1204"/>
      <c r="Q32" s="1204"/>
      <c r="R32" s="1205"/>
      <c r="S32" s="1205"/>
      <c r="T32" s="1205"/>
      <c r="V32" s="218"/>
      <c r="W32" s="218"/>
      <c r="X32" s="218"/>
      <c r="Y32" s="218"/>
      <c r="AD32" s="463"/>
    </row>
    <row r="33" spans="1:30" x14ac:dyDescent="0.35">
      <c r="A33" s="1206">
        <f>46/$A$32</f>
        <v>0.55421686746987953</v>
      </c>
      <c r="B33" s="1210" t="s">
        <v>5592</v>
      </c>
      <c r="C33" s="1496">
        <f>Qualität_Ergebnis_HF!G144</f>
        <v>0</v>
      </c>
      <c r="D33" s="1191">
        <f>TREND(D$20:D$21,$C$20:$C$21,$C33,1)</f>
        <v>-2.0816681711721685E-17</v>
      </c>
      <c r="E33" s="1191">
        <f>TREND(E$20:E$21,$C$20:$C$21,$C33,1)</f>
        <v>-5.2041704279304213E-18</v>
      </c>
      <c r="F33" s="1211"/>
      <c r="G33" s="1191">
        <f>TREND(G$20:G$21,$C$20:$C$21,$C33,1)</f>
        <v>0.24000000000000005</v>
      </c>
      <c r="H33" s="1208" t="e">
        <f>G33*$K$69</f>
        <v>#DIV/0!</v>
      </c>
      <c r="I33" s="1208" t="e">
        <f>G33-H33</f>
        <v>#DIV/0!</v>
      </c>
      <c r="J33" s="1191">
        <f>TREND(J$20:J$21,$C$20:$C$21,$C33,1)</f>
        <v>-6.9388939039072284E-18</v>
      </c>
      <c r="K33" s="1208" t="e">
        <f>J33*$L$71</f>
        <v>#DIV/0!</v>
      </c>
      <c r="L33" s="1208" t="e">
        <f>J33*$L$72</f>
        <v>#DIV/0!</v>
      </c>
      <c r="M33" s="1208" t="e">
        <f>J33*$L$73</f>
        <v>#DIV/0!</v>
      </c>
      <c r="N33" s="1208" t="e">
        <f>J33*$L$74</f>
        <v>#DIV/0!</v>
      </c>
      <c r="O33" s="366"/>
      <c r="P33" s="550"/>
      <c r="Q33" s="550"/>
    </row>
    <row r="34" spans="1:30" ht="15" thickBot="1" x14ac:dyDescent="0.4">
      <c r="A34" s="1206">
        <f>37/$A$32</f>
        <v>0.44578313253012047</v>
      </c>
      <c r="B34" s="1212" t="s">
        <v>5593</v>
      </c>
      <c r="C34" s="1498">
        <f>Qualität_Ergebnis_HF!G145</f>
        <v>0</v>
      </c>
      <c r="D34" s="1191">
        <f>TREND(D$22:D$23,$C$22:$C$23,$C34,1)</f>
        <v>-2.0816681711721685E-17</v>
      </c>
      <c r="E34" s="1191">
        <f>TREND(E$22:E$23,$C$22:$C$23,$C34,1)</f>
        <v>-2.0816681711721685E-17</v>
      </c>
      <c r="F34" s="1211"/>
      <c r="G34" s="1191">
        <f>TREND(G$22:G$23,$C$22:$C$23,$C34,1)</f>
        <v>0.10000000000000003</v>
      </c>
      <c r="H34" s="1208" t="e">
        <f>G34*$K$69</f>
        <v>#DIV/0!</v>
      </c>
      <c r="I34" s="1208" t="e">
        <f>G34-H34</f>
        <v>#DIV/0!</v>
      </c>
      <c r="J34" s="1191">
        <f>TREND(J$22:J$23,$C$22:$C$23,$C34,1)</f>
        <v>0.10000000000000003</v>
      </c>
      <c r="K34" s="1208" t="e">
        <f>J34*$L$71</f>
        <v>#DIV/0!</v>
      </c>
      <c r="L34" s="1208" t="e">
        <f>J34*$L$72</f>
        <v>#DIV/0!</v>
      </c>
      <c r="M34" s="1208" t="e">
        <f>J34*$L$73</f>
        <v>#DIV/0!</v>
      </c>
      <c r="N34" s="1208" t="e">
        <f>J34*$L$74</f>
        <v>#DIV/0!</v>
      </c>
      <c r="O34" s="366"/>
      <c r="P34" s="1172"/>
      <c r="Q34" s="1172"/>
    </row>
    <row r="35" spans="1:30" x14ac:dyDescent="0.35">
      <c r="B35" s="1213" t="s">
        <v>11</v>
      </c>
      <c r="C35" s="1214"/>
      <c r="D35" s="1199">
        <f>SUM(D24:D34)</f>
        <v>-3.1225022567582528E-17</v>
      </c>
      <c r="E35" s="1199">
        <f t="shared" ref="E35:N35" si="3">SUM(E24:E34)</f>
        <v>-5.7245874707234634E-17</v>
      </c>
      <c r="F35" s="1199">
        <f t="shared" si="3"/>
        <v>0</v>
      </c>
      <c r="G35" s="1199">
        <f t="shared" si="3"/>
        <v>1.5400000000000003</v>
      </c>
      <c r="H35" s="1199" t="e">
        <f t="shared" si="3"/>
        <v>#DIV/0!</v>
      </c>
      <c r="I35" s="1199" t="e">
        <f t="shared" si="3"/>
        <v>#DIV/0!</v>
      </c>
      <c r="J35" s="1199">
        <f t="shared" si="3"/>
        <v>0.10000000000000002</v>
      </c>
      <c r="K35" s="1199" t="e">
        <f t="shared" si="3"/>
        <v>#DIV/0!</v>
      </c>
      <c r="L35" s="1199" t="e">
        <f t="shared" si="3"/>
        <v>#DIV/0!</v>
      </c>
      <c r="M35" s="1199" t="e">
        <f t="shared" si="3"/>
        <v>#DIV/0!</v>
      </c>
      <c r="N35" s="1199" t="e">
        <f t="shared" si="3"/>
        <v>#DIV/0!</v>
      </c>
      <c r="O35" s="403"/>
    </row>
    <row r="36" spans="1:30" x14ac:dyDescent="0.35">
      <c r="B36" s="292" t="s">
        <v>5696</v>
      </c>
      <c r="C36" s="1215"/>
      <c r="D36" s="1199">
        <f>D25*$A$25+D26*$A$26+D27*$A$27+D29*$A$29+D30*$A$30+D31*$A$31+D33*$A$33+D34*$A$34</f>
        <v>-1.7347234759768071E-17</v>
      </c>
      <c r="E36" s="1199">
        <f t="shared" ref="E36:N36" si="4">E25*$A$25+E26*$A$26+E27*$A$27+E29*$A$29+E30*$A$30+E31*$A$31+E33*$A$33+E34*$A$34</f>
        <v>-2.2572305470541587E-17</v>
      </c>
      <c r="F36" s="1199">
        <f t="shared" si="4"/>
        <v>0</v>
      </c>
      <c r="G36" s="1199">
        <f t="shared" si="4"/>
        <v>0.57759036144578335</v>
      </c>
      <c r="H36" s="1199" t="e">
        <f t="shared" si="4"/>
        <v>#DIV/0!</v>
      </c>
      <c r="I36" s="1199" t="e">
        <f t="shared" si="4"/>
        <v>#DIV/0!</v>
      </c>
      <c r="J36" s="1199">
        <f t="shared" si="4"/>
        <v>4.4578313253012057E-2</v>
      </c>
      <c r="K36" s="1199" t="e">
        <f t="shared" si="4"/>
        <v>#DIV/0!</v>
      </c>
      <c r="L36" s="1199" t="e">
        <f t="shared" si="4"/>
        <v>#DIV/0!</v>
      </c>
      <c r="M36" s="1199" t="e">
        <f t="shared" si="4"/>
        <v>#DIV/0!</v>
      </c>
      <c r="N36" s="1199" t="e">
        <f t="shared" si="4"/>
        <v>#DIV/0!</v>
      </c>
      <c r="O36" s="403"/>
    </row>
    <row r="37" spans="1:30" x14ac:dyDescent="0.35">
      <c r="D37" s="366"/>
      <c r="E37" s="366"/>
      <c r="F37" s="366"/>
      <c r="G37" s="657"/>
      <c r="H37" s="366"/>
      <c r="I37" s="366"/>
      <c r="J37" s="657"/>
      <c r="K37" s="366"/>
      <c r="L37" s="366"/>
      <c r="M37" s="366"/>
      <c r="N37" s="366"/>
      <c r="O37" s="366"/>
    </row>
    <row r="38" spans="1:30" x14ac:dyDescent="0.35">
      <c r="B38" s="646" t="s">
        <v>5697</v>
      </c>
      <c r="C38" s="930" t="s">
        <v>5675</v>
      </c>
      <c r="D38" s="1171"/>
      <c r="E38" s="1172"/>
      <c r="F38" s="1172"/>
      <c r="G38" s="1172"/>
      <c r="H38" s="1172"/>
      <c r="I38" s="1172"/>
      <c r="J38" s="1172"/>
    </row>
    <row r="39" spans="1:30" x14ac:dyDescent="0.35">
      <c r="B39" s="677"/>
      <c r="C39" s="1216"/>
      <c r="D39" s="1171"/>
      <c r="E39" s="1172"/>
      <c r="F39" s="1172"/>
      <c r="G39" s="1172"/>
      <c r="H39" s="1172"/>
      <c r="I39" s="1172"/>
      <c r="J39" s="1172"/>
    </row>
    <row r="40" spans="1:30" x14ac:dyDescent="0.35">
      <c r="B40" s="1217" t="s">
        <v>5698</v>
      </c>
      <c r="C40" s="1218" t="s">
        <v>5699</v>
      </c>
      <c r="D40" s="1219" t="s">
        <v>5700</v>
      </c>
      <c r="E40" s="1220"/>
      <c r="F40" s="1221" t="s">
        <v>5701</v>
      </c>
      <c r="G40" s="1208">
        <v>0.74</v>
      </c>
      <c r="H40" s="1208">
        <v>1</v>
      </c>
      <c r="I40" s="1172"/>
      <c r="J40" s="1172"/>
      <c r="K40" s="550"/>
      <c r="L40" s="550"/>
      <c r="M40" s="550"/>
      <c r="N40" s="550"/>
      <c r="O40" s="550"/>
    </row>
    <row r="41" spans="1:30" x14ac:dyDescent="0.35">
      <c r="B41" s="646" t="s">
        <v>5701</v>
      </c>
      <c r="C41" s="1222">
        <v>0</v>
      </c>
      <c r="D41" s="1223">
        <f>TREND(G40:H40,G41:H41,E41,1)</f>
        <v>0.74</v>
      </c>
      <c r="E41" s="1224">
        <f>((17*C25)+(37*C34))/(17+37)</f>
        <v>0</v>
      </c>
      <c r="F41" s="1221" t="s">
        <v>5702</v>
      </c>
      <c r="G41" s="1208">
        <v>0</v>
      </c>
      <c r="H41" s="1208">
        <v>1</v>
      </c>
      <c r="I41" s="1172"/>
      <c r="J41" s="1172"/>
      <c r="K41" s="550"/>
      <c r="L41" s="550"/>
      <c r="M41" s="550"/>
      <c r="N41" s="550"/>
      <c r="O41" s="550"/>
    </row>
    <row r="42" spans="1:30" x14ac:dyDescent="0.35">
      <c r="B42" s="1225" t="s">
        <v>5703</v>
      </c>
      <c r="C42" s="1226" t="s">
        <v>5676</v>
      </c>
      <c r="D42" s="1226" t="s">
        <v>5677</v>
      </c>
      <c r="E42" s="1227"/>
      <c r="F42" s="1227"/>
      <c r="G42" s="1227"/>
      <c r="H42" s="1227"/>
      <c r="I42" s="1172"/>
      <c r="J42" s="1172"/>
      <c r="K42" s="1172"/>
      <c r="L42" s="1172"/>
      <c r="M42" s="399"/>
      <c r="N42" s="399"/>
      <c r="O42" s="399"/>
    </row>
    <row r="43" spans="1:30" x14ac:dyDescent="0.35">
      <c r="B43" s="348"/>
      <c r="C43" s="724"/>
      <c r="D43" s="1171"/>
      <c r="E43" s="1172"/>
      <c r="F43" s="1172"/>
      <c r="G43" s="1172"/>
      <c r="H43" s="1172"/>
      <c r="I43" s="1172"/>
      <c r="J43" s="1172"/>
    </row>
    <row r="44" spans="1:30" ht="52" hidden="1" outlineLevel="1" x14ac:dyDescent="0.35">
      <c r="B44" s="337" t="s">
        <v>5655</v>
      </c>
      <c r="C44" s="1228" t="s">
        <v>5704</v>
      </c>
      <c r="D44" s="1228" t="s">
        <v>5705</v>
      </c>
      <c r="E44" s="1228" t="s">
        <v>5706</v>
      </c>
      <c r="F44" s="1228" t="s">
        <v>5707</v>
      </c>
      <c r="G44" s="1228" t="s">
        <v>5708</v>
      </c>
      <c r="H44" s="1229" t="s">
        <v>5709</v>
      </c>
      <c r="I44" s="1229" t="s">
        <v>5710</v>
      </c>
      <c r="J44" s="1229" t="s">
        <v>5711</v>
      </c>
      <c r="K44" s="1229" t="s">
        <v>5712</v>
      </c>
      <c r="L44" s="1230" t="s">
        <v>5713</v>
      </c>
      <c r="M44" s="301" t="s">
        <v>11</v>
      </c>
      <c r="N44" s="301" t="s">
        <v>5714</v>
      </c>
      <c r="O44" s="1231"/>
      <c r="P44" s="564"/>
      <c r="Q44" s="564"/>
      <c r="R44" s="564"/>
      <c r="S44" s="564"/>
      <c r="T44" s="550"/>
      <c r="U44" s="672"/>
      <c r="Y44" s="550"/>
      <c r="AC44" s="561"/>
      <c r="AD44" s="550"/>
    </row>
    <row r="45" spans="1:30" hidden="1" outlineLevel="1" x14ac:dyDescent="0.35">
      <c r="B45" s="371" t="s">
        <v>5663</v>
      </c>
      <c r="C45" s="1751"/>
      <c r="D45" s="1752"/>
      <c r="E45" s="1752"/>
      <c r="F45" s="1752"/>
      <c r="G45" s="1752"/>
      <c r="H45" s="1752"/>
      <c r="I45" s="1752"/>
      <c r="J45" s="1752"/>
      <c r="K45" s="1753"/>
      <c r="L45" s="1232">
        <f>D36</f>
        <v>-1.7347234759768071E-17</v>
      </c>
      <c r="M45" s="1233" t="e">
        <f t="shared" ref="M45:M53" si="5">L45+N66</f>
        <v>#DIV/0!</v>
      </c>
      <c r="N45" s="1233" t="e">
        <f>M45/$M$54</f>
        <v>#DIV/0!</v>
      </c>
      <c r="O45" s="1234"/>
      <c r="P45" s="564"/>
      <c r="Q45" s="564"/>
      <c r="R45" s="564"/>
      <c r="S45" s="564"/>
      <c r="T45" s="550"/>
      <c r="U45" s="672"/>
      <c r="Y45" s="550"/>
      <c r="AC45" s="561"/>
      <c r="AD45" s="550"/>
    </row>
    <row r="46" spans="1:30" hidden="1" outlineLevel="1" x14ac:dyDescent="0.35">
      <c r="B46" s="371" t="s">
        <v>5664</v>
      </c>
      <c r="C46" s="1754"/>
      <c r="D46" s="1755"/>
      <c r="E46" s="1755"/>
      <c r="F46" s="1755"/>
      <c r="G46" s="1755"/>
      <c r="H46" s="1755"/>
      <c r="I46" s="1755"/>
      <c r="J46" s="1755"/>
      <c r="K46" s="1756"/>
      <c r="L46" s="1232">
        <f>E36</f>
        <v>-2.2572305470541587E-17</v>
      </c>
      <c r="M46" s="1233" t="e">
        <f t="shared" si="5"/>
        <v>#DIV/0!</v>
      </c>
      <c r="N46" s="1233" t="e">
        <f t="shared" ref="N46:N53" si="6">M46/$M$54</f>
        <v>#DIV/0!</v>
      </c>
      <c r="O46" s="1234"/>
      <c r="P46" s="564"/>
      <c r="Q46" s="564"/>
      <c r="R46" s="564"/>
      <c r="S46" s="564"/>
      <c r="T46" s="550"/>
      <c r="U46" s="672"/>
      <c r="Y46" s="550"/>
      <c r="AC46" s="561"/>
      <c r="AD46" s="550"/>
    </row>
    <row r="47" spans="1:30" hidden="1" outlineLevel="1" x14ac:dyDescent="0.35">
      <c r="B47" s="371" t="s">
        <v>5665</v>
      </c>
      <c r="C47" s="1754"/>
      <c r="D47" s="1755"/>
      <c r="E47" s="1755"/>
      <c r="F47" s="1755"/>
      <c r="G47" s="1755"/>
      <c r="H47" s="1755"/>
      <c r="I47" s="1755"/>
      <c r="J47" s="1755"/>
      <c r="K47" s="1756"/>
      <c r="L47" s="1232">
        <f>F36</f>
        <v>0</v>
      </c>
      <c r="M47" s="1233" t="e">
        <f t="shared" si="5"/>
        <v>#DIV/0!</v>
      </c>
      <c r="N47" s="1233" t="e">
        <f t="shared" si="6"/>
        <v>#DIV/0!</v>
      </c>
      <c r="O47" s="1234"/>
      <c r="P47" s="564"/>
      <c r="Q47" s="564"/>
      <c r="R47" s="564"/>
      <c r="S47" s="564"/>
      <c r="T47" s="550"/>
      <c r="U47" s="672"/>
      <c r="Y47" s="550"/>
      <c r="AC47" s="561"/>
      <c r="AD47" s="550"/>
    </row>
    <row r="48" spans="1:30" hidden="1" outlineLevel="1" x14ac:dyDescent="0.35">
      <c r="B48" s="371" t="s">
        <v>5666</v>
      </c>
      <c r="C48" s="1754"/>
      <c r="D48" s="1755"/>
      <c r="E48" s="1755"/>
      <c r="F48" s="1755"/>
      <c r="G48" s="1755"/>
      <c r="H48" s="1755"/>
      <c r="I48" s="1755"/>
      <c r="J48" s="1755"/>
      <c r="K48" s="1756"/>
      <c r="L48" s="1232" t="e">
        <f>H36</f>
        <v>#DIV/0!</v>
      </c>
      <c r="M48" s="1233" t="e">
        <f t="shared" si="5"/>
        <v>#DIV/0!</v>
      </c>
      <c r="N48" s="1233" t="e">
        <f t="shared" si="6"/>
        <v>#DIV/0!</v>
      </c>
      <c r="O48" s="1234"/>
      <c r="P48" s="564"/>
      <c r="Q48" s="564"/>
      <c r="R48" s="564"/>
      <c r="S48" s="564"/>
      <c r="T48" s="550"/>
      <c r="U48" s="672"/>
      <c r="Y48" s="550"/>
      <c r="AC48" s="561"/>
      <c r="AD48" s="550"/>
    </row>
    <row r="49" spans="1:30" hidden="1" outlineLevel="1" x14ac:dyDescent="0.35">
      <c r="B49" s="371" t="s">
        <v>5667</v>
      </c>
      <c r="C49" s="1754"/>
      <c r="D49" s="1755"/>
      <c r="E49" s="1755"/>
      <c r="F49" s="1755"/>
      <c r="G49" s="1755"/>
      <c r="H49" s="1755"/>
      <c r="I49" s="1755"/>
      <c r="J49" s="1755"/>
      <c r="K49" s="1756"/>
      <c r="L49" s="1235" t="e">
        <f>I36</f>
        <v>#DIV/0!</v>
      </c>
      <c r="M49" s="1233" t="e">
        <f t="shared" si="5"/>
        <v>#DIV/0!</v>
      </c>
      <c r="N49" s="1233" t="e">
        <f t="shared" si="6"/>
        <v>#DIV/0!</v>
      </c>
      <c r="O49" s="1234"/>
      <c r="P49" s="564"/>
      <c r="Q49" s="564"/>
      <c r="R49" s="564"/>
      <c r="S49" s="564"/>
      <c r="T49" s="550"/>
      <c r="U49" s="672"/>
      <c r="Y49" s="550"/>
      <c r="AC49" s="561"/>
      <c r="AD49" s="550"/>
    </row>
    <row r="50" spans="1:30" hidden="1" outlineLevel="1" x14ac:dyDescent="0.35">
      <c r="B50" s="371" t="s">
        <v>5668</v>
      </c>
      <c r="C50" s="1754"/>
      <c r="D50" s="1755"/>
      <c r="E50" s="1755"/>
      <c r="F50" s="1755"/>
      <c r="G50" s="1755"/>
      <c r="H50" s="1755"/>
      <c r="I50" s="1755"/>
      <c r="J50" s="1755"/>
      <c r="K50" s="1756"/>
      <c r="L50" s="1232" t="e">
        <f>K36</f>
        <v>#DIV/0!</v>
      </c>
      <c r="M50" s="1233" t="e">
        <f t="shared" si="5"/>
        <v>#DIV/0!</v>
      </c>
      <c r="N50" s="1233" t="e">
        <f t="shared" si="6"/>
        <v>#DIV/0!</v>
      </c>
      <c r="O50" s="1234"/>
      <c r="P50" s="564"/>
      <c r="Q50" s="564"/>
      <c r="R50" s="564"/>
      <c r="S50" s="564"/>
      <c r="T50" s="550"/>
      <c r="U50" s="672"/>
      <c r="Y50" s="550"/>
      <c r="AC50" s="561"/>
      <c r="AD50" s="550"/>
    </row>
    <row r="51" spans="1:30" hidden="1" outlineLevel="1" x14ac:dyDescent="0.35">
      <c r="B51" s="371" t="str">
        <f>IF(C38="Ja","Straßenbahn/Ubahn","")</f>
        <v/>
      </c>
      <c r="C51" s="1754"/>
      <c r="D51" s="1755"/>
      <c r="E51" s="1755"/>
      <c r="F51" s="1755"/>
      <c r="G51" s="1755"/>
      <c r="H51" s="1755"/>
      <c r="I51" s="1755"/>
      <c r="J51" s="1755"/>
      <c r="K51" s="1756"/>
      <c r="L51" s="1232" t="e">
        <f>L36</f>
        <v>#DIV/0!</v>
      </c>
      <c r="M51" s="1233" t="e">
        <f t="shared" si="5"/>
        <v>#DIV/0!</v>
      </c>
      <c r="N51" s="1233" t="e">
        <f t="shared" si="6"/>
        <v>#DIV/0!</v>
      </c>
      <c r="O51" s="1234"/>
      <c r="P51" s="564"/>
      <c r="Q51" s="564"/>
      <c r="R51" s="564"/>
      <c r="S51" s="564"/>
      <c r="T51" s="550"/>
      <c r="U51" s="672"/>
      <c r="Y51" s="550"/>
      <c r="AC51" s="561"/>
      <c r="AD51" s="550"/>
    </row>
    <row r="52" spans="1:30" hidden="1" outlineLevel="1" x14ac:dyDescent="0.35">
      <c r="B52" s="371" t="s">
        <v>5670</v>
      </c>
      <c r="C52" s="1754"/>
      <c r="D52" s="1755"/>
      <c r="E52" s="1755"/>
      <c r="F52" s="1755"/>
      <c r="G52" s="1755"/>
      <c r="H52" s="1755"/>
      <c r="I52" s="1755"/>
      <c r="J52" s="1755"/>
      <c r="K52" s="1756"/>
      <c r="L52" s="1232" t="e">
        <f>M36</f>
        <v>#DIV/0!</v>
      </c>
      <c r="M52" s="1233" t="e">
        <f t="shared" si="5"/>
        <v>#DIV/0!</v>
      </c>
      <c r="N52" s="1233" t="e">
        <f t="shared" si="6"/>
        <v>#DIV/0!</v>
      </c>
      <c r="O52" s="1234"/>
      <c r="P52" s="564"/>
      <c r="Q52" s="564"/>
      <c r="R52" s="564"/>
      <c r="S52" s="564"/>
      <c r="T52" s="550"/>
      <c r="U52" s="672"/>
      <c r="Y52" s="550"/>
      <c r="AC52" s="561"/>
      <c r="AD52" s="550"/>
    </row>
    <row r="53" spans="1:30" hidden="1" outlineLevel="1" x14ac:dyDescent="0.35">
      <c r="B53" s="371" t="s">
        <v>5671</v>
      </c>
      <c r="C53" s="1757"/>
      <c r="D53" s="1758"/>
      <c r="E53" s="1758"/>
      <c r="F53" s="1758"/>
      <c r="G53" s="1758"/>
      <c r="H53" s="1758"/>
      <c r="I53" s="1758"/>
      <c r="J53" s="1758"/>
      <c r="K53" s="1759"/>
      <c r="L53" s="1235" t="e">
        <f>N36</f>
        <v>#DIV/0!</v>
      </c>
      <c r="M53" s="1233" t="e">
        <f t="shared" si="5"/>
        <v>#DIV/0!</v>
      </c>
      <c r="N53" s="1233" t="e">
        <f t="shared" si="6"/>
        <v>#DIV/0!</v>
      </c>
      <c r="O53" s="1234"/>
      <c r="P53" s="564"/>
      <c r="Q53" s="564"/>
      <c r="R53" s="564"/>
      <c r="S53" s="564"/>
      <c r="T53" s="550"/>
      <c r="U53" s="672"/>
      <c r="Y53" s="550"/>
      <c r="AC53" s="561"/>
      <c r="AD53" s="550"/>
    </row>
    <row r="54" spans="1:30" hidden="1" outlineLevel="1" x14ac:dyDescent="0.35">
      <c r="B54" s="292" t="s">
        <v>11</v>
      </c>
      <c r="C54" s="1236"/>
      <c r="D54" s="1236"/>
      <c r="E54" s="1236"/>
      <c r="F54" s="1236"/>
      <c r="G54" s="1236"/>
      <c r="H54" s="1236"/>
      <c r="I54" s="1236"/>
      <c r="J54" s="1236"/>
      <c r="K54" s="1236"/>
      <c r="L54" s="1237" t="e">
        <f>SUM(L45:L53)</f>
        <v>#DIV/0!</v>
      </c>
      <c r="M54" s="1237" t="e">
        <f>SUM(M45:M53)</f>
        <v>#DIV/0!</v>
      </c>
      <c r="N54" s="1237" t="e">
        <f>SUM(N45:N53)</f>
        <v>#DIV/0!</v>
      </c>
      <c r="O54" s="399"/>
      <c r="P54" s="564"/>
      <c r="Q54" s="564"/>
      <c r="R54" s="564"/>
      <c r="S54" s="564"/>
      <c r="T54" s="550"/>
      <c r="U54" s="672"/>
      <c r="Y54" s="550"/>
      <c r="AC54" s="561"/>
      <c r="AD54" s="550"/>
    </row>
    <row r="55" spans="1:30" hidden="1" outlineLevel="1" x14ac:dyDescent="0.35">
      <c r="B55" s="364"/>
      <c r="C55" s="713"/>
      <c r="D55" s="1238"/>
      <c r="E55" s="1238"/>
      <c r="F55" s="1238"/>
      <c r="G55" s="1238"/>
      <c r="H55" s="1238"/>
      <c r="I55" s="1238"/>
      <c r="J55" s="1238"/>
      <c r="K55" s="1239"/>
      <c r="L55" s="1239"/>
      <c r="P55" s="564"/>
      <c r="Q55" s="564"/>
      <c r="R55" s="564"/>
      <c r="S55" s="564"/>
      <c r="AD55" s="550"/>
    </row>
    <row r="56" spans="1:30" ht="43.5" hidden="1" outlineLevel="1" x14ac:dyDescent="0.35">
      <c r="B56" s="1217" t="s">
        <v>5715</v>
      </c>
      <c r="C56" s="1218" t="s">
        <v>5716</v>
      </c>
      <c r="D56" s="1219" t="s">
        <v>5717</v>
      </c>
      <c r="E56" s="1174" t="s">
        <v>5718</v>
      </c>
      <c r="F56" s="1174" t="s">
        <v>5719</v>
      </c>
      <c r="G56" s="1174" t="s">
        <v>5720</v>
      </c>
      <c r="H56" s="1174" t="s">
        <v>5721</v>
      </c>
      <c r="I56" s="366"/>
      <c r="J56" s="1172"/>
    </row>
    <row r="57" spans="1:30" hidden="1" outlineLevel="1" x14ac:dyDescent="0.35">
      <c r="B57" s="1240" t="s">
        <v>5722</v>
      </c>
      <c r="C57" s="1241">
        <v>0</v>
      </c>
      <c r="D57" s="1241">
        <v>0</v>
      </c>
      <c r="E57" s="338" t="e">
        <f>($N$48*E75)</f>
        <v>#DIV/0!</v>
      </c>
      <c r="F57" s="338" t="e">
        <f>($N$48*F75)</f>
        <v>#DIV/0!</v>
      </c>
      <c r="G57" s="338" t="e">
        <f>($N$48*G75)</f>
        <v>#DIV/0!</v>
      </c>
      <c r="H57" s="338" t="e">
        <f>($N$48*H75)</f>
        <v>#DIV/0!</v>
      </c>
      <c r="I57" s="371" t="s">
        <v>5666</v>
      </c>
      <c r="J57" s="1172"/>
    </row>
    <row r="58" spans="1:30" hidden="1" outlineLevel="1" x14ac:dyDescent="0.35">
      <c r="A58" s="357" t="s">
        <v>5676</v>
      </c>
      <c r="B58" s="1225" t="s">
        <v>5723</v>
      </c>
      <c r="C58" s="1241">
        <f>IF(C42=A58,C41,0)</f>
        <v>0</v>
      </c>
      <c r="D58" s="1241">
        <f>IF(D42=A58,D41,0)</f>
        <v>0</v>
      </c>
      <c r="E58" s="338" t="e">
        <f>($N$49*E75)</f>
        <v>#DIV/0!</v>
      </c>
      <c r="F58" s="338" t="e">
        <f>($N$49*F75)</f>
        <v>#DIV/0!</v>
      </c>
      <c r="G58" s="338" t="e">
        <f>($N$49*G75)</f>
        <v>#DIV/0!</v>
      </c>
      <c r="H58" s="338" t="e">
        <f>($N$49*H75)</f>
        <v>#DIV/0!</v>
      </c>
      <c r="I58" s="371" t="s">
        <v>5667</v>
      </c>
      <c r="J58" s="1172"/>
      <c r="K58" s="550"/>
      <c r="L58" s="550"/>
      <c r="M58" s="550"/>
      <c r="N58" s="550"/>
      <c r="O58" s="550"/>
    </row>
    <row r="59" spans="1:30" hidden="1" outlineLevel="1" x14ac:dyDescent="0.35">
      <c r="A59" s="357" t="s">
        <v>5677</v>
      </c>
      <c r="B59" s="646" t="s">
        <v>5724</v>
      </c>
      <c r="C59" s="1241">
        <f>IF(C42=A59,C41,0)</f>
        <v>0</v>
      </c>
      <c r="D59" s="1241">
        <f>IF(D42=A59,D41,0)</f>
        <v>0.74</v>
      </c>
      <c r="E59" s="1242" t="e">
        <f>E57+E58</f>
        <v>#DIV/0!</v>
      </c>
      <c r="F59" s="1242" t="e">
        <f>F57+F58</f>
        <v>#DIV/0!</v>
      </c>
      <c r="G59" s="1242" t="e">
        <f>G57+G58</f>
        <v>#DIV/0!</v>
      </c>
      <c r="H59" s="1242" t="e">
        <f>H57+H58</f>
        <v>#DIV/0!</v>
      </c>
      <c r="I59" s="1243" t="s">
        <v>5725</v>
      </c>
      <c r="J59" s="1172"/>
      <c r="K59" s="550"/>
      <c r="L59" s="550"/>
      <c r="M59" s="550"/>
      <c r="N59" s="550"/>
      <c r="O59" s="550"/>
    </row>
    <row r="60" spans="1:30" hidden="1" outlineLevel="1" x14ac:dyDescent="0.35">
      <c r="B60" s="646" t="s">
        <v>5726</v>
      </c>
      <c r="C60" s="1244">
        <f>1-C57-C58-C59</f>
        <v>1</v>
      </c>
      <c r="D60" s="1244">
        <f>1-D57-D58-D59</f>
        <v>0.26</v>
      </c>
      <c r="E60" s="550"/>
      <c r="F60" s="550"/>
      <c r="G60" s="550"/>
      <c r="H60" s="550"/>
      <c r="I60" s="1245"/>
      <c r="J60" s="1172"/>
      <c r="L60" s="550"/>
      <c r="M60" s="550"/>
      <c r="N60" s="550"/>
      <c r="O60" s="550"/>
    </row>
    <row r="61" spans="1:30" hidden="1" outlineLevel="1" x14ac:dyDescent="0.35">
      <c r="B61" s="337" t="s">
        <v>11</v>
      </c>
      <c r="C61" s="1236">
        <f>SUM(C57:C60)</f>
        <v>1</v>
      </c>
      <c r="D61" s="1236">
        <f>SUM(D57:D60)</f>
        <v>1</v>
      </c>
      <c r="E61" s="1245"/>
      <c r="F61" s="1245"/>
      <c r="G61" s="1245"/>
      <c r="H61" s="1245"/>
      <c r="I61" s="1245"/>
      <c r="J61" s="1172"/>
    </row>
    <row r="62" spans="1:30" hidden="1" outlineLevel="1" x14ac:dyDescent="0.35">
      <c r="B62" s="348"/>
      <c r="C62" s="1172"/>
      <c r="D62" s="1172"/>
      <c r="E62" s="1245"/>
      <c r="F62" s="1245"/>
      <c r="G62" s="1245"/>
      <c r="H62" s="1245"/>
      <c r="I62" s="1245"/>
      <c r="J62" s="1172"/>
    </row>
    <row r="63" spans="1:30" ht="21" collapsed="1" x14ac:dyDescent="0.35">
      <c r="B63" s="1246" t="s">
        <v>5727</v>
      </c>
      <c r="C63" s="1185"/>
      <c r="D63" s="1186"/>
      <c r="E63" s="1187"/>
      <c r="F63" s="1187"/>
      <c r="G63" s="1187"/>
      <c r="H63" s="1187"/>
      <c r="I63" s="1187"/>
      <c r="J63" s="1187"/>
      <c r="K63" s="1169"/>
      <c r="L63" s="1169"/>
      <c r="M63" s="1169"/>
      <c r="N63" s="1169"/>
    </row>
    <row r="64" spans="1:30" hidden="1" outlineLevel="1" x14ac:dyDescent="0.35">
      <c r="B64" s="348"/>
      <c r="C64" s="724"/>
      <c r="D64" s="1171"/>
      <c r="E64" s="1172"/>
      <c r="F64" s="1172"/>
      <c r="G64" s="1172"/>
      <c r="H64" s="1172"/>
      <c r="I64" s="1172"/>
      <c r="J64" s="1172"/>
    </row>
    <row r="65" spans="1:30" ht="43.5" hidden="1" outlineLevel="1" x14ac:dyDescent="0.35">
      <c r="B65" s="337" t="s">
        <v>5655</v>
      </c>
      <c r="C65" s="301" t="s">
        <v>5728</v>
      </c>
      <c r="D65" s="301" t="s">
        <v>5729</v>
      </c>
      <c r="E65" s="301" t="s">
        <v>5718</v>
      </c>
      <c r="F65" s="301" t="s">
        <v>5719</v>
      </c>
      <c r="G65" s="301" t="s">
        <v>5720</v>
      </c>
      <c r="H65" s="749" t="s">
        <v>5721</v>
      </c>
      <c r="I65" s="301" t="s">
        <v>5730</v>
      </c>
      <c r="J65" s="301" t="s">
        <v>5731</v>
      </c>
      <c r="K65" s="301" t="s">
        <v>5732</v>
      </c>
      <c r="L65" s="301" t="s">
        <v>5733</v>
      </c>
      <c r="M65" s="301" t="s">
        <v>5734</v>
      </c>
      <c r="N65" s="301" t="s">
        <v>5735</v>
      </c>
      <c r="O65" s="1231"/>
      <c r="P65" s="301" t="s">
        <v>5718</v>
      </c>
      <c r="Q65" s="301" t="s">
        <v>5719</v>
      </c>
      <c r="R65" s="301" t="s">
        <v>5720</v>
      </c>
      <c r="S65" s="749" t="s">
        <v>5721</v>
      </c>
    </row>
    <row r="66" spans="1:30" hidden="1" outlineLevel="1" x14ac:dyDescent="0.35">
      <c r="A66" s="357" t="str">
        <f>CONCATENATE($D$4,B66)</f>
        <v>22zu Fuß</v>
      </c>
      <c r="B66" s="582" t="s">
        <v>5663</v>
      </c>
      <c r="C66" s="1247">
        <v>0</v>
      </c>
      <c r="D66" s="1247">
        <v>0</v>
      </c>
      <c r="E66" s="1158">
        <f>VLOOKUP($A66,'Datensatz AT Unterwegs'!$D$2:$J$145,2,0)</f>
        <v>65.722773862041407</v>
      </c>
      <c r="F66" s="1158">
        <f>VLOOKUP($A66,'Datensatz AT Unterwegs'!$D$2:$J$145,7,0)</f>
        <v>2.1730035857650889</v>
      </c>
      <c r="G66" s="1158">
        <f>VLOOKUP($A66,'Datensatz AT Unterwegs'!$D$2:$J$145,4,0)</f>
        <v>4.1027091239692117</v>
      </c>
      <c r="H66" s="1248">
        <f>VLOOKUP($A66,'Datensatz AT Unterwegs'!$D$2:$J$145,5,0)</f>
        <v>14.368260328188434</v>
      </c>
      <c r="I66" s="1158">
        <f>(E66*$D$7+F66*$D$8+G66*$D$9+H66*$D$10)*$C66/1000</f>
        <v>0</v>
      </c>
      <c r="J66" s="1158">
        <f>(E66*$D$7+F66*$D$8+G66*$D$9+H66*$D$10)*$D66</f>
        <v>0</v>
      </c>
      <c r="K66" s="1249"/>
      <c r="L66" s="1249"/>
      <c r="M66" s="1158" t="e">
        <f>E66*$F$7+F66*$F$8+G66*$F$9+H66*$F$10</f>
        <v>#DIV/0!</v>
      </c>
      <c r="N66" s="1249" t="e">
        <f t="shared" ref="N66:N74" si="7">M66/$M$75</f>
        <v>#DIV/0!</v>
      </c>
      <c r="O66" s="669"/>
      <c r="P66" s="1249">
        <f>E66/E$75</f>
        <v>9.7667714368247834E-3</v>
      </c>
      <c r="Q66" s="1249">
        <f t="shared" ref="Q66:S74" si="8">F66/F$75</f>
        <v>2.9765496654321783E-3</v>
      </c>
      <c r="R66" s="1249">
        <f t="shared" si="8"/>
        <v>1.0430985087798177E-2</v>
      </c>
      <c r="S66" s="1249">
        <f t="shared" si="8"/>
        <v>2.4745819573433268E-2</v>
      </c>
    </row>
    <row r="67" spans="1:30" hidden="1" outlineLevel="1" x14ac:dyDescent="0.35">
      <c r="A67" s="357" t="str">
        <f t="shared" ref="A67:A75" si="9">CONCATENATE($D$4,B67)</f>
        <v>22Fahrrad</v>
      </c>
      <c r="B67" s="582" t="s">
        <v>5664</v>
      </c>
      <c r="C67" s="1247">
        <v>0</v>
      </c>
      <c r="D67" s="1247">
        <v>0</v>
      </c>
      <c r="E67" s="1158">
        <f>VLOOKUP($A67,'Datensatz AT Unterwegs'!$D$2:$J$145,2,0)</f>
        <v>84.440948845090873</v>
      </c>
      <c r="F67" s="1158">
        <f>VLOOKUP($A67,'Datensatz AT Unterwegs'!$D$2:$J$145,7,0)</f>
        <v>5.0964731168354076</v>
      </c>
      <c r="G67" s="1158">
        <f>VLOOKUP($A67,'Datensatz AT Unterwegs'!$D$2:$J$145,4,0)</f>
        <v>2.32104353934806</v>
      </c>
      <c r="H67" s="1248">
        <f>VLOOKUP($A67,'Datensatz AT Unterwegs'!$D$2:$J$145,5,0)</f>
        <v>15.511047858424789</v>
      </c>
      <c r="I67" s="1158">
        <f t="shared" ref="I67:I74" si="10">(E67*$D$7+F67*$D$8+G67*$D$9+H67*$D$10)*$C67/1000</f>
        <v>0</v>
      </c>
      <c r="J67" s="1158">
        <f t="shared" ref="J67:J74" si="11">(E67*$D$7+F67*$D$8+G67*$D$9+H67*$D$10)*$D67</f>
        <v>0</v>
      </c>
      <c r="K67" s="1249"/>
      <c r="L67" s="1249"/>
      <c r="M67" s="1158" t="e">
        <f t="shared" ref="M67:M74" si="12">E67*$F$7+F67*$F$8+G67*$F$9+H67*$F$10</f>
        <v>#DIV/0!</v>
      </c>
      <c r="N67" s="1249" t="e">
        <f t="shared" si="7"/>
        <v>#DIV/0!</v>
      </c>
      <c r="O67" s="669"/>
      <c r="P67" s="1249">
        <f t="shared" ref="P67:P74" si="13">E67/E$75</f>
        <v>1.2548396831359786E-2</v>
      </c>
      <c r="Q67" s="1249">
        <f t="shared" si="8"/>
        <v>6.9810769987567129E-3</v>
      </c>
      <c r="R67" s="1249">
        <f t="shared" si="8"/>
        <v>5.9011667206976971E-3</v>
      </c>
      <c r="S67" s="1249">
        <f t="shared" si="8"/>
        <v>2.6713992016586915E-2</v>
      </c>
    </row>
    <row r="68" spans="1:30" hidden="1" outlineLevel="1" x14ac:dyDescent="0.35">
      <c r="A68" s="357" t="str">
        <f t="shared" si="9"/>
        <v>22Moped/Motorrad</v>
      </c>
      <c r="B68" s="582" t="s">
        <v>5665</v>
      </c>
      <c r="C68" s="1250">
        <f>(110.2+143.3)/2</f>
        <v>126.75</v>
      </c>
      <c r="D68" s="1251">
        <f>(0.4+0.56)/2</f>
        <v>0.48000000000000004</v>
      </c>
      <c r="E68" s="1158">
        <f>VLOOKUP($A68,'Datensatz AT Unterwegs'!$D$2:$J$145,2,0)</f>
        <v>21.890533058614157</v>
      </c>
      <c r="F68" s="1158">
        <f>VLOOKUP($A68,'Datensatz AT Unterwegs'!$D$2:$J$145,7,0)</f>
        <v>1.3161302297128001</v>
      </c>
      <c r="G68" s="1158">
        <f>VLOOKUP($A68,'Datensatz AT Unterwegs'!$D$2:$J$145,4,0)</f>
        <v>1.9524742042957035</v>
      </c>
      <c r="H68" s="1248">
        <f>VLOOKUP($A68,'Datensatz AT Unterwegs'!$D$2:$J$145,5,0)</f>
        <v>1.3998297163113005</v>
      </c>
      <c r="I68" s="1158">
        <f t="shared" si="10"/>
        <v>0</v>
      </c>
      <c r="J68" s="1158">
        <f t="shared" si="11"/>
        <v>0</v>
      </c>
      <c r="K68" s="1249"/>
      <c r="L68" s="1249"/>
      <c r="M68" s="1158" t="e">
        <f t="shared" si="12"/>
        <v>#DIV/0!</v>
      </c>
      <c r="N68" s="1249" t="e">
        <f t="shared" si="7"/>
        <v>#DIV/0!</v>
      </c>
      <c r="O68" s="669"/>
      <c r="P68" s="1249">
        <f t="shared" si="13"/>
        <v>3.2530555308351466E-3</v>
      </c>
      <c r="Q68" s="1249">
        <f t="shared" si="8"/>
        <v>1.8028166269856826E-3</v>
      </c>
      <c r="R68" s="1249">
        <f t="shared" si="8"/>
        <v>4.9640929185873067E-3</v>
      </c>
      <c r="S68" s="1249">
        <f t="shared" si="8"/>
        <v>2.4108648369497603E-3</v>
      </c>
    </row>
    <row r="69" spans="1:30" hidden="1" outlineLevel="1" x14ac:dyDescent="0.35">
      <c r="A69" s="357" t="str">
        <f t="shared" si="9"/>
        <v>22PKW LenkerIn</v>
      </c>
      <c r="B69" s="582" t="s">
        <v>5666</v>
      </c>
      <c r="C69" s="1252">
        <v>216.5</v>
      </c>
      <c r="D69" s="1253">
        <v>0.83</v>
      </c>
      <c r="E69" s="1158">
        <f>VLOOKUP($A69,'Datensatz AT Unterwegs'!$D$2:$J$145,2,0)</f>
        <v>3640.6940477315752</v>
      </c>
      <c r="F69" s="1158">
        <f>VLOOKUP($A69,'Datensatz AT Unterwegs'!$D$2:$J$145,7,0)</f>
        <v>495.0479265363706</v>
      </c>
      <c r="G69" s="1158">
        <f>VLOOKUP($A69,'Datensatz AT Unterwegs'!$D$2:$J$145,4,0)</f>
        <v>71.892556172162728</v>
      </c>
      <c r="H69" s="1248">
        <f>VLOOKUP($A69,'Datensatz AT Unterwegs'!$D$2:$J$145,5,0)</f>
        <v>376.55759024466346</v>
      </c>
      <c r="I69" s="1158">
        <f t="shared" si="10"/>
        <v>0</v>
      </c>
      <c r="J69" s="1158">
        <f t="shared" si="11"/>
        <v>0</v>
      </c>
      <c r="K69" s="1249" t="e">
        <f>(E69/(E69+E70)*$F$7)+(F69/(F69+F70)*$F$8)+(G69/(G69+G70)*$F$9)+(H69/(H69+H70)*$F$10)</f>
        <v>#DIV/0!</v>
      </c>
      <c r="L69" s="1249"/>
      <c r="M69" s="1158" t="e">
        <f t="shared" si="12"/>
        <v>#DIV/0!</v>
      </c>
      <c r="N69" s="1249" t="e">
        <f t="shared" si="7"/>
        <v>#DIV/0!</v>
      </c>
      <c r="O69" s="669"/>
      <c r="P69" s="1249">
        <f t="shared" si="13"/>
        <v>0.54102747869775158</v>
      </c>
      <c r="Q69" s="1249">
        <f t="shared" si="8"/>
        <v>0.6781096679994264</v>
      </c>
      <c r="R69" s="1249">
        <f t="shared" si="8"/>
        <v>0.18278414547459149</v>
      </c>
      <c r="S69" s="1249">
        <f t="shared" si="8"/>
        <v>0.64852849087932063</v>
      </c>
    </row>
    <row r="70" spans="1:30" hidden="1" outlineLevel="1" x14ac:dyDescent="0.35">
      <c r="A70" s="357" t="str">
        <f t="shared" si="9"/>
        <v>22PKW MitfahrerIn</v>
      </c>
      <c r="B70" s="582" t="s">
        <v>5667</v>
      </c>
      <c r="C70" s="1252">
        <v>216.5</v>
      </c>
      <c r="D70" s="1253">
        <v>0.83</v>
      </c>
      <c r="E70" s="1158">
        <f>VLOOKUP($A70,'Datensatz AT Unterwegs'!$D$2:$J$145,2,0)</f>
        <v>1656.4575831112081</v>
      </c>
      <c r="F70" s="1158">
        <f>VLOOKUP($A70,'Datensatz AT Unterwegs'!$D$2:$J$145,7,0)</f>
        <v>65.083903760723729</v>
      </c>
      <c r="G70" s="1158">
        <f>VLOOKUP($A70,'Datensatz AT Unterwegs'!$D$2:$J$145,4,0)</f>
        <v>48.285706906917163</v>
      </c>
      <c r="H70" s="1248">
        <f>VLOOKUP($A70,'Datensatz AT Unterwegs'!$D$2:$J$145,5,0)</f>
        <v>153.1599555533742</v>
      </c>
      <c r="I70" s="1158">
        <f t="shared" si="10"/>
        <v>0</v>
      </c>
      <c r="J70" s="1158">
        <f t="shared" si="11"/>
        <v>0</v>
      </c>
      <c r="K70" s="1249" t="e">
        <f>1-K69</f>
        <v>#DIV/0!</v>
      </c>
      <c r="L70" s="1249"/>
      <c r="M70" s="1158" t="e">
        <f t="shared" si="12"/>
        <v>#DIV/0!</v>
      </c>
      <c r="N70" s="1249" t="e">
        <f t="shared" si="7"/>
        <v>#DIV/0!</v>
      </c>
      <c r="O70" s="669"/>
      <c r="P70" s="1249">
        <f t="shared" si="13"/>
        <v>0.2461588526832737</v>
      </c>
      <c r="Q70" s="1249">
        <f t="shared" si="8"/>
        <v>8.9151013478789939E-2</v>
      </c>
      <c r="R70" s="1249">
        <f t="shared" si="8"/>
        <v>0.12276461076835192</v>
      </c>
      <c r="S70" s="1249">
        <f t="shared" si="8"/>
        <v>0.26378062057821255</v>
      </c>
    </row>
    <row r="71" spans="1:30" hidden="1" outlineLevel="1" x14ac:dyDescent="0.35">
      <c r="A71" s="357" t="str">
        <f t="shared" si="9"/>
        <v>22Stadt-Regionalbus</v>
      </c>
      <c r="B71" s="582" t="s">
        <v>5668</v>
      </c>
      <c r="C71" s="1252">
        <v>51.3</v>
      </c>
      <c r="D71" s="1253">
        <v>0.19</v>
      </c>
      <c r="E71" s="1158">
        <f>VLOOKUP($A71,'Datensatz AT Unterwegs'!$D$2:$J$145,2,0)</f>
        <v>159.46082798582114</v>
      </c>
      <c r="F71" s="1158">
        <f>VLOOKUP($A71,'Datensatz AT Unterwegs'!$D$2:$J$145,7,0)</f>
        <v>21.003604731869835</v>
      </c>
      <c r="G71" s="1158">
        <f>VLOOKUP($A71,'Datensatz AT Unterwegs'!$D$2:$J$145,4,0)</f>
        <v>102.62177060484748</v>
      </c>
      <c r="H71" s="1248">
        <f>VLOOKUP($A71,'Datensatz AT Unterwegs'!$D$2:$J$145,5,0)</f>
        <v>2.0416786970713932</v>
      </c>
      <c r="I71" s="1158">
        <f t="shared" si="10"/>
        <v>0</v>
      </c>
      <c r="J71" s="1158">
        <f t="shared" si="11"/>
        <v>0</v>
      </c>
      <c r="K71" s="1249"/>
      <c r="L71" s="1254" t="e">
        <f>(E71/($E$71+$E$72+$E$73+$E$74)*$F$7)+(F71/($F$71+$F$72+$F$73+$F$74)*$F$8)+(G71/($G$71+$G$72+$G$73+$G$74)*$F$9)+(H71/($H$71+$H$72+$H$73+$H$74)*$F$10)</f>
        <v>#DIV/0!</v>
      </c>
      <c r="M71" s="1158" t="e">
        <f t="shared" si="12"/>
        <v>#DIV/0!</v>
      </c>
      <c r="N71" s="1249" t="e">
        <f t="shared" si="7"/>
        <v>#DIV/0!</v>
      </c>
      <c r="O71" s="669"/>
      <c r="P71" s="1249">
        <f t="shared" si="13"/>
        <v>2.3696770062284971E-2</v>
      </c>
      <c r="Q71" s="1249">
        <f t="shared" si="8"/>
        <v>2.8770441543245279E-2</v>
      </c>
      <c r="R71" s="1249">
        <f t="shared" si="8"/>
        <v>0.26091202825195525</v>
      </c>
      <c r="S71" s="1249">
        <f t="shared" si="8"/>
        <v>3.5162929617534992E-3</v>
      </c>
    </row>
    <row r="72" spans="1:30" hidden="1" outlineLevel="1" x14ac:dyDescent="0.35">
      <c r="A72" s="357" t="str">
        <f t="shared" si="9"/>
        <v>22Straßenbahn/Ubahn</v>
      </c>
      <c r="B72" s="582" t="s">
        <v>5669</v>
      </c>
      <c r="C72" s="1252">
        <v>13.8</v>
      </c>
      <c r="D72" s="1251">
        <v>0.14000000000000001</v>
      </c>
      <c r="E72" s="1158">
        <f>VLOOKUP($A72,'Datensatz AT Unterwegs'!$D$2:$J$145,2,0)</f>
        <v>33.001225269996532</v>
      </c>
      <c r="F72" s="1158">
        <f>VLOOKUP($A72,'Datensatz AT Unterwegs'!$D$2:$J$145,7,0)</f>
        <v>6.7927622682197448</v>
      </c>
      <c r="G72" s="1158">
        <f>VLOOKUP($A72,'Datensatz AT Unterwegs'!$D$2:$J$145,4,0)</f>
        <v>10.530976174512768</v>
      </c>
      <c r="H72" s="1248">
        <f>VLOOKUP($A72,'Datensatz AT Unterwegs'!$D$2:$J$145,5,0)</f>
        <v>2.8938671276191346</v>
      </c>
      <c r="I72" s="1158">
        <f t="shared" si="10"/>
        <v>0</v>
      </c>
      <c r="J72" s="1158">
        <f t="shared" si="11"/>
        <v>0</v>
      </c>
      <c r="K72" s="1249"/>
      <c r="L72" s="1254" t="e">
        <f>(E72/($E$71+$E$72+$E$73+$E$74)*$F$7)+(F72/($F$71+$F$72+$F$73+$F$74)*$F$8)+(G72/($G$71+$G$72+$G$73+$G$74)*$F$9)+(H72/($H$71+$H$72+$H$73+$H$74)*$F$10)</f>
        <v>#DIV/0!</v>
      </c>
      <c r="M72" s="1158" t="e">
        <f t="shared" si="12"/>
        <v>#DIV/0!</v>
      </c>
      <c r="N72" s="1249" t="e">
        <f t="shared" si="7"/>
        <v>#DIV/0!</v>
      </c>
      <c r="O72" s="669"/>
      <c r="P72" s="1249">
        <f t="shared" si="13"/>
        <v>4.9041664769626783E-3</v>
      </c>
      <c r="Q72" s="1249">
        <f t="shared" si="8"/>
        <v>9.3046299551829484E-3</v>
      </c>
      <c r="R72" s="1249">
        <f t="shared" si="8"/>
        <v>2.6774614557618568E-2</v>
      </c>
      <c r="S72" s="1249">
        <f t="shared" si="8"/>
        <v>4.9839794222730025E-3</v>
      </c>
    </row>
    <row r="73" spans="1:30" hidden="1" outlineLevel="1" x14ac:dyDescent="0.35">
      <c r="A73" s="357" t="str">
        <f t="shared" si="9"/>
        <v>22Eisen-/Schnellbahn oder Fernzug</v>
      </c>
      <c r="B73" s="582" t="s">
        <v>5670</v>
      </c>
      <c r="C73" s="1250">
        <v>14.4</v>
      </c>
      <c r="D73" s="1251">
        <v>0.13</v>
      </c>
      <c r="E73" s="1158">
        <f>VLOOKUP($A73,'Datensatz AT Unterwegs'!$D$2:$J$145,2,0)</f>
        <v>954.89952792770089</v>
      </c>
      <c r="F73" s="1158">
        <f>VLOOKUP($A73,'Datensatz AT Unterwegs'!$D$2:$J$145,7,0)</f>
        <v>133.37586613569795</v>
      </c>
      <c r="G73" s="1158">
        <f>VLOOKUP($A73,'Datensatz AT Unterwegs'!$D$2:$J$145,4,0)</f>
        <v>144.1608627017159</v>
      </c>
      <c r="H73" s="1248">
        <f>VLOOKUP($A73,'Datensatz AT Unterwegs'!$D$2:$J$145,5,0)</f>
        <v>14.701613922150408</v>
      </c>
      <c r="I73" s="1158">
        <f t="shared" si="10"/>
        <v>0</v>
      </c>
      <c r="J73" s="1158">
        <f t="shared" si="11"/>
        <v>0</v>
      </c>
      <c r="K73" s="1249"/>
      <c r="L73" s="1254" t="e">
        <f>(E73/($E$71+$E$72+$E$73+$E$74)*$F$7)+(F73/($F$71+$F$72+$F$73+$F$74)*$F$8)+(G73/($G$71+$G$72+$G$73+$G$74)*$F$9)+(H73/($H$71+$H$72+$H$73+$H$74)*$F$10)</f>
        <v>#DIV/0!</v>
      </c>
      <c r="M73" s="1158" t="e">
        <f t="shared" si="12"/>
        <v>#DIV/0!</v>
      </c>
      <c r="N73" s="1249" t="e">
        <f t="shared" si="7"/>
        <v>#DIV/0!</v>
      </c>
      <c r="O73" s="669"/>
      <c r="P73" s="1249">
        <f t="shared" si="13"/>
        <v>0.14190340556803846</v>
      </c>
      <c r="Q73" s="1249">
        <f t="shared" si="8"/>
        <v>0.18269638040342198</v>
      </c>
      <c r="R73" s="1249">
        <f t="shared" si="8"/>
        <v>0.36652362223303542</v>
      </c>
      <c r="S73" s="1249">
        <f t="shared" si="8"/>
        <v>2.5319939731470426E-2</v>
      </c>
    </row>
    <row r="74" spans="1:30" hidden="1" outlineLevel="1" x14ac:dyDescent="0.35">
      <c r="A74" s="357" t="str">
        <f t="shared" si="9"/>
        <v>22Reisebus</v>
      </c>
      <c r="B74" s="582" t="s">
        <v>5671</v>
      </c>
      <c r="C74" s="1250">
        <v>57.9</v>
      </c>
      <c r="D74" s="1251">
        <v>0.22</v>
      </c>
      <c r="E74" s="1158">
        <f>VLOOKUP($A74,'Datensatz AT Unterwegs'!$D$2:$J$145,2,0)</f>
        <v>112.654597776033</v>
      </c>
      <c r="F74" s="1158">
        <f>VLOOKUP($A74,'Datensatz AT Unterwegs'!$D$2:$J$145,7,0)</f>
        <v>0.15142755466144273</v>
      </c>
      <c r="G74" s="1158">
        <f>VLOOKUP($A74,'Datensatz AT Unterwegs'!$D$2:$J$145,4,0)</f>
        <v>7.4513320004692742</v>
      </c>
      <c r="H74" s="1248">
        <f>VLOOKUP($A74,'Datensatz AT Unterwegs'!$D$2:$J$145,5,0)</f>
        <v>0</v>
      </c>
      <c r="I74" s="1158">
        <f t="shared" si="10"/>
        <v>0</v>
      </c>
      <c r="J74" s="1158">
        <f t="shared" si="11"/>
        <v>0</v>
      </c>
      <c r="K74" s="1249"/>
      <c r="L74" s="1254" t="e">
        <f>(E74/($E$71+$E$72+$E$73+$E$74)*$F$7)+(F74/($F$71+$F$72+$F$73+$F$74)*$F$8)+(G74/($G$71+$G$72+$G$73+$G$74)*$F$9)+(H74/($H$71+$H$72+$H$73+$H$74)*$F$10)</f>
        <v>#DIV/0!</v>
      </c>
      <c r="M74" s="1158" t="e">
        <f t="shared" si="12"/>
        <v>#DIV/0!</v>
      </c>
      <c r="N74" s="1249" t="e">
        <f t="shared" si="7"/>
        <v>#DIV/0!</v>
      </c>
      <c r="O74" s="669"/>
      <c r="P74" s="1249">
        <f t="shared" si="13"/>
        <v>1.6741102712668866E-2</v>
      </c>
      <c r="Q74" s="1249">
        <f t="shared" si="8"/>
        <v>2.0742332875904249E-4</v>
      </c>
      <c r="R74" s="1249">
        <f t="shared" si="8"/>
        <v>1.8944733987364112E-2</v>
      </c>
      <c r="S74" s="1249">
        <f t="shared" si="8"/>
        <v>0</v>
      </c>
    </row>
    <row r="75" spans="1:30" hidden="1" outlineLevel="1" x14ac:dyDescent="0.35">
      <c r="A75" s="357" t="str">
        <f t="shared" si="9"/>
        <v>22SUMME</v>
      </c>
      <c r="B75" s="292" t="s">
        <v>11</v>
      </c>
      <c r="C75" s="404"/>
      <c r="D75" s="404"/>
      <c r="E75" s="313">
        <f t="shared" ref="E75:J75" si="14">SUM(E66:E74)</f>
        <v>6729.2220655680812</v>
      </c>
      <c r="F75" s="313">
        <f t="shared" si="14"/>
        <v>730.0410979198565</v>
      </c>
      <c r="G75" s="313">
        <f t="shared" si="14"/>
        <v>393.31943142823832</v>
      </c>
      <c r="H75" s="1255">
        <f t="shared" si="14"/>
        <v>580.63384344780309</v>
      </c>
      <c r="I75" s="313">
        <f t="shared" si="14"/>
        <v>0</v>
      </c>
      <c r="J75" s="313">
        <f t="shared" si="14"/>
        <v>0</v>
      </c>
      <c r="K75" s="339" t="e">
        <f>SUM(K66:K74)</f>
        <v>#DIV/0!</v>
      </c>
      <c r="L75" s="339" t="e">
        <f>SUM(L66:L74)</f>
        <v>#DIV/0!</v>
      </c>
      <c r="M75" s="313" t="e">
        <f>SUM(M66:M74)</f>
        <v>#DIV/0!</v>
      </c>
      <c r="N75" s="523" t="e">
        <f>SUM(N66:N74)</f>
        <v>#DIV/0!</v>
      </c>
      <c r="O75" s="317"/>
      <c r="P75" s="339">
        <f>E75/E$75</f>
        <v>1</v>
      </c>
      <c r="Q75" s="339">
        <f>F75/F$75</f>
        <v>1</v>
      </c>
      <c r="R75" s="339">
        <f>G75/G$75</f>
        <v>1</v>
      </c>
      <c r="S75" s="339">
        <f>H75/H$75</f>
        <v>1</v>
      </c>
    </row>
    <row r="76" spans="1:30" hidden="1" outlineLevel="1" x14ac:dyDescent="0.35">
      <c r="E76" s="1256"/>
      <c r="F76" s="1256"/>
      <c r="G76" s="1256"/>
      <c r="H76" s="1256"/>
      <c r="I76" s="1257" t="e">
        <f>I75/$C$11</f>
        <v>#DIV/0!</v>
      </c>
      <c r="J76" s="1257" t="e">
        <f>J75/$C$11</f>
        <v>#DIV/0!</v>
      </c>
      <c r="K76" s="1258" t="s">
        <v>5736</v>
      </c>
      <c r="L76" s="572"/>
    </row>
    <row r="77" spans="1:30" hidden="1" outlineLevel="1" x14ac:dyDescent="0.35">
      <c r="E77" s="1256"/>
      <c r="F77" s="1256"/>
      <c r="G77" s="1256"/>
      <c r="H77" s="1256"/>
      <c r="I77" s="1257" t="e">
        <f>I76*$C$11/$E$11</f>
        <v>#DIV/0!</v>
      </c>
      <c r="J77" s="1257" t="e">
        <f>J76*1000/8760*$C$11/$E$11</f>
        <v>#DIV/0!</v>
      </c>
      <c r="K77" s="1258" t="s">
        <v>5737</v>
      </c>
      <c r="L77" s="572"/>
    </row>
    <row r="78" spans="1:30" collapsed="1" x14ac:dyDescent="0.35">
      <c r="B78" s="348"/>
      <c r="C78" s="724"/>
      <c r="D78" s="1171"/>
      <c r="E78" s="1172"/>
      <c r="F78" s="1172"/>
      <c r="G78" s="1172"/>
      <c r="H78" s="1172"/>
      <c r="I78" s="1172"/>
      <c r="J78" s="1172"/>
    </row>
    <row r="79" spans="1:30" ht="21" x14ac:dyDescent="0.5">
      <c r="B79" s="1168" t="s">
        <v>5738</v>
      </c>
      <c r="C79" s="1259"/>
      <c r="D79" s="1260"/>
      <c r="E79" s="1261"/>
      <c r="F79" s="1261"/>
      <c r="G79" s="1261"/>
      <c r="H79" s="1261"/>
      <c r="I79" s="1261"/>
      <c r="J79" s="1261"/>
      <c r="K79" s="1169"/>
      <c r="L79" s="1169"/>
      <c r="M79" s="1169"/>
      <c r="N79" s="1169"/>
      <c r="AC79" s="364"/>
      <c r="AD79" s="662"/>
    </row>
    <row r="80" spans="1:30" hidden="1" outlineLevel="1" x14ac:dyDescent="0.35">
      <c r="B80" s="364"/>
      <c r="C80" s="662"/>
      <c r="AD80" s="550"/>
    </row>
    <row r="81" spans="1:30" ht="43.5" hidden="1" outlineLevel="1" x14ac:dyDescent="0.35">
      <c r="B81" s="337" t="s">
        <v>5655</v>
      </c>
      <c r="C81" s="301" t="s">
        <v>5728</v>
      </c>
      <c r="D81" s="301" t="s">
        <v>5729</v>
      </c>
      <c r="E81" s="301" t="s">
        <v>5718</v>
      </c>
      <c r="F81" s="301" t="s">
        <v>5719</v>
      </c>
      <c r="G81" s="301" t="s">
        <v>5720</v>
      </c>
      <c r="H81" s="749" t="s">
        <v>5721</v>
      </c>
      <c r="I81" s="301" t="s">
        <v>5730</v>
      </c>
      <c r="J81" s="301" t="s">
        <v>5731</v>
      </c>
      <c r="M81" s="550"/>
      <c r="N81" s="550"/>
      <c r="O81" s="550"/>
      <c r="P81" s="301" t="s">
        <v>5718</v>
      </c>
      <c r="Q81" s="301" t="s">
        <v>5719</v>
      </c>
      <c r="R81" s="301" t="s">
        <v>5720</v>
      </c>
      <c r="S81" s="749" t="s">
        <v>5721</v>
      </c>
      <c r="T81" s="550"/>
      <c r="V81" s="550"/>
      <c r="W81" s="550"/>
      <c r="X81" s="550"/>
      <c r="Y81" s="550"/>
    </row>
    <row r="82" spans="1:30" hidden="1" outlineLevel="1" x14ac:dyDescent="0.35">
      <c r="A82" s="357"/>
      <c r="B82" s="582" t="s">
        <v>5663</v>
      </c>
      <c r="C82" s="1250">
        <v>0</v>
      </c>
      <c r="D82" s="1251">
        <v>0</v>
      </c>
      <c r="E82" s="1158" t="e">
        <f t="shared" ref="E82:H84" si="15">E$75*$N45</f>
        <v>#DIV/0!</v>
      </c>
      <c r="F82" s="1158" t="e">
        <f t="shared" si="15"/>
        <v>#DIV/0!</v>
      </c>
      <c r="G82" s="1158" t="e">
        <f t="shared" si="15"/>
        <v>#DIV/0!</v>
      </c>
      <c r="H82" s="1248" t="e">
        <f t="shared" si="15"/>
        <v>#DIV/0!</v>
      </c>
      <c r="I82" s="1158" t="e">
        <f>(E82*$D$7+F82*$D$8+G82*$D$9+H82*$D$10)*$C82/1000</f>
        <v>#DIV/0!</v>
      </c>
      <c r="J82" s="1158" t="e">
        <f>(E82*$D$7+F82*$D$8+G82*$D$9+H82*$D$10)*$D82</f>
        <v>#DIV/0!</v>
      </c>
      <c r="P82" s="1249" t="e">
        <f t="shared" ref="P82:S93" si="16">E82/E$94</f>
        <v>#DIV/0!</v>
      </c>
      <c r="Q82" s="1249" t="e">
        <f t="shared" si="16"/>
        <v>#DIV/0!</v>
      </c>
      <c r="R82" s="1249" t="e">
        <f t="shared" si="16"/>
        <v>#DIV/0!</v>
      </c>
      <c r="S82" s="1262" t="e">
        <f t="shared" si="16"/>
        <v>#DIV/0!</v>
      </c>
      <c r="T82" s="550"/>
      <c r="V82" s="550"/>
      <c r="W82" s="550"/>
      <c r="X82" s="550"/>
      <c r="Y82" s="550"/>
    </row>
    <row r="83" spans="1:30" hidden="1" outlineLevel="1" x14ac:dyDescent="0.35">
      <c r="A83" s="357"/>
      <c r="B83" s="582" t="s">
        <v>5664</v>
      </c>
      <c r="C83" s="1250">
        <v>0</v>
      </c>
      <c r="D83" s="1251">
        <v>0</v>
      </c>
      <c r="E83" s="1158" t="e">
        <f t="shared" si="15"/>
        <v>#DIV/0!</v>
      </c>
      <c r="F83" s="1158" t="e">
        <f t="shared" si="15"/>
        <v>#DIV/0!</v>
      </c>
      <c r="G83" s="1158" t="e">
        <f t="shared" si="15"/>
        <v>#DIV/0!</v>
      </c>
      <c r="H83" s="1248" t="e">
        <f t="shared" si="15"/>
        <v>#DIV/0!</v>
      </c>
      <c r="I83" s="1158" t="e">
        <f t="shared" ref="I83:I93" si="17">(E83*$D$7+F83*$D$8+G83*$D$9+H83*$D$10)*$C83/1000</f>
        <v>#DIV/0!</v>
      </c>
      <c r="J83" s="1158" t="e">
        <f t="shared" ref="J83:J93" si="18">(E83*$D$7+F83*$D$8+G83*$D$9+H83*$D$10)*$D83</f>
        <v>#DIV/0!</v>
      </c>
      <c r="P83" s="1249" t="e">
        <f t="shared" si="16"/>
        <v>#DIV/0!</v>
      </c>
      <c r="Q83" s="1249" t="e">
        <f t="shared" si="16"/>
        <v>#DIV/0!</v>
      </c>
      <c r="R83" s="1249" t="e">
        <f t="shared" si="16"/>
        <v>#DIV/0!</v>
      </c>
      <c r="S83" s="1262" t="e">
        <f t="shared" si="16"/>
        <v>#DIV/0!</v>
      </c>
      <c r="T83" s="550"/>
      <c r="V83" s="550"/>
      <c r="W83" s="550"/>
      <c r="X83" s="550"/>
      <c r="Y83" s="550"/>
    </row>
    <row r="84" spans="1:30" hidden="1" outlineLevel="1" x14ac:dyDescent="0.35">
      <c r="A84" s="357"/>
      <c r="B84" s="582" t="s">
        <v>5665</v>
      </c>
      <c r="C84" s="1250">
        <f>(110.2+143.3)/2</f>
        <v>126.75</v>
      </c>
      <c r="D84" s="1251">
        <f>(0.4+0.56)/2</f>
        <v>0.48000000000000004</v>
      </c>
      <c r="E84" s="1158" t="e">
        <f t="shared" si="15"/>
        <v>#DIV/0!</v>
      </c>
      <c r="F84" s="1158" t="e">
        <f t="shared" si="15"/>
        <v>#DIV/0!</v>
      </c>
      <c r="G84" s="1158" t="e">
        <f t="shared" si="15"/>
        <v>#DIV/0!</v>
      </c>
      <c r="H84" s="1248" t="e">
        <f t="shared" si="15"/>
        <v>#DIV/0!</v>
      </c>
      <c r="I84" s="1158" t="e">
        <f t="shared" si="17"/>
        <v>#DIV/0!</v>
      </c>
      <c r="J84" s="1158" t="e">
        <f t="shared" si="18"/>
        <v>#DIV/0!</v>
      </c>
      <c r="P84" s="1249" t="e">
        <f t="shared" si="16"/>
        <v>#DIV/0!</v>
      </c>
      <c r="Q84" s="1249" t="e">
        <f t="shared" si="16"/>
        <v>#DIV/0!</v>
      </c>
      <c r="R84" s="1249" t="e">
        <f t="shared" si="16"/>
        <v>#DIV/0!</v>
      </c>
      <c r="S84" s="1262" t="e">
        <f t="shared" si="16"/>
        <v>#DIV/0!</v>
      </c>
      <c r="T84" s="550"/>
      <c r="V84" s="550"/>
      <c r="W84" s="550"/>
      <c r="X84" s="550"/>
      <c r="Y84" s="550"/>
    </row>
    <row r="85" spans="1:30" hidden="1" outlineLevel="1" x14ac:dyDescent="0.35">
      <c r="A85" s="357"/>
      <c r="B85" s="582" t="s">
        <v>5666</v>
      </c>
      <c r="C85" s="1252">
        <v>216.5</v>
      </c>
      <c r="D85" s="1253">
        <v>0.83</v>
      </c>
      <c r="E85" s="1158" t="e">
        <f>E$57*$C$60</f>
        <v>#DIV/0!</v>
      </c>
      <c r="F85" s="1158" t="e">
        <f>F$57*$C$60</f>
        <v>#DIV/0!</v>
      </c>
      <c r="G85" s="1158" t="e">
        <f>G$57*$C$60</f>
        <v>#DIV/0!</v>
      </c>
      <c r="H85" s="1248" t="e">
        <f>H$57*$C$60</f>
        <v>#DIV/0!</v>
      </c>
      <c r="I85" s="1158" t="e">
        <f t="shared" si="17"/>
        <v>#DIV/0!</v>
      </c>
      <c r="J85" s="1158" t="e">
        <f t="shared" si="18"/>
        <v>#DIV/0!</v>
      </c>
      <c r="P85" s="1249" t="e">
        <f t="shared" si="16"/>
        <v>#DIV/0!</v>
      </c>
      <c r="Q85" s="1249" t="e">
        <f t="shared" si="16"/>
        <v>#DIV/0!</v>
      </c>
      <c r="R85" s="1249" t="e">
        <f t="shared" si="16"/>
        <v>#DIV/0!</v>
      </c>
      <c r="S85" s="1262" t="e">
        <f t="shared" si="16"/>
        <v>#DIV/0!</v>
      </c>
      <c r="T85" s="550"/>
      <c r="V85" s="550"/>
      <c r="W85" s="550"/>
      <c r="X85" s="550"/>
      <c r="Y85" s="550"/>
    </row>
    <row r="86" spans="1:30" hidden="1" outlineLevel="1" x14ac:dyDescent="0.35">
      <c r="A86" s="357"/>
      <c r="B86" s="582" t="s">
        <v>5667</v>
      </c>
      <c r="C86" s="1252">
        <v>216.5</v>
      </c>
      <c r="D86" s="1253">
        <v>0.83</v>
      </c>
      <c r="E86" s="1158" t="e">
        <f>E$58*$C$60</f>
        <v>#DIV/0!</v>
      </c>
      <c r="F86" s="1158" t="e">
        <f>F$58*$C$60</f>
        <v>#DIV/0!</v>
      </c>
      <c r="G86" s="1158" t="e">
        <f>G$58*$C$60</f>
        <v>#DIV/0!</v>
      </c>
      <c r="H86" s="1248" t="e">
        <f>H$58*$C$60</f>
        <v>#DIV/0!</v>
      </c>
      <c r="I86" s="1158" t="e">
        <f t="shared" si="17"/>
        <v>#DIV/0!</v>
      </c>
      <c r="J86" s="1158" t="e">
        <f t="shared" si="18"/>
        <v>#DIV/0!</v>
      </c>
      <c r="P86" s="1249" t="e">
        <f t="shared" si="16"/>
        <v>#DIV/0!</v>
      </c>
      <c r="Q86" s="1249" t="e">
        <f t="shared" si="16"/>
        <v>#DIV/0!</v>
      </c>
      <c r="R86" s="1249" t="e">
        <f t="shared" si="16"/>
        <v>#DIV/0!</v>
      </c>
      <c r="S86" s="1262" t="e">
        <f t="shared" si="16"/>
        <v>#DIV/0!</v>
      </c>
      <c r="T86" s="550"/>
      <c r="V86" s="550"/>
      <c r="W86" s="550"/>
      <c r="X86" s="550"/>
      <c r="Y86" s="550"/>
    </row>
    <row r="87" spans="1:30" hidden="1" outlineLevel="1" x14ac:dyDescent="0.35">
      <c r="A87" s="357"/>
      <c r="B87" s="582" t="s">
        <v>5739</v>
      </c>
      <c r="C87" s="1250">
        <v>137.80000000000001</v>
      </c>
      <c r="D87" s="1251">
        <v>0.66400000000000003</v>
      </c>
      <c r="E87" s="1158" t="e">
        <f>E$59*$C$57</f>
        <v>#DIV/0!</v>
      </c>
      <c r="F87" s="1158" t="e">
        <f>F$59*$C$57</f>
        <v>#DIV/0!</v>
      </c>
      <c r="G87" s="1158" t="e">
        <f>G$59*$C$57</f>
        <v>#DIV/0!</v>
      </c>
      <c r="H87" s="1248" t="e">
        <f>H$59*$C$57</f>
        <v>#DIV/0!</v>
      </c>
      <c r="I87" s="1158" t="e">
        <f t="shared" si="17"/>
        <v>#DIV/0!</v>
      </c>
      <c r="J87" s="1158" t="e">
        <f t="shared" si="18"/>
        <v>#DIV/0!</v>
      </c>
      <c r="P87" s="1249" t="e">
        <f t="shared" si="16"/>
        <v>#DIV/0!</v>
      </c>
      <c r="Q87" s="1249" t="e">
        <f t="shared" si="16"/>
        <v>#DIV/0!</v>
      </c>
      <c r="R87" s="1249" t="e">
        <f t="shared" si="16"/>
        <v>#DIV/0!</v>
      </c>
      <c r="S87" s="1262" t="e">
        <f t="shared" si="16"/>
        <v>#DIV/0!</v>
      </c>
      <c r="T87" s="550"/>
      <c r="V87" s="550"/>
      <c r="W87" s="550"/>
      <c r="X87" s="550"/>
      <c r="Y87" s="550"/>
    </row>
    <row r="88" spans="1:30" hidden="1" outlineLevel="1" x14ac:dyDescent="0.35">
      <c r="A88" s="357"/>
      <c r="B88" s="582" t="s">
        <v>5740</v>
      </c>
      <c r="C88" s="1252">
        <v>95.9</v>
      </c>
      <c r="D88" s="1253">
        <v>0.5</v>
      </c>
      <c r="E88" s="1158" t="e">
        <f>E$59*$C$58</f>
        <v>#DIV/0!</v>
      </c>
      <c r="F88" s="1158" t="e">
        <f>F$59*$C$58</f>
        <v>#DIV/0!</v>
      </c>
      <c r="G88" s="1158" t="e">
        <f>G$59*$C$58</f>
        <v>#DIV/0!</v>
      </c>
      <c r="H88" s="1248" t="e">
        <f>H$59*$C$58</f>
        <v>#DIV/0!</v>
      </c>
      <c r="I88" s="1158" t="e">
        <f t="shared" si="17"/>
        <v>#DIV/0!</v>
      </c>
      <c r="J88" s="1158" t="e">
        <f t="shared" si="18"/>
        <v>#DIV/0!</v>
      </c>
      <c r="P88" s="1249" t="e">
        <f t="shared" si="16"/>
        <v>#DIV/0!</v>
      </c>
      <c r="Q88" s="1249" t="e">
        <f t="shared" si="16"/>
        <v>#DIV/0!</v>
      </c>
      <c r="R88" s="1249" t="e">
        <f t="shared" si="16"/>
        <v>#DIV/0!</v>
      </c>
      <c r="S88" s="1262" t="e">
        <f t="shared" si="16"/>
        <v>#DIV/0!</v>
      </c>
      <c r="T88" s="550"/>
      <c r="V88" s="550"/>
      <c r="W88" s="550"/>
      <c r="X88" s="550"/>
      <c r="Y88" s="550"/>
    </row>
    <row r="89" spans="1:30" hidden="1" outlineLevel="1" x14ac:dyDescent="0.35">
      <c r="A89" s="357"/>
      <c r="B89" s="582" t="s">
        <v>5741</v>
      </c>
      <c r="C89" s="1252">
        <v>51.6</v>
      </c>
      <c r="D89" s="1253">
        <v>0.43</v>
      </c>
      <c r="E89" s="1158" t="e">
        <f>E$59*$C$59</f>
        <v>#DIV/0!</v>
      </c>
      <c r="F89" s="1158" t="e">
        <f>F$59*$C$59</f>
        <v>#DIV/0!</v>
      </c>
      <c r="G89" s="1158" t="e">
        <f>G$59*$C$59</f>
        <v>#DIV/0!</v>
      </c>
      <c r="H89" s="1248" t="e">
        <f>H$59*$C$59</f>
        <v>#DIV/0!</v>
      </c>
      <c r="I89" s="1158" t="e">
        <f t="shared" si="17"/>
        <v>#DIV/0!</v>
      </c>
      <c r="J89" s="1158" t="e">
        <f t="shared" si="18"/>
        <v>#DIV/0!</v>
      </c>
      <c r="P89" s="1249" t="e">
        <f t="shared" si="16"/>
        <v>#DIV/0!</v>
      </c>
      <c r="Q89" s="1249" t="e">
        <f t="shared" si="16"/>
        <v>#DIV/0!</v>
      </c>
      <c r="R89" s="1249" t="e">
        <f t="shared" si="16"/>
        <v>#DIV/0!</v>
      </c>
      <c r="S89" s="1262" t="e">
        <f t="shared" si="16"/>
        <v>#DIV/0!</v>
      </c>
      <c r="T89" s="550"/>
      <c r="V89" s="550"/>
      <c r="W89" s="550"/>
      <c r="X89" s="550"/>
      <c r="Y89" s="550"/>
    </row>
    <row r="90" spans="1:30" hidden="1" outlineLevel="1" x14ac:dyDescent="0.35">
      <c r="A90" s="357"/>
      <c r="B90" s="582" t="s">
        <v>5668</v>
      </c>
      <c r="C90" s="1252">
        <v>51.3</v>
      </c>
      <c r="D90" s="1253">
        <v>0.19</v>
      </c>
      <c r="E90" s="1158" t="e">
        <f>IF($C$38="Ja",($N50*E75),(($N50+$N51)*E75))</f>
        <v>#DIV/0!</v>
      </c>
      <c r="F90" s="1158" t="e">
        <f>IF($C$38="Ja",($N50*F75),(($N50+$N51)*F75))</f>
        <v>#DIV/0!</v>
      </c>
      <c r="G90" s="1158" t="e">
        <f>IF($C$38="Ja",($N50*G75),(($N50+$N51)*G75))</f>
        <v>#DIV/0!</v>
      </c>
      <c r="H90" s="1248" t="e">
        <f>IF($C$38="Ja",($N50*H75),(($N50+$N51)*H75))</f>
        <v>#DIV/0!</v>
      </c>
      <c r="I90" s="1158" t="e">
        <f t="shared" si="17"/>
        <v>#DIV/0!</v>
      </c>
      <c r="J90" s="1158" t="e">
        <f t="shared" si="18"/>
        <v>#DIV/0!</v>
      </c>
      <c r="P90" s="1249" t="e">
        <f t="shared" si="16"/>
        <v>#DIV/0!</v>
      </c>
      <c r="Q90" s="1249" t="e">
        <f t="shared" si="16"/>
        <v>#DIV/0!</v>
      </c>
      <c r="R90" s="1249" t="e">
        <f t="shared" si="16"/>
        <v>#DIV/0!</v>
      </c>
      <c r="S90" s="1262" t="e">
        <f t="shared" si="16"/>
        <v>#DIV/0!</v>
      </c>
      <c r="T90" s="550"/>
      <c r="V90" s="550"/>
      <c r="W90" s="550"/>
      <c r="X90" s="550"/>
      <c r="Y90" s="550"/>
    </row>
    <row r="91" spans="1:30" hidden="1" outlineLevel="1" x14ac:dyDescent="0.35">
      <c r="A91" s="357"/>
      <c r="B91" s="582" t="s">
        <v>5669</v>
      </c>
      <c r="C91" s="1252">
        <v>13.8</v>
      </c>
      <c r="D91" s="1251">
        <v>0.14000000000000001</v>
      </c>
      <c r="E91" s="1158">
        <f>IF($C$38="Ja",(($N51*E75)),0)</f>
        <v>0</v>
      </c>
      <c r="F91" s="1158">
        <f>IF($C$38="Ja",(($N51*F75)),0)</f>
        <v>0</v>
      </c>
      <c r="G91" s="1158">
        <f>IF($C$38="Ja",(($N51*G75)),0)</f>
        <v>0</v>
      </c>
      <c r="H91" s="1248">
        <f>IF($C$38="Ja",(($N51*H75)),0)</f>
        <v>0</v>
      </c>
      <c r="I91" s="1158">
        <f t="shared" si="17"/>
        <v>0</v>
      </c>
      <c r="J91" s="1158">
        <f t="shared" si="18"/>
        <v>0</v>
      </c>
      <c r="P91" s="1249" t="e">
        <f t="shared" si="16"/>
        <v>#DIV/0!</v>
      </c>
      <c r="Q91" s="1249" t="e">
        <f t="shared" si="16"/>
        <v>#DIV/0!</v>
      </c>
      <c r="R91" s="1249" t="e">
        <f t="shared" si="16"/>
        <v>#DIV/0!</v>
      </c>
      <c r="S91" s="1262" t="e">
        <f t="shared" si="16"/>
        <v>#DIV/0!</v>
      </c>
      <c r="T91" s="550"/>
      <c r="V91" s="550"/>
      <c r="W91" s="550"/>
      <c r="X91" s="550"/>
      <c r="Y91" s="550"/>
      <c r="AD91" s="550"/>
    </row>
    <row r="92" spans="1:30" hidden="1" outlineLevel="1" x14ac:dyDescent="0.35">
      <c r="A92" s="357"/>
      <c r="B92" s="582" t="s">
        <v>5670</v>
      </c>
      <c r="C92" s="1250">
        <v>14.4</v>
      </c>
      <c r="D92" s="1251">
        <v>0.13</v>
      </c>
      <c r="E92" s="1158" t="e">
        <f t="shared" ref="E92:H93" si="19">E$75*$N52</f>
        <v>#DIV/0!</v>
      </c>
      <c r="F92" s="1158" t="e">
        <f t="shared" si="19"/>
        <v>#DIV/0!</v>
      </c>
      <c r="G92" s="1158" t="e">
        <f t="shared" si="19"/>
        <v>#DIV/0!</v>
      </c>
      <c r="H92" s="1248" t="e">
        <f t="shared" si="19"/>
        <v>#DIV/0!</v>
      </c>
      <c r="I92" s="1158" t="e">
        <f t="shared" si="17"/>
        <v>#DIV/0!</v>
      </c>
      <c r="J92" s="1158" t="e">
        <f t="shared" si="18"/>
        <v>#DIV/0!</v>
      </c>
      <c r="P92" s="1249" t="e">
        <f t="shared" si="16"/>
        <v>#DIV/0!</v>
      </c>
      <c r="Q92" s="1249" t="e">
        <f t="shared" si="16"/>
        <v>#DIV/0!</v>
      </c>
      <c r="R92" s="1249" t="e">
        <f t="shared" si="16"/>
        <v>#DIV/0!</v>
      </c>
      <c r="S92" s="1262" t="e">
        <f t="shared" si="16"/>
        <v>#DIV/0!</v>
      </c>
      <c r="T92" s="550"/>
      <c r="V92" s="550"/>
      <c r="W92" s="550"/>
      <c r="X92" s="550"/>
      <c r="Y92" s="550"/>
      <c r="AD92" s="550"/>
    </row>
    <row r="93" spans="1:30" hidden="1" outlineLevel="1" x14ac:dyDescent="0.35">
      <c r="A93" s="357"/>
      <c r="B93" s="582" t="s">
        <v>5671</v>
      </c>
      <c r="C93" s="1250">
        <v>57.9</v>
      </c>
      <c r="D93" s="1251">
        <v>0.22</v>
      </c>
      <c r="E93" s="1158" t="e">
        <f t="shared" si="19"/>
        <v>#DIV/0!</v>
      </c>
      <c r="F93" s="1158" t="e">
        <f t="shared" si="19"/>
        <v>#DIV/0!</v>
      </c>
      <c r="G93" s="1158" t="e">
        <f t="shared" si="19"/>
        <v>#DIV/0!</v>
      </c>
      <c r="H93" s="1248" t="e">
        <f t="shared" si="19"/>
        <v>#DIV/0!</v>
      </c>
      <c r="I93" s="1158" t="e">
        <f t="shared" si="17"/>
        <v>#DIV/0!</v>
      </c>
      <c r="J93" s="1158" t="e">
        <f t="shared" si="18"/>
        <v>#DIV/0!</v>
      </c>
      <c r="P93" s="1249" t="e">
        <f t="shared" si="16"/>
        <v>#DIV/0!</v>
      </c>
      <c r="Q93" s="1249" t="e">
        <f t="shared" si="16"/>
        <v>#DIV/0!</v>
      </c>
      <c r="R93" s="1249" t="e">
        <f t="shared" si="16"/>
        <v>#DIV/0!</v>
      </c>
      <c r="S93" s="1262" t="e">
        <f t="shared" si="16"/>
        <v>#DIV/0!</v>
      </c>
      <c r="T93" s="550"/>
      <c r="V93" s="550"/>
      <c r="W93" s="550"/>
      <c r="X93" s="550"/>
      <c r="Y93" s="550"/>
    </row>
    <row r="94" spans="1:30" hidden="1" outlineLevel="1" x14ac:dyDescent="0.35">
      <c r="A94" s="357"/>
      <c r="B94" s="292" t="s">
        <v>11</v>
      </c>
      <c r="C94" s="303"/>
      <c r="D94" s="303"/>
      <c r="E94" s="313" t="e">
        <f t="shared" ref="E94:J94" si="20">SUM(E82:E93)</f>
        <v>#DIV/0!</v>
      </c>
      <c r="F94" s="313" t="e">
        <f t="shared" si="20"/>
        <v>#DIV/0!</v>
      </c>
      <c r="G94" s="313" t="e">
        <f t="shared" si="20"/>
        <v>#DIV/0!</v>
      </c>
      <c r="H94" s="1255" t="e">
        <f t="shared" si="20"/>
        <v>#DIV/0!</v>
      </c>
      <c r="I94" s="313" t="e">
        <f t="shared" si="20"/>
        <v>#DIV/0!</v>
      </c>
      <c r="J94" s="313" t="e">
        <f t="shared" si="20"/>
        <v>#DIV/0!</v>
      </c>
      <c r="P94" s="339" t="e">
        <f>SUM(P82:P93)</f>
        <v>#DIV/0!</v>
      </c>
      <c r="Q94" s="339" t="e">
        <f>SUM(Q82:Q93)</f>
        <v>#DIV/0!</v>
      </c>
      <c r="R94" s="339" t="e">
        <f>SUM(R82:R93)</f>
        <v>#DIV/0!</v>
      </c>
      <c r="S94" s="1263" t="e">
        <f>SUM(S82:S93)</f>
        <v>#DIV/0!</v>
      </c>
      <c r="T94" s="550"/>
      <c r="V94" s="550"/>
      <c r="W94" s="550"/>
      <c r="X94" s="550"/>
      <c r="Y94" s="550"/>
    </row>
    <row r="95" spans="1:30" hidden="1" outlineLevel="1" x14ac:dyDescent="0.35">
      <c r="C95" s="550"/>
      <c r="E95" s="1264"/>
      <c r="F95" s="1264"/>
      <c r="G95" s="1264"/>
      <c r="I95" s="1257" t="e">
        <f>I94/$C$11</f>
        <v>#DIV/0!</v>
      </c>
      <c r="J95" s="1257" t="e">
        <f>J94/$C$11</f>
        <v>#DIV/0!</v>
      </c>
      <c r="K95" s="1258" t="s">
        <v>5736</v>
      </c>
      <c r="L95" s="1265"/>
      <c r="M95" s="1265"/>
      <c r="N95" s="1265"/>
      <c r="O95" s="1265"/>
      <c r="P95" s="1265"/>
      <c r="Q95" s="1265"/>
      <c r="R95" s="1265"/>
      <c r="S95" s="1265"/>
      <c r="T95" s="1265"/>
      <c r="U95" s="583"/>
      <c r="V95" s="550"/>
      <c r="W95" s="550"/>
      <c r="X95" s="550"/>
      <c r="Y95" s="550"/>
    </row>
    <row r="96" spans="1:30" hidden="1" outlineLevel="1" x14ac:dyDescent="0.35">
      <c r="C96" s="550"/>
      <c r="D96" s="550"/>
      <c r="E96" s="1264"/>
      <c r="F96" s="1264"/>
      <c r="G96" s="1264"/>
      <c r="I96" s="1257" t="e">
        <f>I95*$C$11/$E$11</f>
        <v>#DIV/0!</v>
      </c>
      <c r="J96" s="1257" t="e">
        <f>J95*1000/8760*$C$11/$E$11</f>
        <v>#DIV/0!</v>
      </c>
      <c r="K96" s="1258" t="s">
        <v>5737</v>
      </c>
      <c r="L96" s="1265"/>
      <c r="M96" s="1265"/>
      <c r="N96" s="1265"/>
      <c r="O96" s="1265"/>
      <c r="P96" s="1265"/>
      <c r="Q96" s="1265"/>
      <c r="R96" s="1265"/>
      <c r="S96" s="1265"/>
      <c r="T96" s="1265"/>
      <c r="U96" s="583"/>
      <c r="V96" s="550"/>
      <c r="W96" s="550"/>
      <c r="X96" s="550"/>
      <c r="Y96" s="550"/>
    </row>
    <row r="97" spans="2:19" collapsed="1" x14ac:dyDescent="0.35"/>
    <row r="98" spans="2:19" ht="21" x14ac:dyDescent="0.5">
      <c r="B98" s="1168" t="s">
        <v>5742</v>
      </c>
      <c r="C98" s="1259"/>
      <c r="D98" s="1260"/>
      <c r="E98" s="1261"/>
      <c r="F98" s="1261"/>
      <c r="G98" s="1261"/>
      <c r="H98" s="1261"/>
      <c r="I98" s="1261"/>
      <c r="J98" s="1261"/>
      <c r="K98" s="1169"/>
      <c r="L98" s="1169"/>
      <c r="M98" s="1169"/>
      <c r="N98" s="1169"/>
    </row>
    <row r="99" spans="2:19" hidden="1" outlineLevel="1" x14ac:dyDescent="0.35">
      <c r="B99" s="364"/>
      <c r="C99" s="1266"/>
    </row>
    <row r="100" spans="2:19" ht="43.5" hidden="1" outlineLevel="1" x14ac:dyDescent="0.35">
      <c r="B100" s="337" t="s">
        <v>5655</v>
      </c>
      <c r="C100" s="301" t="s">
        <v>5728</v>
      </c>
      <c r="D100" s="301" t="s">
        <v>5729</v>
      </c>
      <c r="E100" s="301" t="s">
        <v>5718</v>
      </c>
      <c r="F100" s="301" t="s">
        <v>5719</v>
      </c>
      <c r="G100" s="301" t="s">
        <v>5720</v>
      </c>
      <c r="H100" s="749" t="s">
        <v>5721</v>
      </c>
      <c r="I100" s="301" t="s">
        <v>5730</v>
      </c>
      <c r="J100" s="301" t="s">
        <v>5731</v>
      </c>
      <c r="P100" s="301" t="s">
        <v>5718</v>
      </c>
      <c r="Q100" s="301" t="s">
        <v>5719</v>
      </c>
      <c r="R100" s="301" t="s">
        <v>5720</v>
      </c>
      <c r="S100" s="749" t="s">
        <v>5721</v>
      </c>
    </row>
    <row r="101" spans="2:19" hidden="1" outlineLevel="1" x14ac:dyDescent="0.35">
      <c r="B101" s="582" t="s">
        <v>5663</v>
      </c>
      <c r="C101" s="1250">
        <v>0</v>
      </c>
      <c r="D101" s="1251">
        <v>0</v>
      </c>
      <c r="E101" s="1158" t="e">
        <f t="shared" ref="E101:H103" si="21">E82</f>
        <v>#DIV/0!</v>
      </c>
      <c r="F101" s="1158" t="e">
        <f t="shared" si="21"/>
        <v>#DIV/0!</v>
      </c>
      <c r="G101" s="1158" t="e">
        <f t="shared" si="21"/>
        <v>#DIV/0!</v>
      </c>
      <c r="H101" s="1248" t="e">
        <f t="shared" si="21"/>
        <v>#DIV/0!</v>
      </c>
      <c r="I101" s="1158" t="e">
        <f>(E101*$D$7+F101*$D$8+G101*$D$9+H101*$D$10)*$C101/1000</f>
        <v>#DIV/0!</v>
      </c>
      <c r="J101" s="1158" t="e">
        <f>(E101*$D$7+F101*$D$8+G101*$D$9+H101*$D$10)*$D101</f>
        <v>#DIV/0!</v>
      </c>
      <c r="P101" s="1249" t="e">
        <f t="shared" ref="P101:S112" si="22">E101/E$113</f>
        <v>#DIV/0!</v>
      </c>
      <c r="Q101" s="1249" t="e">
        <f t="shared" si="22"/>
        <v>#DIV/0!</v>
      </c>
      <c r="R101" s="1249" t="e">
        <f t="shared" si="22"/>
        <v>#DIV/0!</v>
      </c>
      <c r="S101" s="1262" t="e">
        <f t="shared" si="22"/>
        <v>#DIV/0!</v>
      </c>
    </row>
    <row r="102" spans="2:19" hidden="1" outlineLevel="1" x14ac:dyDescent="0.35">
      <c r="B102" s="582" t="s">
        <v>5664</v>
      </c>
      <c r="C102" s="1250">
        <v>0</v>
      </c>
      <c r="D102" s="1251">
        <v>0</v>
      </c>
      <c r="E102" s="1158" t="e">
        <f t="shared" si="21"/>
        <v>#DIV/0!</v>
      </c>
      <c r="F102" s="1158" t="e">
        <f t="shared" si="21"/>
        <v>#DIV/0!</v>
      </c>
      <c r="G102" s="1158" t="e">
        <f t="shared" si="21"/>
        <v>#DIV/0!</v>
      </c>
      <c r="H102" s="1248" t="e">
        <f t="shared" si="21"/>
        <v>#DIV/0!</v>
      </c>
      <c r="I102" s="1158" t="e">
        <f t="shared" ref="I102:I112" si="23">(E102*$D$7+F102*$D$8+G102*$D$9+H102*$D$10)*$C102/1000</f>
        <v>#DIV/0!</v>
      </c>
      <c r="J102" s="1158" t="e">
        <f t="shared" ref="J102:J112" si="24">(E102*$D$7+F102*$D$8+G102*$D$9+H102*$D$10)*$D102</f>
        <v>#DIV/0!</v>
      </c>
      <c r="P102" s="1249" t="e">
        <f t="shared" si="22"/>
        <v>#DIV/0!</v>
      </c>
      <c r="Q102" s="1249" t="e">
        <f t="shared" si="22"/>
        <v>#DIV/0!</v>
      </c>
      <c r="R102" s="1249" t="e">
        <f t="shared" si="22"/>
        <v>#DIV/0!</v>
      </c>
      <c r="S102" s="1262" t="e">
        <f t="shared" si="22"/>
        <v>#DIV/0!</v>
      </c>
    </row>
    <row r="103" spans="2:19" hidden="1" outlineLevel="1" x14ac:dyDescent="0.35">
      <c r="B103" s="582" t="s">
        <v>5665</v>
      </c>
      <c r="C103" s="1250">
        <f>(95.3+134)/2</f>
        <v>114.65</v>
      </c>
      <c r="D103" s="1251">
        <f>(0.27+0.47)/2</f>
        <v>0.37</v>
      </c>
      <c r="E103" s="1158" t="e">
        <f t="shared" si="21"/>
        <v>#DIV/0!</v>
      </c>
      <c r="F103" s="1158" t="e">
        <f t="shared" si="21"/>
        <v>#DIV/0!</v>
      </c>
      <c r="G103" s="1158" t="e">
        <f t="shared" si="21"/>
        <v>#DIV/0!</v>
      </c>
      <c r="H103" s="1248" t="e">
        <f t="shared" si="21"/>
        <v>#DIV/0!</v>
      </c>
      <c r="I103" s="1158" t="e">
        <f t="shared" si="23"/>
        <v>#DIV/0!</v>
      </c>
      <c r="J103" s="1158" t="e">
        <f t="shared" si="24"/>
        <v>#DIV/0!</v>
      </c>
      <c r="P103" s="1249" t="e">
        <f t="shared" si="22"/>
        <v>#DIV/0!</v>
      </c>
      <c r="Q103" s="1249" t="e">
        <f t="shared" si="22"/>
        <v>#DIV/0!</v>
      </c>
      <c r="R103" s="1249" t="e">
        <f t="shared" si="22"/>
        <v>#DIV/0!</v>
      </c>
      <c r="S103" s="1262" t="e">
        <f t="shared" si="22"/>
        <v>#DIV/0!</v>
      </c>
    </row>
    <row r="104" spans="2:19" hidden="1" outlineLevel="1" x14ac:dyDescent="0.35">
      <c r="B104" s="582" t="s">
        <v>5666</v>
      </c>
      <c r="C104" s="1250">
        <v>182.5</v>
      </c>
      <c r="D104" s="1251">
        <v>0.55000000000000004</v>
      </c>
      <c r="E104" s="1158" t="e">
        <f>E$57*$D$60</f>
        <v>#DIV/0!</v>
      </c>
      <c r="F104" s="1158" t="e">
        <f>F$57*$D$60</f>
        <v>#DIV/0!</v>
      </c>
      <c r="G104" s="1158" t="e">
        <f>G$57*$D$60</f>
        <v>#DIV/0!</v>
      </c>
      <c r="H104" s="1248" t="e">
        <f>H$57*$D$60</f>
        <v>#DIV/0!</v>
      </c>
      <c r="I104" s="1158" t="e">
        <f t="shared" si="23"/>
        <v>#DIV/0!</v>
      </c>
      <c r="J104" s="1158" t="e">
        <f t="shared" si="24"/>
        <v>#DIV/0!</v>
      </c>
      <c r="P104" s="1249" t="e">
        <f t="shared" si="22"/>
        <v>#DIV/0!</v>
      </c>
      <c r="Q104" s="1249" t="e">
        <f t="shared" si="22"/>
        <v>#DIV/0!</v>
      </c>
      <c r="R104" s="1249" t="e">
        <f t="shared" si="22"/>
        <v>#DIV/0!</v>
      </c>
      <c r="S104" s="1262" t="e">
        <f t="shared" si="22"/>
        <v>#DIV/0!</v>
      </c>
    </row>
    <row r="105" spans="2:19" hidden="1" outlineLevel="1" x14ac:dyDescent="0.35">
      <c r="B105" s="582" t="s">
        <v>5667</v>
      </c>
      <c r="C105" s="1250">
        <v>182.5</v>
      </c>
      <c r="D105" s="1251">
        <v>0.55000000000000004</v>
      </c>
      <c r="E105" s="1158" t="e">
        <f>E$58*$D$60</f>
        <v>#DIV/0!</v>
      </c>
      <c r="F105" s="1158" t="e">
        <f>F$58*$D$60</f>
        <v>#DIV/0!</v>
      </c>
      <c r="G105" s="1158" t="e">
        <f>G$58*$D$60</f>
        <v>#DIV/0!</v>
      </c>
      <c r="H105" s="1248" t="e">
        <f>H$58*$D$60</f>
        <v>#DIV/0!</v>
      </c>
      <c r="I105" s="1158" t="e">
        <f t="shared" si="23"/>
        <v>#DIV/0!</v>
      </c>
      <c r="J105" s="1158" t="e">
        <f t="shared" si="24"/>
        <v>#DIV/0!</v>
      </c>
      <c r="P105" s="1249" t="e">
        <f t="shared" si="22"/>
        <v>#DIV/0!</v>
      </c>
      <c r="Q105" s="1249" t="e">
        <f t="shared" si="22"/>
        <v>#DIV/0!</v>
      </c>
      <c r="R105" s="1249" t="e">
        <f t="shared" si="22"/>
        <v>#DIV/0!</v>
      </c>
      <c r="S105" s="1262" t="e">
        <f t="shared" si="22"/>
        <v>#DIV/0!</v>
      </c>
    </row>
    <row r="106" spans="2:19" hidden="1" outlineLevel="1" x14ac:dyDescent="0.35">
      <c r="B106" s="582" t="s">
        <v>5739</v>
      </c>
      <c r="C106" s="1250">
        <v>137.80000000000001</v>
      </c>
      <c r="D106" s="1251">
        <v>0.66400000000000003</v>
      </c>
      <c r="E106" s="1158" t="e">
        <f>E$59*$D$57</f>
        <v>#DIV/0!</v>
      </c>
      <c r="F106" s="1158" t="e">
        <f>F$59*$D$57</f>
        <v>#DIV/0!</v>
      </c>
      <c r="G106" s="1158" t="e">
        <f>G$59*$D$57</f>
        <v>#DIV/0!</v>
      </c>
      <c r="H106" s="1248" t="e">
        <f>H$59*$D$57</f>
        <v>#DIV/0!</v>
      </c>
      <c r="I106" s="1158" t="e">
        <f t="shared" si="23"/>
        <v>#DIV/0!</v>
      </c>
      <c r="J106" s="1158" t="e">
        <f t="shared" si="24"/>
        <v>#DIV/0!</v>
      </c>
      <c r="P106" s="1249" t="e">
        <f t="shared" si="22"/>
        <v>#DIV/0!</v>
      </c>
      <c r="Q106" s="1249" t="e">
        <f t="shared" si="22"/>
        <v>#DIV/0!</v>
      </c>
      <c r="R106" s="1249" t="e">
        <f t="shared" si="22"/>
        <v>#DIV/0!</v>
      </c>
      <c r="S106" s="1262" t="e">
        <f t="shared" si="22"/>
        <v>#DIV/0!</v>
      </c>
    </row>
    <row r="107" spans="2:19" hidden="1" outlineLevel="1" x14ac:dyDescent="0.35">
      <c r="B107" s="582" t="s">
        <v>5740</v>
      </c>
      <c r="C107" s="1250">
        <v>92.8</v>
      </c>
      <c r="D107" s="1251">
        <v>0.56999999999999995</v>
      </c>
      <c r="E107" s="1158" t="e">
        <f>E$59*$D$58</f>
        <v>#DIV/0!</v>
      </c>
      <c r="F107" s="1158" t="e">
        <f>F$59*$D$58</f>
        <v>#DIV/0!</v>
      </c>
      <c r="G107" s="1158" t="e">
        <f>G$59*$D$58</f>
        <v>#DIV/0!</v>
      </c>
      <c r="H107" s="1248" t="e">
        <f>H$59*$D$58</f>
        <v>#DIV/0!</v>
      </c>
      <c r="I107" s="1158" t="e">
        <f t="shared" si="23"/>
        <v>#DIV/0!</v>
      </c>
      <c r="J107" s="1158" t="e">
        <f t="shared" si="24"/>
        <v>#DIV/0!</v>
      </c>
      <c r="P107" s="1249" t="e">
        <f t="shared" si="22"/>
        <v>#DIV/0!</v>
      </c>
      <c r="Q107" s="1249" t="e">
        <f t="shared" si="22"/>
        <v>#DIV/0!</v>
      </c>
      <c r="R107" s="1249" t="e">
        <f t="shared" si="22"/>
        <v>#DIV/0!</v>
      </c>
      <c r="S107" s="1262" t="e">
        <f t="shared" si="22"/>
        <v>#DIV/0!</v>
      </c>
    </row>
    <row r="108" spans="2:19" hidden="1" outlineLevel="1" x14ac:dyDescent="0.35">
      <c r="B108" s="582" t="s">
        <v>5741</v>
      </c>
      <c r="C108" s="1250">
        <v>50</v>
      </c>
      <c r="D108" s="1251">
        <v>0.49</v>
      </c>
      <c r="E108" s="1158" t="e">
        <f>E$59*$D$59</f>
        <v>#DIV/0!</v>
      </c>
      <c r="F108" s="1158" t="e">
        <f>F$59*$D$59</f>
        <v>#DIV/0!</v>
      </c>
      <c r="G108" s="1158" t="e">
        <f>G$59*$D$59</f>
        <v>#DIV/0!</v>
      </c>
      <c r="H108" s="1248" t="e">
        <f>H$59*$D$59</f>
        <v>#DIV/0!</v>
      </c>
      <c r="I108" s="1158" t="e">
        <f t="shared" si="23"/>
        <v>#DIV/0!</v>
      </c>
      <c r="J108" s="1158" t="e">
        <f t="shared" si="24"/>
        <v>#DIV/0!</v>
      </c>
      <c r="P108" s="1249" t="e">
        <f t="shared" si="22"/>
        <v>#DIV/0!</v>
      </c>
      <c r="Q108" s="1249" t="e">
        <f t="shared" si="22"/>
        <v>#DIV/0!</v>
      </c>
      <c r="R108" s="1249" t="e">
        <f t="shared" si="22"/>
        <v>#DIV/0!</v>
      </c>
      <c r="S108" s="1262" t="e">
        <f t="shared" si="22"/>
        <v>#DIV/0!</v>
      </c>
    </row>
    <row r="109" spans="2:19" hidden="1" outlineLevel="1" x14ac:dyDescent="0.35">
      <c r="B109" s="582" t="s">
        <v>5668</v>
      </c>
      <c r="C109" s="1250">
        <v>45.8</v>
      </c>
      <c r="D109" s="1251">
        <v>0.14000000000000001</v>
      </c>
      <c r="E109" s="1158" t="e">
        <f t="shared" ref="E109:H113" si="25">E90</f>
        <v>#DIV/0!</v>
      </c>
      <c r="F109" s="1158" t="e">
        <f t="shared" si="25"/>
        <v>#DIV/0!</v>
      </c>
      <c r="G109" s="1158" t="e">
        <f t="shared" si="25"/>
        <v>#DIV/0!</v>
      </c>
      <c r="H109" s="1248" t="e">
        <f t="shared" si="25"/>
        <v>#DIV/0!</v>
      </c>
      <c r="I109" s="1158" t="e">
        <f t="shared" si="23"/>
        <v>#DIV/0!</v>
      </c>
      <c r="J109" s="1158" t="e">
        <f t="shared" si="24"/>
        <v>#DIV/0!</v>
      </c>
      <c r="P109" s="1249" t="e">
        <f t="shared" si="22"/>
        <v>#DIV/0!</v>
      </c>
      <c r="Q109" s="1249" t="e">
        <f t="shared" si="22"/>
        <v>#DIV/0!</v>
      </c>
      <c r="R109" s="1249" t="e">
        <f t="shared" si="22"/>
        <v>#DIV/0!</v>
      </c>
      <c r="S109" s="1262" t="e">
        <f t="shared" si="22"/>
        <v>#DIV/0!</v>
      </c>
    </row>
    <row r="110" spans="2:19" hidden="1" outlineLevel="1" x14ac:dyDescent="0.35">
      <c r="B110" s="582" t="s">
        <v>5669</v>
      </c>
      <c r="C110" s="1250">
        <v>13.8</v>
      </c>
      <c r="D110" s="1251">
        <v>0.14000000000000001</v>
      </c>
      <c r="E110" s="1158">
        <f t="shared" si="25"/>
        <v>0</v>
      </c>
      <c r="F110" s="1158">
        <f t="shared" si="25"/>
        <v>0</v>
      </c>
      <c r="G110" s="1158">
        <f t="shared" si="25"/>
        <v>0</v>
      </c>
      <c r="H110" s="1248">
        <f t="shared" si="25"/>
        <v>0</v>
      </c>
      <c r="I110" s="1158">
        <f t="shared" si="23"/>
        <v>0</v>
      </c>
      <c r="J110" s="1158">
        <f t="shared" si="24"/>
        <v>0</v>
      </c>
      <c r="P110" s="1249" t="e">
        <f t="shared" si="22"/>
        <v>#DIV/0!</v>
      </c>
      <c r="Q110" s="1249" t="e">
        <f t="shared" si="22"/>
        <v>#DIV/0!</v>
      </c>
      <c r="R110" s="1249" t="e">
        <f t="shared" si="22"/>
        <v>#DIV/0!</v>
      </c>
      <c r="S110" s="1262" t="e">
        <f t="shared" si="22"/>
        <v>#DIV/0!</v>
      </c>
    </row>
    <row r="111" spans="2:19" hidden="1" outlineLevel="1" x14ac:dyDescent="0.35">
      <c r="B111" s="582" t="s">
        <v>5670</v>
      </c>
      <c r="C111" s="1250">
        <v>13.9</v>
      </c>
      <c r="D111" s="1251">
        <v>0.13</v>
      </c>
      <c r="E111" s="1158" t="e">
        <f t="shared" si="25"/>
        <v>#DIV/0!</v>
      </c>
      <c r="F111" s="1158" t="e">
        <f t="shared" si="25"/>
        <v>#DIV/0!</v>
      </c>
      <c r="G111" s="1158" t="e">
        <f t="shared" si="25"/>
        <v>#DIV/0!</v>
      </c>
      <c r="H111" s="1248" t="e">
        <f t="shared" si="25"/>
        <v>#DIV/0!</v>
      </c>
      <c r="I111" s="1158" t="e">
        <f t="shared" si="23"/>
        <v>#DIV/0!</v>
      </c>
      <c r="J111" s="1158" t="e">
        <f t="shared" si="24"/>
        <v>#DIV/0!</v>
      </c>
      <c r="P111" s="1249" t="e">
        <f t="shared" si="22"/>
        <v>#DIV/0!</v>
      </c>
      <c r="Q111" s="1249" t="e">
        <f t="shared" si="22"/>
        <v>#DIV/0!</v>
      </c>
      <c r="R111" s="1249" t="e">
        <f t="shared" si="22"/>
        <v>#DIV/0!</v>
      </c>
      <c r="S111" s="1262" t="e">
        <f t="shared" si="22"/>
        <v>#DIV/0!</v>
      </c>
    </row>
    <row r="112" spans="2:19" hidden="1" outlineLevel="1" x14ac:dyDescent="0.35">
      <c r="B112" s="582" t="s">
        <v>5671</v>
      </c>
      <c r="C112" s="1250">
        <v>50.9</v>
      </c>
      <c r="D112" s="1251">
        <v>0.15</v>
      </c>
      <c r="E112" s="1158" t="e">
        <f t="shared" si="25"/>
        <v>#DIV/0!</v>
      </c>
      <c r="F112" s="1158" t="e">
        <f t="shared" si="25"/>
        <v>#DIV/0!</v>
      </c>
      <c r="G112" s="1158" t="e">
        <f t="shared" si="25"/>
        <v>#DIV/0!</v>
      </c>
      <c r="H112" s="1248" t="e">
        <f t="shared" si="25"/>
        <v>#DIV/0!</v>
      </c>
      <c r="I112" s="1158" t="e">
        <f t="shared" si="23"/>
        <v>#DIV/0!</v>
      </c>
      <c r="J112" s="1158" t="e">
        <f t="shared" si="24"/>
        <v>#DIV/0!</v>
      </c>
      <c r="P112" s="1249" t="e">
        <f t="shared" si="22"/>
        <v>#DIV/0!</v>
      </c>
      <c r="Q112" s="1249" t="e">
        <f t="shared" si="22"/>
        <v>#DIV/0!</v>
      </c>
      <c r="R112" s="1249" t="e">
        <f t="shared" si="22"/>
        <v>#DIV/0!</v>
      </c>
      <c r="S112" s="1262" t="e">
        <f t="shared" si="22"/>
        <v>#DIV/0!</v>
      </c>
    </row>
    <row r="113" spans="2:19" hidden="1" outlineLevel="1" x14ac:dyDescent="0.35">
      <c r="B113" s="292" t="s">
        <v>11</v>
      </c>
      <c r="C113" s="303"/>
      <c r="D113" s="303"/>
      <c r="E113" s="313" t="e">
        <f t="shared" si="25"/>
        <v>#DIV/0!</v>
      </c>
      <c r="F113" s="313" t="e">
        <f t="shared" si="25"/>
        <v>#DIV/0!</v>
      </c>
      <c r="G113" s="313" t="e">
        <f t="shared" si="25"/>
        <v>#DIV/0!</v>
      </c>
      <c r="H113" s="1255" t="e">
        <f t="shared" si="25"/>
        <v>#DIV/0!</v>
      </c>
      <c r="I113" s="313" t="e">
        <f>SUM(I101:I112)</f>
        <v>#DIV/0!</v>
      </c>
      <c r="J113" s="313" t="e">
        <f>SUM(J101:J112)</f>
        <v>#DIV/0!</v>
      </c>
      <c r="P113" s="339" t="e">
        <f>SUM(P101:P112)</f>
        <v>#DIV/0!</v>
      </c>
      <c r="Q113" s="339" t="e">
        <f>SUM(Q101:Q112)</f>
        <v>#DIV/0!</v>
      </c>
      <c r="R113" s="339" t="e">
        <f>SUM(R101:R112)</f>
        <v>#DIV/0!</v>
      </c>
      <c r="S113" s="339" t="e">
        <f>SUM(S101:S112)</f>
        <v>#DIV/0!</v>
      </c>
    </row>
    <row r="114" spans="2:19" hidden="1" outlineLevel="1" x14ac:dyDescent="0.35">
      <c r="C114" s="550"/>
      <c r="D114" s="550"/>
      <c r="E114" s="1264"/>
      <c r="F114" s="1264"/>
      <c r="G114" s="1264"/>
      <c r="I114" s="1257" t="e">
        <f>I113/$C$11</f>
        <v>#DIV/0!</v>
      </c>
      <c r="J114" s="1257" t="e">
        <f>J113/$C$11</f>
        <v>#DIV/0!</v>
      </c>
      <c r="K114" s="1258" t="s">
        <v>5736</v>
      </c>
    </row>
    <row r="115" spans="2:19" hidden="1" outlineLevel="1" x14ac:dyDescent="0.35">
      <c r="C115" s="550"/>
      <c r="D115" s="550"/>
      <c r="E115" s="1264"/>
      <c r="F115" s="1264"/>
      <c r="G115" s="1264"/>
      <c r="I115" s="1257" t="e">
        <f>I114*$C$11/$E$11</f>
        <v>#DIV/0!</v>
      </c>
      <c r="J115" s="1257" t="e">
        <f>J114*1000/8760*$C$11/$E$11</f>
        <v>#DIV/0!</v>
      </c>
      <c r="K115" s="1258" t="s">
        <v>5737</v>
      </c>
    </row>
    <row r="116" spans="2:19" collapsed="1" x14ac:dyDescent="0.35"/>
    <row r="117" spans="2:19" ht="21" x14ac:dyDescent="0.5">
      <c r="B117" s="1168" t="s">
        <v>5743</v>
      </c>
      <c r="C117" s="1259"/>
      <c r="D117" s="1260"/>
      <c r="E117" s="1261"/>
      <c r="F117" s="1261"/>
      <c r="G117" s="1261"/>
      <c r="H117" s="1261"/>
      <c r="I117" s="1261"/>
      <c r="J117" s="1261"/>
      <c r="K117" s="1169"/>
      <c r="L117" s="1169"/>
      <c r="M117" s="1169"/>
      <c r="N117" s="1169"/>
    </row>
    <row r="119" spans="2:19" ht="15" thickBot="1" x14ac:dyDescent="0.4">
      <c r="B119" s="292" t="s">
        <v>5293</v>
      </c>
      <c r="C119" s="1267" t="s">
        <v>32</v>
      </c>
      <c r="D119" s="1267" t="s">
        <v>5744</v>
      </c>
      <c r="E119" s="1268" t="s">
        <v>5745</v>
      </c>
    </row>
    <row r="120" spans="2:19" ht="21.5" thickTop="1" x14ac:dyDescent="0.35">
      <c r="B120" s="708" t="s">
        <v>5746</v>
      </c>
      <c r="C120" s="1269" t="e">
        <f>I76</f>
        <v>#DIV/0!</v>
      </c>
      <c r="D120" s="1270" t="e">
        <f>I95</f>
        <v>#DIV/0!</v>
      </c>
      <c r="E120" s="1271" t="e">
        <f>I114</f>
        <v>#DIV/0!</v>
      </c>
      <c r="F120" s="1746" t="s">
        <v>5747</v>
      </c>
    </row>
    <row r="121" spans="2:19" ht="21.5" thickBot="1" x14ac:dyDescent="0.4">
      <c r="B121" s="708" t="s">
        <v>5748</v>
      </c>
      <c r="C121" s="1272" t="e">
        <f>J76</f>
        <v>#DIV/0!</v>
      </c>
      <c r="D121" s="1273" t="e">
        <f>J95</f>
        <v>#DIV/0!</v>
      </c>
      <c r="E121" s="1274" t="e">
        <f>J114</f>
        <v>#DIV/0!</v>
      </c>
      <c r="F121" s="1746"/>
    </row>
    <row r="122" spans="2:19" ht="15" thickTop="1" x14ac:dyDescent="0.35">
      <c r="B122" s="708" t="s">
        <v>5749</v>
      </c>
      <c r="C122" s="1158" t="e">
        <f>I77</f>
        <v>#DIV/0!</v>
      </c>
      <c r="D122" s="1275" t="e">
        <f>I96</f>
        <v>#DIV/0!</v>
      </c>
      <c r="E122" s="1275" t="e">
        <f>I115</f>
        <v>#DIV/0!</v>
      </c>
    </row>
    <row r="123" spans="2:19" x14ac:dyDescent="0.35">
      <c r="B123" s="708" t="s">
        <v>5750</v>
      </c>
      <c r="C123" s="1158" t="e">
        <f>J77</f>
        <v>#DIV/0!</v>
      </c>
      <c r="D123" s="1158" t="e">
        <f>J96</f>
        <v>#DIV/0!</v>
      </c>
      <c r="E123" s="1158" t="e">
        <f>J115</f>
        <v>#DIV/0!</v>
      </c>
    </row>
    <row r="124" spans="2:19" x14ac:dyDescent="0.35">
      <c r="C124" s="550"/>
      <c r="D124" s="550"/>
      <c r="E124" s="550"/>
    </row>
    <row r="125" spans="2:19" x14ac:dyDescent="0.35">
      <c r="B125" s="337" t="s">
        <v>5655</v>
      </c>
      <c r="C125" s="1267" t="s">
        <v>32</v>
      </c>
      <c r="D125" s="1267" t="s">
        <v>5744</v>
      </c>
      <c r="E125" s="1267" t="s">
        <v>5745</v>
      </c>
    </row>
    <row r="126" spans="2:19" x14ac:dyDescent="0.35">
      <c r="B126" s="582" t="s">
        <v>5663</v>
      </c>
      <c r="C126" s="1276" t="e">
        <f>E66*$F$7+F66*$F$8+G66*$F$9+H66*$F$10</f>
        <v>#DIV/0!</v>
      </c>
      <c r="D126" s="1276" t="e">
        <f>E82*$F$7+F82*$F$8+G82*$F$9+$F$10</f>
        <v>#DIV/0!</v>
      </c>
      <c r="E126" s="1276" t="e">
        <f>E101*$F$7+F101*$F$8+G101*$F$9+H101*$F$10</f>
        <v>#DIV/0!</v>
      </c>
    </row>
    <row r="127" spans="2:19" x14ac:dyDescent="0.35">
      <c r="B127" s="582" t="s">
        <v>5751</v>
      </c>
      <c r="C127" s="1276" t="e">
        <f>E67*$F$7+F67*$F$8+G67*$F$9+H67*$F$10</f>
        <v>#DIV/0!</v>
      </c>
      <c r="D127" s="1276" t="e">
        <f>E83*$F$7+F83*$F$8+G83*$F$9+H83*$F$10</f>
        <v>#DIV/0!</v>
      </c>
      <c r="E127" s="1276" t="e">
        <f>E102*$F$7+F102*$F$8+G102*$F$9+H102*$F$10</f>
        <v>#DIV/0!</v>
      </c>
    </row>
    <row r="128" spans="2:19" x14ac:dyDescent="0.35">
      <c r="B128" s="582" t="s">
        <v>5752</v>
      </c>
      <c r="C128" s="1276" t="e">
        <f>SUM(E71:E74)*$F$7+SUM(F71:F74)*$F$8+SUM(G71:G74)*$F$9+SUM(H71:H74)*$F$10</f>
        <v>#DIV/0!</v>
      </c>
      <c r="D128" s="1276" t="e">
        <f>SUM(E90:E93)*$F$7+SUM(F90:F93)*$F$8+SUM(G90:G93)*$F$9+SUM(H90:H93)*$F$10</f>
        <v>#DIV/0!</v>
      </c>
      <c r="E128" s="1276" t="e">
        <f>SUM(E109:E112)*$F$7+SUM(F109:F112)*$F$8+SUM(G109:G112)*$F$9+SUM(H109:H112)*$F$10</f>
        <v>#DIV/0!</v>
      </c>
    </row>
    <row r="129" spans="2:6" x14ac:dyDescent="0.35">
      <c r="B129" s="1277" t="s">
        <v>5753</v>
      </c>
      <c r="C129" s="1276">
        <v>0</v>
      </c>
      <c r="D129" s="1276" t="e">
        <f>SUM(E88:E89)*$F$7+SUM(F88:F89)*$F$8+SUM(G88:G89)*$F$9+SUM(H88:H89)*$F$10</f>
        <v>#DIV/0!</v>
      </c>
      <c r="E129" s="1276" t="e">
        <f>SUM(E107:E108)*$F$7+SUM(F107:F108)*$F$8+SUM(G107:G108)*$F$9+SUM(H107:H108)*$F$10</f>
        <v>#DIV/0!</v>
      </c>
    </row>
    <row r="130" spans="2:6" x14ac:dyDescent="0.35">
      <c r="B130" s="1277" t="s">
        <v>5754</v>
      </c>
      <c r="C130" s="1276" t="e">
        <f>SUM(E68:E70)*$F$7+SUM(F68:F70)*$F$8+SUM(G68:G70)*$F$9+SUM(H68:H70)*$F$10</f>
        <v>#DIV/0!</v>
      </c>
      <c r="D130" s="1276" t="e">
        <f>SUM(E84:E87)*$F$7+SUM(F84:F87)*$F$8+SUM(G84:G87)*$F$9+SUM(H84:H87)*$F$10</f>
        <v>#DIV/0!</v>
      </c>
      <c r="E130" s="1276" t="e">
        <f>SUM(E103:E106)*$F$7+SUM(F103:F106)*$F$8+SUM(G103:G106)*$F$9+SUM(H103:H106)*$F$10</f>
        <v>#DIV/0!</v>
      </c>
    </row>
    <row r="131" spans="2:6" x14ac:dyDescent="0.35">
      <c r="B131" s="1278" t="s">
        <v>2085</v>
      </c>
      <c r="C131" s="413" t="e">
        <f>SUM(C126:C130)</f>
        <v>#DIV/0!</v>
      </c>
      <c r="D131" s="413" t="e">
        <f>SUM(D126:D130)</f>
        <v>#DIV/0!</v>
      </c>
      <c r="E131" s="413" t="e">
        <f>SUM(E126:E130)</f>
        <v>#DIV/0!</v>
      </c>
    </row>
    <row r="132" spans="2:6" x14ac:dyDescent="0.35">
      <c r="C132" s="1279"/>
      <c r="D132" s="1279"/>
      <c r="E132" s="1279"/>
    </row>
    <row r="133" spans="2:6" x14ac:dyDescent="0.35">
      <c r="C133" s="550"/>
      <c r="D133" s="550"/>
      <c r="E133" s="550"/>
    </row>
    <row r="134" spans="2:6" x14ac:dyDescent="0.35">
      <c r="C134" s="550"/>
      <c r="D134" s="550"/>
      <c r="E134" s="550"/>
    </row>
    <row r="135" spans="2:6" x14ac:dyDescent="0.35">
      <c r="C135" s="550"/>
      <c r="D135" s="550"/>
      <c r="E135" s="550"/>
    </row>
    <row r="136" spans="2:6" x14ac:dyDescent="0.35">
      <c r="C136" s="550"/>
      <c r="D136" s="550"/>
      <c r="E136" s="550"/>
    </row>
    <row r="137" spans="2:6" x14ac:dyDescent="0.35">
      <c r="C137" s="550"/>
      <c r="D137" s="550"/>
      <c r="E137" s="550"/>
    </row>
    <row r="138" spans="2:6" x14ac:dyDescent="0.35">
      <c r="C138" s="550"/>
      <c r="D138" s="550"/>
      <c r="E138" s="550"/>
    </row>
    <row r="139" spans="2:6" x14ac:dyDescent="0.35">
      <c r="C139" s="550"/>
      <c r="D139" s="550"/>
      <c r="E139" s="550"/>
    </row>
    <row r="140" spans="2:6" x14ac:dyDescent="0.35">
      <c r="C140" s="550"/>
      <c r="D140" s="550"/>
      <c r="E140" s="550"/>
      <c r="F140" s="550"/>
    </row>
    <row r="141" spans="2:6" x14ac:dyDescent="0.35">
      <c r="C141" s="550"/>
      <c r="D141" s="550"/>
      <c r="E141" s="550"/>
      <c r="F141" s="550"/>
    </row>
    <row r="142" spans="2:6" x14ac:dyDescent="0.35">
      <c r="C142" s="550"/>
      <c r="D142" s="550"/>
      <c r="E142" s="550"/>
      <c r="F142" s="550"/>
    </row>
    <row r="143" spans="2:6" x14ac:dyDescent="0.35">
      <c r="C143" s="550"/>
      <c r="D143" s="550"/>
      <c r="E143" s="550"/>
      <c r="F143" s="550"/>
    </row>
    <row r="144" spans="2:6" x14ac:dyDescent="0.35">
      <c r="C144" s="550"/>
      <c r="D144" s="550"/>
      <c r="E144" s="550"/>
      <c r="F144" s="550"/>
    </row>
    <row r="145" spans="2:6" x14ac:dyDescent="0.35">
      <c r="C145" s="550"/>
      <c r="D145" s="550"/>
      <c r="E145" s="550"/>
      <c r="F145" s="550"/>
    </row>
    <row r="146" spans="2:6" x14ac:dyDescent="0.35">
      <c r="C146" s="550"/>
      <c r="D146" s="550"/>
      <c r="E146" s="550"/>
      <c r="F146" s="550"/>
    </row>
    <row r="149" spans="2:6" x14ac:dyDescent="0.35">
      <c r="B149" s="337" t="s">
        <v>5755</v>
      </c>
      <c r="C149" s="1267" t="s">
        <v>32</v>
      </c>
      <c r="D149" s="1267" t="s">
        <v>5744</v>
      </c>
      <c r="E149" s="1267" t="s">
        <v>5745</v>
      </c>
    </row>
    <row r="150" spans="2:6" x14ac:dyDescent="0.35">
      <c r="B150" s="582" t="s">
        <v>5663</v>
      </c>
      <c r="C150" s="766" t="e">
        <f t="shared" ref="C150:E154" si="26">C126/C$131</f>
        <v>#DIV/0!</v>
      </c>
      <c r="D150" s="766" t="e">
        <f t="shared" si="26"/>
        <v>#DIV/0!</v>
      </c>
      <c r="E150" s="766" t="e">
        <f t="shared" si="26"/>
        <v>#DIV/0!</v>
      </c>
    </row>
    <row r="151" spans="2:6" x14ac:dyDescent="0.35">
      <c r="B151" s="582" t="s">
        <v>5751</v>
      </c>
      <c r="C151" s="766" t="e">
        <f t="shared" si="26"/>
        <v>#DIV/0!</v>
      </c>
      <c r="D151" s="766" t="e">
        <f t="shared" si="26"/>
        <v>#DIV/0!</v>
      </c>
      <c r="E151" s="766" t="e">
        <f t="shared" si="26"/>
        <v>#DIV/0!</v>
      </c>
    </row>
    <row r="152" spans="2:6" x14ac:dyDescent="0.35">
      <c r="B152" s="582" t="s">
        <v>5752</v>
      </c>
      <c r="C152" s="766" t="e">
        <f t="shared" si="26"/>
        <v>#DIV/0!</v>
      </c>
      <c r="D152" s="766" t="e">
        <f t="shared" si="26"/>
        <v>#DIV/0!</v>
      </c>
      <c r="E152" s="766" t="e">
        <f t="shared" si="26"/>
        <v>#DIV/0!</v>
      </c>
    </row>
    <row r="153" spans="2:6" x14ac:dyDescent="0.35">
      <c r="B153" s="1277" t="s">
        <v>5753</v>
      </c>
      <c r="C153" s="766" t="e">
        <f t="shared" si="26"/>
        <v>#DIV/0!</v>
      </c>
      <c r="D153" s="766" t="e">
        <f t="shared" si="26"/>
        <v>#DIV/0!</v>
      </c>
      <c r="E153" s="766" t="e">
        <f t="shared" si="26"/>
        <v>#DIV/0!</v>
      </c>
    </row>
    <row r="154" spans="2:6" x14ac:dyDescent="0.35">
      <c r="B154" s="1277" t="s">
        <v>5754</v>
      </c>
      <c r="C154" s="766" t="e">
        <f t="shared" si="26"/>
        <v>#DIV/0!</v>
      </c>
      <c r="D154" s="766" t="e">
        <f t="shared" si="26"/>
        <v>#DIV/0!</v>
      </c>
      <c r="E154" s="766" t="e">
        <f t="shared" si="26"/>
        <v>#DIV/0!</v>
      </c>
    </row>
    <row r="155" spans="2:6" x14ac:dyDescent="0.35">
      <c r="B155" s="1278" t="s">
        <v>2085</v>
      </c>
      <c r="C155" s="585" t="e">
        <f>SUM(C150:C154)</f>
        <v>#DIV/0!</v>
      </c>
      <c r="D155" s="585" t="e">
        <f>SUM(D150:D154)</f>
        <v>#DIV/0!</v>
      </c>
      <c r="E155" s="585" t="e">
        <f>SUM(E150:E154)</f>
        <v>#DIV/0!</v>
      </c>
    </row>
  </sheetData>
  <mergeCells count="6">
    <mergeCell ref="F120:F121"/>
    <mergeCell ref="B16:B17"/>
    <mergeCell ref="B18:B19"/>
    <mergeCell ref="B20:B21"/>
    <mergeCell ref="B22:B23"/>
    <mergeCell ref="C45:K53"/>
  </mergeCells>
  <dataValidations count="2">
    <dataValidation type="list" allowBlank="1" showInputMessage="1" showErrorMessage="1" sqref="C38">
      <formula1>jn</formula1>
    </dataValidation>
    <dataValidation type="list" allowBlank="1" showInputMessage="1" showErrorMessage="1" sqref="C42:D42">
      <formula1>Stromprodukt</formula1>
    </dataValidation>
  </dataValidations>
  <pageMargins left="0.7" right="0.7" top="0.78740157499999996" bottom="0.78740157499999996"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Q59"/>
  <sheetViews>
    <sheetView workbookViewId="0"/>
  </sheetViews>
  <sheetFormatPr baseColWidth="10" defaultColWidth="11" defaultRowHeight="14.5" outlineLevelCol="1" x14ac:dyDescent="0.35"/>
  <cols>
    <col min="1" max="1" width="3.5" style="550" customWidth="1"/>
    <col min="2" max="2" width="24" style="550" customWidth="1"/>
    <col min="3" max="9" width="16.58203125" style="550" customWidth="1"/>
    <col min="10" max="11" width="14.58203125" style="550" customWidth="1"/>
    <col min="12" max="12" width="27.25" style="551" hidden="1" customWidth="1" outlineLevel="1"/>
    <col min="13" max="14" width="19.5" style="550" hidden="1" customWidth="1" outlineLevel="1"/>
    <col min="15" max="15" width="18.5" style="550" hidden="1" customWidth="1" outlineLevel="1"/>
    <col min="16" max="16" width="16.33203125" style="550" hidden="1" customWidth="1" outlineLevel="1"/>
    <col min="17" max="17" width="11" style="550" customWidth="1" collapsed="1"/>
    <col min="18" max="16384" width="11" style="550"/>
  </cols>
  <sheetData>
    <row r="2" spans="2:16" s="63" customFormat="1" ht="18.5" x14ac:dyDescent="0.35">
      <c r="B2" s="1416" t="s">
        <v>5972</v>
      </c>
      <c r="C2" s="1417"/>
      <c r="D2" s="1417"/>
      <c r="E2" s="1418"/>
      <c r="F2" s="1419"/>
      <c r="G2" s="1419"/>
      <c r="H2" s="1419"/>
      <c r="I2" s="1419"/>
      <c r="L2" s="962"/>
    </row>
    <row r="4" spans="2:16" x14ac:dyDescent="0.35">
      <c r="B4" s="582" t="s">
        <v>5973</v>
      </c>
      <c r="C4" s="1763" t="s">
        <v>4500</v>
      </c>
      <c r="D4" s="1763"/>
      <c r="E4" s="293" t="str">
        <f>IF(C4="Nutzungsphase",1,"")</f>
        <v/>
      </c>
    </row>
    <row r="5" spans="2:16" x14ac:dyDescent="0.35">
      <c r="B5" s="582" t="s">
        <v>5974</v>
      </c>
      <c r="C5" s="1420">
        <v>2030</v>
      </c>
      <c r="D5" s="1421"/>
    </row>
    <row r="6" spans="2:16" x14ac:dyDescent="0.35">
      <c r="B6" s="582" t="s">
        <v>5975</v>
      </c>
      <c r="C6" s="1763" t="s">
        <v>5756</v>
      </c>
      <c r="D6" s="1763"/>
      <c r="F6" s="672"/>
    </row>
    <row r="7" spans="2:16" x14ac:dyDescent="0.35">
      <c r="B7" s="582" t="s">
        <v>5976</v>
      </c>
      <c r="C7" s="1763" t="s">
        <v>5758</v>
      </c>
      <c r="D7" s="1763"/>
      <c r="F7" s="672"/>
    </row>
    <row r="8" spans="2:16" x14ac:dyDescent="0.35">
      <c r="B8" s="582" t="s">
        <v>32</v>
      </c>
      <c r="C8" s="1764" t="str">
        <f>Eckdaten!C5</f>
        <v>Abfaltersbach</v>
      </c>
      <c r="D8" s="1764"/>
      <c r="I8" s="293">
        <f>'THG-Mobilität'!D4</f>
        <v>22</v>
      </c>
    </row>
    <row r="10" spans="2:16" ht="45.75" customHeight="1" x14ac:dyDescent="0.35">
      <c r="B10" s="299" t="s">
        <v>5031</v>
      </c>
      <c r="C10" s="749" t="s">
        <v>5977</v>
      </c>
      <c r="D10" s="301" t="s">
        <v>5978</v>
      </c>
      <c r="E10" s="301" t="s">
        <v>5979</v>
      </c>
      <c r="F10" s="1174" t="s">
        <v>5980</v>
      </c>
      <c r="G10" s="301" t="s">
        <v>5981</v>
      </c>
      <c r="H10" s="1174" t="s">
        <v>5982</v>
      </c>
      <c r="I10" s="301" t="s">
        <v>5983</v>
      </c>
      <c r="L10" s="1422" t="s">
        <v>5984</v>
      </c>
      <c r="M10" s="1423" t="s">
        <v>5985</v>
      </c>
      <c r="N10" s="1423" t="s">
        <v>5986</v>
      </c>
      <c r="O10" s="1423" t="s">
        <v>5987</v>
      </c>
      <c r="P10" s="1423" t="s">
        <v>5002</v>
      </c>
    </row>
    <row r="11" spans="2:16" x14ac:dyDescent="0.35">
      <c r="B11" s="646" t="s">
        <v>4344</v>
      </c>
      <c r="C11" s="1424">
        <f>'RH Gebäude'!F23</f>
        <v>0</v>
      </c>
      <c r="D11" s="1249" t="e">
        <f>C11/$C$15</f>
        <v>#DIV/0!</v>
      </c>
      <c r="E11" s="1425">
        <f>IFERROR(C11/'RH Gebäude'!H23,0)</f>
        <v>0</v>
      </c>
      <c r="F11" s="1179">
        <v>44.3</v>
      </c>
      <c r="G11" s="1426">
        <f>IFERROR(E11/F11,0)*H11</f>
        <v>0</v>
      </c>
      <c r="H11" s="1427">
        <v>44.3</v>
      </c>
      <c r="I11" s="1428">
        <f>IF($E$4=1,(VLOOKUP($I$8,$L$42:$P$52,2,0)+0.1),(VLOOKUP($I$8,$L$42:$P$52,2,0)))</f>
        <v>7.2715184266874955E-2</v>
      </c>
      <c r="K11" s="1429"/>
      <c r="L11" s="704" t="s">
        <v>5756</v>
      </c>
      <c r="M11" s="1430" t="e">
        <f>'1_Graue Energie_Benchmark'!E21</f>
        <v>#DIV/0!</v>
      </c>
      <c r="N11" s="1430" t="e">
        <f>M11</f>
        <v>#DIV/0!</v>
      </c>
      <c r="O11" s="1430" t="e">
        <f>'1_Graue Energie_Benchmark'!F21</f>
        <v>#DIV/0!</v>
      </c>
      <c r="P11" s="1430" t="e">
        <f>O11</f>
        <v>#DIV/0!</v>
      </c>
    </row>
    <row r="12" spans="2:16" x14ac:dyDescent="0.35">
      <c r="B12" s="646" t="s">
        <v>4345</v>
      </c>
      <c r="C12" s="1424">
        <f>'RH Gebäude'!F24</f>
        <v>0</v>
      </c>
      <c r="D12" s="1249" t="e">
        <f>C12/$C$15</f>
        <v>#DIV/0!</v>
      </c>
      <c r="E12" s="1425">
        <f>IFERROR(C12/'RH Gebäude'!H24,0)</f>
        <v>0</v>
      </c>
      <c r="F12" s="1179">
        <v>20</v>
      </c>
      <c r="G12" s="1426">
        <f>IFERROR(E12/F12,0)*H12</f>
        <v>0</v>
      </c>
      <c r="H12" s="1427">
        <v>5</v>
      </c>
      <c r="I12" s="1428">
        <f>IF($E$4=1,(VLOOKUP($I$8,$L$42:$P$52,3,0)+0.1),(VLOOKUP($I$8,$L$42:$P$52,3,0)))</f>
        <v>0.14423725585759617</v>
      </c>
      <c r="L12" s="704" t="s">
        <v>5757</v>
      </c>
      <c r="M12" s="1430" t="e">
        <f>'1_Graue Energie_eco2soft'!C35</f>
        <v>#DIV/0!</v>
      </c>
      <c r="N12" s="1430" t="e">
        <f>M12</f>
        <v>#DIV/0!</v>
      </c>
      <c r="O12" s="1430" t="e">
        <f>'1_Graue Energie_eco2soft'!D35</f>
        <v>#DIV/0!</v>
      </c>
      <c r="P12" s="1430" t="e">
        <f>O12</f>
        <v>#DIV/0!</v>
      </c>
    </row>
    <row r="13" spans="2:16" x14ac:dyDescent="0.35">
      <c r="B13" s="646" t="s">
        <v>5043</v>
      </c>
      <c r="C13" s="1424">
        <f>'RH Gebäude'!F25</f>
        <v>0</v>
      </c>
      <c r="D13" s="1249" t="e">
        <f>C13/$C$15</f>
        <v>#DIV/0!</v>
      </c>
      <c r="E13" s="1425">
        <f>IFERROR(C13/'RH Gebäude'!H25,0)</f>
        <v>0</v>
      </c>
      <c r="F13" s="1179">
        <v>12</v>
      </c>
      <c r="G13" s="1426">
        <f>IFERROR(E13/F13,0)*H13</f>
        <v>0</v>
      </c>
      <c r="H13" s="1427">
        <v>2.2000000000000002</v>
      </c>
      <c r="I13" s="1428">
        <f>IF($E$4=1,(VLOOKUP($I$8,$L$42:$P$52,4,0)+0.1),(VLOOKUP($I$8,$L$42:$P$52,4,0)))</f>
        <v>0.22039464228872152</v>
      </c>
      <c r="K13" s="1429"/>
      <c r="L13" s="704" t="s">
        <v>5758</v>
      </c>
      <c r="M13" s="1430" t="e">
        <f>'2a_BE_EAW'!D114</f>
        <v>#DIV/0!</v>
      </c>
      <c r="N13" s="1430" t="e">
        <f>'2a_BE_EAW'!E114</f>
        <v>#DIV/0!</v>
      </c>
      <c r="O13" s="1430" t="e">
        <f>'2a_BE_EAW'!D115</f>
        <v>#DIV/0!</v>
      </c>
      <c r="P13" s="1430" t="e">
        <f>'2a_BE_EAW'!E115</f>
        <v>#DIV/0!</v>
      </c>
    </row>
    <row r="14" spans="2:16" x14ac:dyDescent="0.35">
      <c r="B14" s="1431" t="s">
        <v>5044</v>
      </c>
      <c r="C14" s="1424">
        <f>'RH Gebäude'!F26</f>
        <v>0</v>
      </c>
      <c r="D14" s="1249" t="e">
        <f>C14/$C$15</f>
        <v>#DIV/0!</v>
      </c>
      <c r="E14" s="1425">
        <f>IFERROR(C14/'RH Gebäude'!H26,0)</f>
        <v>0</v>
      </c>
      <c r="F14" s="1179">
        <v>28.5</v>
      </c>
      <c r="G14" s="1426">
        <f>IFERROR(E14/F14,0)*H14</f>
        <v>0</v>
      </c>
      <c r="H14" s="1427">
        <v>2.1</v>
      </c>
      <c r="I14" s="1428">
        <f>IF($E$4=1,(VLOOKUP($I$8,$L$42:$P$52,5,0)+0.1),(VLOOKUP($I$8,$L$42:$P$52,5,0)))</f>
        <v>0.22039464228872152</v>
      </c>
      <c r="L14" s="704" t="s">
        <v>5759</v>
      </c>
      <c r="M14" s="1430" t="e">
        <f>'2a_BE_PHPP'!F64</f>
        <v>#DIV/0!</v>
      </c>
      <c r="N14" s="1430" t="e">
        <f>'2a_BE_PHPP'!G64</f>
        <v>#DIV/0!</v>
      </c>
      <c r="O14" s="1430" t="e">
        <f>'2a_BE_PHPP'!F65</f>
        <v>#DIV/0!</v>
      </c>
      <c r="P14" s="1430" t="e">
        <f>'2a_BE_PHPP'!G65</f>
        <v>#DIV/0!</v>
      </c>
    </row>
    <row r="15" spans="2:16" x14ac:dyDescent="0.35">
      <c r="B15" s="337" t="s">
        <v>2085</v>
      </c>
      <c r="C15" s="706">
        <f>SUM(C11:C14)</f>
        <v>0</v>
      </c>
      <c r="D15" s="339" t="e">
        <f>SUM(D11:D14)</f>
        <v>#DIV/0!</v>
      </c>
      <c r="E15" s="706" t="e">
        <f>D11*E11+D12*E12+D13*E13+D14*E14</f>
        <v>#DIV/0!</v>
      </c>
      <c r="F15" s="1242" t="e">
        <f>D11*F11+D12*F12+D13*F13+D14*F14</f>
        <v>#DIV/0!</v>
      </c>
      <c r="G15" s="706" t="e">
        <f>D11*G11+D12*G12+D13*G13+D14*G14</f>
        <v>#DIV/0!</v>
      </c>
      <c r="H15" s="1242" t="e">
        <f>D11*H11+D12*H12+D13*H13+D14*H14</f>
        <v>#DIV/0!</v>
      </c>
      <c r="I15" s="1432"/>
      <c r="K15" s="1433"/>
      <c r="L15" s="1286" t="s">
        <v>5988</v>
      </c>
      <c r="M15" s="1430" t="e">
        <f>'THG-Mobilität'!D120</f>
        <v>#DIV/0!</v>
      </c>
      <c r="N15" s="1430" t="e">
        <f>'THG-Mobilität'!E120</f>
        <v>#DIV/0!</v>
      </c>
      <c r="O15" s="1430" t="e">
        <f>'THG-Mobilität'!D121</f>
        <v>#DIV/0!</v>
      </c>
      <c r="P15" s="1430" t="e">
        <f>'THG-Mobilität'!E121</f>
        <v>#DIV/0!</v>
      </c>
    </row>
    <row r="16" spans="2:16" x14ac:dyDescent="0.35">
      <c r="B16" s="348"/>
      <c r="C16" s="724"/>
      <c r="D16" s="724"/>
      <c r="E16" s="712"/>
    </row>
    <row r="17" spans="2:16" s="63" customFormat="1" ht="18.5" x14ac:dyDescent="0.35">
      <c r="B17" s="1416" t="s">
        <v>5989</v>
      </c>
      <c r="C17" s="1417"/>
      <c r="D17" s="1417"/>
      <c r="E17" s="1418"/>
      <c r="F17" s="1419"/>
      <c r="G17" s="1419"/>
      <c r="H17" s="1419"/>
      <c r="I17" s="1419"/>
      <c r="L17" s="962"/>
    </row>
    <row r="18" spans="2:16" x14ac:dyDescent="0.35">
      <c r="B18" s="208"/>
      <c r="C18" s="724"/>
      <c r="D18" s="724"/>
      <c r="E18" s="712"/>
      <c r="M18" s="293" t="s">
        <v>5990</v>
      </c>
      <c r="N18" s="293" t="s">
        <v>5089</v>
      </c>
      <c r="O18" s="293" t="s">
        <v>5990</v>
      </c>
      <c r="P18" s="293" t="s">
        <v>5089</v>
      </c>
    </row>
    <row r="19" spans="2:16" x14ac:dyDescent="0.35">
      <c r="C19" s="1762" t="s">
        <v>5991</v>
      </c>
      <c r="D19" s="1762"/>
      <c r="E19" s="1762" t="s">
        <v>5992</v>
      </c>
      <c r="F19" s="1762"/>
      <c r="L19" s="1154" t="s">
        <v>5767</v>
      </c>
      <c r="M19" s="1434" t="s">
        <v>5993</v>
      </c>
      <c r="N19" s="1434" t="s">
        <v>5993</v>
      </c>
      <c r="O19" s="1434" t="s">
        <v>5994</v>
      </c>
      <c r="P19" s="1434" t="s">
        <v>5994</v>
      </c>
    </row>
    <row r="20" spans="2:16" ht="15" thickBot="1" x14ac:dyDescent="0.4">
      <c r="B20" s="1258"/>
      <c r="C20" s="1435">
        <v>2030</v>
      </c>
      <c r="D20" s="1374" t="s">
        <v>5995</v>
      </c>
      <c r="E20" s="1374">
        <v>2020</v>
      </c>
      <c r="F20" s="1374">
        <v>2030</v>
      </c>
      <c r="G20" s="1436" t="s">
        <v>5996</v>
      </c>
      <c r="H20" s="175"/>
      <c r="I20" s="175"/>
      <c r="L20" s="1437" t="s">
        <v>5997</v>
      </c>
      <c r="M20" s="1438">
        <v>5.8</v>
      </c>
      <c r="N20" s="1439">
        <v>8</v>
      </c>
      <c r="O20" s="1438">
        <v>26</v>
      </c>
      <c r="P20" s="1438">
        <v>33</v>
      </c>
    </row>
    <row r="21" spans="2:16" ht="17" thickBot="1" x14ac:dyDescent="0.4">
      <c r="B21" s="1440" t="s">
        <v>5998</v>
      </c>
      <c r="C21" s="1441" t="e">
        <f>N33*$D$11+N34*$D$12+N35*$D$13+N36*$D$14</f>
        <v>#DIV/0!</v>
      </c>
      <c r="D21" s="1442" t="e">
        <f>C21+(C21*(I11*$D$11+I12*$D$12+I13*$D$13+I14*$D$14))</f>
        <v>#DIV/0!</v>
      </c>
      <c r="E21" s="1441" t="e">
        <f>E22*G15</f>
        <v>#DIV/0!</v>
      </c>
      <c r="F21" s="1443" t="e">
        <f>F22*G15</f>
        <v>#DIV/0!</v>
      </c>
      <c r="G21" s="1444" t="e">
        <f>F21/$D21-1</f>
        <v>#DIV/0!</v>
      </c>
      <c r="H21" s="1445"/>
      <c r="I21" s="1445"/>
      <c r="L21" s="1446" t="s">
        <v>5999</v>
      </c>
      <c r="M21" s="1447">
        <v>2.9</v>
      </c>
      <c r="N21" s="1448">
        <v>8</v>
      </c>
      <c r="O21" s="1447">
        <v>47</v>
      </c>
      <c r="P21" s="1447">
        <v>100</v>
      </c>
    </row>
    <row r="22" spans="2:16" ht="16.5" x14ac:dyDescent="0.35">
      <c r="B22" s="1449" t="s">
        <v>6000</v>
      </c>
      <c r="C22" s="1450" t="e">
        <f>M33*$D$11+M34*$D$12+M35*$D$13+M36*$D$14</f>
        <v>#DIV/0!</v>
      </c>
      <c r="D22" s="1451" t="e">
        <f>C22+(C22*(I11*$D$11+I12*$D$12+I13*$D$13+I14*$D$14))</f>
        <v>#DIV/0!</v>
      </c>
      <c r="E22" s="1451" t="e">
        <f>SUM(E23:E25)</f>
        <v>#DIV/0!</v>
      </c>
      <c r="F22" s="1451" t="e">
        <f>SUM(F23:F25)</f>
        <v>#DIV/0!</v>
      </c>
      <c r="G22" s="1452" t="e">
        <f>F22/$D22-1</f>
        <v>#DIV/0!</v>
      </c>
      <c r="H22" s="1453"/>
      <c r="I22" s="1453"/>
      <c r="L22" s="1454" t="s">
        <v>6001</v>
      </c>
      <c r="M22" s="1455">
        <v>6.7</v>
      </c>
      <c r="N22" s="1455">
        <v>28.5</v>
      </c>
      <c r="O22" s="1455">
        <v>49</v>
      </c>
      <c r="P22" s="1455">
        <v>113</v>
      </c>
    </row>
    <row r="23" spans="2:16" x14ac:dyDescent="0.35">
      <c r="B23" s="1456" t="s">
        <v>5975</v>
      </c>
      <c r="C23" s="1457" t="e">
        <f t="shared" ref="C23:D25" si="0">M20*$D$11+M23*$D$12+M26*$D$13+M29*$D$14</f>
        <v>#DIV/0!</v>
      </c>
      <c r="D23" s="1457" t="e">
        <f t="shared" si="0"/>
        <v>#DIV/0!</v>
      </c>
      <c r="E23" s="1458" t="e">
        <f>VLOOKUP(C6,$L$11:$P$12,2,0)</f>
        <v>#DIV/0!</v>
      </c>
      <c r="F23" s="1458" t="e">
        <f>VLOOKUP(C6,$L$11:$P$12,3,0)</f>
        <v>#DIV/0!</v>
      </c>
      <c r="G23" s="1459" t="e">
        <f>F23/$C23-1</f>
        <v>#DIV/0!</v>
      </c>
      <c r="H23" s="1460"/>
      <c r="I23" s="1460"/>
      <c r="L23" s="1437" t="s">
        <v>6002</v>
      </c>
      <c r="M23" s="1438">
        <v>6.5</v>
      </c>
      <c r="N23" s="1439">
        <v>8</v>
      </c>
      <c r="O23" s="1438">
        <v>25</v>
      </c>
      <c r="P23" s="1438">
        <v>33</v>
      </c>
    </row>
    <row r="24" spans="2:16" x14ac:dyDescent="0.35">
      <c r="B24" s="1456" t="s">
        <v>5976</v>
      </c>
      <c r="C24" s="1457" t="e">
        <f t="shared" si="0"/>
        <v>#DIV/0!</v>
      </c>
      <c r="D24" s="1457" t="e">
        <f t="shared" si="0"/>
        <v>#DIV/0!</v>
      </c>
      <c r="E24" s="1458" t="e">
        <f>VLOOKUP(C7,$L$13:$P$14,2,0)+'2b_Photovoltaik'!D34</f>
        <v>#DIV/0!</v>
      </c>
      <c r="F24" s="1458" t="e">
        <f>VLOOKUP(C7,$L$13:$P$14,3,0)+'2b_Photovoltaik'!E34</f>
        <v>#DIV/0!</v>
      </c>
      <c r="G24" s="1459" t="e">
        <f t="shared" ref="G24:G25" si="1">F24/$C24-1</f>
        <v>#DIV/0!</v>
      </c>
      <c r="H24" s="1460"/>
      <c r="I24" s="1460"/>
      <c r="L24" s="1446" t="s">
        <v>6003</v>
      </c>
      <c r="M24" s="1447">
        <v>5.0999999999999996</v>
      </c>
      <c r="N24" s="1448">
        <v>7</v>
      </c>
      <c r="O24" s="1447">
        <v>73</v>
      </c>
      <c r="P24" s="1447">
        <v>90</v>
      </c>
    </row>
    <row r="25" spans="2:16" x14ac:dyDescent="0.35">
      <c r="B25" s="1456" t="s">
        <v>6004</v>
      </c>
      <c r="C25" s="1461" t="e">
        <f t="shared" si="0"/>
        <v>#DIV/0!</v>
      </c>
      <c r="D25" s="1461" t="e">
        <f t="shared" si="0"/>
        <v>#DIV/0!</v>
      </c>
      <c r="E25" s="1458" t="e">
        <f>M15</f>
        <v>#DIV/0!</v>
      </c>
      <c r="F25" s="1458" t="e">
        <f>N15</f>
        <v>#DIV/0!</v>
      </c>
      <c r="G25" s="1459" t="e">
        <f t="shared" si="1"/>
        <v>#DIV/0!</v>
      </c>
      <c r="H25" s="1460"/>
      <c r="I25" s="1460"/>
      <c r="L25" s="1454" t="s">
        <v>6005</v>
      </c>
      <c r="M25" s="1455">
        <v>6.3</v>
      </c>
      <c r="N25" s="1455">
        <v>30.6</v>
      </c>
      <c r="O25" s="1455">
        <v>27</v>
      </c>
      <c r="P25" s="1455">
        <v>121</v>
      </c>
    </row>
    <row r="26" spans="2:16" x14ac:dyDescent="0.35">
      <c r="C26" s="1760" t="s">
        <v>6006</v>
      </c>
      <c r="D26" s="1761"/>
      <c r="E26" s="1462"/>
      <c r="F26" s="1462"/>
      <c r="L26" s="1437" t="s">
        <v>6007</v>
      </c>
      <c r="M26" s="1438">
        <v>7.1</v>
      </c>
      <c r="N26" s="1439">
        <v>8</v>
      </c>
      <c r="O26" s="1438">
        <v>26</v>
      </c>
      <c r="P26" s="1438">
        <v>33</v>
      </c>
    </row>
    <row r="27" spans="2:16" x14ac:dyDescent="0.35">
      <c r="L27" s="1446" t="s">
        <v>6008</v>
      </c>
      <c r="M27" s="1447">
        <v>5.2</v>
      </c>
      <c r="N27" s="1448">
        <v>8</v>
      </c>
      <c r="O27" s="1447">
        <v>69</v>
      </c>
      <c r="P27" s="1447">
        <v>100</v>
      </c>
    </row>
    <row r="28" spans="2:16" s="63" customFormat="1" ht="18.5" x14ac:dyDescent="0.35">
      <c r="B28" s="1416" t="s">
        <v>6009</v>
      </c>
      <c r="C28" s="1417"/>
      <c r="D28" s="1417"/>
      <c r="E28" s="1418"/>
      <c r="F28" s="1419"/>
      <c r="G28" s="1419"/>
      <c r="H28" s="1419"/>
      <c r="I28" s="1419"/>
      <c r="L28" s="1454" t="s">
        <v>6010</v>
      </c>
      <c r="M28" s="1455">
        <v>4.7</v>
      </c>
      <c r="N28" s="1455">
        <v>16.600000000000001</v>
      </c>
      <c r="O28" s="1455">
        <v>21</v>
      </c>
      <c r="P28" s="1455">
        <v>67</v>
      </c>
    </row>
    <row r="29" spans="2:16" x14ac:dyDescent="0.35">
      <c r="L29" s="1437" t="s">
        <v>6011</v>
      </c>
      <c r="M29" s="1438">
        <v>7.1</v>
      </c>
      <c r="N29" s="1439">
        <v>8</v>
      </c>
      <c r="O29" s="1438">
        <v>26</v>
      </c>
      <c r="P29" s="1438">
        <v>33</v>
      </c>
    </row>
    <row r="30" spans="2:16" x14ac:dyDescent="0.35">
      <c r="C30" s="1762" t="s">
        <v>5991</v>
      </c>
      <c r="D30" s="1762"/>
      <c r="E30" s="1762" t="s">
        <v>5992</v>
      </c>
      <c r="F30" s="1762"/>
      <c r="L30" s="1446" t="s">
        <v>6012</v>
      </c>
      <c r="M30" s="1447">
        <v>5.2</v>
      </c>
      <c r="N30" s="1448">
        <v>8</v>
      </c>
      <c r="O30" s="1447">
        <v>69</v>
      </c>
      <c r="P30" s="1447">
        <v>100</v>
      </c>
    </row>
    <row r="31" spans="2:16" ht="15" thickBot="1" x14ac:dyDescent="0.4">
      <c r="B31" s="1258"/>
      <c r="C31" s="1435">
        <v>2030</v>
      </c>
      <c r="D31" s="1374" t="s">
        <v>5995</v>
      </c>
      <c r="E31" s="1374">
        <f>E20</f>
        <v>2020</v>
      </c>
      <c r="F31" s="1374">
        <v>2030</v>
      </c>
      <c r="G31" s="1436" t="s">
        <v>5996</v>
      </c>
      <c r="H31" s="175"/>
      <c r="I31" s="175"/>
      <c r="L31" s="1454" t="s">
        <v>6013</v>
      </c>
      <c r="M31" s="1455">
        <v>4.7</v>
      </c>
      <c r="N31" s="1455">
        <v>16.600000000000001</v>
      </c>
      <c r="O31" s="1455">
        <v>21</v>
      </c>
      <c r="P31" s="1455">
        <v>67</v>
      </c>
    </row>
    <row r="32" spans="2:16" ht="18.75" customHeight="1" thickBot="1" x14ac:dyDescent="0.4">
      <c r="B32" s="1440" t="s">
        <v>6014</v>
      </c>
      <c r="C32" s="1441" t="e">
        <f>P33*$D$11+P34*$D$12+P35*$D$13+P36*$D$14</f>
        <v>#DIV/0!</v>
      </c>
      <c r="D32" s="1442" t="e">
        <f>C32+(C32*(I11*$D$11+I12*$D$12+I13*$D$13+I14*$D$14))</f>
        <v>#DIV/0!</v>
      </c>
      <c r="E32" s="1441" t="e">
        <f>E33*1000/8760*G15</f>
        <v>#DIV/0!</v>
      </c>
      <c r="F32" s="1443" t="e">
        <f>F33*1000/8760*G15</f>
        <v>#DIV/0!</v>
      </c>
      <c r="G32" s="1444" t="e">
        <f>F32/$D32-1</f>
        <v>#DIV/0!</v>
      </c>
      <c r="H32" s="1445"/>
      <c r="I32" s="1445"/>
      <c r="L32" s="1154" t="s">
        <v>6015</v>
      </c>
      <c r="M32" s="1434" t="s">
        <v>5993</v>
      </c>
      <c r="N32" s="1434" t="s">
        <v>6016</v>
      </c>
      <c r="O32" s="1434" t="s">
        <v>5994</v>
      </c>
      <c r="P32" s="1434" t="s">
        <v>6017</v>
      </c>
    </row>
    <row r="33" spans="2:16" ht="16.5" x14ac:dyDescent="0.35">
      <c r="B33" s="1449" t="s">
        <v>6018</v>
      </c>
      <c r="C33" s="1450" t="e">
        <f>O33*$D$11+O34*$D$12+O35*$D$13+O36*$D$14</f>
        <v>#DIV/0!</v>
      </c>
      <c r="D33" s="1451" t="e">
        <f>C33+(C33*(I11*$D$11+I12*$D$12+I13*$D$13+I14*$D$14))</f>
        <v>#DIV/0!</v>
      </c>
      <c r="E33" s="1451" t="e">
        <f>SUM(E34:E36)</f>
        <v>#DIV/0!</v>
      </c>
      <c r="F33" s="1451" t="e">
        <f>SUM(F34:F36)</f>
        <v>#DIV/0!</v>
      </c>
      <c r="G33" s="1452" t="e">
        <f>F33/$D33-1</f>
        <v>#DIV/0!</v>
      </c>
      <c r="H33" s="1453"/>
      <c r="I33" s="1453"/>
      <c r="L33" s="1286" t="s">
        <v>4344</v>
      </c>
      <c r="M33" s="1158">
        <v>15</v>
      </c>
      <c r="N33" s="1158">
        <v>684</v>
      </c>
      <c r="O33" s="1158">
        <v>206</v>
      </c>
      <c r="P33" s="1158">
        <v>1040</v>
      </c>
    </row>
    <row r="34" spans="2:16" x14ac:dyDescent="0.35">
      <c r="B34" s="1456" t="s">
        <v>5975</v>
      </c>
      <c r="C34" s="1457" t="e">
        <f t="shared" ref="C34:D36" si="2">O20*$D$11+O23*$D$12+O26*$D$13+O29*$D$14</f>
        <v>#DIV/0!</v>
      </c>
      <c r="D34" s="1457" t="e">
        <f t="shared" si="2"/>
        <v>#DIV/0!</v>
      </c>
      <c r="E34" s="1458" t="e">
        <f>VLOOKUP(C6,$L$11:$P$12,4,0)</f>
        <v>#DIV/0!</v>
      </c>
      <c r="F34" s="1458" t="e">
        <f>VLOOKUP(C6,$L$11:$P$12,5,0)</f>
        <v>#DIV/0!</v>
      </c>
      <c r="G34" s="1459" t="e">
        <f>F34/$C34-1</f>
        <v>#DIV/0!</v>
      </c>
      <c r="H34" s="1460"/>
      <c r="I34" s="1460"/>
      <c r="L34" s="1286" t="s">
        <v>4345</v>
      </c>
      <c r="M34" s="1158">
        <v>27</v>
      </c>
      <c r="N34" s="1158">
        <v>115</v>
      </c>
      <c r="O34" s="1158">
        <v>371</v>
      </c>
      <c r="P34" s="1158">
        <v>181</v>
      </c>
    </row>
    <row r="35" spans="2:16" x14ac:dyDescent="0.35">
      <c r="B35" s="1456" t="s">
        <v>5976</v>
      </c>
      <c r="C35" s="1457" t="e">
        <f t="shared" si="2"/>
        <v>#DIV/0!</v>
      </c>
      <c r="D35" s="1457" t="e">
        <f t="shared" si="2"/>
        <v>#DIV/0!</v>
      </c>
      <c r="E35" s="1458" t="e">
        <f>VLOOKUP(C7,$L$13:$P$14,4,0)+'2b_Photovoltaik'!D37</f>
        <v>#DIV/0!</v>
      </c>
      <c r="F35" s="1458" t="e">
        <f>VLOOKUP(C7,$L$13:$P$14,5,0)+'2b_Photovoltaik'!E37</f>
        <v>#DIV/0!</v>
      </c>
      <c r="G35" s="1459" t="e">
        <f t="shared" ref="G35:G36" si="3">F35/$C35-1</f>
        <v>#DIV/0!</v>
      </c>
      <c r="H35" s="1460"/>
      <c r="I35" s="1460"/>
      <c r="L35" s="1286" t="s">
        <v>5043</v>
      </c>
      <c r="M35" s="1158">
        <v>19</v>
      </c>
      <c r="N35" s="1158">
        <v>44</v>
      </c>
      <c r="O35" s="1158">
        <v>116</v>
      </c>
      <c r="P35" s="1158">
        <v>60</v>
      </c>
    </row>
    <row r="36" spans="2:16" x14ac:dyDescent="0.35">
      <c r="B36" s="1456" t="s">
        <v>6004</v>
      </c>
      <c r="C36" s="1457" t="e">
        <f t="shared" si="2"/>
        <v>#DIV/0!</v>
      </c>
      <c r="D36" s="1457" t="e">
        <f t="shared" si="2"/>
        <v>#DIV/0!</v>
      </c>
      <c r="E36" s="1458" t="e">
        <f>O15</f>
        <v>#DIV/0!</v>
      </c>
      <c r="F36" s="1458" t="e">
        <f>P15</f>
        <v>#DIV/0!</v>
      </c>
      <c r="G36" s="1459" t="e">
        <f t="shared" si="3"/>
        <v>#DIV/0!</v>
      </c>
      <c r="H36" s="1460"/>
      <c r="I36" s="1460"/>
      <c r="L36" s="1286" t="s">
        <v>5044</v>
      </c>
      <c r="M36" s="1158">
        <v>28.061952255256276</v>
      </c>
      <c r="N36" s="1158">
        <v>58.93009973603818</v>
      </c>
      <c r="O36" s="1158">
        <v>175.63677085872214</v>
      </c>
      <c r="P36" s="1158">
        <v>42.104705342844355</v>
      </c>
    </row>
    <row r="37" spans="2:16" x14ac:dyDescent="0.35">
      <c r="C37" s="1760" t="s">
        <v>6006</v>
      </c>
      <c r="D37" s="1761"/>
      <c r="L37" s="550"/>
    </row>
    <row r="38" spans="2:16" x14ac:dyDescent="0.35">
      <c r="L38" s="550"/>
    </row>
    <row r="41" spans="2:16" x14ac:dyDescent="0.35">
      <c r="L41" s="1154"/>
      <c r="M41" s="1434" t="s">
        <v>4344</v>
      </c>
      <c r="N41" s="1434" t="s">
        <v>4345</v>
      </c>
      <c r="O41" s="1434" t="s">
        <v>5043</v>
      </c>
      <c r="P41" s="1434" t="s">
        <v>5044</v>
      </c>
    </row>
    <row r="42" spans="2:16" x14ac:dyDescent="0.35">
      <c r="L42" s="1157">
        <v>11</v>
      </c>
      <c r="M42" s="1166">
        <v>-1.7407639068359737E-2</v>
      </c>
      <c r="N42" s="1166">
        <v>-4.6173421016223681E-2</v>
      </c>
      <c r="O42" s="1166">
        <v>0.10240637982520084</v>
      </c>
      <c r="P42" s="1166">
        <v>0.10240637982520084</v>
      </c>
    </row>
    <row r="43" spans="2:16" x14ac:dyDescent="0.35">
      <c r="L43" s="1157">
        <v>12</v>
      </c>
      <c r="M43" s="1166">
        <v>3.232323466129583E-2</v>
      </c>
      <c r="N43" s="1166">
        <v>-4.2158857137196248E-2</v>
      </c>
      <c r="O43" s="1166">
        <v>0.16230727429428393</v>
      </c>
      <c r="P43" s="1166">
        <v>0.16230727429428393</v>
      </c>
    </row>
    <row r="44" spans="2:16" x14ac:dyDescent="0.35">
      <c r="L44" s="1157">
        <v>22</v>
      </c>
      <c r="M44" s="1166">
        <v>7.2715184266874955E-2</v>
      </c>
      <c r="N44" s="1166">
        <v>0.14423725585759617</v>
      </c>
      <c r="O44" s="1166">
        <v>0.22039464228872152</v>
      </c>
      <c r="P44" s="1166">
        <v>0.22039464228872152</v>
      </c>
    </row>
    <row r="45" spans="2:16" x14ac:dyDescent="0.35">
      <c r="L45" s="1157">
        <v>23</v>
      </c>
      <c r="M45" s="1166">
        <v>5.6786936559166223E-2</v>
      </c>
      <c r="N45" s="1166">
        <v>0.14873947075661542</v>
      </c>
      <c r="O45" s="1166">
        <v>0.2513261557037898</v>
      </c>
      <c r="P45" s="1166">
        <v>0.2513261557037898</v>
      </c>
    </row>
    <row r="46" spans="2:16" x14ac:dyDescent="0.35">
      <c r="L46" s="1157">
        <v>24</v>
      </c>
      <c r="M46" s="1166">
        <v>0.26834422950280179</v>
      </c>
      <c r="N46" s="1166">
        <v>0.46112730281971914</v>
      </c>
      <c r="O46" s="1166">
        <v>0.21404569818192254</v>
      </c>
      <c r="P46" s="1166">
        <v>0.21404569818192254</v>
      </c>
    </row>
    <row r="47" spans="2:16" x14ac:dyDescent="0.35">
      <c r="L47" s="1157">
        <v>32</v>
      </c>
      <c r="M47" s="1166">
        <v>0.18007434222959207</v>
      </c>
      <c r="N47" s="1166">
        <v>2.3366241467370097E-2</v>
      </c>
      <c r="O47" s="1166">
        <v>0.24161764849495593</v>
      </c>
      <c r="P47" s="1166">
        <v>0.24161764849495593</v>
      </c>
    </row>
    <row r="48" spans="2:16" x14ac:dyDescent="0.35">
      <c r="L48" s="1157">
        <v>33</v>
      </c>
      <c r="M48" s="1166">
        <v>7.4518098613784334E-2</v>
      </c>
      <c r="N48" s="1166">
        <v>0.23421807942695905</v>
      </c>
      <c r="O48" s="1166">
        <v>0.14226358933433958</v>
      </c>
      <c r="P48" s="1166">
        <v>0.14226358933433958</v>
      </c>
    </row>
    <row r="49" spans="5:16" x14ac:dyDescent="0.35">
      <c r="L49" s="1157">
        <v>34</v>
      </c>
      <c r="M49" s="1166">
        <v>0.1877396855484359</v>
      </c>
      <c r="N49" s="1166">
        <v>0.24032390048496244</v>
      </c>
      <c r="O49" s="1166">
        <v>0.44556773222248403</v>
      </c>
      <c r="P49" s="1166">
        <v>0.44556773222248403</v>
      </c>
    </row>
    <row r="50" spans="5:16" x14ac:dyDescent="0.35">
      <c r="L50" s="1157">
        <v>91</v>
      </c>
      <c r="M50" s="1166">
        <v>-9.0488437086669427E-2</v>
      </c>
      <c r="N50" s="1166">
        <v>-0.15569173797237834</v>
      </c>
      <c r="O50" s="1166">
        <v>-2.7795098548070274E-2</v>
      </c>
      <c r="P50" s="1166">
        <v>-2.7795098548070274E-2</v>
      </c>
    </row>
    <row r="51" spans="5:16" x14ac:dyDescent="0.35">
      <c r="L51" s="1157">
        <v>92</v>
      </c>
      <c r="M51" s="1166">
        <v>-0.15824668014585719</v>
      </c>
      <c r="N51" s="1166">
        <v>-0.19232983414075722</v>
      </c>
      <c r="O51" s="1166">
        <v>7.5964527742518051E-2</v>
      </c>
      <c r="P51" s="1166">
        <v>7.5964527742518051E-2</v>
      </c>
    </row>
    <row r="52" spans="5:16" x14ac:dyDescent="0.35">
      <c r="E52" s="602"/>
      <c r="F52" s="602"/>
      <c r="L52" s="1157">
        <v>93</v>
      </c>
      <c r="M52" s="1166">
        <v>-0.10027207416891293</v>
      </c>
      <c r="N52" s="1166">
        <v>-0.1716397113618825</v>
      </c>
      <c r="O52" s="1166">
        <v>9.2606087106922086E-2</v>
      </c>
      <c r="P52" s="1166">
        <v>9.2606087106922086E-2</v>
      </c>
    </row>
    <row r="53" spans="5:16" x14ac:dyDescent="0.35">
      <c r="E53" s="602"/>
      <c r="F53" s="602"/>
    </row>
    <row r="54" spans="5:16" x14ac:dyDescent="0.35">
      <c r="E54" s="602"/>
      <c r="F54" s="602"/>
    </row>
    <row r="55" spans="5:16" x14ac:dyDescent="0.35">
      <c r="E55" s="602"/>
      <c r="F55" s="602"/>
    </row>
    <row r="56" spans="5:16" x14ac:dyDescent="0.35">
      <c r="E56" s="602"/>
      <c r="F56" s="602"/>
    </row>
    <row r="57" spans="5:16" x14ac:dyDescent="0.35">
      <c r="E57" s="1463"/>
      <c r="F57" s="1463"/>
    </row>
    <row r="58" spans="5:16" x14ac:dyDescent="0.35">
      <c r="E58" s="602"/>
      <c r="F58" s="602"/>
    </row>
    <row r="59" spans="5:16" x14ac:dyDescent="0.35">
      <c r="E59" s="602"/>
      <c r="F59" s="602"/>
    </row>
  </sheetData>
  <mergeCells count="10">
    <mergeCell ref="C26:D26"/>
    <mergeCell ref="C30:D30"/>
    <mergeCell ref="E30:F30"/>
    <mergeCell ref="C37:D37"/>
    <mergeCell ref="C4:D4"/>
    <mergeCell ref="C6:D6"/>
    <mergeCell ref="C7:D7"/>
    <mergeCell ref="C8:D8"/>
    <mergeCell ref="C19:D19"/>
    <mergeCell ref="E19:F19"/>
  </mergeCells>
  <dataValidations count="3">
    <dataValidation type="list" allowBlank="1" showInputMessage="1" showErrorMessage="1" sqref="C4:D4">
      <formula1>Auditinhalt</formula1>
    </dataValidation>
    <dataValidation type="list" allowBlank="1" showInputMessage="1" showErrorMessage="1" sqref="C7:D7">
      <formula1>Tools_BE</formula1>
    </dataValidation>
    <dataValidation type="list" allowBlank="1" showInputMessage="1" showErrorMessage="1" sqref="C6:D6">
      <formula1>Tools_GE</formula1>
    </dataValidation>
  </dataValidations>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R54"/>
  <sheetViews>
    <sheetView workbookViewId="0"/>
  </sheetViews>
  <sheetFormatPr baseColWidth="10" defaultColWidth="11" defaultRowHeight="14.5" x14ac:dyDescent="0.35"/>
  <cols>
    <col min="1" max="1" width="3.5" style="1026" customWidth="1"/>
    <col min="2" max="2" width="16" style="1026" bestFit="1" customWidth="1"/>
    <col min="3" max="3" width="6.75" style="1026" bestFit="1" customWidth="1"/>
    <col min="4" max="12" width="6.33203125" style="1026" customWidth="1"/>
    <col min="13" max="13" width="6.75" style="1026" bestFit="1" customWidth="1"/>
    <col min="14" max="14" width="9.58203125" style="1026" bestFit="1" customWidth="1"/>
    <col min="15" max="15" width="5.58203125" style="1026" customWidth="1"/>
    <col min="16" max="16" width="12.75" style="1026" customWidth="1"/>
    <col min="17" max="17" width="29.5" style="1026" bestFit="1" customWidth="1"/>
    <col min="18" max="19" width="13.58203125" style="1026" bestFit="1" customWidth="1"/>
    <col min="20" max="20" width="13.25" style="1026" bestFit="1" customWidth="1"/>
    <col min="21" max="16384" width="11" style="1026"/>
  </cols>
  <sheetData>
    <row r="2" spans="17:18" ht="16.5" customHeight="1" x14ac:dyDescent="0.35">
      <c r="Q2" s="1464" t="s">
        <v>5293</v>
      </c>
      <c r="R2" s="1423" t="s">
        <v>4372</v>
      </c>
    </row>
    <row r="3" spans="17:18" x14ac:dyDescent="0.35">
      <c r="Q3" s="958" t="s">
        <v>6019</v>
      </c>
      <c r="R3" s="1465" t="e">
        <f>C42</f>
        <v>#DIV/0!</v>
      </c>
    </row>
    <row r="4" spans="17:18" x14ac:dyDescent="0.35">
      <c r="Q4" s="1466" t="s">
        <v>6020</v>
      </c>
      <c r="R4" s="1467" t="e">
        <f>C41</f>
        <v>#DIV/0!</v>
      </c>
    </row>
    <row r="5" spans="17:18" x14ac:dyDescent="0.35">
      <c r="Q5" s="1468" t="s">
        <v>6021</v>
      </c>
      <c r="R5" s="1467" t="e">
        <f>C38</f>
        <v>#DIV/0!</v>
      </c>
    </row>
    <row r="6" spans="17:18" x14ac:dyDescent="0.35">
      <c r="Q6" s="1468" t="s">
        <v>6022</v>
      </c>
      <c r="R6" s="1467" t="e">
        <f>C39</f>
        <v>#DIV/0!</v>
      </c>
    </row>
    <row r="7" spans="17:18" x14ac:dyDescent="0.35">
      <c r="Q7" s="1468" t="s">
        <v>6023</v>
      </c>
      <c r="R7" s="1467" t="e">
        <f>C40</f>
        <v>#DIV/0!</v>
      </c>
    </row>
    <row r="8" spans="17:18" x14ac:dyDescent="0.35">
      <c r="Q8" s="1469" t="s">
        <v>6024</v>
      </c>
      <c r="R8" s="1465" t="e">
        <f>M41</f>
        <v>#DIV/0!</v>
      </c>
    </row>
    <row r="9" spans="17:18" x14ac:dyDescent="0.35">
      <c r="Q9" s="1468" t="s">
        <v>6025</v>
      </c>
      <c r="R9" s="1467" t="e">
        <f>M38</f>
        <v>#DIV/0!</v>
      </c>
    </row>
    <row r="10" spans="17:18" x14ac:dyDescent="0.35">
      <c r="Q10" s="1468" t="s">
        <v>6026</v>
      </c>
      <c r="R10" s="1467" t="e">
        <f>M39</f>
        <v>#DIV/0!</v>
      </c>
    </row>
    <row r="11" spans="17:18" x14ac:dyDescent="0.35">
      <c r="Q11" s="1468" t="s">
        <v>6027</v>
      </c>
      <c r="R11" s="1467" t="e">
        <f>M40</f>
        <v>#DIV/0!</v>
      </c>
    </row>
    <row r="12" spans="17:18" ht="16.5" customHeight="1" x14ac:dyDescent="0.35">
      <c r="Q12" s="958" t="s">
        <v>6028</v>
      </c>
      <c r="R12" s="1465" t="e">
        <f>C50</f>
        <v>#DIV/0!</v>
      </c>
    </row>
    <row r="13" spans="17:18" x14ac:dyDescent="0.35">
      <c r="Q13" s="1466" t="s">
        <v>6029</v>
      </c>
      <c r="R13" s="1467" t="e">
        <f>C49</f>
        <v>#DIV/0!</v>
      </c>
    </row>
    <row r="14" spans="17:18" x14ac:dyDescent="0.35">
      <c r="Q14" s="1468" t="s">
        <v>6030</v>
      </c>
      <c r="R14" s="1467" t="e">
        <f>C46</f>
        <v>#DIV/0!</v>
      </c>
    </row>
    <row r="15" spans="17:18" x14ac:dyDescent="0.35">
      <c r="Q15" s="1468" t="s">
        <v>6031</v>
      </c>
      <c r="R15" s="1467" t="e">
        <f>C47</f>
        <v>#DIV/0!</v>
      </c>
    </row>
    <row r="16" spans="17:18" x14ac:dyDescent="0.35">
      <c r="Q16" s="1468" t="s">
        <v>6032</v>
      </c>
      <c r="R16" s="1467" t="e">
        <f>C48</f>
        <v>#DIV/0!</v>
      </c>
    </row>
    <row r="17" spans="17:18" x14ac:dyDescent="0.35">
      <c r="Q17" s="1469" t="s">
        <v>6033</v>
      </c>
      <c r="R17" s="1465" t="e">
        <f>M49</f>
        <v>#DIV/0!</v>
      </c>
    </row>
    <row r="18" spans="17:18" x14ac:dyDescent="0.35">
      <c r="Q18" s="1468" t="s">
        <v>6034</v>
      </c>
      <c r="R18" s="1467" t="e">
        <f>M46</f>
        <v>#DIV/0!</v>
      </c>
    </row>
    <row r="19" spans="17:18" x14ac:dyDescent="0.35">
      <c r="Q19" s="1468" t="s">
        <v>6035</v>
      </c>
      <c r="R19" s="1467" t="e">
        <f>M47</f>
        <v>#DIV/0!</v>
      </c>
    </row>
    <row r="20" spans="17:18" x14ac:dyDescent="0.35">
      <c r="Q20" s="1470" t="s">
        <v>6036</v>
      </c>
      <c r="R20" s="1471" t="e">
        <f>M48</f>
        <v>#DIV/0!</v>
      </c>
    </row>
    <row r="21" spans="17:18" x14ac:dyDescent="0.35">
      <c r="Q21" s="1469" t="s">
        <v>6037</v>
      </c>
      <c r="R21" s="1472" t="e">
        <f>N41</f>
        <v>#DIV/0!</v>
      </c>
    </row>
    <row r="22" spans="17:18" x14ac:dyDescent="0.35">
      <c r="Q22" s="1469" t="s">
        <v>6038</v>
      </c>
      <c r="R22" s="1472" t="e">
        <f>N49</f>
        <v>#DIV/0!</v>
      </c>
    </row>
    <row r="23" spans="17:18" x14ac:dyDescent="0.35">
      <c r="Q23" s="1464" t="s">
        <v>6039</v>
      </c>
      <c r="R23" s="1423" t="s">
        <v>6040</v>
      </c>
    </row>
    <row r="24" spans="17:18" x14ac:dyDescent="0.35">
      <c r="Q24" s="1468">
        <v>2020</v>
      </c>
      <c r="R24" s="1276">
        <f>C53</f>
        <v>0</v>
      </c>
    </row>
    <row r="25" spans="17:18" x14ac:dyDescent="0.35">
      <c r="Q25" s="1468">
        <v>2021</v>
      </c>
      <c r="R25" s="1276">
        <f>D53</f>
        <v>0</v>
      </c>
    </row>
    <row r="26" spans="17:18" x14ac:dyDescent="0.35">
      <c r="Q26" s="1468">
        <v>2022</v>
      </c>
      <c r="R26" s="1276">
        <f>E53</f>
        <v>0</v>
      </c>
    </row>
    <row r="27" spans="17:18" x14ac:dyDescent="0.35">
      <c r="Q27" s="1468">
        <v>2023</v>
      </c>
      <c r="R27" s="1276">
        <f>F53</f>
        <v>0</v>
      </c>
    </row>
    <row r="28" spans="17:18" x14ac:dyDescent="0.35">
      <c r="Q28" s="1468">
        <v>2024</v>
      </c>
      <c r="R28" s="1276">
        <f>G53</f>
        <v>0</v>
      </c>
    </row>
    <row r="29" spans="17:18" x14ac:dyDescent="0.35">
      <c r="Q29" s="1468">
        <v>2025</v>
      </c>
      <c r="R29" s="1276">
        <f>H53</f>
        <v>0</v>
      </c>
    </row>
    <row r="30" spans="17:18" x14ac:dyDescent="0.35">
      <c r="Q30" s="1468">
        <v>2026</v>
      </c>
      <c r="R30" s="1276">
        <f>I53</f>
        <v>0</v>
      </c>
    </row>
    <row r="31" spans="17:18" x14ac:dyDescent="0.35">
      <c r="Q31" s="1468">
        <v>2027</v>
      </c>
      <c r="R31" s="1276">
        <f>J53</f>
        <v>0</v>
      </c>
    </row>
    <row r="32" spans="17:18" x14ac:dyDescent="0.35">
      <c r="Q32" s="1468">
        <v>2028</v>
      </c>
      <c r="R32" s="1276">
        <f>K53</f>
        <v>0</v>
      </c>
    </row>
    <row r="33" spans="2:18" x14ac:dyDescent="0.35">
      <c r="Q33" s="1468">
        <v>2029</v>
      </c>
      <c r="R33" s="1276">
        <f>L53</f>
        <v>0</v>
      </c>
    </row>
    <row r="34" spans="2:18" x14ac:dyDescent="0.35">
      <c r="Q34" s="1468">
        <v>2030</v>
      </c>
      <c r="R34" s="1276" t="e">
        <f>M53</f>
        <v>#DIV/0!</v>
      </c>
    </row>
    <row r="35" spans="2:18" x14ac:dyDescent="0.35">
      <c r="Q35" s="409" t="s">
        <v>6041</v>
      </c>
      <c r="R35" s="413" t="e">
        <f>SUM(R24:R34)</f>
        <v>#DIV/0!</v>
      </c>
    </row>
    <row r="36" spans="2:18" x14ac:dyDescent="0.35">
      <c r="B36" s="958" t="str">
        <f>'THG_Ergebnis 1'!C4</f>
        <v>Planungsphase</v>
      </c>
      <c r="C36" s="1765" t="s">
        <v>6042</v>
      </c>
      <c r="D36" s="1765"/>
      <c r="E36" s="1765"/>
      <c r="F36" s="1765"/>
      <c r="G36" s="1765"/>
      <c r="H36" s="1765"/>
      <c r="I36" s="1765"/>
      <c r="J36" s="1765"/>
      <c r="K36" s="1765"/>
      <c r="L36" s="1765"/>
      <c r="M36" s="1765"/>
      <c r="Q36" s="1464" t="s">
        <v>6039</v>
      </c>
      <c r="R36" s="1423" t="s">
        <v>6043</v>
      </c>
    </row>
    <row r="37" spans="2:18" x14ac:dyDescent="0.35">
      <c r="B37" s="958" t="s">
        <v>5887</v>
      </c>
      <c r="C37" s="410">
        <v>2020</v>
      </c>
      <c r="D37" s="410">
        <v>2021</v>
      </c>
      <c r="E37" s="410">
        <v>2022</v>
      </c>
      <c r="F37" s="410">
        <v>2023</v>
      </c>
      <c r="G37" s="410">
        <v>2024</v>
      </c>
      <c r="H37" s="410">
        <v>2025</v>
      </c>
      <c r="I37" s="410">
        <v>2026</v>
      </c>
      <c r="J37" s="410">
        <v>2027</v>
      </c>
      <c r="K37" s="410">
        <v>2028</v>
      </c>
      <c r="L37" s="410">
        <v>2029</v>
      </c>
      <c r="M37" s="410">
        <v>2030</v>
      </c>
      <c r="O37" s="175" t="s">
        <v>6044</v>
      </c>
      <c r="Q37" s="1468">
        <v>2020</v>
      </c>
      <c r="R37" s="1276">
        <f>C54</f>
        <v>0</v>
      </c>
    </row>
    <row r="38" spans="2:18" x14ac:dyDescent="0.35">
      <c r="B38" s="704" t="s">
        <v>5975</v>
      </c>
      <c r="C38" s="1276" t="e">
        <f>'THG_Ergebnis 1'!E23*'THG_Ergebnis 1'!$G$15</f>
        <v>#DIV/0!</v>
      </c>
      <c r="D38" s="1276" t="e">
        <f t="shared" ref="D38:L41" si="0">C38-($C38-$M38)/10</f>
        <v>#DIV/0!</v>
      </c>
      <c r="E38" s="1276" t="e">
        <f t="shared" si="0"/>
        <v>#DIV/0!</v>
      </c>
      <c r="F38" s="1276" t="e">
        <f t="shared" si="0"/>
        <v>#DIV/0!</v>
      </c>
      <c r="G38" s="1276" t="e">
        <f t="shared" si="0"/>
        <v>#DIV/0!</v>
      </c>
      <c r="H38" s="1276" t="e">
        <f t="shared" si="0"/>
        <v>#DIV/0!</v>
      </c>
      <c r="I38" s="1276" t="e">
        <f t="shared" si="0"/>
        <v>#DIV/0!</v>
      </c>
      <c r="J38" s="1276" t="e">
        <f t="shared" si="0"/>
        <v>#DIV/0!</v>
      </c>
      <c r="K38" s="1276" t="e">
        <f t="shared" si="0"/>
        <v>#DIV/0!</v>
      </c>
      <c r="L38" s="1276" t="e">
        <f t="shared" si="0"/>
        <v>#DIV/0!</v>
      </c>
      <c r="M38" s="1276" t="e">
        <f>'THG_Ergebnis 1'!F23*'THG_Ergebnis 1'!$G$15</f>
        <v>#DIV/0!</v>
      </c>
      <c r="O38" s="1597" t="e">
        <f>THG_Varianten!C8</f>
        <v>#DIV/0!</v>
      </c>
      <c r="Q38" s="1468">
        <v>2021</v>
      </c>
      <c r="R38" s="1276">
        <f>D54</f>
        <v>0</v>
      </c>
    </row>
    <row r="39" spans="2:18" x14ac:dyDescent="0.35">
      <c r="B39" s="704" t="s">
        <v>5976</v>
      </c>
      <c r="C39" s="1276" t="e">
        <f>'THG_Ergebnis 1'!E24*'THG_Ergebnis 1'!$G$15</f>
        <v>#DIV/0!</v>
      </c>
      <c r="D39" s="1276" t="e">
        <f t="shared" si="0"/>
        <v>#DIV/0!</v>
      </c>
      <c r="E39" s="1276" t="e">
        <f t="shared" si="0"/>
        <v>#DIV/0!</v>
      </c>
      <c r="F39" s="1276" t="e">
        <f t="shared" si="0"/>
        <v>#DIV/0!</v>
      </c>
      <c r="G39" s="1276" t="e">
        <f t="shared" si="0"/>
        <v>#DIV/0!</v>
      </c>
      <c r="H39" s="1276" t="e">
        <f t="shared" si="0"/>
        <v>#DIV/0!</v>
      </c>
      <c r="I39" s="1276" t="e">
        <f t="shared" si="0"/>
        <v>#DIV/0!</v>
      </c>
      <c r="J39" s="1276" t="e">
        <f t="shared" si="0"/>
        <v>#DIV/0!</v>
      </c>
      <c r="K39" s="1276" t="e">
        <f t="shared" si="0"/>
        <v>#DIV/0!</v>
      </c>
      <c r="L39" s="1276" t="e">
        <f t="shared" si="0"/>
        <v>#DIV/0!</v>
      </c>
      <c r="M39" s="1276" t="e">
        <f>'THG_Ergebnis 1'!F24*'THG_Ergebnis 1'!$G$15</f>
        <v>#DIV/0!</v>
      </c>
      <c r="O39" s="1597" t="e">
        <f>THG_Varianten!C9</f>
        <v>#DIV/0!</v>
      </c>
      <c r="Q39" s="1468">
        <v>2022</v>
      </c>
      <c r="R39" s="1276">
        <f>E54</f>
        <v>0</v>
      </c>
    </row>
    <row r="40" spans="2:18" ht="15" thickBot="1" x14ac:dyDescent="0.4">
      <c r="B40" s="704" t="s">
        <v>6004</v>
      </c>
      <c r="C40" s="1276" t="e">
        <f>'THG_Ergebnis 1'!E25*'THG_Ergebnis 1'!$G$15</f>
        <v>#DIV/0!</v>
      </c>
      <c r="D40" s="1276" t="e">
        <f t="shared" si="0"/>
        <v>#DIV/0!</v>
      </c>
      <c r="E40" s="1276" t="e">
        <f t="shared" si="0"/>
        <v>#DIV/0!</v>
      </c>
      <c r="F40" s="1276" t="e">
        <f t="shared" si="0"/>
        <v>#DIV/0!</v>
      </c>
      <c r="G40" s="1276" t="e">
        <f t="shared" si="0"/>
        <v>#DIV/0!</v>
      </c>
      <c r="H40" s="1276" t="e">
        <f t="shared" si="0"/>
        <v>#DIV/0!</v>
      </c>
      <c r="I40" s="1276" t="e">
        <f t="shared" si="0"/>
        <v>#DIV/0!</v>
      </c>
      <c r="J40" s="1276" t="e">
        <f t="shared" si="0"/>
        <v>#DIV/0!</v>
      </c>
      <c r="K40" s="1276" t="e">
        <f t="shared" si="0"/>
        <v>#DIV/0!</v>
      </c>
      <c r="L40" s="1276" t="e">
        <f t="shared" si="0"/>
        <v>#DIV/0!</v>
      </c>
      <c r="M40" s="1276" t="e">
        <f>'THG_Ergebnis 1'!F25*'THG_Ergebnis 1'!$G$15</f>
        <v>#DIV/0!</v>
      </c>
      <c r="O40" s="1597" t="e">
        <f>THG_Varianten!C10</f>
        <v>#DIV/0!</v>
      </c>
      <c r="Q40" s="1468">
        <v>2023</v>
      </c>
      <c r="R40" s="1276">
        <f>F54</f>
        <v>0</v>
      </c>
    </row>
    <row r="41" spans="2:18" ht="21.5" thickBot="1" x14ac:dyDescent="0.4">
      <c r="B41" s="409" t="s">
        <v>6045</v>
      </c>
      <c r="C41" s="413" t="e">
        <f t="shared" ref="C41:M41" si="1">SUM(C38:C40)</f>
        <v>#DIV/0!</v>
      </c>
      <c r="D41" s="413" t="e">
        <f t="shared" si="0"/>
        <v>#DIV/0!</v>
      </c>
      <c r="E41" s="413" t="e">
        <f t="shared" si="0"/>
        <v>#DIV/0!</v>
      </c>
      <c r="F41" s="413" t="e">
        <f t="shared" si="0"/>
        <v>#DIV/0!</v>
      </c>
      <c r="G41" s="413" t="e">
        <f t="shared" si="0"/>
        <v>#DIV/0!</v>
      </c>
      <c r="H41" s="413" t="e">
        <f t="shared" si="0"/>
        <v>#DIV/0!</v>
      </c>
      <c r="I41" s="413" t="e">
        <f t="shared" si="0"/>
        <v>#DIV/0!</v>
      </c>
      <c r="J41" s="413" t="e">
        <f t="shared" si="0"/>
        <v>#DIV/0!</v>
      </c>
      <c r="K41" s="413" t="e">
        <f t="shared" si="0"/>
        <v>#DIV/0!</v>
      </c>
      <c r="L41" s="413" t="e">
        <f t="shared" si="0"/>
        <v>#DIV/0!</v>
      </c>
      <c r="M41" s="1473" t="e">
        <f t="shared" si="1"/>
        <v>#DIV/0!</v>
      </c>
      <c r="N41" s="1598" t="e">
        <f>M41/M42-1</f>
        <v>#DIV/0!</v>
      </c>
      <c r="O41" s="1600" t="e">
        <f>THG_Varianten!C11</f>
        <v>#DIV/0!</v>
      </c>
      <c r="Q41" s="1468">
        <v>2024</v>
      </c>
      <c r="R41" s="1276">
        <f>G54</f>
        <v>0</v>
      </c>
    </row>
    <row r="42" spans="2:18" x14ac:dyDescent="0.35">
      <c r="B42" s="409" t="s">
        <v>6046</v>
      </c>
      <c r="C42" s="413" t="e">
        <f>'THG_Ergebnis 1'!D21</f>
        <v>#DIV/0!</v>
      </c>
      <c r="D42" s="413" t="e">
        <f>C42</f>
        <v>#DIV/0!</v>
      </c>
      <c r="E42" s="413" t="e">
        <f t="shared" ref="E42:M42" si="2">D42</f>
        <v>#DIV/0!</v>
      </c>
      <c r="F42" s="413" t="e">
        <f t="shared" si="2"/>
        <v>#DIV/0!</v>
      </c>
      <c r="G42" s="413" t="e">
        <f t="shared" si="2"/>
        <v>#DIV/0!</v>
      </c>
      <c r="H42" s="413" t="e">
        <f t="shared" si="2"/>
        <v>#DIV/0!</v>
      </c>
      <c r="I42" s="413" t="e">
        <f t="shared" si="2"/>
        <v>#DIV/0!</v>
      </c>
      <c r="J42" s="413" t="e">
        <f t="shared" si="2"/>
        <v>#DIV/0!</v>
      </c>
      <c r="K42" s="413" t="e">
        <f t="shared" si="2"/>
        <v>#DIV/0!</v>
      </c>
      <c r="L42" s="413" t="e">
        <f t="shared" si="2"/>
        <v>#DIV/0!</v>
      </c>
      <c r="M42" s="413" t="e">
        <f t="shared" si="2"/>
        <v>#DIV/0!</v>
      </c>
      <c r="O42" s="1600" t="e">
        <f>THG_Varianten!C12</f>
        <v>#DIV/0!</v>
      </c>
      <c r="Q42" s="1468">
        <v>2025</v>
      </c>
      <c r="R42" s="1276">
        <f>H54</f>
        <v>0</v>
      </c>
    </row>
    <row r="43" spans="2:18" x14ac:dyDescent="0.35">
      <c r="C43" s="1279"/>
      <c r="D43" s="1279"/>
      <c r="E43" s="1279"/>
      <c r="F43" s="1279"/>
      <c r="G43" s="1279"/>
      <c r="H43" s="1279"/>
      <c r="I43" s="1279"/>
      <c r="J43" s="1279"/>
      <c r="K43" s="1279"/>
      <c r="L43" s="1279"/>
      <c r="M43" s="1474"/>
      <c r="Q43" s="1468">
        <v>2026</v>
      </c>
      <c r="R43" s="1276">
        <f>I54</f>
        <v>0</v>
      </c>
    </row>
    <row r="44" spans="2:18" x14ac:dyDescent="0.35">
      <c r="B44" s="958" t="str">
        <f>B36</f>
        <v>Planungsphase</v>
      </c>
      <c r="C44" s="1765" t="s">
        <v>6047</v>
      </c>
      <c r="D44" s="1765"/>
      <c r="E44" s="1765"/>
      <c r="F44" s="1765"/>
      <c r="G44" s="1765"/>
      <c r="H44" s="1765"/>
      <c r="I44" s="1765"/>
      <c r="J44" s="1765"/>
      <c r="K44" s="1765"/>
      <c r="L44" s="1765"/>
      <c r="M44" s="1765"/>
      <c r="Q44" s="1468">
        <v>2027</v>
      </c>
      <c r="R44" s="1276">
        <f>J54</f>
        <v>0</v>
      </c>
    </row>
    <row r="45" spans="2:18" x14ac:dyDescent="0.35">
      <c r="B45" s="958" t="s">
        <v>6043</v>
      </c>
      <c r="C45" s="410">
        <v>2020</v>
      </c>
      <c r="D45" s="410">
        <v>2021</v>
      </c>
      <c r="E45" s="410">
        <v>2022</v>
      </c>
      <c r="F45" s="410">
        <v>2023</v>
      </c>
      <c r="G45" s="410">
        <v>2024</v>
      </c>
      <c r="H45" s="410">
        <v>2025</v>
      </c>
      <c r="I45" s="410">
        <v>2026</v>
      </c>
      <c r="J45" s="410">
        <v>2027</v>
      </c>
      <c r="K45" s="410">
        <v>2028</v>
      </c>
      <c r="L45" s="410">
        <v>2029</v>
      </c>
      <c r="M45" s="410">
        <v>2030</v>
      </c>
      <c r="O45" s="175" t="s">
        <v>6044</v>
      </c>
      <c r="Q45" s="1468">
        <v>2028</v>
      </c>
      <c r="R45" s="1276">
        <f>K54</f>
        <v>0</v>
      </c>
    </row>
    <row r="46" spans="2:18" x14ac:dyDescent="0.35">
      <c r="B46" s="704" t="s">
        <v>5975</v>
      </c>
      <c r="C46" s="1276" t="e">
        <f>'THG_Ergebnis 1'!E34*'THG_Ergebnis 1'!$G$15*1000/8760</f>
        <v>#DIV/0!</v>
      </c>
      <c r="D46" s="1276" t="e">
        <f t="shared" ref="D46:L49" si="3">C46-($C46-$M46)/10</f>
        <v>#DIV/0!</v>
      </c>
      <c r="E46" s="1276" t="e">
        <f t="shared" si="3"/>
        <v>#DIV/0!</v>
      </c>
      <c r="F46" s="1276" t="e">
        <f t="shared" si="3"/>
        <v>#DIV/0!</v>
      </c>
      <c r="G46" s="1276" t="e">
        <f t="shared" si="3"/>
        <v>#DIV/0!</v>
      </c>
      <c r="H46" s="1276" t="e">
        <f t="shared" si="3"/>
        <v>#DIV/0!</v>
      </c>
      <c r="I46" s="1276" t="e">
        <f t="shared" si="3"/>
        <v>#DIV/0!</v>
      </c>
      <c r="J46" s="1276" t="e">
        <f t="shared" si="3"/>
        <v>#DIV/0!</v>
      </c>
      <c r="K46" s="1276" t="e">
        <f t="shared" si="3"/>
        <v>#DIV/0!</v>
      </c>
      <c r="L46" s="1276" t="e">
        <f t="shared" si="3"/>
        <v>#DIV/0!</v>
      </c>
      <c r="M46" s="1276" t="e">
        <f>'THG_Ergebnis 1'!F34*'THG_Ergebnis 1'!$G$15*1000/8760</f>
        <v>#DIV/0!</v>
      </c>
      <c r="O46" s="1597" t="e">
        <f>THG_Varianten!C16</f>
        <v>#DIV/0!</v>
      </c>
      <c r="Q46" s="1468">
        <v>2029</v>
      </c>
      <c r="R46" s="1276">
        <f>L54</f>
        <v>0</v>
      </c>
    </row>
    <row r="47" spans="2:18" x14ac:dyDescent="0.35">
      <c r="B47" s="704" t="s">
        <v>5976</v>
      </c>
      <c r="C47" s="1276" t="e">
        <f>'THG_Ergebnis 1'!E35*'THG_Ergebnis 1'!$G$15*1000/8760</f>
        <v>#DIV/0!</v>
      </c>
      <c r="D47" s="1276" t="e">
        <f t="shared" si="3"/>
        <v>#DIV/0!</v>
      </c>
      <c r="E47" s="1276" t="e">
        <f t="shared" si="3"/>
        <v>#DIV/0!</v>
      </c>
      <c r="F47" s="1276" t="e">
        <f t="shared" si="3"/>
        <v>#DIV/0!</v>
      </c>
      <c r="G47" s="1276" t="e">
        <f t="shared" si="3"/>
        <v>#DIV/0!</v>
      </c>
      <c r="H47" s="1276" t="e">
        <f t="shared" si="3"/>
        <v>#DIV/0!</v>
      </c>
      <c r="I47" s="1276" t="e">
        <f t="shared" si="3"/>
        <v>#DIV/0!</v>
      </c>
      <c r="J47" s="1276" t="e">
        <f t="shared" si="3"/>
        <v>#DIV/0!</v>
      </c>
      <c r="K47" s="1276" t="e">
        <f t="shared" si="3"/>
        <v>#DIV/0!</v>
      </c>
      <c r="L47" s="1276" t="e">
        <f t="shared" si="3"/>
        <v>#DIV/0!</v>
      </c>
      <c r="M47" s="1276" t="e">
        <f>'THG_Ergebnis 1'!F35*'THG_Ergebnis 1'!$G$15*1000/8760</f>
        <v>#DIV/0!</v>
      </c>
      <c r="O47" s="1597" t="e">
        <f>THG_Varianten!C17</f>
        <v>#DIV/0!</v>
      </c>
      <c r="Q47" s="1468">
        <v>2030</v>
      </c>
      <c r="R47" s="1276" t="e">
        <f>M54</f>
        <v>#DIV/0!</v>
      </c>
    </row>
    <row r="48" spans="2:18" ht="15" thickBot="1" x14ac:dyDescent="0.4">
      <c r="B48" s="704" t="s">
        <v>6004</v>
      </c>
      <c r="C48" s="1276" t="e">
        <f>'THG_Ergebnis 1'!E36*'THG_Ergebnis 1'!$G$15*1000/8760</f>
        <v>#DIV/0!</v>
      </c>
      <c r="D48" s="1276" t="e">
        <f t="shared" si="3"/>
        <v>#DIV/0!</v>
      </c>
      <c r="E48" s="1276" t="e">
        <f t="shared" si="3"/>
        <v>#DIV/0!</v>
      </c>
      <c r="F48" s="1276" t="e">
        <f t="shared" si="3"/>
        <v>#DIV/0!</v>
      </c>
      <c r="G48" s="1276" t="e">
        <f t="shared" si="3"/>
        <v>#DIV/0!</v>
      </c>
      <c r="H48" s="1276" t="e">
        <f t="shared" si="3"/>
        <v>#DIV/0!</v>
      </c>
      <c r="I48" s="1276" t="e">
        <f t="shared" si="3"/>
        <v>#DIV/0!</v>
      </c>
      <c r="J48" s="1276" t="e">
        <f t="shared" si="3"/>
        <v>#DIV/0!</v>
      </c>
      <c r="K48" s="1276" t="e">
        <f t="shared" si="3"/>
        <v>#DIV/0!</v>
      </c>
      <c r="L48" s="1276" t="e">
        <f t="shared" si="3"/>
        <v>#DIV/0!</v>
      </c>
      <c r="M48" s="1276" t="e">
        <f>'THG_Ergebnis 1'!F36*'THG_Ergebnis 1'!$G$15*1000/8760</f>
        <v>#DIV/0!</v>
      </c>
      <c r="O48" s="1597" t="e">
        <f>THG_Varianten!C18</f>
        <v>#DIV/0!</v>
      </c>
      <c r="Q48" s="409" t="s">
        <v>6048</v>
      </c>
      <c r="R48" s="413" t="e">
        <f>SUM(R37:R47)</f>
        <v>#DIV/0!</v>
      </c>
    </row>
    <row r="49" spans="2:15" ht="21.5" thickBot="1" x14ac:dyDescent="0.4">
      <c r="B49" s="409" t="s">
        <v>6045</v>
      </c>
      <c r="C49" s="413" t="e">
        <f t="shared" ref="C49:M49" si="4">SUM(C46:C48)</f>
        <v>#DIV/0!</v>
      </c>
      <c r="D49" s="413" t="e">
        <f t="shared" si="3"/>
        <v>#DIV/0!</v>
      </c>
      <c r="E49" s="413" t="e">
        <f t="shared" si="3"/>
        <v>#DIV/0!</v>
      </c>
      <c r="F49" s="413" t="e">
        <f t="shared" si="3"/>
        <v>#DIV/0!</v>
      </c>
      <c r="G49" s="413" t="e">
        <f t="shared" si="3"/>
        <v>#DIV/0!</v>
      </c>
      <c r="H49" s="413" t="e">
        <f t="shared" si="3"/>
        <v>#DIV/0!</v>
      </c>
      <c r="I49" s="413" t="e">
        <f t="shared" si="3"/>
        <v>#DIV/0!</v>
      </c>
      <c r="J49" s="413" t="e">
        <f t="shared" si="3"/>
        <v>#DIV/0!</v>
      </c>
      <c r="K49" s="413" t="e">
        <f t="shared" si="3"/>
        <v>#DIV/0!</v>
      </c>
      <c r="L49" s="413" t="e">
        <f t="shared" si="3"/>
        <v>#DIV/0!</v>
      </c>
      <c r="M49" s="413" t="e">
        <f t="shared" si="4"/>
        <v>#DIV/0!</v>
      </c>
      <c r="N49" s="1598" t="e">
        <f>M49/M50-1</f>
        <v>#DIV/0!</v>
      </c>
      <c r="O49" s="1600" t="e">
        <f>THG_Varianten!C19</f>
        <v>#DIV/0!</v>
      </c>
    </row>
    <row r="50" spans="2:15" x14ac:dyDescent="0.35">
      <c r="B50" s="409" t="s">
        <v>6046</v>
      </c>
      <c r="C50" s="413" t="e">
        <f>'THG_Ergebnis 1'!D32</f>
        <v>#DIV/0!</v>
      </c>
      <c r="D50" s="413" t="e">
        <f>C50</f>
        <v>#DIV/0!</v>
      </c>
      <c r="E50" s="413" t="e">
        <f t="shared" ref="E50:M50" si="5">D50</f>
        <v>#DIV/0!</v>
      </c>
      <c r="F50" s="413" t="e">
        <f t="shared" si="5"/>
        <v>#DIV/0!</v>
      </c>
      <c r="G50" s="413" t="e">
        <f t="shared" si="5"/>
        <v>#DIV/0!</v>
      </c>
      <c r="H50" s="413" t="e">
        <f t="shared" si="5"/>
        <v>#DIV/0!</v>
      </c>
      <c r="I50" s="413" t="e">
        <f t="shared" si="5"/>
        <v>#DIV/0!</v>
      </c>
      <c r="J50" s="413" t="e">
        <f t="shared" si="5"/>
        <v>#DIV/0!</v>
      </c>
      <c r="K50" s="413" t="e">
        <f t="shared" si="5"/>
        <v>#DIV/0!</v>
      </c>
      <c r="L50" s="413" t="e">
        <f t="shared" si="5"/>
        <v>#DIV/0!</v>
      </c>
      <c r="M50" s="413" t="e">
        <f t="shared" si="5"/>
        <v>#DIV/0!</v>
      </c>
      <c r="O50" s="1043" t="e">
        <f>THG_Varianten!C20</f>
        <v>#DIV/0!</v>
      </c>
    </row>
    <row r="51" spans="2:15" x14ac:dyDescent="0.35">
      <c r="O51" s="1121"/>
    </row>
    <row r="52" spans="2:15" x14ac:dyDescent="0.35">
      <c r="B52" s="409" t="s">
        <v>4362</v>
      </c>
      <c r="C52" s="1475">
        <f>IF('THG_Ergebnis 1'!$C$5&lt;='THG_Ergebnis 2'!C37,1,0)</f>
        <v>0</v>
      </c>
      <c r="D52" s="1475">
        <f>IF('THG_Ergebnis 1'!$C$5&lt;='THG_Ergebnis 2'!D37,1,0)</f>
        <v>0</v>
      </c>
      <c r="E52" s="1475">
        <f>IF('THG_Ergebnis 1'!$C$5&lt;='THG_Ergebnis 2'!E37,1,0)</f>
        <v>0</v>
      </c>
      <c r="F52" s="1475">
        <f>IF('THG_Ergebnis 1'!$C$5&lt;='THG_Ergebnis 2'!F37,1,0)</f>
        <v>0</v>
      </c>
      <c r="G52" s="1475">
        <f>IF('THG_Ergebnis 1'!$C$5&lt;='THG_Ergebnis 2'!G37,1,0)</f>
        <v>0</v>
      </c>
      <c r="H52" s="1475">
        <f>IF('THG_Ergebnis 1'!$C$5&lt;='THG_Ergebnis 2'!H37,1,0)</f>
        <v>0</v>
      </c>
      <c r="I52" s="1475">
        <f>IF('THG_Ergebnis 1'!$C$5&lt;='THG_Ergebnis 2'!I37,1,0)</f>
        <v>0</v>
      </c>
      <c r="J52" s="1475">
        <f>IF('THG_Ergebnis 1'!$C$5&lt;='THG_Ergebnis 2'!J37,1,0)</f>
        <v>0</v>
      </c>
      <c r="K52" s="1475">
        <f>IF('THG_Ergebnis 1'!$C$5&lt;='THG_Ergebnis 2'!K37,1,0)</f>
        <v>0</v>
      </c>
      <c r="L52" s="1475">
        <f>IF('THG_Ergebnis 1'!$C$5&lt;='THG_Ergebnis 2'!L37,1,0)</f>
        <v>0</v>
      </c>
      <c r="M52" s="1475">
        <f>IF('THG_Ergebnis 1'!$C$5&lt;='THG_Ergebnis 2'!M37,1,0)</f>
        <v>1</v>
      </c>
    </row>
    <row r="53" spans="2:15" ht="29" x14ac:dyDescent="0.35">
      <c r="B53" s="758" t="s">
        <v>6049</v>
      </c>
      <c r="C53" s="1276">
        <f>IF(C52=1,(($O$41/'THG_Ergebnis 1'!$H$15*'THG_Ergebnis 1'!$C$15)-(C41/'THG_Ergebnis 1'!$G$15*'THG_Ergebnis 1'!$C$15))/1000,0)</f>
        <v>0</v>
      </c>
      <c r="D53" s="1276">
        <f>IF(D52=1,(($O$41/'THG_Ergebnis 1'!$H$15*'THG_Ergebnis 1'!$C$15)-(D41/'THG_Ergebnis 1'!$G$15*'THG_Ergebnis 1'!$C$15))/1000,0)</f>
        <v>0</v>
      </c>
      <c r="E53" s="1276">
        <f>IF(E52=1,(($O$41/'THG_Ergebnis 1'!$H$15*'THG_Ergebnis 1'!$C$15)-(E41/'THG_Ergebnis 1'!$G$15*'THG_Ergebnis 1'!$C$15))/1000,0)</f>
        <v>0</v>
      </c>
      <c r="F53" s="1276">
        <f>IF(F52=1,(($O$41/'THG_Ergebnis 1'!$H$15*'THG_Ergebnis 1'!$C$15)-(F41/'THG_Ergebnis 1'!$G$15*'THG_Ergebnis 1'!$C$15))/1000,0)</f>
        <v>0</v>
      </c>
      <c r="G53" s="1276">
        <f>IF(G52=1,(($O$41/'THG_Ergebnis 1'!$H$15*'THG_Ergebnis 1'!$C$15)-(G41/'THG_Ergebnis 1'!$G$15*'THG_Ergebnis 1'!$C$15))/1000,0)</f>
        <v>0</v>
      </c>
      <c r="H53" s="1276">
        <f>IF(H52=1,(($O$41/'THG_Ergebnis 1'!$H$15*'THG_Ergebnis 1'!$C$15)-(H41/'THG_Ergebnis 1'!$G$15*'THG_Ergebnis 1'!$C$15))/1000,0)</f>
        <v>0</v>
      </c>
      <c r="I53" s="1276">
        <f>IF(I52=1,(($O$41/'THG_Ergebnis 1'!$H$15*'THG_Ergebnis 1'!$C$15)-(I41/'THG_Ergebnis 1'!$G$15*'THG_Ergebnis 1'!$C$15))/1000,0)</f>
        <v>0</v>
      </c>
      <c r="J53" s="1276">
        <f>IF(J52=1,(($O$41/'THG_Ergebnis 1'!$H$15*'THG_Ergebnis 1'!$C$15)-(J41/'THG_Ergebnis 1'!$G$15*'THG_Ergebnis 1'!$C$15))/1000,0)</f>
        <v>0</v>
      </c>
      <c r="K53" s="1276">
        <f>IF(K52=1,(($O$41/'THG_Ergebnis 1'!$H$15*'THG_Ergebnis 1'!$C$15)-(K41/'THG_Ergebnis 1'!$G$15*'THG_Ergebnis 1'!$C$15))/1000,0)</f>
        <v>0</v>
      </c>
      <c r="L53" s="1276">
        <f>IF(L52=1,(($O$41/'THG_Ergebnis 1'!$H$15*'THG_Ergebnis 1'!$C$15)-(L41/'THG_Ergebnis 1'!$G$15*'THG_Ergebnis 1'!$C$15))/1000,0)</f>
        <v>0</v>
      </c>
      <c r="M53" s="1276" t="e">
        <f>IF(M52=1,(($O$41/'THG_Ergebnis 1'!$H$15*'THG_Ergebnis 1'!$C$15)-(M41/'THG_Ergebnis 1'!$G$15*'THG_Ergebnis 1'!$C$15))/1000,0)</f>
        <v>#DIV/0!</v>
      </c>
    </row>
    <row r="54" spans="2:15" ht="29" x14ac:dyDescent="0.35">
      <c r="B54" s="758" t="s">
        <v>6050</v>
      </c>
      <c r="C54" s="1276">
        <f>IF(C52=1,(($O$49/'THG_Ergebnis 1'!$H$15*'THG_Ergebnis 1'!$C$15)-(C49/'THG_Ergebnis 1'!$G$15*'THG_Ergebnis 1'!$C$15))*8760/1000000,0)</f>
        <v>0</v>
      </c>
      <c r="D54" s="1276">
        <f>IF(D52=1,(($O$49/'THG_Ergebnis 1'!$H$15*'THG_Ergebnis 1'!$C$15)-(D49/'THG_Ergebnis 1'!$G$15*'THG_Ergebnis 1'!$C$15))*8760/1000000,0)</f>
        <v>0</v>
      </c>
      <c r="E54" s="1276">
        <f>IF(E52=1,(($O$49/'THG_Ergebnis 1'!$H$15*'THG_Ergebnis 1'!$C$15)-(E49/'THG_Ergebnis 1'!$G$15*'THG_Ergebnis 1'!$C$15))*8760/1000000,0)</f>
        <v>0</v>
      </c>
      <c r="F54" s="1276">
        <f>IF(F52=1,(($O$49/'THG_Ergebnis 1'!$H$15*'THG_Ergebnis 1'!$C$15)-(F49/'THG_Ergebnis 1'!$G$15*'THG_Ergebnis 1'!$C$15))*8760/1000000,0)</f>
        <v>0</v>
      </c>
      <c r="G54" s="1276">
        <f>IF(G52=1,(($O$49/'THG_Ergebnis 1'!$H$15*'THG_Ergebnis 1'!$C$15)-(G49/'THG_Ergebnis 1'!$G$15*'THG_Ergebnis 1'!$C$15))*8760/1000000,0)</f>
        <v>0</v>
      </c>
      <c r="H54" s="1276">
        <f>IF(H52=1,(($O$49/'THG_Ergebnis 1'!$H$15*'THG_Ergebnis 1'!$C$15)-(H49/'THG_Ergebnis 1'!$G$15*'THG_Ergebnis 1'!$C$15))*8760/1000000,0)</f>
        <v>0</v>
      </c>
      <c r="I54" s="1276">
        <f>IF(I52=1,(($O$49/'THG_Ergebnis 1'!$H$15*'THG_Ergebnis 1'!$C$15)-(I49/'THG_Ergebnis 1'!$G$15*'THG_Ergebnis 1'!$C$15))*8760/1000000,0)</f>
        <v>0</v>
      </c>
      <c r="J54" s="1276">
        <f>IF(J52=1,(($O$49/'THG_Ergebnis 1'!$H$15*'THG_Ergebnis 1'!$C$15)-(J49/'THG_Ergebnis 1'!$G$15*'THG_Ergebnis 1'!$C$15))*8760/1000000,0)</f>
        <v>0</v>
      </c>
      <c r="K54" s="1276">
        <f>IF(K52=1,(($O$49/'THG_Ergebnis 1'!$H$15*'THG_Ergebnis 1'!$C$15)-(K49/'THG_Ergebnis 1'!$G$15*'THG_Ergebnis 1'!$C$15))*8760/1000000,0)</f>
        <v>0</v>
      </c>
      <c r="L54" s="1276">
        <f>IF(L52=1,(($O$49/'THG_Ergebnis 1'!$H$15*'THG_Ergebnis 1'!$C$15)-(L49/'THG_Ergebnis 1'!$G$15*'THG_Ergebnis 1'!$C$15))*8760/1000000,0)</f>
        <v>0</v>
      </c>
      <c r="M54" s="1276" t="e">
        <f>IF(M52=1,(($O$49/'THG_Ergebnis 1'!$H$15*'THG_Ergebnis 1'!$C$15)-(M49/'THG_Ergebnis 1'!$G$15*'THG_Ergebnis 1'!$C$15))*8760/1000000,0)</f>
        <v>#DIV/0!</v>
      </c>
    </row>
  </sheetData>
  <mergeCells count="2">
    <mergeCell ref="C36:M36"/>
    <mergeCell ref="C44:M44"/>
  </mergeCell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 operator="equal" id="{224046B6-B473-4AAE-AAAF-F5371700D67D}">
            <xm:f>'THG_Ergebnis 1'!$C$5</xm:f>
            <x14:dxf>
              <fill>
                <patternFill>
                  <bgColor rgb="FF00B050"/>
                </patternFill>
              </fill>
            </x14:dxf>
          </x14:cfRule>
          <xm:sqref>C37:M37</xm:sqref>
        </x14:conditionalFormatting>
        <x14:conditionalFormatting xmlns:xm="http://schemas.microsoft.com/office/excel/2006/main">
          <x14:cfRule type="cellIs" priority="1" operator="equal" id="{D0A085DF-B12F-4F36-9C04-629933422FFC}">
            <xm:f>'THG_Ergebnis 1'!$C$5</xm:f>
            <x14:dxf>
              <fill>
                <patternFill>
                  <bgColor rgb="FF00B050"/>
                </patternFill>
              </fill>
            </x14:dxf>
          </x14:cfRule>
          <xm:sqref>C45:M45</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J86"/>
  <sheetViews>
    <sheetView zoomScaleNormal="100" workbookViewId="0"/>
  </sheetViews>
  <sheetFormatPr baseColWidth="10" defaultColWidth="11" defaultRowHeight="14.5" x14ac:dyDescent="0.35"/>
  <cols>
    <col min="1" max="1" width="3.5" style="1026" customWidth="1"/>
    <col min="2" max="2" width="20.83203125" style="1026" bestFit="1" customWidth="1"/>
    <col min="3" max="9" width="16.58203125" style="1026" customWidth="1"/>
    <col min="10" max="16384" width="11" style="1026"/>
  </cols>
  <sheetData>
    <row r="2" spans="2:10" ht="21" x14ac:dyDescent="0.5">
      <c r="B2" s="103" t="s">
        <v>6088</v>
      </c>
      <c r="E2" s="1571" t="s">
        <v>6087</v>
      </c>
    </row>
    <row r="3" spans="2:10" ht="15" customHeight="1" x14ac:dyDescent="0.5">
      <c r="B3" s="103"/>
      <c r="E3" s="1571"/>
    </row>
    <row r="4" spans="2:10" ht="21" x14ac:dyDescent="0.5">
      <c r="B4" s="103" t="s">
        <v>6089</v>
      </c>
      <c r="E4" s="1571"/>
    </row>
    <row r="6" spans="2:10" x14ac:dyDescent="0.35">
      <c r="B6" s="941"/>
      <c r="C6" s="1766" t="s">
        <v>6042</v>
      </c>
      <c r="D6" s="1767"/>
      <c r="E6" s="1767"/>
      <c r="F6" s="1767"/>
      <c r="G6" s="1767"/>
      <c r="H6" s="1767"/>
      <c r="I6" s="1768"/>
    </row>
    <row r="7" spans="2:10" x14ac:dyDescent="0.35">
      <c r="B7" s="958" t="s">
        <v>5887</v>
      </c>
      <c r="C7" s="410" t="s">
        <v>5387</v>
      </c>
      <c r="D7" s="1605" t="str">
        <f>Qualität_Varianten!D6</f>
        <v>Bestand</v>
      </c>
      <c r="E7" s="1605" t="str">
        <f>Qualität_Varianten!E6</f>
        <v>Planung</v>
      </c>
      <c r="F7" s="1605">
        <f>Qualität_Varianten!F6</f>
        <v>0</v>
      </c>
      <c r="G7" s="1605">
        <f>Qualität_Varianten!G6</f>
        <v>0</v>
      </c>
      <c r="H7" s="1605">
        <f>Qualität_Varianten!H6</f>
        <v>0</v>
      </c>
      <c r="I7" s="1605">
        <f>Qualität_Varianten!I6</f>
        <v>0</v>
      </c>
      <c r="J7" s="1605" t="s">
        <v>4583</v>
      </c>
    </row>
    <row r="8" spans="2:10" ht="15" customHeight="1" x14ac:dyDescent="0.35">
      <c r="B8" s="1468" t="s">
        <v>5975</v>
      </c>
      <c r="C8" s="1601" t="e">
        <f>'THG_Ergebnis 1'!D23*'THG_Ergebnis 1'!$H$15</f>
        <v>#DIV/0!</v>
      </c>
      <c r="D8" s="1477"/>
      <c r="E8" s="1477"/>
      <c r="F8" s="1477"/>
      <c r="G8" s="1477"/>
      <c r="H8" s="1477"/>
      <c r="I8" s="1477"/>
      <c r="J8" s="1477"/>
    </row>
    <row r="9" spans="2:10" ht="15" customHeight="1" x14ac:dyDescent="0.35">
      <c r="B9" s="1468" t="s">
        <v>5976</v>
      </c>
      <c r="C9" s="1601" t="e">
        <f>'THG_Ergebnis 1'!D24*'THG_Ergebnis 1'!$H$15</f>
        <v>#DIV/0!</v>
      </c>
      <c r="D9" s="1477"/>
      <c r="E9" s="1477"/>
      <c r="F9" s="1477"/>
      <c r="G9" s="1477"/>
      <c r="H9" s="1477"/>
      <c r="I9" s="1477"/>
      <c r="J9" s="1477"/>
    </row>
    <row r="10" spans="2:10" ht="15" customHeight="1" x14ac:dyDescent="0.35">
      <c r="B10" s="1468" t="s">
        <v>6004</v>
      </c>
      <c r="C10" s="1601" t="e">
        <f>'THG_Ergebnis 1'!D25*'THG_Ergebnis 1'!$H$15</f>
        <v>#DIV/0!</v>
      </c>
      <c r="D10" s="1477"/>
      <c r="E10" s="1477"/>
      <c r="F10" s="1477"/>
      <c r="G10" s="1477"/>
      <c r="H10" s="1477"/>
      <c r="I10" s="1477"/>
      <c r="J10" s="1477"/>
    </row>
    <row r="11" spans="2:10" ht="15" customHeight="1" x14ac:dyDescent="0.35">
      <c r="B11" s="958" t="s">
        <v>6045</v>
      </c>
      <c r="C11" s="1602" t="e">
        <f>SUM(C8:C10)</f>
        <v>#DIV/0!</v>
      </c>
      <c r="D11" s="1479"/>
      <c r="E11" s="1479"/>
      <c r="F11" s="1479"/>
      <c r="G11" s="1479"/>
      <c r="H11" s="1479"/>
      <c r="I11" s="1479"/>
      <c r="J11" s="1479"/>
    </row>
    <row r="12" spans="2:10" ht="15.75" customHeight="1" x14ac:dyDescent="0.35">
      <c r="B12" s="958" t="s">
        <v>6046</v>
      </c>
      <c r="C12" s="1480" t="e">
        <f>'THG_Ergebnis 1'!D21</f>
        <v>#DIV/0!</v>
      </c>
      <c r="D12" s="1477"/>
      <c r="E12" s="1477"/>
      <c r="F12" s="1477"/>
      <c r="G12" s="1477"/>
      <c r="H12" s="1477"/>
      <c r="I12" s="1477"/>
      <c r="J12" s="1477"/>
    </row>
    <row r="13" spans="2:10" ht="15.75" customHeight="1" x14ac:dyDescent="0.35">
      <c r="B13" s="941"/>
      <c r="C13" s="1474"/>
      <c r="D13" s="1474"/>
      <c r="E13" s="1474"/>
      <c r="F13" s="1474"/>
      <c r="G13" s="1474"/>
      <c r="H13" s="1474"/>
      <c r="I13" s="1474"/>
    </row>
    <row r="14" spans="2:10" ht="15" customHeight="1" x14ac:dyDescent="0.35">
      <c r="B14" s="941"/>
      <c r="C14" s="1766" t="s">
        <v>6047</v>
      </c>
      <c r="D14" s="1767"/>
      <c r="E14" s="1767"/>
      <c r="F14" s="1767"/>
      <c r="G14" s="1767"/>
      <c r="H14" s="1767"/>
      <c r="I14" s="1768"/>
    </row>
    <row r="15" spans="2:10" ht="15" customHeight="1" x14ac:dyDescent="0.35">
      <c r="B15" s="958" t="s">
        <v>6043</v>
      </c>
      <c r="C15" s="410" t="s">
        <v>5387</v>
      </c>
      <c r="D15" s="1605" t="str">
        <f>D7</f>
        <v>Bestand</v>
      </c>
      <c r="E15" s="1605" t="str">
        <f t="shared" ref="E15:I15" si="0">E7</f>
        <v>Planung</v>
      </c>
      <c r="F15" s="1605">
        <f t="shared" si="0"/>
        <v>0</v>
      </c>
      <c r="G15" s="1605">
        <f t="shared" si="0"/>
        <v>0</v>
      </c>
      <c r="H15" s="1605">
        <f t="shared" si="0"/>
        <v>0</v>
      </c>
      <c r="I15" s="1605">
        <f t="shared" si="0"/>
        <v>0</v>
      </c>
      <c r="J15" s="1605" t="s">
        <v>4583</v>
      </c>
    </row>
    <row r="16" spans="2:10" ht="15" customHeight="1" x14ac:dyDescent="0.35">
      <c r="B16" s="1468" t="s">
        <v>5975</v>
      </c>
      <c r="C16" s="1476" t="e">
        <f>'THG_Ergebnis 1'!D34*'THG_Ergebnis 1'!$H$15</f>
        <v>#DIV/0!</v>
      </c>
      <c r="D16" s="1477"/>
      <c r="E16" s="1477"/>
      <c r="F16" s="1477"/>
      <c r="G16" s="1477"/>
      <c r="H16" s="1477"/>
      <c r="I16" s="1477"/>
      <c r="J16" s="1477"/>
    </row>
    <row r="17" spans="2:10" ht="15" customHeight="1" x14ac:dyDescent="0.35">
      <c r="B17" s="1468" t="s">
        <v>5976</v>
      </c>
      <c r="C17" s="1476" t="e">
        <f>'THG_Ergebnis 1'!D35*'THG_Ergebnis 1'!$H$15</f>
        <v>#DIV/0!</v>
      </c>
      <c r="D17" s="1477"/>
      <c r="E17" s="1477"/>
      <c r="F17" s="1477"/>
      <c r="G17" s="1477"/>
      <c r="H17" s="1477"/>
      <c r="I17" s="1477"/>
      <c r="J17" s="1477"/>
    </row>
    <row r="18" spans="2:10" ht="15" customHeight="1" x14ac:dyDescent="0.35">
      <c r="B18" s="1468" t="s">
        <v>6004</v>
      </c>
      <c r="C18" s="1476" t="e">
        <f>'THG_Ergebnis 1'!D36*'THG_Ergebnis 1'!$H$15</f>
        <v>#DIV/0!</v>
      </c>
      <c r="D18" s="1477"/>
      <c r="E18" s="1477"/>
      <c r="F18" s="1477"/>
      <c r="G18" s="1477"/>
      <c r="H18" s="1477"/>
      <c r="I18" s="1477"/>
      <c r="J18" s="1477"/>
    </row>
    <row r="19" spans="2:10" ht="15" customHeight="1" x14ac:dyDescent="0.35">
      <c r="B19" s="958" t="s">
        <v>6045</v>
      </c>
      <c r="C19" s="1478" t="e">
        <f>SUM(C16:C18)</f>
        <v>#DIV/0!</v>
      </c>
      <c r="D19" s="1479"/>
      <c r="E19" s="1479"/>
      <c r="F19" s="1479"/>
      <c r="G19" s="1479"/>
      <c r="H19" s="1479"/>
      <c r="I19" s="1479"/>
      <c r="J19" s="1479"/>
    </row>
    <row r="20" spans="2:10" ht="15.75" customHeight="1" x14ac:dyDescent="0.35">
      <c r="B20" s="958" t="s">
        <v>6046</v>
      </c>
      <c r="C20" s="1480" t="e">
        <f>'THG_Ergebnis 1'!D32</f>
        <v>#DIV/0!</v>
      </c>
      <c r="D20" s="1477"/>
      <c r="E20" s="1477"/>
      <c r="F20" s="1477"/>
      <c r="G20" s="1477"/>
      <c r="H20" s="1477"/>
      <c r="I20" s="1477"/>
      <c r="J20" s="1477"/>
    </row>
    <row r="21" spans="2:10" ht="15.75" customHeight="1" x14ac:dyDescent="0.35"/>
    <row r="22" spans="2:10" ht="15" customHeight="1" x14ac:dyDescent="0.35">
      <c r="B22" s="1499"/>
    </row>
    <row r="24" spans="2:10" ht="15" customHeight="1" x14ac:dyDescent="0.35"/>
    <row r="25" spans="2:10" ht="15" customHeight="1" x14ac:dyDescent="0.35"/>
    <row r="26" spans="2:10" ht="15" customHeight="1" x14ac:dyDescent="0.35"/>
    <row r="27" spans="2:10" ht="15" customHeight="1" x14ac:dyDescent="0.35"/>
    <row r="28" spans="2:10" ht="15.75" customHeight="1" x14ac:dyDescent="0.35"/>
    <row r="29" spans="2:10" ht="15.75" customHeight="1" x14ac:dyDescent="0.35"/>
    <row r="30" spans="2:10" ht="15" customHeight="1" x14ac:dyDescent="0.35"/>
    <row r="31" spans="2:10" ht="15" customHeight="1" x14ac:dyDescent="0.35"/>
    <row r="32" spans="2:10" ht="15" customHeight="1" x14ac:dyDescent="0.35"/>
    <row r="33" ht="15" customHeight="1" x14ac:dyDescent="0.35"/>
    <row r="34" ht="15" customHeight="1" x14ac:dyDescent="0.35"/>
    <row r="35" ht="15" customHeight="1" x14ac:dyDescent="0.35"/>
    <row r="36" ht="15.75" customHeight="1" x14ac:dyDescent="0.35"/>
    <row r="37" ht="15.75" customHeight="1" x14ac:dyDescent="0.35"/>
    <row r="38" ht="15" customHeight="1" x14ac:dyDescent="0.35"/>
    <row r="40" ht="15" customHeight="1" x14ac:dyDescent="0.35"/>
    <row r="41" ht="15" customHeight="1" x14ac:dyDescent="0.35"/>
    <row r="42" ht="15" customHeight="1" x14ac:dyDescent="0.35"/>
    <row r="43" ht="15" customHeight="1" x14ac:dyDescent="0.35"/>
    <row r="44" ht="15.75" customHeight="1" x14ac:dyDescent="0.35"/>
    <row r="45" ht="15.7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75" customHeight="1" x14ac:dyDescent="0.35"/>
    <row r="53" ht="15.75" customHeight="1" x14ac:dyDescent="0.35"/>
    <row r="54" ht="15" customHeight="1" x14ac:dyDescent="0.35"/>
    <row r="56" ht="15" customHeight="1" x14ac:dyDescent="0.35"/>
    <row r="57" ht="15" customHeight="1" x14ac:dyDescent="0.35"/>
    <row r="58" ht="15" customHeight="1" x14ac:dyDescent="0.35"/>
    <row r="59" ht="15" customHeight="1" x14ac:dyDescent="0.35"/>
    <row r="60" ht="15.75" customHeight="1" x14ac:dyDescent="0.35"/>
    <row r="61" ht="15.7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75" customHeight="1" x14ac:dyDescent="0.35"/>
    <row r="69" ht="15.75" customHeight="1" x14ac:dyDescent="0.35"/>
    <row r="70" ht="15" customHeight="1" x14ac:dyDescent="0.35"/>
    <row r="72" ht="15" customHeight="1" x14ac:dyDescent="0.35"/>
    <row r="73" ht="15" customHeight="1" x14ac:dyDescent="0.35"/>
    <row r="74" ht="15" customHeight="1" x14ac:dyDescent="0.35"/>
    <row r="75" ht="15" customHeight="1" x14ac:dyDescent="0.35"/>
    <row r="76" ht="15.75" customHeight="1" x14ac:dyDescent="0.35"/>
    <row r="77" ht="15.7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75" customHeight="1" x14ac:dyDescent="0.35"/>
    <row r="85" ht="15.75" customHeight="1" x14ac:dyDescent="0.35"/>
    <row r="86" ht="15" customHeight="1" x14ac:dyDescent="0.35"/>
  </sheetData>
  <mergeCells count="2">
    <mergeCell ref="C6:I6"/>
    <mergeCell ref="C14:I14"/>
  </mergeCells>
  <hyperlinks>
    <hyperlink ref="E2" r:id="rId1"/>
  </hyperlinks>
  <pageMargins left="0.7" right="0.7" top="0.78740157499999996" bottom="0.78740157499999996"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O195"/>
  <sheetViews>
    <sheetView zoomScaleNormal="100" workbookViewId="0"/>
  </sheetViews>
  <sheetFormatPr baseColWidth="10" defaultColWidth="11" defaultRowHeight="14.5" x14ac:dyDescent="0.35"/>
  <cols>
    <col min="1" max="1" width="3.5" style="1026" customWidth="1"/>
    <col min="2" max="2" width="11" style="1026"/>
    <col min="3" max="3" width="18.08203125" style="941" bestFit="1" customWidth="1"/>
    <col min="4" max="4" width="16.83203125" style="1026" bestFit="1" customWidth="1"/>
    <col min="5" max="5" width="14.75" style="1026" bestFit="1" customWidth="1"/>
    <col min="6" max="6" width="18.75" style="1026" bestFit="1" customWidth="1"/>
    <col min="7" max="7" width="25.5" style="1026" bestFit="1" customWidth="1"/>
    <col min="8" max="8" width="16.5" style="1279" bestFit="1" customWidth="1"/>
    <col min="9" max="14" width="6.75" style="1026" customWidth="1"/>
    <col min="15" max="15" width="11" style="1026"/>
    <col min="16" max="16" width="15.25" style="1026" bestFit="1" customWidth="1"/>
    <col min="17" max="16384" width="11" style="1026"/>
  </cols>
  <sheetData>
    <row r="2" spans="2:14" ht="21" x14ac:dyDescent="0.5">
      <c r="B2" s="103" t="s">
        <v>6091</v>
      </c>
    </row>
    <row r="3" spans="2:14" ht="15" customHeight="1" x14ac:dyDescent="0.35">
      <c r="C3" s="1036"/>
      <c r="D3" s="1481"/>
      <c r="E3" s="1481"/>
      <c r="F3" s="1481"/>
      <c r="G3" s="1481"/>
      <c r="H3" s="1481"/>
      <c r="I3" s="1481"/>
      <c r="J3" s="1481"/>
      <c r="K3" s="1481"/>
      <c r="L3" s="1481"/>
      <c r="M3" s="1481"/>
      <c r="N3" s="1481"/>
    </row>
    <row r="4" spans="2:14" x14ac:dyDescent="0.35">
      <c r="C4" s="1482"/>
      <c r="D4" s="1610" t="s">
        <v>6092</v>
      </c>
      <c r="E4" s="1610" t="s">
        <v>5520</v>
      </c>
      <c r="F4" s="1610" t="s">
        <v>6099</v>
      </c>
      <c r="G4" s="1610" t="s">
        <v>4493</v>
      </c>
      <c r="H4" s="1610" t="s">
        <v>5391</v>
      </c>
    </row>
    <row r="5" spans="2:14" x14ac:dyDescent="0.35">
      <c r="C5" s="958" t="s">
        <v>6093</v>
      </c>
      <c r="D5" s="1593">
        <f>Qualität_Portfolio!C5</f>
        <v>0</v>
      </c>
      <c r="E5" s="1595">
        <f>Qualität_Portfolio!D5</f>
        <v>0</v>
      </c>
      <c r="F5" s="1594">
        <f>Qualität_Portfolio!E5</f>
        <v>0</v>
      </c>
      <c r="G5" s="1593">
        <f>Qualität_Portfolio!F5</f>
        <v>0</v>
      </c>
      <c r="H5" s="1593">
        <f>Qualität_Portfolio!G5</f>
        <v>0</v>
      </c>
    </row>
    <row r="6" spans="2:14" x14ac:dyDescent="0.35">
      <c r="C6" s="958" t="s">
        <v>6094</v>
      </c>
      <c r="D6" s="1593">
        <f>Qualität_Portfolio!C6</f>
        <v>0</v>
      </c>
      <c r="E6" s="1595">
        <f>Qualität_Portfolio!D6</f>
        <v>0</v>
      </c>
      <c r="F6" s="1594">
        <f>Qualität_Portfolio!E6</f>
        <v>0</v>
      </c>
      <c r="G6" s="1593">
        <f>Qualität_Portfolio!F6</f>
        <v>0</v>
      </c>
      <c r="H6" s="1593">
        <f>Qualität_Portfolio!G6</f>
        <v>0</v>
      </c>
    </row>
    <row r="7" spans="2:14" x14ac:dyDescent="0.35">
      <c r="C7" s="958" t="s">
        <v>6095</v>
      </c>
      <c r="D7" s="1593">
        <f>Qualität_Portfolio!C7</f>
        <v>0</v>
      </c>
      <c r="E7" s="1595">
        <f>Qualität_Portfolio!D7</f>
        <v>0</v>
      </c>
      <c r="F7" s="1594">
        <f>Qualität_Portfolio!E7</f>
        <v>0</v>
      </c>
      <c r="G7" s="1593">
        <f>Qualität_Portfolio!F7</f>
        <v>0</v>
      </c>
      <c r="H7" s="1593">
        <f>Qualität_Portfolio!G7</f>
        <v>0</v>
      </c>
    </row>
    <row r="8" spans="2:14" x14ac:dyDescent="0.35">
      <c r="C8" s="958" t="s">
        <v>6096</v>
      </c>
      <c r="D8" s="1593">
        <f>Qualität_Portfolio!C8</f>
        <v>0</v>
      </c>
      <c r="E8" s="1595">
        <f>Qualität_Portfolio!D8</f>
        <v>0</v>
      </c>
      <c r="F8" s="1594">
        <f>Qualität_Portfolio!E8</f>
        <v>0</v>
      </c>
      <c r="G8" s="1593">
        <f>Qualität_Portfolio!F8</f>
        <v>0</v>
      </c>
      <c r="H8" s="1593">
        <f>Qualität_Portfolio!G8</f>
        <v>0</v>
      </c>
    </row>
    <row r="9" spans="2:14" x14ac:dyDescent="0.35">
      <c r="C9" s="958" t="s">
        <v>6097</v>
      </c>
      <c r="D9" s="1593">
        <f>Qualität_Portfolio!C9</f>
        <v>0</v>
      </c>
      <c r="E9" s="1595">
        <f>Qualität_Portfolio!D9</f>
        <v>0</v>
      </c>
      <c r="F9" s="1594">
        <f>Qualität_Portfolio!E9</f>
        <v>0</v>
      </c>
      <c r="G9" s="1593">
        <f>Qualität_Portfolio!F9</f>
        <v>0</v>
      </c>
      <c r="H9" s="1593">
        <f>Qualität_Portfolio!G9</f>
        <v>0</v>
      </c>
    </row>
    <row r="10" spans="2:14" x14ac:dyDescent="0.35">
      <c r="C10" s="958" t="s">
        <v>6102</v>
      </c>
      <c r="D10" s="1593">
        <f>Qualität_Portfolio!C10</f>
        <v>0</v>
      </c>
      <c r="E10" s="1595">
        <f>Qualität_Portfolio!D10</f>
        <v>0</v>
      </c>
      <c r="F10" s="1594">
        <f>Qualität_Portfolio!E10</f>
        <v>0</v>
      </c>
      <c r="G10" s="1593">
        <f>Qualität_Portfolio!F10</f>
        <v>0</v>
      </c>
      <c r="H10" s="1593">
        <f>Qualität_Portfolio!G10</f>
        <v>0</v>
      </c>
    </row>
    <row r="11" spans="2:14" x14ac:dyDescent="0.35">
      <c r="C11" s="958" t="s">
        <v>6103</v>
      </c>
      <c r="D11" s="1593">
        <f>Qualität_Portfolio!C11</f>
        <v>0</v>
      </c>
      <c r="E11" s="1595">
        <f>Qualität_Portfolio!D11</f>
        <v>0</v>
      </c>
      <c r="F11" s="1594">
        <f>Qualität_Portfolio!E11</f>
        <v>0</v>
      </c>
      <c r="G11" s="1593">
        <f>Qualität_Portfolio!F11</f>
        <v>0</v>
      </c>
      <c r="H11" s="1593">
        <f>Qualität_Portfolio!G11</f>
        <v>0</v>
      </c>
    </row>
    <row r="12" spans="2:14" x14ac:dyDescent="0.35">
      <c r="C12" s="958" t="s">
        <v>6104</v>
      </c>
      <c r="D12" s="1593">
        <f>Qualität_Portfolio!C12</f>
        <v>0</v>
      </c>
      <c r="E12" s="1595">
        <f>Qualität_Portfolio!D12</f>
        <v>0</v>
      </c>
      <c r="F12" s="1594">
        <f>Qualität_Portfolio!E12</f>
        <v>0</v>
      </c>
      <c r="G12" s="1593">
        <f>Qualität_Portfolio!F12</f>
        <v>0</v>
      </c>
      <c r="H12" s="1593">
        <f>Qualität_Portfolio!G12</f>
        <v>0</v>
      </c>
    </row>
    <row r="13" spans="2:14" x14ac:dyDescent="0.35">
      <c r="C13" s="958" t="s">
        <v>6105</v>
      </c>
      <c r="D13" s="1593">
        <f>Qualität_Portfolio!C13</f>
        <v>0</v>
      </c>
      <c r="E13" s="1595">
        <f>Qualität_Portfolio!D13</f>
        <v>0</v>
      </c>
      <c r="F13" s="1594">
        <f>Qualität_Portfolio!E13</f>
        <v>0</v>
      </c>
      <c r="G13" s="1593">
        <f>Qualität_Portfolio!F13</f>
        <v>0</v>
      </c>
      <c r="H13" s="1593">
        <f>Qualität_Portfolio!G13</f>
        <v>0</v>
      </c>
    </row>
    <row r="14" spans="2:14" x14ac:dyDescent="0.35">
      <c r="C14" s="958" t="s">
        <v>6106</v>
      </c>
      <c r="D14" s="1593">
        <f>Qualität_Portfolio!C14</f>
        <v>0</v>
      </c>
      <c r="E14" s="1595">
        <f>Qualität_Portfolio!D14</f>
        <v>0</v>
      </c>
      <c r="F14" s="1594">
        <f>Qualität_Portfolio!E14</f>
        <v>0</v>
      </c>
      <c r="G14" s="1593">
        <f>Qualität_Portfolio!F14</f>
        <v>0</v>
      </c>
      <c r="H14" s="1593">
        <f>Qualität_Portfolio!G14</f>
        <v>0</v>
      </c>
    </row>
    <row r="15" spans="2:14" x14ac:dyDescent="0.35">
      <c r="E15" s="1483">
        <f>SUM(E5:E9)</f>
        <v>0</v>
      </c>
      <c r="F15" s="1484">
        <f>SUM(F5:F9)</f>
        <v>0</v>
      </c>
      <c r="H15" s="1026"/>
    </row>
    <row r="16" spans="2:14" x14ac:dyDescent="0.35">
      <c r="E16" s="1483"/>
      <c r="F16" s="1484"/>
      <c r="H16" s="1026"/>
    </row>
    <row r="17" spans="2:15" ht="21" x14ac:dyDescent="0.5">
      <c r="B17" s="103" t="s">
        <v>6101</v>
      </c>
      <c r="E17" s="1483"/>
      <c r="F17" s="1484"/>
      <c r="H17" s="1026"/>
    </row>
    <row r="19" spans="2:15" ht="16.5" customHeight="1" x14ac:dyDescent="0.35">
      <c r="C19" s="1609" t="s">
        <v>11</v>
      </c>
      <c r="D19" s="1771" t="s">
        <v>6042</v>
      </c>
      <c r="E19" s="1771"/>
      <c r="F19" s="1771"/>
      <c r="G19" s="1771"/>
      <c r="H19" s="1771"/>
      <c r="I19" s="1771"/>
      <c r="J19" s="1771"/>
      <c r="K19" s="1771"/>
      <c r="L19" s="1771"/>
      <c r="M19" s="1771"/>
      <c r="N19" s="1771"/>
    </row>
    <row r="20" spans="2:15" x14ac:dyDescent="0.35">
      <c r="C20" s="1609" t="s">
        <v>5887</v>
      </c>
      <c r="D20" s="969">
        <v>2020</v>
      </c>
      <c r="E20" s="969">
        <v>2021</v>
      </c>
      <c r="F20" s="969">
        <v>2022</v>
      </c>
      <c r="G20" s="969">
        <v>2023</v>
      </c>
      <c r="H20" s="969">
        <v>2024</v>
      </c>
      <c r="I20" s="969">
        <v>2025</v>
      </c>
      <c r="J20" s="969">
        <v>2026</v>
      </c>
      <c r="K20" s="969">
        <v>2027</v>
      </c>
      <c r="L20" s="969">
        <v>2028</v>
      </c>
      <c r="M20" s="969">
        <v>2029</v>
      </c>
      <c r="N20" s="969">
        <v>2030</v>
      </c>
    </row>
    <row r="21" spans="2:15" x14ac:dyDescent="0.35">
      <c r="C21" s="1468" t="s">
        <v>5975</v>
      </c>
      <c r="D21" s="1476">
        <f>D39*$F$5+D55*$F$6+D71*$F$7+D87*$F$8+D103*$F$9+D119*$F$10+D135*$F$11+D151*$F$12+D167*$F$13+D183*$F$14</f>
        <v>0</v>
      </c>
      <c r="E21" s="1476">
        <f t="shared" ref="E21:N21" si="0">E39*$F$5+E55*$F$6+E71*$F$7+E87*$F$8+E103*$F$9+E119*$F$10+E135*$F$11+E151*$F$12+E167*$F$13+E183*$F$14</f>
        <v>0</v>
      </c>
      <c r="F21" s="1476">
        <f t="shared" si="0"/>
        <v>0</v>
      </c>
      <c r="G21" s="1476">
        <f t="shared" si="0"/>
        <v>0</v>
      </c>
      <c r="H21" s="1476">
        <f t="shared" si="0"/>
        <v>0</v>
      </c>
      <c r="I21" s="1476">
        <f t="shared" si="0"/>
        <v>0</v>
      </c>
      <c r="J21" s="1476">
        <f t="shared" si="0"/>
        <v>0</v>
      </c>
      <c r="K21" s="1476">
        <f t="shared" si="0"/>
        <v>0</v>
      </c>
      <c r="L21" s="1476">
        <f t="shared" si="0"/>
        <v>0</v>
      </c>
      <c r="M21" s="1476">
        <f t="shared" si="0"/>
        <v>0</v>
      </c>
      <c r="N21" s="1476">
        <f t="shared" si="0"/>
        <v>0</v>
      </c>
    </row>
    <row r="22" spans="2:15" x14ac:dyDescent="0.35">
      <c r="C22" s="1468" t="s">
        <v>5976</v>
      </c>
      <c r="D22" s="1476">
        <f t="shared" ref="D22:N25" si="1">D40*$F$5+D56*$F$6+D72*$F$7+D88*$F$8+D104*$F$9+D120*$F$10+D136*$F$11+D152*$F$12+D168*$F$13+D184*$F$14</f>
        <v>0</v>
      </c>
      <c r="E22" s="1476">
        <f t="shared" si="1"/>
        <v>0</v>
      </c>
      <c r="F22" s="1476">
        <f t="shared" si="1"/>
        <v>0</v>
      </c>
      <c r="G22" s="1476">
        <f t="shared" si="1"/>
        <v>0</v>
      </c>
      <c r="H22" s="1476">
        <f t="shared" si="1"/>
        <v>0</v>
      </c>
      <c r="I22" s="1476">
        <f t="shared" si="1"/>
        <v>0</v>
      </c>
      <c r="J22" s="1476">
        <f t="shared" si="1"/>
        <v>0</v>
      </c>
      <c r="K22" s="1476">
        <f t="shared" si="1"/>
        <v>0</v>
      </c>
      <c r="L22" s="1476">
        <f t="shared" si="1"/>
        <v>0</v>
      </c>
      <c r="M22" s="1476">
        <f t="shared" si="1"/>
        <v>0</v>
      </c>
      <c r="N22" s="1476">
        <f t="shared" si="1"/>
        <v>0</v>
      </c>
    </row>
    <row r="23" spans="2:15" x14ac:dyDescent="0.35">
      <c r="C23" s="1468" t="s">
        <v>6004</v>
      </c>
      <c r="D23" s="1476">
        <f t="shared" si="1"/>
        <v>0</v>
      </c>
      <c r="E23" s="1476">
        <f t="shared" si="1"/>
        <v>0</v>
      </c>
      <c r="F23" s="1476">
        <f t="shared" si="1"/>
        <v>0</v>
      </c>
      <c r="G23" s="1476">
        <f t="shared" si="1"/>
        <v>0</v>
      </c>
      <c r="H23" s="1476">
        <f t="shared" si="1"/>
        <v>0</v>
      </c>
      <c r="I23" s="1476">
        <f t="shared" si="1"/>
        <v>0</v>
      </c>
      <c r="J23" s="1476">
        <f t="shared" si="1"/>
        <v>0</v>
      </c>
      <c r="K23" s="1476">
        <f t="shared" si="1"/>
        <v>0</v>
      </c>
      <c r="L23" s="1476">
        <f t="shared" si="1"/>
        <v>0</v>
      </c>
      <c r="M23" s="1476">
        <f t="shared" si="1"/>
        <v>0</v>
      </c>
      <c r="N23" s="1476">
        <f t="shared" si="1"/>
        <v>0</v>
      </c>
    </row>
    <row r="24" spans="2:15" ht="21" x14ac:dyDescent="0.35">
      <c r="C24" s="958" t="s">
        <v>6045</v>
      </c>
      <c r="D24" s="1478">
        <f t="shared" si="1"/>
        <v>0</v>
      </c>
      <c r="E24" s="1478">
        <f t="shared" si="1"/>
        <v>0</v>
      </c>
      <c r="F24" s="1478">
        <f t="shared" si="1"/>
        <v>0</v>
      </c>
      <c r="G24" s="1478">
        <f t="shared" si="1"/>
        <v>0</v>
      </c>
      <c r="H24" s="1478">
        <f t="shared" si="1"/>
        <v>0</v>
      </c>
      <c r="I24" s="1478">
        <f t="shared" si="1"/>
        <v>0</v>
      </c>
      <c r="J24" s="1478">
        <f t="shared" si="1"/>
        <v>0</v>
      </c>
      <c r="K24" s="1478">
        <f t="shared" si="1"/>
        <v>0</v>
      </c>
      <c r="L24" s="1478">
        <f t="shared" si="1"/>
        <v>0</v>
      </c>
      <c r="M24" s="1478">
        <f t="shared" si="1"/>
        <v>0</v>
      </c>
      <c r="N24" s="1478">
        <f t="shared" si="1"/>
        <v>0</v>
      </c>
      <c r="O24" s="1575">
        <f>O42*$F$5+O58*$F$6+O74*$F$7+O90*$F$8+O106*$F$9+O122*$F$10+O138*$F$11+O154*$F$12+O170*$F$13+O186*$F$14</f>
        <v>0</v>
      </c>
    </row>
    <row r="25" spans="2:15" x14ac:dyDescent="0.35">
      <c r="C25" s="958" t="s">
        <v>6046</v>
      </c>
      <c r="D25" s="1478">
        <f t="shared" si="1"/>
        <v>0</v>
      </c>
      <c r="E25" s="1478">
        <f t="shared" si="1"/>
        <v>0</v>
      </c>
      <c r="F25" s="1478">
        <f t="shared" si="1"/>
        <v>0</v>
      </c>
      <c r="G25" s="1478">
        <f t="shared" si="1"/>
        <v>0</v>
      </c>
      <c r="H25" s="1478">
        <f t="shared" si="1"/>
        <v>0</v>
      </c>
      <c r="I25" s="1478">
        <f t="shared" si="1"/>
        <v>0</v>
      </c>
      <c r="J25" s="1478">
        <f t="shared" si="1"/>
        <v>0</v>
      </c>
      <c r="K25" s="1478">
        <f t="shared" si="1"/>
        <v>0</v>
      </c>
      <c r="L25" s="1478">
        <f t="shared" si="1"/>
        <v>0</v>
      </c>
      <c r="M25" s="1478">
        <f t="shared" si="1"/>
        <v>0</v>
      </c>
      <c r="N25" s="1478">
        <f t="shared" si="1"/>
        <v>0</v>
      </c>
    </row>
    <row r="26" spans="2:15" x14ac:dyDescent="0.35">
      <c r="D26" s="1279"/>
      <c r="E26" s="1279"/>
      <c r="F26" s="1279"/>
      <c r="G26" s="1279"/>
      <c r="I26" s="1279"/>
      <c r="J26" s="1279"/>
      <c r="K26" s="1279"/>
      <c r="L26" s="1279"/>
      <c r="M26" s="1279"/>
      <c r="N26" s="1474"/>
    </row>
    <row r="27" spans="2:15" x14ac:dyDescent="0.35">
      <c r="C27" s="1609" t="s">
        <v>11</v>
      </c>
      <c r="D27" s="1771" t="s">
        <v>6047</v>
      </c>
      <c r="E27" s="1771"/>
      <c r="F27" s="1771"/>
      <c r="G27" s="1771"/>
      <c r="H27" s="1771"/>
      <c r="I27" s="1771"/>
      <c r="J27" s="1771"/>
      <c r="K27" s="1771"/>
      <c r="L27" s="1771"/>
      <c r="M27" s="1771"/>
      <c r="N27" s="1771"/>
    </row>
    <row r="28" spans="2:15" x14ac:dyDescent="0.35">
      <c r="C28" s="1609" t="s">
        <v>6043</v>
      </c>
      <c r="D28" s="969">
        <v>2020</v>
      </c>
      <c r="E28" s="969">
        <v>2021</v>
      </c>
      <c r="F28" s="969">
        <v>2022</v>
      </c>
      <c r="G28" s="969">
        <v>2023</v>
      </c>
      <c r="H28" s="969">
        <v>2024</v>
      </c>
      <c r="I28" s="969">
        <v>2025</v>
      </c>
      <c r="J28" s="969">
        <v>2026</v>
      </c>
      <c r="K28" s="969">
        <v>2027</v>
      </c>
      <c r="L28" s="969">
        <v>2028</v>
      </c>
      <c r="M28" s="969">
        <v>2029</v>
      </c>
      <c r="N28" s="969">
        <v>2030</v>
      </c>
    </row>
    <row r="29" spans="2:15" ht="16.5" customHeight="1" x14ac:dyDescent="0.35">
      <c r="C29" s="1468" t="s">
        <v>5975</v>
      </c>
      <c r="D29" s="1476">
        <f>D47*$F$5+D63*$F$6+D79*$F$7+D95*$F$8+D111*$F$9+D127+$F$10+D143+$F$11+D159*$F$12+D175*$F$13+D191*$F$14</f>
        <v>0</v>
      </c>
      <c r="E29" s="1476">
        <f t="shared" ref="E29:N29" si="2">E47*$F$5+E63*$F$6+E79*$F$7+E95*$F$8+E111*$F$9+E127+$F$10+E143+$F$11+E159*$F$12+E175*$F$13+E191*$F$14</f>
        <v>0</v>
      </c>
      <c r="F29" s="1476">
        <f t="shared" si="2"/>
        <v>0</v>
      </c>
      <c r="G29" s="1476">
        <f t="shared" si="2"/>
        <v>0</v>
      </c>
      <c r="H29" s="1476">
        <f t="shared" si="2"/>
        <v>0</v>
      </c>
      <c r="I29" s="1476">
        <f t="shared" si="2"/>
        <v>0</v>
      </c>
      <c r="J29" s="1476">
        <f t="shared" si="2"/>
        <v>0</v>
      </c>
      <c r="K29" s="1476">
        <f t="shared" si="2"/>
        <v>0</v>
      </c>
      <c r="L29" s="1476">
        <f t="shared" si="2"/>
        <v>0</v>
      </c>
      <c r="M29" s="1476">
        <f t="shared" si="2"/>
        <v>0</v>
      </c>
      <c r="N29" s="1476">
        <f t="shared" si="2"/>
        <v>0</v>
      </c>
    </row>
    <row r="30" spans="2:15" x14ac:dyDescent="0.35">
      <c r="C30" s="1468" t="s">
        <v>5976</v>
      </c>
      <c r="D30" s="1476">
        <f t="shared" ref="D30:N30" si="3">D48*$F$5+D64*$F$6+D80*$F$7+D96*$F$8+D112*$F$9+D128+$F$10+D144+$F$11+D160*$F$12+D176*$F$13+D192*$F$14</f>
        <v>0</v>
      </c>
      <c r="E30" s="1476">
        <f t="shared" si="3"/>
        <v>0</v>
      </c>
      <c r="F30" s="1476">
        <f t="shared" si="3"/>
        <v>0</v>
      </c>
      <c r="G30" s="1476">
        <f t="shared" si="3"/>
        <v>0</v>
      </c>
      <c r="H30" s="1476">
        <f t="shared" si="3"/>
        <v>0</v>
      </c>
      <c r="I30" s="1476">
        <f t="shared" si="3"/>
        <v>0</v>
      </c>
      <c r="J30" s="1476">
        <f t="shared" si="3"/>
        <v>0</v>
      </c>
      <c r="K30" s="1476">
        <f t="shared" si="3"/>
        <v>0</v>
      </c>
      <c r="L30" s="1476">
        <f t="shared" si="3"/>
        <v>0</v>
      </c>
      <c r="M30" s="1476">
        <f t="shared" si="3"/>
        <v>0</v>
      </c>
      <c r="N30" s="1476">
        <f t="shared" si="3"/>
        <v>0</v>
      </c>
    </row>
    <row r="31" spans="2:15" x14ac:dyDescent="0.35">
      <c r="C31" s="1468" t="s">
        <v>6004</v>
      </c>
      <c r="D31" s="1476">
        <f t="shared" ref="D31:N31" si="4">D49*$F$5+D65*$F$6+D81*$F$7+D97*$F$8+D113*$F$9+D129+$F$10+D145+$F$11+D161*$F$12+D177*$F$13+D193*$F$14</f>
        <v>0</v>
      </c>
      <c r="E31" s="1476">
        <f t="shared" si="4"/>
        <v>0</v>
      </c>
      <c r="F31" s="1476">
        <f t="shared" si="4"/>
        <v>0</v>
      </c>
      <c r="G31" s="1476">
        <f t="shared" si="4"/>
        <v>0</v>
      </c>
      <c r="H31" s="1476">
        <f t="shared" si="4"/>
        <v>0</v>
      </c>
      <c r="I31" s="1476">
        <f t="shared" si="4"/>
        <v>0</v>
      </c>
      <c r="J31" s="1476">
        <f t="shared" si="4"/>
        <v>0</v>
      </c>
      <c r="K31" s="1476">
        <f t="shared" si="4"/>
        <v>0</v>
      </c>
      <c r="L31" s="1476">
        <f t="shared" si="4"/>
        <v>0</v>
      </c>
      <c r="M31" s="1476">
        <f t="shared" si="4"/>
        <v>0</v>
      </c>
      <c r="N31" s="1476">
        <f t="shared" si="4"/>
        <v>0</v>
      </c>
    </row>
    <row r="32" spans="2:15" ht="21" x14ac:dyDescent="0.35">
      <c r="C32" s="958" t="s">
        <v>6045</v>
      </c>
      <c r="D32" s="1478">
        <f t="shared" ref="D32:N32" si="5">D50*$F$5+D66*$F$6+D82*$F$7+D98*$F$8+D114*$F$9+D130+$F$10+D146+$F$11+D162*$F$12+D178*$F$13+D194*$F$14</f>
        <v>0</v>
      </c>
      <c r="E32" s="1478">
        <f t="shared" si="5"/>
        <v>0</v>
      </c>
      <c r="F32" s="1478">
        <f t="shared" si="5"/>
        <v>0</v>
      </c>
      <c r="G32" s="1478">
        <f t="shared" si="5"/>
        <v>0</v>
      </c>
      <c r="H32" s="1478">
        <f t="shared" si="5"/>
        <v>0</v>
      </c>
      <c r="I32" s="1478">
        <f t="shared" si="5"/>
        <v>0</v>
      </c>
      <c r="J32" s="1478">
        <f t="shared" si="5"/>
        <v>0</v>
      </c>
      <c r="K32" s="1478">
        <f t="shared" si="5"/>
        <v>0</v>
      </c>
      <c r="L32" s="1478">
        <f t="shared" si="5"/>
        <v>0</v>
      </c>
      <c r="M32" s="1478">
        <f t="shared" si="5"/>
        <v>0</v>
      </c>
      <c r="N32" s="1478">
        <f t="shared" si="5"/>
        <v>0</v>
      </c>
      <c r="O32" s="1575">
        <f>O50*$F$5+O66*$F$6+O82*$F$7+O98*$F$8+O114*$F$9+O130*$F$10+O146*$F$11+O162*$F$12+O178*$F$13+O194*$F$14</f>
        <v>0</v>
      </c>
    </row>
    <row r="33" spans="2:15" x14ac:dyDescent="0.35">
      <c r="C33" s="958" t="s">
        <v>6046</v>
      </c>
      <c r="D33" s="1478">
        <f t="shared" ref="D33:N33" si="6">D51*$F$5+D67*$F$6+D83*$F$7+D99*$F$8+D115*$F$9+D131+$F$10+D147+$F$11+D163*$F$12+D179*$F$13+D195*$F$14</f>
        <v>0</v>
      </c>
      <c r="E33" s="1478">
        <f t="shared" si="6"/>
        <v>0</v>
      </c>
      <c r="F33" s="1478">
        <f t="shared" si="6"/>
        <v>0</v>
      </c>
      <c r="G33" s="1478">
        <f t="shared" si="6"/>
        <v>0</v>
      </c>
      <c r="H33" s="1478">
        <f t="shared" si="6"/>
        <v>0</v>
      </c>
      <c r="I33" s="1478">
        <f t="shared" si="6"/>
        <v>0</v>
      </c>
      <c r="J33" s="1478">
        <f t="shared" si="6"/>
        <v>0</v>
      </c>
      <c r="K33" s="1478">
        <f t="shared" si="6"/>
        <v>0</v>
      </c>
      <c r="L33" s="1478">
        <f t="shared" si="6"/>
        <v>0</v>
      </c>
      <c r="M33" s="1478">
        <f t="shared" si="6"/>
        <v>0</v>
      </c>
      <c r="N33" s="1478">
        <f t="shared" si="6"/>
        <v>0</v>
      </c>
    </row>
    <row r="34" spans="2:15" x14ac:dyDescent="0.35">
      <c r="C34" s="1596"/>
      <c r="D34" s="1597"/>
      <c r="E34" s="1597"/>
      <c r="F34" s="1597"/>
      <c r="G34" s="1597"/>
      <c r="H34" s="1597"/>
      <c r="I34" s="1597"/>
      <c r="J34" s="1597"/>
      <c r="K34" s="1597"/>
      <c r="L34" s="1597"/>
      <c r="M34" s="1597"/>
      <c r="N34" s="1597"/>
    </row>
    <row r="35" spans="2:15" ht="21" x14ac:dyDescent="0.5">
      <c r="B35" s="103" t="s">
        <v>6100</v>
      </c>
    </row>
    <row r="37" spans="2:15" x14ac:dyDescent="0.35">
      <c r="B37" s="1769">
        <f>D5</f>
        <v>0</v>
      </c>
      <c r="C37" s="1485"/>
      <c r="D37" s="1765" t="s">
        <v>6042</v>
      </c>
      <c r="E37" s="1765"/>
      <c r="F37" s="1765"/>
      <c r="G37" s="1765"/>
      <c r="H37" s="1765"/>
      <c r="I37" s="1765"/>
      <c r="J37" s="1765"/>
      <c r="K37" s="1765"/>
      <c r="L37" s="1765"/>
      <c r="M37" s="1765"/>
      <c r="N37" s="1765"/>
    </row>
    <row r="38" spans="2:15" x14ac:dyDescent="0.35">
      <c r="B38" s="1769"/>
      <c r="C38" s="1485" t="s">
        <v>5887</v>
      </c>
      <c r="D38" s="410">
        <v>2020</v>
      </c>
      <c r="E38" s="410">
        <v>2021</v>
      </c>
      <c r="F38" s="410">
        <v>2022</v>
      </c>
      <c r="G38" s="410">
        <v>2023</v>
      </c>
      <c r="H38" s="410">
        <v>2024</v>
      </c>
      <c r="I38" s="410">
        <v>2025</v>
      </c>
      <c r="J38" s="410">
        <v>2026</v>
      </c>
      <c r="K38" s="410">
        <v>2027</v>
      </c>
      <c r="L38" s="410">
        <v>2028</v>
      </c>
      <c r="M38" s="410">
        <v>2029</v>
      </c>
      <c r="N38" s="410">
        <v>2030</v>
      </c>
    </row>
    <row r="39" spans="2:15" x14ac:dyDescent="0.35">
      <c r="B39" s="1769"/>
      <c r="C39" s="1486" t="s">
        <v>5975</v>
      </c>
      <c r="D39" s="1487"/>
      <c r="E39" s="1487"/>
      <c r="F39" s="1487"/>
      <c r="G39" s="1487"/>
      <c r="H39" s="1487"/>
      <c r="I39" s="1487"/>
      <c r="J39" s="1487"/>
      <c r="K39" s="1487"/>
      <c r="L39" s="1487"/>
      <c r="M39" s="1487"/>
      <c r="N39" s="1487"/>
    </row>
    <row r="40" spans="2:15" x14ac:dyDescent="0.35">
      <c r="B40" s="1769"/>
      <c r="C40" s="1486" t="s">
        <v>5976</v>
      </c>
      <c r="D40" s="1487"/>
      <c r="E40" s="1487"/>
      <c r="F40" s="1487"/>
      <c r="G40" s="1487"/>
      <c r="H40" s="1487"/>
      <c r="I40" s="1487"/>
      <c r="J40" s="1487"/>
      <c r="K40" s="1487"/>
      <c r="L40" s="1487"/>
      <c r="M40" s="1487"/>
      <c r="N40" s="1487"/>
    </row>
    <row r="41" spans="2:15" ht="15" thickBot="1" x14ac:dyDescent="0.4">
      <c r="B41" s="1769"/>
      <c r="C41" s="1486" t="s">
        <v>6004</v>
      </c>
      <c r="D41" s="1487"/>
      <c r="E41" s="1487"/>
      <c r="F41" s="1487"/>
      <c r="G41" s="1487"/>
      <c r="H41" s="1487"/>
      <c r="I41" s="1487"/>
      <c r="J41" s="1487"/>
      <c r="K41" s="1487"/>
      <c r="L41" s="1487"/>
      <c r="M41" s="1487"/>
      <c r="N41" s="1487"/>
    </row>
    <row r="42" spans="2:15" ht="21.5" thickBot="1" x14ac:dyDescent="0.4">
      <c r="B42" s="1769"/>
      <c r="C42" s="1485" t="s">
        <v>6045</v>
      </c>
      <c r="D42" s="1488"/>
      <c r="E42" s="1488"/>
      <c r="F42" s="1488"/>
      <c r="G42" s="1488"/>
      <c r="H42" s="1488"/>
      <c r="I42" s="1488"/>
      <c r="J42" s="1488"/>
      <c r="K42" s="1488"/>
      <c r="L42" s="1488"/>
      <c r="M42" s="1488"/>
      <c r="N42" s="1489"/>
      <c r="O42" s="1599"/>
    </row>
    <row r="43" spans="2:15" x14ac:dyDescent="0.35">
      <c r="B43" s="1769"/>
      <c r="C43" s="1485" t="s">
        <v>6046</v>
      </c>
      <c r="D43" s="1488"/>
      <c r="E43" s="1488"/>
      <c r="F43" s="1488"/>
      <c r="G43" s="1488"/>
      <c r="H43" s="1488"/>
      <c r="I43" s="1488"/>
      <c r="J43" s="1488"/>
      <c r="K43" s="1488"/>
      <c r="L43" s="1488"/>
      <c r="M43" s="1488"/>
      <c r="N43" s="1488"/>
    </row>
    <row r="44" spans="2:15" x14ac:dyDescent="0.35">
      <c r="B44" s="1769"/>
      <c r="D44" s="1279"/>
      <c r="E44" s="1279"/>
      <c r="F44" s="1279"/>
      <c r="G44" s="1279"/>
      <c r="I44" s="1279"/>
      <c r="J44" s="1279"/>
      <c r="K44" s="1279"/>
      <c r="L44" s="1279"/>
      <c r="M44" s="1279"/>
      <c r="N44" s="1474"/>
    </row>
    <row r="45" spans="2:15" x14ac:dyDescent="0.35">
      <c r="B45" s="1769"/>
      <c r="C45" s="1485"/>
      <c r="D45" s="1765" t="s">
        <v>6047</v>
      </c>
      <c r="E45" s="1765"/>
      <c r="F45" s="1765"/>
      <c r="G45" s="1765"/>
      <c r="H45" s="1765"/>
      <c r="I45" s="1765"/>
      <c r="J45" s="1765"/>
      <c r="K45" s="1765"/>
      <c r="L45" s="1765"/>
      <c r="M45" s="1765"/>
      <c r="N45" s="1765"/>
    </row>
    <row r="46" spans="2:15" x14ac:dyDescent="0.35">
      <c r="B46" s="1769"/>
      <c r="C46" s="1485" t="s">
        <v>6043</v>
      </c>
      <c r="D46" s="410">
        <v>2020</v>
      </c>
      <c r="E46" s="410">
        <v>2021</v>
      </c>
      <c r="F46" s="410">
        <v>2022</v>
      </c>
      <c r="G46" s="410">
        <v>2023</v>
      </c>
      <c r="H46" s="410">
        <v>2024</v>
      </c>
      <c r="I46" s="410">
        <v>2025</v>
      </c>
      <c r="J46" s="410">
        <v>2026</v>
      </c>
      <c r="K46" s="410">
        <v>2027</v>
      </c>
      <c r="L46" s="410">
        <v>2028</v>
      </c>
      <c r="M46" s="410">
        <v>2029</v>
      </c>
      <c r="N46" s="410">
        <v>2030</v>
      </c>
    </row>
    <row r="47" spans="2:15" x14ac:dyDescent="0.35">
      <c r="B47" s="1769"/>
      <c r="C47" s="1486" t="s">
        <v>5975</v>
      </c>
      <c r="D47" s="1487"/>
      <c r="E47" s="1487"/>
      <c r="F47" s="1487"/>
      <c r="G47" s="1487"/>
      <c r="H47" s="1487"/>
      <c r="I47" s="1487"/>
      <c r="J47" s="1487"/>
      <c r="K47" s="1487"/>
      <c r="L47" s="1487"/>
      <c r="M47" s="1487"/>
      <c r="N47" s="1487"/>
    </row>
    <row r="48" spans="2:15" x14ac:dyDescent="0.35">
      <c r="B48" s="1769"/>
      <c r="C48" s="1486" t="s">
        <v>5976</v>
      </c>
      <c r="D48" s="1487"/>
      <c r="E48" s="1487"/>
      <c r="F48" s="1487"/>
      <c r="G48" s="1487"/>
      <c r="H48" s="1487"/>
      <c r="I48" s="1487"/>
      <c r="J48" s="1487"/>
      <c r="K48" s="1487"/>
      <c r="L48" s="1487"/>
      <c r="M48" s="1487"/>
      <c r="N48" s="1487"/>
    </row>
    <row r="49" spans="2:15" ht="15" thickBot="1" x14ac:dyDescent="0.4">
      <c r="B49" s="1769"/>
      <c r="C49" s="1486" t="s">
        <v>6004</v>
      </c>
      <c r="D49" s="1487"/>
      <c r="E49" s="1487"/>
      <c r="F49" s="1487"/>
      <c r="G49" s="1487"/>
      <c r="H49" s="1487"/>
      <c r="I49" s="1487"/>
      <c r="J49" s="1487"/>
      <c r="K49" s="1487"/>
      <c r="L49" s="1487"/>
      <c r="M49" s="1487"/>
      <c r="N49" s="1487"/>
    </row>
    <row r="50" spans="2:15" ht="21.5" thickBot="1" x14ac:dyDescent="0.4">
      <c r="B50" s="1769"/>
      <c r="C50" s="1485" t="s">
        <v>6045</v>
      </c>
      <c r="D50" s="1488"/>
      <c r="E50" s="1488"/>
      <c r="F50" s="1488"/>
      <c r="G50" s="1488"/>
      <c r="H50" s="1488"/>
      <c r="I50" s="1488"/>
      <c r="J50" s="1488"/>
      <c r="K50" s="1488"/>
      <c r="L50" s="1488"/>
      <c r="M50" s="1488"/>
      <c r="N50" s="1489"/>
      <c r="O50" s="1599"/>
    </row>
    <row r="51" spans="2:15" x14ac:dyDescent="0.35">
      <c r="B51" s="1769"/>
      <c r="C51" s="1485" t="s">
        <v>6046</v>
      </c>
      <c r="D51" s="1488"/>
      <c r="E51" s="1488"/>
      <c r="F51" s="1488"/>
      <c r="G51" s="1488"/>
      <c r="H51" s="1488"/>
      <c r="I51" s="1488"/>
      <c r="J51" s="1488"/>
      <c r="K51" s="1488"/>
      <c r="L51" s="1488"/>
      <c r="M51" s="1488"/>
      <c r="N51" s="1488"/>
    </row>
    <row r="52" spans="2:15" ht="15.5" x14ac:dyDescent="0.35">
      <c r="B52" s="1490"/>
    </row>
    <row r="53" spans="2:15" x14ac:dyDescent="0.35">
      <c r="B53" s="1769">
        <f>D6</f>
        <v>0</v>
      </c>
      <c r="C53" s="1485"/>
      <c r="D53" s="1765" t="s">
        <v>6042</v>
      </c>
      <c r="E53" s="1765"/>
      <c r="F53" s="1765"/>
      <c r="G53" s="1765"/>
      <c r="H53" s="1765"/>
      <c r="I53" s="1765"/>
      <c r="J53" s="1765"/>
      <c r="K53" s="1765"/>
      <c r="L53" s="1765"/>
      <c r="M53" s="1765"/>
      <c r="N53" s="1765"/>
    </row>
    <row r="54" spans="2:15" x14ac:dyDescent="0.35">
      <c r="B54" s="1769"/>
      <c r="C54" s="1485" t="s">
        <v>5887</v>
      </c>
      <c r="D54" s="410">
        <v>2020</v>
      </c>
      <c r="E54" s="410">
        <v>2021</v>
      </c>
      <c r="F54" s="410">
        <v>2022</v>
      </c>
      <c r="G54" s="410">
        <v>2023</v>
      </c>
      <c r="H54" s="410">
        <v>2024</v>
      </c>
      <c r="I54" s="410">
        <v>2025</v>
      </c>
      <c r="J54" s="410">
        <v>2026</v>
      </c>
      <c r="K54" s="410">
        <v>2027</v>
      </c>
      <c r="L54" s="410">
        <v>2028</v>
      </c>
      <c r="M54" s="410">
        <v>2029</v>
      </c>
      <c r="N54" s="410">
        <v>2030</v>
      </c>
    </row>
    <row r="55" spans="2:15" x14ac:dyDescent="0.35">
      <c r="B55" s="1769"/>
      <c r="C55" s="1486" t="s">
        <v>5975</v>
      </c>
      <c r="D55" s="1487"/>
      <c r="E55" s="1487"/>
      <c r="F55" s="1487"/>
      <c r="G55" s="1487"/>
      <c r="H55" s="1487"/>
      <c r="I55" s="1487"/>
      <c r="J55" s="1487"/>
      <c r="K55" s="1487"/>
      <c r="L55" s="1487"/>
      <c r="M55" s="1487"/>
      <c r="N55" s="1487"/>
    </row>
    <row r="56" spans="2:15" x14ac:dyDescent="0.35">
      <c r="B56" s="1769"/>
      <c r="C56" s="1486" t="s">
        <v>5976</v>
      </c>
      <c r="D56" s="1487"/>
      <c r="E56" s="1487"/>
      <c r="F56" s="1487"/>
      <c r="G56" s="1487"/>
      <c r="H56" s="1487"/>
      <c r="I56" s="1487"/>
      <c r="J56" s="1487"/>
      <c r="K56" s="1487"/>
      <c r="L56" s="1487"/>
      <c r="M56" s="1487"/>
      <c r="N56" s="1487"/>
    </row>
    <row r="57" spans="2:15" ht="15" thickBot="1" x14ac:dyDescent="0.4">
      <c r="B57" s="1769"/>
      <c r="C57" s="1486" t="s">
        <v>6004</v>
      </c>
      <c r="D57" s="1487"/>
      <c r="E57" s="1487"/>
      <c r="F57" s="1487"/>
      <c r="G57" s="1487"/>
      <c r="H57" s="1487"/>
      <c r="I57" s="1487"/>
      <c r="J57" s="1487"/>
      <c r="K57" s="1487"/>
      <c r="L57" s="1487"/>
      <c r="M57" s="1487"/>
      <c r="N57" s="1487"/>
    </row>
    <row r="58" spans="2:15" ht="21.5" thickBot="1" x14ac:dyDescent="0.4">
      <c r="B58" s="1769"/>
      <c r="C58" s="1485" t="s">
        <v>6045</v>
      </c>
      <c r="D58" s="1488"/>
      <c r="E58" s="1488"/>
      <c r="F58" s="1488"/>
      <c r="G58" s="1488"/>
      <c r="H58" s="1488"/>
      <c r="I58" s="1488"/>
      <c r="J58" s="1488"/>
      <c r="K58" s="1488"/>
      <c r="L58" s="1488"/>
      <c r="M58" s="1488"/>
      <c r="N58" s="1489"/>
      <c r="O58" s="1599"/>
    </row>
    <row r="59" spans="2:15" x14ac:dyDescent="0.35">
      <c r="B59" s="1769"/>
      <c r="C59" s="1485" t="s">
        <v>6046</v>
      </c>
      <c r="D59" s="1488"/>
      <c r="E59" s="1488"/>
      <c r="F59" s="1488"/>
      <c r="G59" s="1488"/>
      <c r="H59" s="1488"/>
      <c r="I59" s="1488"/>
      <c r="J59" s="1488"/>
      <c r="K59" s="1488"/>
      <c r="L59" s="1488"/>
      <c r="M59" s="1488"/>
      <c r="N59" s="1488"/>
    </row>
    <row r="60" spans="2:15" x14ac:dyDescent="0.35">
      <c r="B60" s="1769"/>
      <c r="D60" s="1279"/>
      <c r="E60" s="1279"/>
      <c r="F60" s="1279"/>
      <c r="G60" s="1279"/>
      <c r="I60" s="1279"/>
      <c r="J60" s="1279"/>
      <c r="K60" s="1279"/>
      <c r="L60" s="1279"/>
      <c r="M60" s="1279"/>
      <c r="N60" s="1474"/>
    </row>
    <row r="61" spans="2:15" x14ac:dyDescent="0.35">
      <c r="B61" s="1769"/>
      <c r="C61" s="1485"/>
      <c r="D61" s="1765" t="s">
        <v>6047</v>
      </c>
      <c r="E61" s="1765"/>
      <c r="F61" s="1765"/>
      <c r="G61" s="1765"/>
      <c r="H61" s="1765"/>
      <c r="I61" s="1765"/>
      <c r="J61" s="1765"/>
      <c r="K61" s="1765"/>
      <c r="L61" s="1765"/>
      <c r="M61" s="1765"/>
      <c r="N61" s="1765"/>
    </row>
    <row r="62" spans="2:15" x14ac:dyDescent="0.35">
      <c r="B62" s="1769"/>
      <c r="C62" s="1485" t="s">
        <v>6043</v>
      </c>
      <c r="D62" s="410">
        <v>2020</v>
      </c>
      <c r="E62" s="410">
        <v>2021</v>
      </c>
      <c r="F62" s="410">
        <v>2022</v>
      </c>
      <c r="G62" s="410">
        <v>2023</v>
      </c>
      <c r="H62" s="410">
        <v>2024</v>
      </c>
      <c r="I62" s="410">
        <v>2025</v>
      </c>
      <c r="J62" s="410">
        <v>2026</v>
      </c>
      <c r="K62" s="410">
        <v>2027</v>
      </c>
      <c r="L62" s="410">
        <v>2028</v>
      </c>
      <c r="M62" s="410">
        <v>2029</v>
      </c>
      <c r="N62" s="410">
        <v>2030</v>
      </c>
    </row>
    <row r="63" spans="2:15" x14ac:dyDescent="0.35">
      <c r="B63" s="1769"/>
      <c r="C63" s="1486" t="s">
        <v>5975</v>
      </c>
      <c r="D63" s="1487"/>
      <c r="E63" s="1487"/>
      <c r="F63" s="1487"/>
      <c r="G63" s="1487"/>
      <c r="H63" s="1487"/>
      <c r="I63" s="1487"/>
      <c r="J63" s="1487"/>
      <c r="K63" s="1487"/>
      <c r="L63" s="1487"/>
      <c r="M63" s="1487"/>
      <c r="N63" s="1487"/>
    </row>
    <row r="64" spans="2:15" x14ac:dyDescent="0.35">
      <c r="B64" s="1769"/>
      <c r="C64" s="1486" t="s">
        <v>5976</v>
      </c>
      <c r="D64" s="1487"/>
      <c r="E64" s="1487"/>
      <c r="F64" s="1487"/>
      <c r="G64" s="1487"/>
      <c r="H64" s="1487"/>
      <c r="I64" s="1487"/>
      <c r="J64" s="1487"/>
      <c r="K64" s="1487"/>
      <c r="L64" s="1487"/>
      <c r="M64" s="1487"/>
      <c r="N64" s="1487"/>
    </row>
    <row r="65" spans="2:15" ht="15" thickBot="1" x14ac:dyDescent="0.4">
      <c r="B65" s="1769"/>
      <c r="C65" s="1486" t="s">
        <v>6004</v>
      </c>
      <c r="D65" s="1487"/>
      <c r="E65" s="1487"/>
      <c r="F65" s="1487"/>
      <c r="G65" s="1487"/>
      <c r="H65" s="1487"/>
      <c r="I65" s="1487"/>
      <c r="J65" s="1487"/>
      <c r="K65" s="1487"/>
      <c r="L65" s="1487"/>
      <c r="M65" s="1487"/>
      <c r="N65" s="1487"/>
    </row>
    <row r="66" spans="2:15" ht="21.5" thickBot="1" x14ac:dyDescent="0.4">
      <c r="B66" s="1769"/>
      <c r="C66" s="1485" t="s">
        <v>6045</v>
      </c>
      <c r="D66" s="1488"/>
      <c r="E66" s="1488"/>
      <c r="F66" s="1488"/>
      <c r="G66" s="1488"/>
      <c r="H66" s="1488"/>
      <c r="I66" s="1488"/>
      <c r="J66" s="1488"/>
      <c r="K66" s="1488"/>
      <c r="L66" s="1488"/>
      <c r="M66" s="1488"/>
      <c r="N66" s="1489"/>
      <c r="O66" s="1599"/>
    </row>
    <row r="67" spans="2:15" x14ac:dyDescent="0.35">
      <c r="B67" s="1769"/>
      <c r="C67" s="1485" t="s">
        <v>6046</v>
      </c>
      <c r="D67" s="1488"/>
      <c r="E67" s="1488"/>
      <c r="F67" s="1488"/>
      <c r="G67" s="1488"/>
      <c r="H67" s="1488"/>
      <c r="I67" s="1488"/>
      <c r="J67" s="1488"/>
      <c r="K67" s="1488"/>
      <c r="L67" s="1488"/>
      <c r="M67" s="1488"/>
      <c r="N67" s="1488"/>
    </row>
    <row r="68" spans="2:15" ht="15.5" x14ac:dyDescent="0.35">
      <c r="B68" s="1490"/>
    </row>
    <row r="69" spans="2:15" x14ac:dyDescent="0.35">
      <c r="B69" s="1770">
        <f>D7</f>
        <v>0</v>
      </c>
      <c r="C69" s="1485"/>
      <c r="D69" s="1765" t="s">
        <v>6042</v>
      </c>
      <c r="E69" s="1765"/>
      <c r="F69" s="1765"/>
      <c r="G69" s="1765"/>
      <c r="H69" s="1765"/>
      <c r="I69" s="1765"/>
      <c r="J69" s="1765"/>
      <c r="K69" s="1765"/>
      <c r="L69" s="1765"/>
      <c r="M69" s="1765"/>
      <c r="N69" s="1765"/>
    </row>
    <row r="70" spans="2:15" x14ac:dyDescent="0.35">
      <c r="B70" s="1769"/>
      <c r="C70" s="1485" t="s">
        <v>5887</v>
      </c>
      <c r="D70" s="410">
        <v>2020</v>
      </c>
      <c r="E70" s="410">
        <v>2021</v>
      </c>
      <c r="F70" s="410">
        <v>2022</v>
      </c>
      <c r="G70" s="410">
        <v>2023</v>
      </c>
      <c r="H70" s="410">
        <v>2024</v>
      </c>
      <c r="I70" s="410">
        <v>2025</v>
      </c>
      <c r="J70" s="410">
        <v>2026</v>
      </c>
      <c r="K70" s="410">
        <v>2027</v>
      </c>
      <c r="L70" s="410">
        <v>2028</v>
      </c>
      <c r="M70" s="410">
        <v>2029</v>
      </c>
      <c r="N70" s="410">
        <v>2030</v>
      </c>
    </row>
    <row r="71" spans="2:15" x14ac:dyDescent="0.35">
      <c r="B71" s="1769"/>
      <c r="C71" s="1486" t="s">
        <v>5975</v>
      </c>
      <c r="D71" s="1487"/>
      <c r="E71" s="1487"/>
      <c r="F71" s="1487"/>
      <c r="G71" s="1487"/>
      <c r="H71" s="1487"/>
      <c r="I71" s="1487"/>
      <c r="J71" s="1487"/>
      <c r="K71" s="1487"/>
      <c r="L71" s="1487"/>
      <c r="M71" s="1487"/>
      <c r="N71" s="1487"/>
    </row>
    <row r="72" spans="2:15" x14ac:dyDescent="0.35">
      <c r="B72" s="1769"/>
      <c r="C72" s="1486" t="s">
        <v>5976</v>
      </c>
      <c r="D72" s="1487"/>
      <c r="E72" s="1487"/>
      <c r="F72" s="1487"/>
      <c r="G72" s="1487"/>
      <c r="H72" s="1487"/>
      <c r="I72" s="1487"/>
      <c r="J72" s="1487"/>
      <c r="K72" s="1487"/>
      <c r="L72" s="1487"/>
      <c r="M72" s="1487"/>
      <c r="N72" s="1487"/>
    </row>
    <row r="73" spans="2:15" ht="15" thickBot="1" x14ac:dyDescent="0.4">
      <c r="B73" s="1769"/>
      <c r="C73" s="1486" t="s">
        <v>6004</v>
      </c>
      <c r="D73" s="1487"/>
      <c r="E73" s="1487"/>
      <c r="F73" s="1487"/>
      <c r="G73" s="1487"/>
      <c r="H73" s="1487"/>
      <c r="I73" s="1487"/>
      <c r="J73" s="1487"/>
      <c r="K73" s="1487"/>
      <c r="L73" s="1487"/>
      <c r="M73" s="1487"/>
      <c r="N73" s="1487"/>
    </row>
    <row r="74" spans="2:15" ht="21.5" thickBot="1" x14ac:dyDescent="0.4">
      <c r="B74" s="1769"/>
      <c r="C74" s="1485" t="s">
        <v>6045</v>
      </c>
      <c r="D74" s="1488"/>
      <c r="E74" s="1488"/>
      <c r="F74" s="1488"/>
      <c r="G74" s="1488"/>
      <c r="H74" s="1488"/>
      <c r="I74" s="1488"/>
      <c r="J74" s="1488"/>
      <c r="K74" s="1488"/>
      <c r="L74" s="1488"/>
      <c r="M74" s="1488"/>
      <c r="N74" s="1489"/>
      <c r="O74" s="1599"/>
    </row>
    <row r="75" spans="2:15" x14ac:dyDescent="0.35">
      <c r="B75" s="1769"/>
      <c r="C75" s="1485" t="s">
        <v>6046</v>
      </c>
      <c r="D75" s="1488"/>
      <c r="E75" s="1488"/>
      <c r="F75" s="1488"/>
      <c r="G75" s="1488"/>
      <c r="H75" s="1488"/>
      <c r="I75" s="1488"/>
      <c r="J75" s="1488"/>
      <c r="K75" s="1488"/>
      <c r="L75" s="1488"/>
      <c r="M75" s="1488"/>
      <c r="N75" s="1488"/>
    </row>
    <row r="76" spans="2:15" x14ac:dyDescent="0.35">
      <c r="B76" s="1769"/>
      <c r="D76" s="1279"/>
      <c r="E76" s="1279"/>
      <c r="F76" s="1279"/>
      <c r="G76" s="1279"/>
      <c r="I76" s="1279"/>
      <c r="J76" s="1279"/>
      <c r="K76" s="1279"/>
      <c r="L76" s="1279"/>
      <c r="M76" s="1279"/>
      <c r="N76" s="1474"/>
    </row>
    <row r="77" spans="2:15" x14ac:dyDescent="0.35">
      <c r="B77" s="1769"/>
      <c r="C77" s="1485"/>
      <c r="D77" s="1765" t="s">
        <v>6047</v>
      </c>
      <c r="E77" s="1765"/>
      <c r="F77" s="1765"/>
      <c r="G77" s="1765"/>
      <c r="H77" s="1765"/>
      <c r="I77" s="1765"/>
      <c r="J77" s="1765"/>
      <c r="K77" s="1765"/>
      <c r="L77" s="1765"/>
      <c r="M77" s="1765"/>
      <c r="N77" s="1765"/>
    </row>
    <row r="78" spans="2:15" x14ac:dyDescent="0.35">
      <c r="B78" s="1769"/>
      <c r="C78" s="1485" t="s">
        <v>6043</v>
      </c>
      <c r="D78" s="410">
        <v>2020</v>
      </c>
      <c r="E78" s="410">
        <v>2021</v>
      </c>
      <c r="F78" s="410">
        <v>2022</v>
      </c>
      <c r="G78" s="410">
        <v>2023</v>
      </c>
      <c r="H78" s="410">
        <v>2024</v>
      </c>
      <c r="I78" s="410">
        <v>2025</v>
      </c>
      <c r="J78" s="410">
        <v>2026</v>
      </c>
      <c r="K78" s="410">
        <v>2027</v>
      </c>
      <c r="L78" s="410">
        <v>2028</v>
      </c>
      <c r="M78" s="410">
        <v>2029</v>
      </c>
      <c r="N78" s="410">
        <v>2030</v>
      </c>
    </row>
    <row r="79" spans="2:15" x14ac:dyDescent="0.35">
      <c r="B79" s="1769"/>
      <c r="C79" s="1486" t="s">
        <v>5975</v>
      </c>
      <c r="D79" s="1487"/>
      <c r="E79" s="1487"/>
      <c r="F79" s="1487"/>
      <c r="G79" s="1487"/>
      <c r="H79" s="1487"/>
      <c r="I79" s="1487"/>
      <c r="J79" s="1487"/>
      <c r="K79" s="1487"/>
      <c r="L79" s="1487"/>
      <c r="M79" s="1487"/>
      <c r="N79" s="1487"/>
    </row>
    <row r="80" spans="2:15" x14ac:dyDescent="0.35">
      <c r="B80" s="1769"/>
      <c r="C80" s="1486" t="s">
        <v>5976</v>
      </c>
      <c r="D80" s="1487"/>
      <c r="E80" s="1487"/>
      <c r="F80" s="1487"/>
      <c r="G80" s="1487"/>
      <c r="H80" s="1487"/>
      <c r="I80" s="1487"/>
      <c r="J80" s="1487"/>
      <c r="K80" s="1487"/>
      <c r="L80" s="1487"/>
      <c r="M80" s="1487"/>
      <c r="N80" s="1487"/>
    </row>
    <row r="81" spans="2:15" ht="15" thickBot="1" x14ac:dyDescent="0.4">
      <c r="B81" s="1769"/>
      <c r="C81" s="1486" t="s">
        <v>6004</v>
      </c>
      <c r="D81" s="1487"/>
      <c r="E81" s="1487"/>
      <c r="F81" s="1487"/>
      <c r="G81" s="1487"/>
      <c r="H81" s="1487"/>
      <c r="I81" s="1487"/>
      <c r="J81" s="1487"/>
      <c r="K81" s="1487"/>
      <c r="L81" s="1487"/>
      <c r="M81" s="1487"/>
      <c r="N81" s="1487"/>
    </row>
    <row r="82" spans="2:15" ht="21.5" thickBot="1" x14ac:dyDescent="0.4">
      <c r="B82" s="1769"/>
      <c r="C82" s="1485" t="s">
        <v>6045</v>
      </c>
      <c r="D82" s="1488"/>
      <c r="E82" s="1488"/>
      <c r="F82" s="1488"/>
      <c r="G82" s="1488"/>
      <c r="H82" s="1488"/>
      <c r="I82" s="1488"/>
      <c r="J82" s="1488"/>
      <c r="K82" s="1488"/>
      <c r="L82" s="1488"/>
      <c r="M82" s="1488"/>
      <c r="N82" s="1489"/>
      <c r="O82" s="1599"/>
    </row>
    <row r="83" spans="2:15" x14ac:dyDescent="0.35">
      <c r="B83" s="1769"/>
      <c r="C83" s="1485" t="s">
        <v>6046</v>
      </c>
      <c r="D83" s="1488"/>
      <c r="E83" s="1488"/>
      <c r="F83" s="1488"/>
      <c r="G83" s="1488"/>
      <c r="H83" s="1488"/>
      <c r="I83" s="1488"/>
      <c r="J83" s="1488"/>
      <c r="K83" s="1488"/>
      <c r="L83" s="1488"/>
      <c r="M83" s="1488"/>
      <c r="N83" s="1488"/>
    </row>
    <row r="84" spans="2:15" ht="15.5" x14ac:dyDescent="0.35">
      <c r="B84" s="1490"/>
    </row>
    <row r="85" spans="2:15" x14ac:dyDescent="0.35">
      <c r="B85" s="1769">
        <f>D8</f>
        <v>0</v>
      </c>
      <c r="C85" s="1485"/>
      <c r="D85" s="1765" t="s">
        <v>6042</v>
      </c>
      <c r="E85" s="1765"/>
      <c r="F85" s="1765"/>
      <c r="G85" s="1765"/>
      <c r="H85" s="1765"/>
      <c r="I85" s="1765"/>
      <c r="J85" s="1765"/>
      <c r="K85" s="1765"/>
      <c r="L85" s="1765"/>
      <c r="M85" s="1765"/>
      <c r="N85" s="1765"/>
    </row>
    <row r="86" spans="2:15" x14ac:dyDescent="0.35">
      <c r="B86" s="1769"/>
      <c r="C86" s="1485" t="s">
        <v>5887</v>
      </c>
      <c r="D86" s="410">
        <v>2020</v>
      </c>
      <c r="E86" s="410">
        <v>2021</v>
      </c>
      <c r="F86" s="410">
        <v>2022</v>
      </c>
      <c r="G86" s="410">
        <v>2023</v>
      </c>
      <c r="H86" s="410">
        <v>2024</v>
      </c>
      <c r="I86" s="410">
        <v>2025</v>
      </c>
      <c r="J86" s="410">
        <v>2026</v>
      </c>
      <c r="K86" s="410">
        <v>2027</v>
      </c>
      <c r="L86" s="410">
        <v>2028</v>
      </c>
      <c r="M86" s="410">
        <v>2029</v>
      </c>
      <c r="N86" s="410">
        <v>2030</v>
      </c>
    </row>
    <row r="87" spans="2:15" x14ac:dyDescent="0.35">
      <c r="B87" s="1769"/>
      <c r="C87" s="1486" t="s">
        <v>5975</v>
      </c>
      <c r="D87" s="1487"/>
      <c r="E87" s="1487"/>
      <c r="F87" s="1487"/>
      <c r="G87" s="1487"/>
      <c r="H87" s="1487"/>
      <c r="I87" s="1487"/>
      <c r="J87" s="1487"/>
      <c r="K87" s="1487"/>
      <c r="L87" s="1487"/>
      <c r="M87" s="1487"/>
      <c r="N87" s="1487"/>
    </row>
    <row r="88" spans="2:15" x14ac:dyDescent="0.35">
      <c r="B88" s="1769"/>
      <c r="C88" s="1486" t="s">
        <v>5976</v>
      </c>
      <c r="D88" s="1487"/>
      <c r="E88" s="1487"/>
      <c r="F88" s="1487"/>
      <c r="G88" s="1487"/>
      <c r="H88" s="1487"/>
      <c r="I88" s="1487"/>
      <c r="J88" s="1487"/>
      <c r="K88" s="1487"/>
      <c r="L88" s="1487"/>
      <c r="M88" s="1487"/>
      <c r="N88" s="1487"/>
    </row>
    <row r="89" spans="2:15" ht="15" thickBot="1" x14ac:dyDescent="0.4">
      <c r="B89" s="1769"/>
      <c r="C89" s="1486" t="s">
        <v>6004</v>
      </c>
      <c r="D89" s="1487"/>
      <c r="E89" s="1487"/>
      <c r="F89" s="1487"/>
      <c r="G89" s="1487"/>
      <c r="H89" s="1487"/>
      <c r="I89" s="1487"/>
      <c r="J89" s="1487"/>
      <c r="K89" s="1487"/>
      <c r="L89" s="1487"/>
      <c r="M89" s="1487"/>
      <c r="N89" s="1487"/>
    </row>
    <row r="90" spans="2:15" ht="21.5" thickBot="1" x14ac:dyDescent="0.4">
      <c r="B90" s="1769"/>
      <c r="C90" s="1485" t="s">
        <v>6045</v>
      </c>
      <c r="D90" s="1488"/>
      <c r="E90" s="1488"/>
      <c r="F90" s="1488"/>
      <c r="G90" s="1488"/>
      <c r="H90" s="1488"/>
      <c r="I90" s="1488"/>
      <c r="J90" s="1488"/>
      <c r="K90" s="1488"/>
      <c r="L90" s="1488"/>
      <c r="M90" s="1488"/>
      <c r="N90" s="1489"/>
      <c r="O90" s="1599"/>
    </row>
    <row r="91" spans="2:15" x14ac:dyDescent="0.35">
      <c r="B91" s="1769"/>
      <c r="C91" s="1485" t="s">
        <v>6046</v>
      </c>
      <c r="D91" s="1488"/>
      <c r="E91" s="1488"/>
      <c r="F91" s="1488"/>
      <c r="G91" s="1488"/>
      <c r="H91" s="1488"/>
      <c r="I91" s="1488"/>
      <c r="J91" s="1488"/>
      <c r="K91" s="1488"/>
      <c r="L91" s="1488"/>
      <c r="M91" s="1488"/>
      <c r="N91" s="1488"/>
    </row>
    <row r="92" spans="2:15" x14ac:dyDescent="0.35">
      <c r="B92" s="1769"/>
      <c r="D92" s="1279"/>
      <c r="E92" s="1279"/>
      <c r="F92" s="1279"/>
      <c r="G92" s="1279"/>
      <c r="I92" s="1279"/>
      <c r="J92" s="1279"/>
      <c r="K92" s="1279"/>
      <c r="L92" s="1279"/>
      <c r="M92" s="1279"/>
      <c r="N92" s="1474"/>
    </row>
    <row r="93" spans="2:15" x14ac:dyDescent="0.35">
      <c r="B93" s="1769"/>
      <c r="C93" s="1485"/>
      <c r="D93" s="1765" t="s">
        <v>6047</v>
      </c>
      <c r="E93" s="1765"/>
      <c r="F93" s="1765"/>
      <c r="G93" s="1765"/>
      <c r="H93" s="1765"/>
      <c r="I93" s="1765"/>
      <c r="J93" s="1765"/>
      <c r="K93" s="1765"/>
      <c r="L93" s="1765"/>
      <c r="M93" s="1765"/>
      <c r="N93" s="1765"/>
    </row>
    <row r="94" spans="2:15" x14ac:dyDescent="0.35">
      <c r="B94" s="1769"/>
      <c r="C94" s="1485" t="s">
        <v>6043</v>
      </c>
      <c r="D94" s="410">
        <v>2020</v>
      </c>
      <c r="E94" s="410">
        <v>2021</v>
      </c>
      <c r="F94" s="410">
        <v>2022</v>
      </c>
      <c r="G94" s="410">
        <v>2023</v>
      </c>
      <c r="H94" s="410">
        <v>2024</v>
      </c>
      <c r="I94" s="410">
        <v>2025</v>
      </c>
      <c r="J94" s="410">
        <v>2026</v>
      </c>
      <c r="K94" s="410">
        <v>2027</v>
      </c>
      <c r="L94" s="410">
        <v>2028</v>
      </c>
      <c r="M94" s="410">
        <v>2029</v>
      </c>
      <c r="N94" s="410">
        <v>2030</v>
      </c>
    </row>
    <row r="95" spans="2:15" x14ac:dyDescent="0.35">
      <c r="B95" s="1769"/>
      <c r="C95" s="1486" t="s">
        <v>5975</v>
      </c>
      <c r="D95" s="1487"/>
      <c r="E95" s="1487"/>
      <c r="F95" s="1487"/>
      <c r="G95" s="1487"/>
      <c r="H95" s="1487"/>
      <c r="I95" s="1487"/>
      <c r="J95" s="1487"/>
      <c r="K95" s="1487"/>
      <c r="L95" s="1487"/>
      <c r="M95" s="1487"/>
      <c r="N95" s="1487"/>
    </row>
    <row r="96" spans="2:15" x14ac:dyDescent="0.35">
      <c r="B96" s="1769"/>
      <c r="C96" s="1486" t="s">
        <v>5976</v>
      </c>
      <c r="D96" s="1487"/>
      <c r="E96" s="1487"/>
      <c r="F96" s="1487"/>
      <c r="G96" s="1487"/>
      <c r="H96" s="1487"/>
      <c r="I96" s="1487"/>
      <c r="J96" s="1487"/>
      <c r="K96" s="1487"/>
      <c r="L96" s="1487"/>
      <c r="M96" s="1487"/>
      <c r="N96" s="1487"/>
    </row>
    <row r="97" spans="2:15" ht="15" thickBot="1" x14ac:dyDescent="0.4">
      <c r="B97" s="1769"/>
      <c r="C97" s="1486" t="s">
        <v>6004</v>
      </c>
      <c r="D97" s="1487"/>
      <c r="E97" s="1487"/>
      <c r="F97" s="1487"/>
      <c r="G97" s="1487"/>
      <c r="H97" s="1487"/>
      <c r="I97" s="1487"/>
      <c r="J97" s="1487"/>
      <c r="K97" s="1487"/>
      <c r="L97" s="1487"/>
      <c r="M97" s="1487"/>
      <c r="N97" s="1487"/>
    </row>
    <row r="98" spans="2:15" ht="21.5" thickBot="1" x14ac:dyDescent="0.4">
      <c r="B98" s="1769"/>
      <c r="C98" s="1485" t="s">
        <v>6045</v>
      </c>
      <c r="D98" s="1488"/>
      <c r="E98" s="1488"/>
      <c r="F98" s="1488"/>
      <c r="G98" s="1488"/>
      <c r="H98" s="1488"/>
      <c r="I98" s="1488"/>
      <c r="J98" s="1488"/>
      <c r="K98" s="1488"/>
      <c r="L98" s="1488"/>
      <c r="M98" s="1488"/>
      <c r="N98" s="1489"/>
      <c r="O98" s="1599"/>
    </row>
    <row r="99" spans="2:15" x14ac:dyDescent="0.35">
      <c r="B99" s="1769"/>
      <c r="C99" s="1485" t="s">
        <v>6046</v>
      </c>
      <c r="D99" s="1488"/>
      <c r="E99" s="1488"/>
      <c r="F99" s="1488"/>
      <c r="G99" s="1488"/>
      <c r="H99" s="1488"/>
      <c r="I99" s="1488"/>
      <c r="J99" s="1488"/>
      <c r="K99" s="1488"/>
      <c r="L99" s="1488"/>
      <c r="M99" s="1488"/>
      <c r="N99" s="1488"/>
    </row>
    <row r="100" spans="2:15" ht="15.5" x14ac:dyDescent="0.35">
      <c r="B100" s="1490"/>
    </row>
    <row r="101" spans="2:15" x14ac:dyDescent="0.35">
      <c r="B101" s="1769">
        <f>D9</f>
        <v>0</v>
      </c>
      <c r="C101" s="1485"/>
      <c r="D101" s="1765" t="s">
        <v>6042</v>
      </c>
      <c r="E101" s="1765"/>
      <c r="F101" s="1765"/>
      <c r="G101" s="1765"/>
      <c r="H101" s="1765"/>
      <c r="I101" s="1765"/>
      <c r="J101" s="1765"/>
      <c r="K101" s="1765"/>
      <c r="L101" s="1765"/>
      <c r="M101" s="1765"/>
      <c r="N101" s="1765"/>
    </row>
    <row r="102" spans="2:15" x14ac:dyDescent="0.35">
      <c r="B102" s="1769"/>
      <c r="C102" s="1485" t="s">
        <v>5887</v>
      </c>
      <c r="D102" s="410">
        <v>2020</v>
      </c>
      <c r="E102" s="410">
        <v>2021</v>
      </c>
      <c r="F102" s="410">
        <v>2022</v>
      </c>
      <c r="G102" s="410">
        <v>2023</v>
      </c>
      <c r="H102" s="410">
        <v>2024</v>
      </c>
      <c r="I102" s="410">
        <v>2025</v>
      </c>
      <c r="J102" s="410">
        <v>2026</v>
      </c>
      <c r="K102" s="410">
        <v>2027</v>
      </c>
      <c r="L102" s="410">
        <v>2028</v>
      </c>
      <c r="M102" s="410">
        <v>2029</v>
      </c>
      <c r="N102" s="410">
        <v>2030</v>
      </c>
    </row>
    <row r="103" spans="2:15" x14ac:dyDescent="0.35">
      <c r="B103" s="1769"/>
      <c r="C103" s="1486" t="s">
        <v>5975</v>
      </c>
      <c r="D103" s="1487"/>
      <c r="E103" s="1487"/>
      <c r="F103" s="1487"/>
      <c r="G103" s="1487"/>
      <c r="H103" s="1487"/>
      <c r="I103" s="1487"/>
      <c r="J103" s="1487"/>
      <c r="K103" s="1487"/>
      <c r="L103" s="1487"/>
      <c r="M103" s="1487"/>
      <c r="N103" s="1487"/>
    </row>
    <row r="104" spans="2:15" x14ac:dyDescent="0.35">
      <c r="B104" s="1769"/>
      <c r="C104" s="1486" t="s">
        <v>5976</v>
      </c>
      <c r="D104" s="1487"/>
      <c r="E104" s="1487"/>
      <c r="F104" s="1487"/>
      <c r="G104" s="1487"/>
      <c r="H104" s="1487"/>
      <c r="I104" s="1487"/>
      <c r="J104" s="1487"/>
      <c r="K104" s="1487"/>
      <c r="L104" s="1487"/>
      <c r="M104" s="1487"/>
      <c r="N104" s="1487"/>
    </row>
    <row r="105" spans="2:15" ht="15" thickBot="1" x14ac:dyDescent="0.4">
      <c r="B105" s="1769"/>
      <c r="C105" s="1486" t="s">
        <v>6004</v>
      </c>
      <c r="D105" s="1487"/>
      <c r="E105" s="1487"/>
      <c r="F105" s="1487"/>
      <c r="G105" s="1487"/>
      <c r="H105" s="1487"/>
      <c r="I105" s="1487"/>
      <c r="J105" s="1487"/>
      <c r="K105" s="1487"/>
      <c r="L105" s="1487"/>
      <c r="M105" s="1487"/>
      <c r="N105" s="1487"/>
    </row>
    <row r="106" spans="2:15" ht="21.5" thickBot="1" x14ac:dyDescent="0.4">
      <c r="B106" s="1769"/>
      <c r="C106" s="1485" t="s">
        <v>6045</v>
      </c>
      <c r="D106" s="1488"/>
      <c r="E106" s="1488"/>
      <c r="F106" s="1488"/>
      <c r="G106" s="1488"/>
      <c r="H106" s="1488"/>
      <c r="I106" s="1488"/>
      <c r="J106" s="1488"/>
      <c r="K106" s="1488"/>
      <c r="L106" s="1488"/>
      <c r="M106" s="1488"/>
      <c r="N106" s="1489"/>
      <c r="O106" s="1599"/>
    </row>
    <row r="107" spans="2:15" x14ac:dyDescent="0.35">
      <c r="B107" s="1769"/>
      <c r="C107" s="1485" t="s">
        <v>6046</v>
      </c>
      <c r="D107" s="1488"/>
      <c r="E107" s="1488"/>
      <c r="F107" s="1488"/>
      <c r="G107" s="1488"/>
      <c r="H107" s="1488"/>
      <c r="I107" s="1488"/>
      <c r="J107" s="1488"/>
      <c r="K107" s="1488"/>
      <c r="L107" s="1488"/>
      <c r="M107" s="1488"/>
      <c r="N107" s="1488"/>
    </row>
    <row r="108" spans="2:15" x14ac:dyDescent="0.35">
      <c r="B108" s="1769"/>
      <c r="D108" s="1279"/>
      <c r="E108" s="1279"/>
      <c r="F108" s="1279"/>
      <c r="G108" s="1279"/>
      <c r="I108" s="1279"/>
      <c r="J108" s="1279"/>
      <c r="K108" s="1279"/>
      <c r="L108" s="1279"/>
      <c r="M108" s="1279"/>
      <c r="N108" s="1474"/>
    </row>
    <row r="109" spans="2:15" x14ac:dyDescent="0.35">
      <c r="B109" s="1769"/>
      <c r="C109" s="1485"/>
      <c r="D109" s="1765" t="s">
        <v>6047</v>
      </c>
      <c r="E109" s="1765"/>
      <c r="F109" s="1765"/>
      <c r="G109" s="1765"/>
      <c r="H109" s="1765"/>
      <c r="I109" s="1765"/>
      <c r="J109" s="1765"/>
      <c r="K109" s="1765"/>
      <c r="L109" s="1765"/>
      <c r="M109" s="1765"/>
      <c r="N109" s="1765"/>
    </row>
    <row r="110" spans="2:15" x14ac:dyDescent="0.35">
      <c r="B110" s="1769"/>
      <c r="C110" s="1485" t="s">
        <v>6043</v>
      </c>
      <c r="D110" s="410">
        <v>2020</v>
      </c>
      <c r="E110" s="410">
        <v>2021</v>
      </c>
      <c r="F110" s="410">
        <v>2022</v>
      </c>
      <c r="G110" s="410">
        <v>2023</v>
      </c>
      <c r="H110" s="410">
        <v>2024</v>
      </c>
      <c r="I110" s="410">
        <v>2025</v>
      </c>
      <c r="J110" s="410">
        <v>2026</v>
      </c>
      <c r="K110" s="410">
        <v>2027</v>
      </c>
      <c r="L110" s="410">
        <v>2028</v>
      </c>
      <c r="M110" s="410">
        <v>2029</v>
      </c>
      <c r="N110" s="410">
        <v>2030</v>
      </c>
    </row>
    <row r="111" spans="2:15" x14ac:dyDescent="0.35">
      <c r="B111" s="1769"/>
      <c r="C111" s="1486" t="s">
        <v>5975</v>
      </c>
      <c r="D111" s="1487"/>
      <c r="E111" s="1487"/>
      <c r="F111" s="1487"/>
      <c r="G111" s="1487"/>
      <c r="H111" s="1487"/>
      <c r="I111" s="1487"/>
      <c r="J111" s="1487"/>
      <c r="K111" s="1487"/>
      <c r="L111" s="1487"/>
      <c r="M111" s="1487"/>
      <c r="N111" s="1487"/>
    </row>
    <row r="112" spans="2:15" x14ac:dyDescent="0.35">
      <c r="B112" s="1769"/>
      <c r="C112" s="1486" t="s">
        <v>5976</v>
      </c>
      <c r="D112" s="1487"/>
      <c r="E112" s="1487"/>
      <c r="F112" s="1487"/>
      <c r="G112" s="1487"/>
      <c r="H112" s="1487"/>
      <c r="I112" s="1487"/>
      <c r="J112" s="1487"/>
      <c r="K112" s="1487"/>
      <c r="L112" s="1487"/>
      <c r="M112" s="1487"/>
      <c r="N112" s="1487"/>
    </row>
    <row r="113" spans="2:15" ht="15" thickBot="1" x14ac:dyDescent="0.4">
      <c r="B113" s="1769"/>
      <c r="C113" s="1486" t="s">
        <v>6004</v>
      </c>
      <c r="D113" s="1487"/>
      <c r="E113" s="1487"/>
      <c r="F113" s="1487"/>
      <c r="G113" s="1487"/>
      <c r="H113" s="1487"/>
      <c r="I113" s="1487"/>
      <c r="J113" s="1487"/>
      <c r="K113" s="1487"/>
      <c r="L113" s="1487"/>
      <c r="M113" s="1487"/>
      <c r="N113" s="1487"/>
    </row>
    <row r="114" spans="2:15" ht="21.5" thickBot="1" x14ac:dyDescent="0.4">
      <c r="B114" s="1769"/>
      <c r="C114" s="1485" t="s">
        <v>6045</v>
      </c>
      <c r="D114" s="1488"/>
      <c r="E114" s="1488"/>
      <c r="F114" s="1488"/>
      <c r="G114" s="1488"/>
      <c r="H114" s="1488"/>
      <c r="I114" s="1488"/>
      <c r="J114" s="1488"/>
      <c r="K114" s="1488"/>
      <c r="L114" s="1488"/>
      <c r="M114" s="1488"/>
      <c r="N114" s="1489"/>
      <c r="O114" s="1599"/>
    </row>
    <row r="115" spans="2:15" x14ac:dyDescent="0.35">
      <c r="B115" s="1769"/>
      <c r="C115" s="1485" t="s">
        <v>6046</v>
      </c>
      <c r="D115" s="1488"/>
      <c r="E115" s="1488"/>
      <c r="F115" s="1488"/>
      <c r="G115" s="1488"/>
      <c r="H115" s="1488"/>
      <c r="I115" s="1488"/>
      <c r="J115" s="1488"/>
      <c r="K115" s="1488"/>
      <c r="L115" s="1488"/>
      <c r="M115" s="1488"/>
      <c r="N115" s="1488"/>
    </row>
    <row r="117" spans="2:15" x14ac:dyDescent="0.35">
      <c r="B117" s="1769">
        <f>D10</f>
        <v>0</v>
      </c>
      <c r="C117" s="1485"/>
      <c r="D117" s="1765" t="s">
        <v>6042</v>
      </c>
      <c r="E117" s="1765"/>
      <c r="F117" s="1765"/>
      <c r="G117" s="1765"/>
      <c r="H117" s="1765"/>
      <c r="I117" s="1765"/>
      <c r="J117" s="1765"/>
      <c r="K117" s="1765"/>
      <c r="L117" s="1765"/>
      <c r="M117" s="1765"/>
      <c r="N117" s="1765"/>
    </row>
    <row r="118" spans="2:15" x14ac:dyDescent="0.35">
      <c r="B118" s="1769"/>
      <c r="C118" s="1485" t="s">
        <v>5887</v>
      </c>
      <c r="D118" s="1604">
        <v>2020</v>
      </c>
      <c r="E118" s="1604">
        <v>2021</v>
      </c>
      <c r="F118" s="1604">
        <v>2022</v>
      </c>
      <c r="G118" s="1604">
        <v>2023</v>
      </c>
      <c r="H118" s="1604">
        <v>2024</v>
      </c>
      <c r="I118" s="1604">
        <v>2025</v>
      </c>
      <c r="J118" s="1604">
        <v>2026</v>
      </c>
      <c r="K118" s="1604">
        <v>2027</v>
      </c>
      <c r="L118" s="1604">
        <v>2028</v>
      </c>
      <c r="M118" s="1604">
        <v>2029</v>
      </c>
      <c r="N118" s="1604">
        <v>2030</v>
      </c>
    </row>
    <row r="119" spans="2:15" x14ac:dyDescent="0.35">
      <c r="B119" s="1769"/>
      <c r="C119" s="1486" t="s">
        <v>5975</v>
      </c>
      <c r="D119" s="1487"/>
      <c r="E119" s="1487"/>
      <c r="F119" s="1487"/>
      <c r="G119" s="1487"/>
      <c r="H119" s="1487"/>
      <c r="I119" s="1487"/>
      <c r="J119" s="1487"/>
      <c r="K119" s="1487"/>
      <c r="L119" s="1487"/>
      <c r="M119" s="1487"/>
      <c r="N119" s="1487"/>
    </row>
    <row r="120" spans="2:15" x14ac:dyDescent="0.35">
      <c r="B120" s="1769"/>
      <c r="C120" s="1486" t="s">
        <v>5976</v>
      </c>
      <c r="D120" s="1487"/>
      <c r="E120" s="1487"/>
      <c r="F120" s="1487"/>
      <c r="G120" s="1487"/>
      <c r="H120" s="1487"/>
      <c r="I120" s="1487"/>
      <c r="J120" s="1487"/>
      <c r="K120" s="1487"/>
      <c r="L120" s="1487"/>
      <c r="M120" s="1487"/>
      <c r="N120" s="1487"/>
    </row>
    <row r="121" spans="2:15" ht="15" thickBot="1" x14ac:dyDescent="0.4">
      <c r="B121" s="1769"/>
      <c r="C121" s="1486" t="s">
        <v>6004</v>
      </c>
      <c r="D121" s="1487"/>
      <c r="E121" s="1487"/>
      <c r="F121" s="1487"/>
      <c r="G121" s="1487"/>
      <c r="H121" s="1487"/>
      <c r="I121" s="1487"/>
      <c r="J121" s="1487"/>
      <c r="K121" s="1487"/>
      <c r="L121" s="1487"/>
      <c r="M121" s="1487"/>
      <c r="N121" s="1487"/>
    </row>
    <row r="122" spans="2:15" ht="21.5" thickBot="1" x14ac:dyDescent="0.4">
      <c r="B122" s="1769"/>
      <c r="C122" s="1485" t="s">
        <v>6045</v>
      </c>
      <c r="D122" s="1488"/>
      <c r="E122" s="1488"/>
      <c r="F122" s="1488"/>
      <c r="G122" s="1488"/>
      <c r="H122" s="1488"/>
      <c r="I122" s="1488"/>
      <c r="J122" s="1488"/>
      <c r="K122" s="1488"/>
      <c r="L122" s="1488"/>
      <c r="M122" s="1488"/>
      <c r="N122" s="1489"/>
      <c r="O122" s="1599"/>
    </row>
    <row r="123" spans="2:15" x14ac:dyDescent="0.35">
      <c r="B123" s="1769"/>
      <c r="C123" s="1485" t="s">
        <v>6046</v>
      </c>
      <c r="D123" s="1488"/>
      <c r="E123" s="1488"/>
      <c r="F123" s="1488"/>
      <c r="G123" s="1488"/>
      <c r="H123" s="1488"/>
      <c r="I123" s="1488"/>
      <c r="J123" s="1488"/>
      <c r="K123" s="1488"/>
      <c r="L123" s="1488"/>
      <c r="M123" s="1488"/>
      <c r="N123" s="1488"/>
    </row>
    <row r="124" spans="2:15" x14ac:dyDescent="0.35">
      <c r="B124" s="1769"/>
      <c r="D124" s="1279"/>
      <c r="E124" s="1279"/>
      <c r="F124" s="1279"/>
      <c r="G124" s="1279"/>
      <c r="I124" s="1279"/>
      <c r="J124" s="1279"/>
      <c r="K124" s="1279"/>
      <c r="L124" s="1279"/>
      <c r="M124" s="1279"/>
      <c r="N124" s="1474"/>
    </row>
    <row r="125" spans="2:15" x14ac:dyDescent="0.35">
      <c r="B125" s="1769"/>
      <c r="C125" s="1485"/>
      <c r="D125" s="1765" t="s">
        <v>6047</v>
      </c>
      <c r="E125" s="1765"/>
      <c r="F125" s="1765"/>
      <c r="G125" s="1765"/>
      <c r="H125" s="1765"/>
      <c r="I125" s="1765"/>
      <c r="J125" s="1765"/>
      <c r="K125" s="1765"/>
      <c r="L125" s="1765"/>
      <c r="M125" s="1765"/>
      <c r="N125" s="1765"/>
    </row>
    <row r="126" spans="2:15" x14ac:dyDescent="0.35">
      <c r="B126" s="1769"/>
      <c r="C126" s="1485" t="s">
        <v>6043</v>
      </c>
      <c r="D126" s="1604">
        <v>2020</v>
      </c>
      <c r="E126" s="1604">
        <v>2021</v>
      </c>
      <c r="F126" s="1604">
        <v>2022</v>
      </c>
      <c r="G126" s="1604">
        <v>2023</v>
      </c>
      <c r="H126" s="1604">
        <v>2024</v>
      </c>
      <c r="I126" s="1604">
        <v>2025</v>
      </c>
      <c r="J126" s="1604">
        <v>2026</v>
      </c>
      <c r="K126" s="1604">
        <v>2027</v>
      </c>
      <c r="L126" s="1604">
        <v>2028</v>
      </c>
      <c r="M126" s="1604">
        <v>2029</v>
      </c>
      <c r="N126" s="1604">
        <v>2030</v>
      </c>
    </row>
    <row r="127" spans="2:15" x14ac:dyDescent="0.35">
      <c r="B127" s="1769"/>
      <c r="C127" s="1486" t="s">
        <v>5975</v>
      </c>
      <c r="D127" s="1487"/>
      <c r="E127" s="1487"/>
      <c r="F127" s="1487"/>
      <c r="G127" s="1487"/>
      <c r="H127" s="1487"/>
      <c r="I127" s="1487"/>
      <c r="J127" s="1487"/>
      <c r="K127" s="1487"/>
      <c r="L127" s="1487"/>
      <c r="M127" s="1487"/>
      <c r="N127" s="1487"/>
    </row>
    <row r="128" spans="2:15" x14ac:dyDescent="0.35">
      <c r="B128" s="1769"/>
      <c r="C128" s="1486" t="s">
        <v>5976</v>
      </c>
      <c r="D128" s="1487"/>
      <c r="E128" s="1487"/>
      <c r="F128" s="1487"/>
      <c r="G128" s="1487"/>
      <c r="H128" s="1487"/>
      <c r="I128" s="1487"/>
      <c r="J128" s="1487"/>
      <c r="K128" s="1487"/>
      <c r="L128" s="1487"/>
      <c r="M128" s="1487"/>
      <c r="N128" s="1487"/>
    </row>
    <row r="129" spans="2:15" ht="15" thickBot="1" x14ac:dyDescent="0.4">
      <c r="B129" s="1769"/>
      <c r="C129" s="1486" t="s">
        <v>6004</v>
      </c>
      <c r="D129" s="1487"/>
      <c r="E129" s="1487"/>
      <c r="F129" s="1487"/>
      <c r="G129" s="1487"/>
      <c r="H129" s="1487"/>
      <c r="I129" s="1487"/>
      <c r="J129" s="1487"/>
      <c r="K129" s="1487"/>
      <c r="L129" s="1487"/>
      <c r="M129" s="1487"/>
      <c r="N129" s="1487"/>
    </row>
    <row r="130" spans="2:15" ht="21.5" thickBot="1" x14ac:dyDescent="0.4">
      <c r="B130" s="1769"/>
      <c r="C130" s="1485" t="s">
        <v>6045</v>
      </c>
      <c r="D130" s="1488"/>
      <c r="E130" s="1488"/>
      <c r="F130" s="1488"/>
      <c r="G130" s="1488"/>
      <c r="H130" s="1488"/>
      <c r="I130" s="1488"/>
      <c r="J130" s="1488"/>
      <c r="K130" s="1488"/>
      <c r="L130" s="1488"/>
      <c r="M130" s="1488"/>
      <c r="N130" s="1489"/>
      <c r="O130" s="1599"/>
    </row>
    <row r="131" spans="2:15" x14ac:dyDescent="0.35">
      <c r="B131" s="1769"/>
      <c r="C131" s="1485" t="s">
        <v>6046</v>
      </c>
      <c r="D131" s="1488"/>
      <c r="E131" s="1488"/>
      <c r="F131" s="1488"/>
      <c r="G131" s="1488"/>
      <c r="H131" s="1488"/>
      <c r="I131" s="1488"/>
      <c r="J131" s="1488"/>
      <c r="K131" s="1488"/>
      <c r="L131" s="1488"/>
      <c r="M131" s="1488"/>
      <c r="N131" s="1488"/>
    </row>
    <row r="133" spans="2:15" x14ac:dyDescent="0.35">
      <c r="B133" s="1769">
        <f>D11</f>
        <v>0</v>
      </c>
      <c r="C133" s="1485"/>
      <c r="D133" s="1765" t="s">
        <v>6042</v>
      </c>
      <c r="E133" s="1765"/>
      <c r="F133" s="1765"/>
      <c r="G133" s="1765"/>
      <c r="H133" s="1765"/>
      <c r="I133" s="1765"/>
      <c r="J133" s="1765"/>
      <c r="K133" s="1765"/>
      <c r="L133" s="1765"/>
      <c r="M133" s="1765"/>
      <c r="N133" s="1765"/>
    </row>
    <row r="134" spans="2:15" x14ac:dyDescent="0.35">
      <c r="B134" s="1769"/>
      <c r="C134" s="1485" t="s">
        <v>5887</v>
      </c>
      <c r="D134" s="1604">
        <v>2020</v>
      </c>
      <c r="E134" s="1604">
        <v>2021</v>
      </c>
      <c r="F134" s="1604">
        <v>2022</v>
      </c>
      <c r="G134" s="1604">
        <v>2023</v>
      </c>
      <c r="H134" s="1604">
        <v>2024</v>
      </c>
      <c r="I134" s="1604">
        <v>2025</v>
      </c>
      <c r="J134" s="1604">
        <v>2026</v>
      </c>
      <c r="K134" s="1604">
        <v>2027</v>
      </c>
      <c r="L134" s="1604">
        <v>2028</v>
      </c>
      <c r="M134" s="1604">
        <v>2029</v>
      </c>
      <c r="N134" s="1604">
        <v>2030</v>
      </c>
    </row>
    <row r="135" spans="2:15" x14ac:dyDescent="0.35">
      <c r="B135" s="1769"/>
      <c r="C135" s="1486" t="s">
        <v>5975</v>
      </c>
      <c r="D135" s="1487"/>
      <c r="E135" s="1487"/>
      <c r="F135" s="1487"/>
      <c r="G135" s="1487"/>
      <c r="H135" s="1487"/>
      <c r="I135" s="1487"/>
      <c r="J135" s="1487"/>
      <c r="K135" s="1487"/>
      <c r="L135" s="1487"/>
      <c r="M135" s="1487"/>
      <c r="N135" s="1487"/>
    </row>
    <row r="136" spans="2:15" x14ac:dyDescent="0.35">
      <c r="B136" s="1769"/>
      <c r="C136" s="1486" t="s">
        <v>5976</v>
      </c>
      <c r="D136" s="1487"/>
      <c r="E136" s="1487"/>
      <c r="F136" s="1487"/>
      <c r="G136" s="1487"/>
      <c r="H136" s="1487"/>
      <c r="I136" s="1487"/>
      <c r="J136" s="1487"/>
      <c r="K136" s="1487"/>
      <c r="L136" s="1487"/>
      <c r="M136" s="1487"/>
      <c r="N136" s="1487"/>
    </row>
    <row r="137" spans="2:15" ht="15" thickBot="1" x14ac:dyDescent="0.4">
      <c r="B137" s="1769"/>
      <c r="C137" s="1486" t="s">
        <v>6004</v>
      </c>
      <c r="D137" s="1487"/>
      <c r="E137" s="1487"/>
      <c r="F137" s="1487"/>
      <c r="G137" s="1487"/>
      <c r="H137" s="1487"/>
      <c r="I137" s="1487"/>
      <c r="J137" s="1487"/>
      <c r="K137" s="1487"/>
      <c r="L137" s="1487"/>
      <c r="M137" s="1487"/>
      <c r="N137" s="1487"/>
    </row>
    <row r="138" spans="2:15" ht="21.5" thickBot="1" x14ac:dyDescent="0.4">
      <c r="B138" s="1769"/>
      <c r="C138" s="1485" t="s">
        <v>6045</v>
      </c>
      <c r="D138" s="1488"/>
      <c r="E138" s="1488"/>
      <c r="F138" s="1488"/>
      <c r="G138" s="1488"/>
      <c r="H138" s="1488"/>
      <c r="I138" s="1488"/>
      <c r="J138" s="1488"/>
      <c r="K138" s="1488"/>
      <c r="L138" s="1488"/>
      <c r="M138" s="1488"/>
      <c r="N138" s="1489"/>
      <c r="O138" s="1599"/>
    </row>
    <row r="139" spans="2:15" x14ac:dyDescent="0.35">
      <c r="B139" s="1769"/>
      <c r="C139" s="1485" t="s">
        <v>6046</v>
      </c>
      <c r="D139" s="1488"/>
      <c r="E139" s="1488"/>
      <c r="F139" s="1488"/>
      <c r="G139" s="1488"/>
      <c r="H139" s="1488"/>
      <c r="I139" s="1488"/>
      <c r="J139" s="1488"/>
      <c r="K139" s="1488"/>
      <c r="L139" s="1488"/>
      <c r="M139" s="1488"/>
      <c r="N139" s="1488"/>
    </row>
    <row r="140" spans="2:15" x14ac:dyDescent="0.35">
      <c r="B140" s="1769"/>
      <c r="D140" s="1279"/>
      <c r="E140" s="1279"/>
      <c r="F140" s="1279"/>
      <c r="G140" s="1279"/>
      <c r="I140" s="1279"/>
      <c r="J140" s="1279"/>
      <c r="K140" s="1279"/>
      <c r="L140" s="1279"/>
      <c r="M140" s="1279"/>
      <c r="N140" s="1474"/>
    </row>
    <row r="141" spans="2:15" x14ac:dyDescent="0.35">
      <c r="B141" s="1769"/>
      <c r="C141" s="1485"/>
      <c r="D141" s="1765" t="s">
        <v>6047</v>
      </c>
      <c r="E141" s="1765"/>
      <c r="F141" s="1765"/>
      <c r="G141" s="1765"/>
      <c r="H141" s="1765"/>
      <c r="I141" s="1765"/>
      <c r="J141" s="1765"/>
      <c r="K141" s="1765"/>
      <c r="L141" s="1765"/>
      <c r="M141" s="1765"/>
      <c r="N141" s="1765"/>
    </row>
    <row r="142" spans="2:15" x14ac:dyDescent="0.35">
      <c r="B142" s="1769"/>
      <c r="C142" s="1485" t="s">
        <v>6043</v>
      </c>
      <c r="D142" s="1604">
        <v>2020</v>
      </c>
      <c r="E142" s="1604">
        <v>2021</v>
      </c>
      <c r="F142" s="1604">
        <v>2022</v>
      </c>
      <c r="G142" s="1604">
        <v>2023</v>
      </c>
      <c r="H142" s="1604">
        <v>2024</v>
      </c>
      <c r="I142" s="1604">
        <v>2025</v>
      </c>
      <c r="J142" s="1604">
        <v>2026</v>
      </c>
      <c r="K142" s="1604">
        <v>2027</v>
      </c>
      <c r="L142" s="1604">
        <v>2028</v>
      </c>
      <c r="M142" s="1604">
        <v>2029</v>
      </c>
      <c r="N142" s="1604">
        <v>2030</v>
      </c>
    </row>
    <row r="143" spans="2:15" x14ac:dyDescent="0.35">
      <c r="B143" s="1769"/>
      <c r="C143" s="1486" t="s">
        <v>5975</v>
      </c>
      <c r="D143" s="1487"/>
      <c r="E143" s="1487"/>
      <c r="F143" s="1487"/>
      <c r="G143" s="1487"/>
      <c r="H143" s="1487"/>
      <c r="I143" s="1487"/>
      <c r="J143" s="1487"/>
      <c r="K143" s="1487"/>
      <c r="L143" s="1487"/>
      <c r="M143" s="1487"/>
      <c r="N143" s="1487"/>
    </row>
    <row r="144" spans="2:15" x14ac:dyDescent="0.35">
      <c r="B144" s="1769"/>
      <c r="C144" s="1486" t="s">
        <v>5976</v>
      </c>
      <c r="D144" s="1487"/>
      <c r="E144" s="1487"/>
      <c r="F144" s="1487"/>
      <c r="G144" s="1487"/>
      <c r="H144" s="1487"/>
      <c r="I144" s="1487"/>
      <c r="J144" s="1487"/>
      <c r="K144" s="1487"/>
      <c r="L144" s="1487"/>
      <c r="M144" s="1487"/>
      <c r="N144" s="1487"/>
    </row>
    <row r="145" spans="2:15" ht="15" thickBot="1" x14ac:dyDescent="0.4">
      <c r="B145" s="1769"/>
      <c r="C145" s="1486" t="s">
        <v>6004</v>
      </c>
      <c r="D145" s="1487"/>
      <c r="E145" s="1487"/>
      <c r="F145" s="1487"/>
      <c r="G145" s="1487"/>
      <c r="H145" s="1487"/>
      <c r="I145" s="1487"/>
      <c r="J145" s="1487"/>
      <c r="K145" s="1487"/>
      <c r="L145" s="1487"/>
      <c r="M145" s="1487"/>
      <c r="N145" s="1487"/>
    </row>
    <row r="146" spans="2:15" ht="21.5" thickBot="1" x14ac:dyDescent="0.4">
      <c r="B146" s="1769"/>
      <c r="C146" s="1485" t="s">
        <v>6045</v>
      </c>
      <c r="D146" s="1488"/>
      <c r="E146" s="1488"/>
      <c r="F146" s="1488"/>
      <c r="G146" s="1488"/>
      <c r="H146" s="1488"/>
      <c r="I146" s="1488"/>
      <c r="J146" s="1488"/>
      <c r="K146" s="1488"/>
      <c r="L146" s="1488"/>
      <c r="M146" s="1488"/>
      <c r="N146" s="1489"/>
      <c r="O146" s="1599"/>
    </row>
    <row r="147" spans="2:15" x14ac:dyDescent="0.35">
      <c r="B147" s="1769"/>
      <c r="C147" s="1485" t="s">
        <v>6046</v>
      </c>
      <c r="D147" s="1488"/>
      <c r="E147" s="1488"/>
      <c r="F147" s="1488"/>
      <c r="G147" s="1488"/>
      <c r="H147" s="1488"/>
      <c r="I147" s="1488"/>
      <c r="J147" s="1488"/>
      <c r="K147" s="1488"/>
      <c r="L147" s="1488"/>
      <c r="M147" s="1488"/>
      <c r="N147" s="1488"/>
    </row>
    <row r="149" spans="2:15" x14ac:dyDescent="0.35">
      <c r="B149" s="1769">
        <f>D12</f>
        <v>0</v>
      </c>
      <c r="C149" s="1485"/>
      <c r="D149" s="1765" t="s">
        <v>6042</v>
      </c>
      <c r="E149" s="1765"/>
      <c r="F149" s="1765"/>
      <c r="G149" s="1765"/>
      <c r="H149" s="1765"/>
      <c r="I149" s="1765"/>
      <c r="J149" s="1765"/>
      <c r="K149" s="1765"/>
      <c r="L149" s="1765"/>
      <c r="M149" s="1765"/>
      <c r="N149" s="1765"/>
    </row>
    <row r="150" spans="2:15" x14ac:dyDescent="0.35">
      <c r="B150" s="1769"/>
      <c r="C150" s="1485" t="s">
        <v>5887</v>
      </c>
      <c r="D150" s="1604">
        <v>2020</v>
      </c>
      <c r="E150" s="1604">
        <v>2021</v>
      </c>
      <c r="F150" s="1604">
        <v>2022</v>
      </c>
      <c r="G150" s="1604">
        <v>2023</v>
      </c>
      <c r="H150" s="1604">
        <v>2024</v>
      </c>
      <c r="I150" s="1604">
        <v>2025</v>
      </c>
      <c r="J150" s="1604">
        <v>2026</v>
      </c>
      <c r="K150" s="1604">
        <v>2027</v>
      </c>
      <c r="L150" s="1604">
        <v>2028</v>
      </c>
      <c r="M150" s="1604">
        <v>2029</v>
      </c>
      <c r="N150" s="1604">
        <v>2030</v>
      </c>
    </row>
    <row r="151" spans="2:15" x14ac:dyDescent="0.35">
      <c r="B151" s="1769"/>
      <c r="C151" s="1486" t="s">
        <v>5975</v>
      </c>
      <c r="D151" s="1487"/>
      <c r="E151" s="1487"/>
      <c r="F151" s="1487"/>
      <c r="G151" s="1487"/>
      <c r="H151" s="1487"/>
      <c r="I151" s="1487"/>
      <c r="J151" s="1487"/>
      <c r="K151" s="1487"/>
      <c r="L151" s="1487"/>
      <c r="M151" s="1487"/>
      <c r="N151" s="1487"/>
    </row>
    <row r="152" spans="2:15" x14ac:dyDescent="0.35">
      <c r="B152" s="1769"/>
      <c r="C152" s="1486" t="s">
        <v>5976</v>
      </c>
      <c r="D152" s="1487"/>
      <c r="E152" s="1487"/>
      <c r="F152" s="1487"/>
      <c r="G152" s="1487"/>
      <c r="H152" s="1487"/>
      <c r="I152" s="1487"/>
      <c r="J152" s="1487"/>
      <c r="K152" s="1487"/>
      <c r="L152" s="1487"/>
      <c r="M152" s="1487"/>
      <c r="N152" s="1487"/>
    </row>
    <row r="153" spans="2:15" ht="15" thickBot="1" x14ac:dyDescent="0.4">
      <c r="B153" s="1769"/>
      <c r="C153" s="1486" t="s">
        <v>6004</v>
      </c>
      <c r="D153" s="1487"/>
      <c r="E153" s="1487"/>
      <c r="F153" s="1487"/>
      <c r="G153" s="1487"/>
      <c r="H153" s="1487"/>
      <c r="I153" s="1487"/>
      <c r="J153" s="1487"/>
      <c r="K153" s="1487"/>
      <c r="L153" s="1487"/>
      <c r="M153" s="1487"/>
      <c r="N153" s="1487"/>
    </row>
    <row r="154" spans="2:15" ht="21.5" thickBot="1" x14ac:dyDescent="0.4">
      <c r="B154" s="1769"/>
      <c r="C154" s="1485" t="s">
        <v>6045</v>
      </c>
      <c r="D154" s="1488"/>
      <c r="E154" s="1488"/>
      <c r="F154" s="1488"/>
      <c r="G154" s="1488"/>
      <c r="H154" s="1488"/>
      <c r="I154" s="1488"/>
      <c r="J154" s="1488"/>
      <c r="K154" s="1488"/>
      <c r="L154" s="1488"/>
      <c r="M154" s="1488"/>
      <c r="N154" s="1489"/>
      <c r="O154" s="1599"/>
    </row>
    <row r="155" spans="2:15" x14ac:dyDescent="0.35">
      <c r="B155" s="1769"/>
      <c r="C155" s="1485" t="s">
        <v>6046</v>
      </c>
      <c r="D155" s="1488"/>
      <c r="E155" s="1488"/>
      <c r="F155" s="1488"/>
      <c r="G155" s="1488"/>
      <c r="H155" s="1488"/>
      <c r="I155" s="1488"/>
      <c r="J155" s="1488"/>
      <c r="K155" s="1488"/>
      <c r="L155" s="1488"/>
      <c r="M155" s="1488"/>
      <c r="N155" s="1488"/>
    </row>
    <row r="156" spans="2:15" x14ac:dyDescent="0.35">
      <c r="B156" s="1769"/>
      <c r="D156" s="1279"/>
      <c r="E156" s="1279"/>
      <c r="F156" s="1279"/>
      <c r="G156" s="1279"/>
      <c r="I156" s="1279"/>
      <c r="J156" s="1279"/>
      <c r="K156" s="1279"/>
      <c r="L156" s="1279"/>
      <c r="M156" s="1279"/>
      <c r="N156" s="1474"/>
    </row>
    <row r="157" spans="2:15" x14ac:dyDescent="0.35">
      <c r="B157" s="1769"/>
      <c r="C157" s="1485"/>
      <c r="D157" s="1765" t="s">
        <v>6047</v>
      </c>
      <c r="E157" s="1765"/>
      <c r="F157" s="1765"/>
      <c r="G157" s="1765"/>
      <c r="H157" s="1765"/>
      <c r="I157" s="1765"/>
      <c r="J157" s="1765"/>
      <c r="K157" s="1765"/>
      <c r="L157" s="1765"/>
      <c r="M157" s="1765"/>
      <c r="N157" s="1765"/>
    </row>
    <row r="158" spans="2:15" x14ac:dyDescent="0.35">
      <c r="B158" s="1769"/>
      <c r="C158" s="1485" t="s">
        <v>6043</v>
      </c>
      <c r="D158" s="1604">
        <v>2020</v>
      </c>
      <c r="E158" s="1604">
        <v>2021</v>
      </c>
      <c r="F158" s="1604">
        <v>2022</v>
      </c>
      <c r="G158" s="1604">
        <v>2023</v>
      </c>
      <c r="H158" s="1604">
        <v>2024</v>
      </c>
      <c r="I158" s="1604">
        <v>2025</v>
      </c>
      <c r="J158" s="1604">
        <v>2026</v>
      </c>
      <c r="K158" s="1604">
        <v>2027</v>
      </c>
      <c r="L158" s="1604">
        <v>2028</v>
      </c>
      <c r="M158" s="1604">
        <v>2029</v>
      </c>
      <c r="N158" s="1604">
        <v>2030</v>
      </c>
    </row>
    <row r="159" spans="2:15" x14ac:dyDescent="0.35">
      <c r="B159" s="1769"/>
      <c r="C159" s="1486" t="s">
        <v>5975</v>
      </c>
      <c r="D159" s="1487"/>
      <c r="E159" s="1487"/>
      <c r="F159" s="1487"/>
      <c r="G159" s="1487"/>
      <c r="H159" s="1487"/>
      <c r="I159" s="1487"/>
      <c r="J159" s="1487"/>
      <c r="K159" s="1487"/>
      <c r="L159" s="1487"/>
      <c r="M159" s="1487"/>
      <c r="N159" s="1487"/>
    </row>
    <row r="160" spans="2:15" x14ac:dyDescent="0.35">
      <c r="B160" s="1769"/>
      <c r="C160" s="1486" t="s">
        <v>5976</v>
      </c>
      <c r="D160" s="1487"/>
      <c r="E160" s="1487"/>
      <c r="F160" s="1487"/>
      <c r="G160" s="1487"/>
      <c r="H160" s="1487"/>
      <c r="I160" s="1487"/>
      <c r="J160" s="1487"/>
      <c r="K160" s="1487"/>
      <c r="L160" s="1487"/>
      <c r="M160" s="1487"/>
      <c r="N160" s="1487"/>
    </row>
    <row r="161" spans="2:15" ht="15" thickBot="1" x14ac:dyDescent="0.4">
      <c r="B161" s="1769"/>
      <c r="C161" s="1486" t="s">
        <v>6004</v>
      </c>
      <c r="D161" s="1487"/>
      <c r="E161" s="1487"/>
      <c r="F161" s="1487"/>
      <c r="G161" s="1487"/>
      <c r="H161" s="1487"/>
      <c r="I161" s="1487"/>
      <c r="J161" s="1487"/>
      <c r="K161" s="1487"/>
      <c r="L161" s="1487"/>
      <c r="M161" s="1487"/>
      <c r="N161" s="1487"/>
    </row>
    <row r="162" spans="2:15" ht="21.5" thickBot="1" x14ac:dyDescent="0.4">
      <c r="B162" s="1769"/>
      <c r="C162" s="1485" t="s">
        <v>6045</v>
      </c>
      <c r="D162" s="1488"/>
      <c r="E162" s="1488"/>
      <c r="F162" s="1488"/>
      <c r="G162" s="1488"/>
      <c r="H162" s="1488"/>
      <c r="I162" s="1488"/>
      <c r="J162" s="1488"/>
      <c r="K162" s="1488"/>
      <c r="L162" s="1488"/>
      <c r="M162" s="1488"/>
      <c r="N162" s="1489"/>
      <c r="O162" s="1599"/>
    </row>
    <row r="163" spans="2:15" x14ac:dyDescent="0.35">
      <c r="B163" s="1769"/>
      <c r="C163" s="1485" t="s">
        <v>6046</v>
      </c>
      <c r="D163" s="1488"/>
      <c r="E163" s="1488"/>
      <c r="F163" s="1488"/>
      <c r="G163" s="1488"/>
      <c r="H163" s="1488"/>
      <c r="I163" s="1488"/>
      <c r="J163" s="1488"/>
      <c r="K163" s="1488"/>
      <c r="L163" s="1488"/>
      <c r="M163" s="1488"/>
      <c r="N163" s="1488"/>
    </row>
    <row r="165" spans="2:15" x14ac:dyDescent="0.35">
      <c r="B165" s="1769">
        <f>D13</f>
        <v>0</v>
      </c>
      <c r="C165" s="1485"/>
      <c r="D165" s="1765" t="s">
        <v>6042</v>
      </c>
      <c r="E165" s="1765"/>
      <c r="F165" s="1765"/>
      <c r="G165" s="1765"/>
      <c r="H165" s="1765"/>
      <c r="I165" s="1765"/>
      <c r="J165" s="1765"/>
      <c r="K165" s="1765"/>
      <c r="L165" s="1765"/>
      <c r="M165" s="1765"/>
      <c r="N165" s="1765"/>
    </row>
    <row r="166" spans="2:15" x14ac:dyDescent="0.35">
      <c r="B166" s="1769"/>
      <c r="C166" s="1485" t="s">
        <v>5887</v>
      </c>
      <c r="D166" s="1604">
        <v>2020</v>
      </c>
      <c r="E166" s="1604">
        <v>2021</v>
      </c>
      <c r="F166" s="1604">
        <v>2022</v>
      </c>
      <c r="G166" s="1604">
        <v>2023</v>
      </c>
      <c r="H166" s="1604">
        <v>2024</v>
      </c>
      <c r="I166" s="1604">
        <v>2025</v>
      </c>
      <c r="J166" s="1604">
        <v>2026</v>
      </c>
      <c r="K166" s="1604">
        <v>2027</v>
      </c>
      <c r="L166" s="1604">
        <v>2028</v>
      </c>
      <c r="M166" s="1604">
        <v>2029</v>
      </c>
      <c r="N166" s="1604">
        <v>2030</v>
      </c>
    </row>
    <row r="167" spans="2:15" x14ac:dyDescent="0.35">
      <c r="B167" s="1769"/>
      <c r="C167" s="1486" t="s">
        <v>5975</v>
      </c>
      <c r="D167" s="1487"/>
      <c r="E167" s="1487"/>
      <c r="F167" s="1487"/>
      <c r="G167" s="1487"/>
      <c r="H167" s="1487"/>
      <c r="I167" s="1487"/>
      <c r="J167" s="1487"/>
      <c r="K167" s="1487"/>
      <c r="L167" s="1487"/>
      <c r="M167" s="1487"/>
      <c r="N167" s="1487"/>
    </row>
    <row r="168" spans="2:15" x14ac:dyDescent="0.35">
      <c r="B168" s="1769"/>
      <c r="C168" s="1486" t="s">
        <v>5976</v>
      </c>
      <c r="D168" s="1487"/>
      <c r="E168" s="1487"/>
      <c r="F168" s="1487"/>
      <c r="G168" s="1487"/>
      <c r="H168" s="1487"/>
      <c r="I168" s="1487"/>
      <c r="J168" s="1487"/>
      <c r="K168" s="1487"/>
      <c r="L168" s="1487"/>
      <c r="M168" s="1487"/>
      <c r="N168" s="1487"/>
    </row>
    <row r="169" spans="2:15" ht="15" thickBot="1" x14ac:dyDescent="0.4">
      <c r="B169" s="1769"/>
      <c r="C169" s="1486" t="s">
        <v>6004</v>
      </c>
      <c r="D169" s="1487"/>
      <c r="E169" s="1487"/>
      <c r="F169" s="1487"/>
      <c r="G169" s="1487"/>
      <c r="H169" s="1487"/>
      <c r="I169" s="1487"/>
      <c r="J169" s="1487"/>
      <c r="K169" s="1487"/>
      <c r="L169" s="1487"/>
      <c r="M169" s="1487"/>
      <c r="N169" s="1487"/>
    </row>
    <row r="170" spans="2:15" ht="21.5" thickBot="1" x14ac:dyDescent="0.4">
      <c r="B170" s="1769"/>
      <c r="C170" s="1485" t="s">
        <v>6045</v>
      </c>
      <c r="D170" s="1488"/>
      <c r="E170" s="1488"/>
      <c r="F170" s="1488"/>
      <c r="G170" s="1488"/>
      <c r="H170" s="1488"/>
      <c r="I170" s="1488"/>
      <c r="J170" s="1488"/>
      <c r="K170" s="1488"/>
      <c r="L170" s="1488"/>
      <c r="M170" s="1488"/>
      <c r="N170" s="1489"/>
      <c r="O170" s="1599"/>
    </row>
    <row r="171" spans="2:15" x14ac:dyDescent="0.35">
      <c r="B171" s="1769"/>
      <c r="C171" s="1485" t="s">
        <v>6046</v>
      </c>
      <c r="D171" s="1488"/>
      <c r="E171" s="1488"/>
      <c r="F171" s="1488"/>
      <c r="G171" s="1488"/>
      <c r="H171" s="1488"/>
      <c r="I171" s="1488"/>
      <c r="J171" s="1488"/>
      <c r="K171" s="1488"/>
      <c r="L171" s="1488"/>
      <c r="M171" s="1488"/>
      <c r="N171" s="1488"/>
    </row>
    <row r="172" spans="2:15" x14ac:dyDescent="0.35">
      <c r="B172" s="1769"/>
      <c r="D172" s="1279"/>
      <c r="E172" s="1279"/>
      <c r="F172" s="1279"/>
      <c r="G172" s="1279"/>
      <c r="I172" s="1279"/>
      <c r="J172" s="1279"/>
      <c r="K172" s="1279"/>
      <c r="L172" s="1279"/>
      <c r="M172" s="1279"/>
      <c r="N172" s="1474"/>
    </row>
    <row r="173" spans="2:15" x14ac:dyDescent="0.35">
      <c r="B173" s="1769"/>
      <c r="C173" s="1485"/>
      <c r="D173" s="1765" t="s">
        <v>6047</v>
      </c>
      <c r="E173" s="1765"/>
      <c r="F173" s="1765"/>
      <c r="G173" s="1765"/>
      <c r="H173" s="1765"/>
      <c r="I173" s="1765"/>
      <c r="J173" s="1765"/>
      <c r="K173" s="1765"/>
      <c r="L173" s="1765"/>
      <c r="M173" s="1765"/>
      <c r="N173" s="1765"/>
    </row>
    <row r="174" spans="2:15" x14ac:dyDescent="0.35">
      <c r="B174" s="1769"/>
      <c r="C174" s="1485" t="s">
        <v>6043</v>
      </c>
      <c r="D174" s="1604">
        <v>2020</v>
      </c>
      <c r="E174" s="1604">
        <v>2021</v>
      </c>
      <c r="F174" s="1604">
        <v>2022</v>
      </c>
      <c r="G174" s="1604">
        <v>2023</v>
      </c>
      <c r="H174" s="1604">
        <v>2024</v>
      </c>
      <c r="I174" s="1604">
        <v>2025</v>
      </c>
      <c r="J174" s="1604">
        <v>2026</v>
      </c>
      <c r="K174" s="1604">
        <v>2027</v>
      </c>
      <c r="L174" s="1604">
        <v>2028</v>
      </c>
      <c r="M174" s="1604">
        <v>2029</v>
      </c>
      <c r="N174" s="1604">
        <v>2030</v>
      </c>
    </row>
    <row r="175" spans="2:15" x14ac:dyDescent="0.35">
      <c r="B175" s="1769"/>
      <c r="C175" s="1486" t="s">
        <v>5975</v>
      </c>
      <c r="D175" s="1487"/>
      <c r="E175" s="1487"/>
      <c r="F175" s="1487"/>
      <c r="G175" s="1487"/>
      <c r="H175" s="1487"/>
      <c r="I175" s="1487"/>
      <c r="J175" s="1487"/>
      <c r="K175" s="1487"/>
      <c r="L175" s="1487"/>
      <c r="M175" s="1487"/>
      <c r="N175" s="1487"/>
    </row>
    <row r="176" spans="2:15" x14ac:dyDescent="0.35">
      <c r="B176" s="1769"/>
      <c r="C176" s="1486" t="s">
        <v>5976</v>
      </c>
      <c r="D176" s="1487"/>
      <c r="E176" s="1487"/>
      <c r="F176" s="1487"/>
      <c r="G176" s="1487"/>
      <c r="H176" s="1487"/>
      <c r="I176" s="1487"/>
      <c r="J176" s="1487"/>
      <c r="K176" s="1487"/>
      <c r="L176" s="1487"/>
      <c r="M176" s="1487"/>
      <c r="N176" s="1487"/>
    </row>
    <row r="177" spans="2:15" ht="15" thickBot="1" x14ac:dyDescent="0.4">
      <c r="B177" s="1769"/>
      <c r="C177" s="1486" t="s">
        <v>6004</v>
      </c>
      <c r="D177" s="1487"/>
      <c r="E177" s="1487"/>
      <c r="F177" s="1487"/>
      <c r="G177" s="1487"/>
      <c r="H177" s="1487"/>
      <c r="I177" s="1487"/>
      <c r="J177" s="1487"/>
      <c r="K177" s="1487"/>
      <c r="L177" s="1487"/>
      <c r="M177" s="1487"/>
      <c r="N177" s="1487"/>
    </row>
    <row r="178" spans="2:15" ht="21.5" thickBot="1" x14ac:dyDescent="0.4">
      <c r="B178" s="1769"/>
      <c r="C178" s="1485" t="s">
        <v>6045</v>
      </c>
      <c r="D178" s="1488"/>
      <c r="E178" s="1488"/>
      <c r="F178" s="1488"/>
      <c r="G178" s="1488"/>
      <c r="H178" s="1488"/>
      <c r="I178" s="1488"/>
      <c r="J178" s="1488"/>
      <c r="K178" s="1488"/>
      <c r="L178" s="1488"/>
      <c r="M178" s="1488"/>
      <c r="N178" s="1489"/>
      <c r="O178" s="1599"/>
    </row>
    <row r="179" spans="2:15" x14ac:dyDescent="0.35">
      <c r="B179" s="1769"/>
      <c r="C179" s="1485" t="s">
        <v>6046</v>
      </c>
      <c r="D179" s="1488"/>
      <c r="E179" s="1488"/>
      <c r="F179" s="1488"/>
      <c r="G179" s="1488"/>
      <c r="H179" s="1488"/>
      <c r="I179" s="1488"/>
      <c r="J179" s="1488"/>
      <c r="K179" s="1488"/>
      <c r="L179" s="1488"/>
      <c r="M179" s="1488"/>
      <c r="N179" s="1488"/>
    </row>
    <row r="181" spans="2:15" x14ac:dyDescent="0.35">
      <c r="B181" s="1769">
        <f>D14</f>
        <v>0</v>
      </c>
      <c r="C181" s="1485"/>
      <c r="D181" s="1765" t="s">
        <v>6042</v>
      </c>
      <c r="E181" s="1765"/>
      <c r="F181" s="1765"/>
      <c r="G181" s="1765"/>
      <c r="H181" s="1765"/>
      <c r="I181" s="1765"/>
      <c r="J181" s="1765"/>
      <c r="K181" s="1765"/>
      <c r="L181" s="1765"/>
      <c r="M181" s="1765"/>
      <c r="N181" s="1765"/>
    </row>
    <row r="182" spans="2:15" x14ac:dyDescent="0.35">
      <c r="B182" s="1769"/>
      <c r="C182" s="1485" t="s">
        <v>5887</v>
      </c>
      <c r="D182" s="1604">
        <v>2020</v>
      </c>
      <c r="E182" s="1604">
        <v>2021</v>
      </c>
      <c r="F182" s="1604">
        <v>2022</v>
      </c>
      <c r="G182" s="1604">
        <v>2023</v>
      </c>
      <c r="H182" s="1604">
        <v>2024</v>
      </c>
      <c r="I182" s="1604">
        <v>2025</v>
      </c>
      <c r="J182" s="1604">
        <v>2026</v>
      </c>
      <c r="K182" s="1604">
        <v>2027</v>
      </c>
      <c r="L182" s="1604">
        <v>2028</v>
      </c>
      <c r="M182" s="1604">
        <v>2029</v>
      </c>
      <c r="N182" s="1604">
        <v>2030</v>
      </c>
    </row>
    <row r="183" spans="2:15" x14ac:dyDescent="0.35">
      <c r="B183" s="1769"/>
      <c r="C183" s="1486" t="s">
        <v>5975</v>
      </c>
      <c r="D183" s="1487"/>
      <c r="E183" s="1487"/>
      <c r="F183" s="1487"/>
      <c r="G183" s="1487"/>
      <c r="H183" s="1487"/>
      <c r="I183" s="1487"/>
      <c r="J183" s="1487"/>
      <c r="K183" s="1487"/>
      <c r="L183" s="1487"/>
      <c r="M183" s="1487"/>
      <c r="N183" s="1487"/>
    </row>
    <row r="184" spans="2:15" x14ac:dyDescent="0.35">
      <c r="B184" s="1769"/>
      <c r="C184" s="1486" t="s">
        <v>5976</v>
      </c>
      <c r="D184" s="1487"/>
      <c r="E184" s="1487"/>
      <c r="F184" s="1487"/>
      <c r="G184" s="1487"/>
      <c r="H184" s="1487"/>
      <c r="I184" s="1487"/>
      <c r="J184" s="1487"/>
      <c r="K184" s="1487"/>
      <c r="L184" s="1487"/>
      <c r="M184" s="1487"/>
      <c r="N184" s="1487"/>
    </row>
    <row r="185" spans="2:15" ht="15" thickBot="1" x14ac:dyDescent="0.4">
      <c r="B185" s="1769"/>
      <c r="C185" s="1486" t="s">
        <v>6004</v>
      </c>
      <c r="D185" s="1487"/>
      <c r="E185" s="1487"/>
      <c r="F185" s="1487"/>
      <c r="G185" s="1487"/>
      <c r="H185" s="1487"/>
      <c r="I185" s="1487"/>
      <c r="J185" s="1487"/>
      <c r="K185" s="1487"/>
      <c r="L185" s="1487"/>
      <c r="M185" s="1487"/>
      <c r="N185" s="1487"/>
    </row>
    <row r="186" spans="2:15" ht="21.5" thickBot="1" x14ac:dyDescent="0.4">
      <c r="B186" s="1769"/>
      <c r="C186" s="1485" t="s">
        <v>6045</v>
      </c>
      <c r="D186" s="1488"/>
      <c r="E186" s="1488"/>
      <c r="F186" s="1488"/>
      <c r="G186" s="1488"/>
      <c r="H186" s="1488"/>
      <c r="I186" s="1488"/>
      <c r="J186" s="1488"/>
      <c r="K186" s="1488"/>
      <c r="L186" s="1488"/>
      <c r="M186" s="1488"/>
      <c r="N186" s="1489"/>
      <c r="O186" s="1599"/>
    </row>
    <row r="187" spans="2:15" x14ac:dyDescent="0.35">
      <c r="B187" s="1769"/>
      <c r="C187" s="1485" t="s">
        <v>6046</v>
      </c>
      <c r="D187" s="1488"/>
      <c r="E187" s="1488"/>
      <c r="F187" s="1488"/>
      <c r="G187" s="1488"/>
      <c r="H187" s="1488"/>
      <c r="I187" s="1488"/>
      <c r="J187" s="1488"/>
      <c r="K187" s="1488"/>
      <c r="L187" s="1488"/>
      <c r="M187" s="1488"/>
      <c r="N187" s="1488"/>
    </row>
    <row r="188" spans="2:15" x14ac:dyDescent="0.35">
      <c r="B188" s="1769"/>
      <c r="D188" s="1279"/>
      <c r="E188" s="1279"/>
      <c r="F188" s="1279"/>
      <c r="G188" s="1279"/>
      <c r="I188" s="1279"/>
      <c r="J188" s="1279"/>
      <c r="K188" s="1279"/>
      <c r="L188" s="1279"/>
      <c r="M188" s="1279"/>
      <c r="N188" s="1474"/>
    </row>
    <row r="189" spans="2:15" x14ac:dyDescent="0.35">
      <c r="B189" s="1769"/>
      <c r="C189" s="1485"/>
      <c r="D189" s="1765" t="s">
        <v>6047</v>
      </c>
      <c r="E189" s="1765"/>
      <c r="F189" s="1765"/>
      <c r="G189" s="1765"/>
      <c r="H189" s="1765"/>
      <c r="I189" s="1765"/>
      <c r="J189" s="1765"/>
      <c r="K189" s="1765"/>
      <c r="L189" s="1765"/>
      <c r="M189" s="1765"/>
      <c r="N189" s="1765"/>
    </row>
    <row r="190" spans="2:15" x14ac:dyDescent="0.35">
      <c r="B190" s="1769"/>
      <c r="C190" s="1485" t="s">
        <v>6043</v>
      </c>
      <c r="D190" s="1604">
        <v>2020</v>
      </c>
      <c r="E190" s="1604">
        <v>2021</v>
      </c>
      <c r="F190" s="1604">
        <v>2022</v>
      </c>
      <c r="G190" s="1604">
        <v>2023</v>
      </c>
      <c r="H190" s="1604">
        <v>2024</v>
      </c>
      <c r="I190" s="1604">
        <v>2025</v>
      </c>
      <c r="J190" s="1604">
        <v>2026</v>
      </c>
      <c r="K190" s="1604">
        <v>2027</v>
      </c>
      <c r="L190" s="1604">
        <v>2028</v>
      </c>
      <c r="M190" s="1604">
        <v>2029</v>
      </c>
      <c r="N190" s="1604">
        <v>2030</v>
      </c>
    </row>
    <row r="191" spans="2:15" x14ac:dyDescent="0.35">
      <c r="B191" s="1769"/>
      <c r="C191" s="1486" t="s">
        <v>5975</v>
      </c>
      <c r="D191" s="1487"/>
      <c r="E191" s="1487"/>
      <c r="F191" s="1487"/>
      <c r="G191" s="1487"/>
      <c r="H191" s="1487"/>
      <c r="I191" s="1487"/>
      <c r="J191" s="1487"/>
      <c r="K191" s="1487"/>
      <c r="L191" s="1487"/>
      <c r="M191" s="1487"/>
      <c r="N191" s="1487"/>
    </row>
    <row r="192" spans="2:15" x14ac:dyDescent="0.35">
      <c r="B192" s="1769"/>
      <c r="C192" s="1486" t="s">
        <v>5976</v>
      </c>
      <c r="D192" s="1487"/>
      <c r="E192" s="1487"/>
      <c r="F192" s="1487"/>
      <c r="G192" s="1487"/>
      <c r="H192" s="1487"/>
      <c r="I192" s="1487"/>
      <c r="J192" s="1487"/>
      <c r="K192" s="1487"/>
      <c r="L192" s="1487"/>
      <c r="M192" s="1487"/>
      <c r="N192" s="1487"/>
    </row>
    <row r="193" spans="2:15" ht="15" thickBot="1" x14ac:dyDescent="0.4">
      <c r="B193" s="1769"/>
      <c r="C193" s="1486" t="s">
        <v>6004</v>
      </c>
      <c r="D193" s="1487"/>
      <c r="E193" s="1487"/>
      <c r="F193" s="1487"/>
      <c r="G193" s="1487"/>
      <c r="H193" s="1487"/>
      <c r="I193" s="1487"/>
      <c r="J193" s="1487"/>
      <c r="K193" s="1487"/>
      <c r="L193" s="1487"/>
      <c r="M193" s="1487"/>
      <c r="N193" s="1487"/>
    </row>
    <row r="194" spans="2:15" ht="21.5" thickBot="1" x14ac:dyDescent="0.4">
      <c r="B194" s="1769"/>
      <c r="C194" s="1485" t="s">
        <v>6045</v>
      </c>
      <c r="D194" s="1488"/>
      <c r="E194" s="1488"/>
      <c r="F194" s="1488"/>
      <c r="G194" s="1488"/>
      <c r="H194" s="1488"/>
      <c r="I194" s="1488"/>
      <c r="J194" s="1488"/>
      <c r="K194" s="1488"/>
      <c r="L194" s="1488"/>
      <c r="M194" s="1488"/>
      <c r="N194" s="1489"/>
      <c r="O194" s="1599"/>
    </row>
    <row r="195" spans="2:15" x14ac:dyDescent="0.35">
      <c r="B195" s="1769"/>
      <c r="C195" s="1485" t="s">
        <v>6046</v>
      </c>
      <c r="D195" s="1488"/>
      <c r="E195" s="1488"/>
      <c r="F195" s="1488"/>
      <c r="G195" s="1488"/>
      <c r="H195" s="1488"/>
      <c r="I195" s="1488"/>
      <c r="J195" s="1488"/>
      <c r="K195" s="1488"/>
      <c r="L195" s="1488"/>
      <c r="M195" s="1488"/>
      <c r="N195" s="1488"/>
    </row>
  </sheetData>
  <mergeCells count="32">
    <mergeCell ref="B53:B67"/>
    <mergeCell ref="D53:N53"/>
    <mergeCell ref="D61:N61"/>
    <mergeCell ref="D19:N19"/>
    <mergeCell ref="D27:N27"/>
    <mergeCell ref="B37:B51"/>
    <mergeCell ref="D37:N37"/>
    <mergeCell ref="D45:N45"/>
    <mergeCell ref="B101:B115"/>
    <mergeCell ref="D101:N101"/>
    <mergeCell ref="D109:N109"/>
    <mergeCell ref="B69:B83"/>
    <mergeCell ref="D69:N69"/>
    <mergeCell ref="D77:N77"/>
    <mergeCell ref="B85:B99"/>
    <mergeCell ref="D85:N85"/>
    <mergeCell ref="D93:N93"/>
    <mergeCell ref="B117:B131"/>
    <mergeCell ref="D117:N117"/>
    <mergeCell ref="D125:N125"/>
    <mergeCell ref="B133:B147"/>
    <mergeCell ref="D133:N133"/>
    <mergeCell ref="D141:N141"/>
    <mergeCell ref="B181:B195"/>
    <mergeCell ref="D181:N181"/>
    <mergeCell ref="D189:N189"/>
    <mergeCell ref="B149:B163"/>
    <mergeCell ref="D149:N149"/>
    <mergeCell ref="D157:N157"/>
    <mergeCell ref="B165:B179"/>
    <mergeCell ref="D165:N165"/>
    <mergeCell ref="D173:N173"/>
  </mergeCells>
  <pageMargins left="0.7" right="0.7" top="0.78740157499999996" bottom="0.78740157499999996"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0"/>
    <pageSetUpPr fitToPage="1"/>
  </sheetPr>
  <dimension ref="B1:L2239"/>
  <sheetViews>
    <sheetView zoomScaleNormal="100" workbookViewId="0"/>
  </sheetViews>
  <sheetFormatPr baseColWidth="10" defaultColWidth="11" defaultRowHeight="14.5" x14ac:dyDescent="0.35"/>
  <cols>
    <col min="1" max="1" width="3.5" style="9" customWidth="1"/>
    <col min="2" max="2" width="46.08203125" style="9" bestFit="1" customWidth="1"/>
    <col min="3" max="3" width="31.75" style="9" bestFit="1" customWidth="1"/>
    <col min="4" max="4" width="18.5" style="9" bestFit="1" customWidth="1"/>
    <col min="5" max="5" width="14" style="9" customWidth="1"/>
    <col min="6" max="6" width="13.75" style="9" customWidth="1"/>
    <col min="7" max="7" width="14.5" style="9" bestFit="1" customWidth="1"/>
    <col min="8" max="10" width="11" style="9"/>
    <col min="11" max="11" width="49.25" style="9" bestFit="1" customWidth="1"/>
    <col min="12" max="12" width="68.33203125" style="9" bestFit="1" customWidth="1"/>
    <col min="13" max="13" width="11" style="9"/>
    <col min="14" max="14" width="29.58203125" style="9" bestFit="1" customWidth="1"/>
    <col min="15" max="16384" width="11" style="9"/>
  </cols>
  <sheetData>
    <row r="1" spans="2:7" x14ac:dyDescent="0.35">
      <c r="E1" s="466"/>
      <c r="F1" s="466"/>
      <c r="G1" s="466"/>
    </row>
    <row r="2" spans="2:7" x14ac:dyDescent="0.35">
      <c r="B2" s="1621" t="s">
        <v>6116</v>
      </c>
      <c r="C2" s="1622">
        <v>5</v>
      </c>
      <c r="F2" s="470"/>
      <c r="G2" s="466"/>
    </row>
    <row r="3" spans="2:7" x14ac:dyDescent="0.35">
      <c r="B3" s="1623" t="s">
        <v>4500</v>
      </c>
      <c r="C3" s="1624">
        <v>4</v>
      </c>
      <c r="F3" s="470"/>
      <c r="G3" s="466"/>
    </row>
    <row r="4" spans="2:7" x14ac:dyDescent="0.35">
      <c r="B4" s="1623" t="s">
        <v>4501</v>
      </c>
      <c r="C4" s="1624">
        <v>3</v>
      </c>
      <c r="F4" s="470"/>
      <c r="G4" s="466"/>
    </row>
    <row r="5" spans="2:7" x14ac:dyDescent="0.35">
      <c r="B5" s="1623" t="s">
        <v>5401</v>
      </c>
      <c r="C5" s="1624">
        <v>2</v>
      </c>
      <c r="F5" s="466"/>
      <c r="G5" s="466"/>
    </row>
    <row r="6" spans="2:7" x14ac:dyDescent="0.35">
      <c r="B6" s="1625" t="s">
        <v>5029</v>
      </c>
      <c r="C6" s="1626">
        <v>1</v>
      </c>
      <c r="F6" s="466"/>
      <c r="G6" s="466"/>
    </row>
    <row r="7" spans="2:7" x14ac:dyDescent="0.35">
      <c r="F7" s="466"/>
      <c r="G7" s="466"/>
    </row>
    <row r="8" spans="2:7" x14ac:dyDescent="0.35">
      <c r="B8" s="1616" t="s">
        <v>4492</v>
      </c>
      <c r="F8" s="466"/>
      <c r="G8" s="466"/>
    </row>
    <row r="9" spans="2:7" x14ac:dyDescent="0.35">
      <c r="B9" s="1616" t="s">
        <v>5388</v>
      </c>
      <c r="G9" s="466"/>
    </row>
    <row r="10" spans="2:7" x14ac:dyDescent="0.35">
      <c r="B10" s="1616" t="s">
        <v>5389</v>
      </c>
      <c r="G10" s="466"/>
    </row>
    <row r="11" spans="2:7" x14ac:dyDescent="0.35">
      <c r="E11" s="466"/>
      <c r="F11" s="466"/>
      <c r="G11" s="466"/>
    </row>
    <row r="12" spans="2:7" x14ac:dyDescent="0.35">
      <c r="B12" s="1617" t="s">
        <v>4622</v>
      </c>
      <c r="E12" s="466"/>
      <c r="F12" s="466"/>
      <c r="G12" s="466"/>
    </row>
    <row r="13" spans="2:7" x14ac:dyDescent="0.35">
      <c r="B13" s="1617" t="s">
        <v>4623</v>
      </c>
      <c r="E13" s="467"/>
      <c r="F13" s="467"/>
      <c r="G13" s="468"/>
    </row>
    <row r="14" spans="2:7" x14ac:dyDescent="0.35">
      <c r="E14" s="467"/>
      <c r="F14" s="467"/>
      <c r="G14" s="468"/>
    </row>
    <row r="15" spans="2:7" x14ac:dyDescent="0.35">
      <c r="B15" s="1617" t="s">
        <v>2047</v>
      </c>
      <c r="E15" s="467"/>
      <c r="F15" s="467"/>
      <c r="G15" s="468"/>
    </row>
    <row r="16" spans="2:7" x14ac:dyDescent="0.35">
      <c r="B16" s="1617" t="s">
        <v>2048</v>
      </c>
      <c r="E16" s="467"/>
      <c r="F16" s="467"/>
      <c r="G16" s="468"/>
    </row>
    <row r="17" spans="2:7" x14ac:dyDescent="0.35">
      <c r="E17" s="467"/>
      <c r="F17" s="467"/>
      <c r="G17" s="468"/>
    </row>
    <row r="18" spans="2:7" x14ac:dyDescent="0.35">
      <c r="B18" s="1617" t="s">
        <v>2087</v>
      </c>
      <c r="E18" s="467"/>
      <c r="F18" s="467"/>
      <c r="G18" s="468"/>
    </row>
    <row r="19" spans="2:7" x14ac:dyDescent="0.35">
      <c r="B19" s="1617" t="s">
        <v>4478</v>
      </c>
      <c r="E19" s="467"/>
      <c r="F19" s="467"/>
      <c r="G19" s="468"/>
    </row>
    <row r="20" spans="2:7" x14ac:dyDescent="0.35">
      <c r="B20" s="1617" t="s">
        <v>4462</v>
      </c>
      <c r="E20" s="467"/>
      <c r="F20" s="467"/>
      <c r="G20" s="468"/>
    </row>
    <row r="21" spans="2:7" x14ac:dyDescent="0.35">
      <c r="B21" s="1617" t="s">
        <v>4463</v>
      </c>
      <c r="E21" s="467"/>
      <c r="F21" s="467"/>
      <c r="G21" s="468"/>
    </row>
    <row r="22" spans="2:7" x14ac:dyDescent="0.35">
      <c r="B22" s="1617" t="s">
        <v>2088</v>
      </c>
      <c r="E22" s="467"/>
      <c r="F22" s="467"/>
      <c r="G22" s="468"/>
    </row>
    <row r="23" spans="2:7" x14ac:dyDescent="0.35">
      <c r="B23" s="1617" t="s">
        <v>4464</v>
      </c>
      <c r="E23" s="467"/>
      <c r="F23" s="467"/>
      <c r="G23" s="468"/>
    </row>
    <row r="24" spans="2:7" x14ac:dyDescent="0.35">
      <c r="B24" s="1617" t="s">
        <v>4358</v>
      </c>
      <c r="E24" s="467"/>
      <c r="F24" s="467"/>
      <c r="G24" s="468"/>
    </row>
    <row r="25" spans="2:7" x14ac:dyDescent="0.35">
      <c r="B25" s="1617" t="s">
        <v>4487</v>
      </c>
      <c r="E25" s="467"/>
      <c r="F25" s="467"/>
      <c r="G25" s="468"/>
    </row>
    <row r="26" spans="2:7" x14ac:dyDescent="0.35">
      <c r="E26" s="467"/>
      <c r="F26" s="467"/>
      <c r="G26" s="468"/>
    </row>
    <row r="27" spans="2:7" x14ac:dyDescent="0.35">
      <c r="B27" s="1616" t="s">
        <v>2090</v>
      </c>
      <c r="E27" s="467"/>
      <c r="F27" s="467"/>
      <c r="G27" s="468"/>
    </row>
    <row r="28" spans="2:7" x14ac:dyDescent="0.35">
      <c r="B28" s="1617" t="s">
        <v>2091</v>
      </c>
      <c r="E28" s="467"/>
      <c r="F28" s="467"/>
      <c r="G28" s="468"/>
    </row>
    <row r="29" spans="2:7" x14ac:dyDescent="0.35">
      <c r="B29" s="1616" t="s">
        <v>2092</v>
      </c>
      <c r="E29" s="467"/>
      <c r="F29" s="467"/>
      <c r="G29" s="468"/>
    </row>
    <row r="30" spans="2:7" x14ac:dyDescent="0.35">
      <c r="F30" s="467"/>
      <c r="G30" s="468"/>
    </row>
    <row r="31" spans="2:7" x14ac:dyDescent="0.35">
      <c r="B31" s="1616" t="s">
        <v>4480</v>
      </c>
      <c r="F31" s="466"/>
      <c r="G31" s="466"/>
    </row>
    <row r="32" spans="2:7" x14ac:dyDescent="0.35">
      <c r="B32" s="1616" t="s">
        <v>4479</v>
      </c>
      <c r="F32" s="466"/>
      <c r="G32" s="466"/>
    </row>
    <row r="33" spans="2:12" x14ac:dyDescent="0.35">
      <c r="B33" s="1616" t="s">
        <v>4481</v>
      </c>
      <c r="E33" s="466"/>
      <c r="F33" s="466"/>
      <c r="G33" s="466"/>
    </row>
    <row r="34" spans="2:12" x14ac:dyDescent="0.35">
      <c r="B34" s="1616" t="s">
        <v>4482</v>
      </c>
      <c r="F34" s="466"/>
      <c r="L34" s="469"/>
    </row>
    <row r="35" spans="2:12" x14ac:dyDescent="0.35">
      <c r="B35" s="1616" t="s">
        <v>4483</v>
      </c>
      <c r="F35" s="466"/>
      <c r="L35" s="469"/>
    </row>
    <row r="36" spans="2:12" x14ac:dyDescent="0.35">
      <c r="B36" s="1616" t="s">
        <v>4485</v>
      </c>
      <c r="F36" s="466"/>
      <c r="L36" s="469"/>
    </row>
    <row r="37" spans="2:12" x14ac:dyDescent="0.35">
      <c r="B37" s="1617" t="s">
        <v>4484</v>
      </c>
      <c r="F37" s="466"/>
      <c r="L37" s="469"/>
    </row>
    <row r="38" spans="2:12" x14ac:dyDescent="0.35">
      <c r="F38" s="466"/>
      <c r="L38" s="469"/>
    </row>
    <row r="39" spans="2:12" x14ac:dyDescent="0.35">
      <c r="B39" s="1617" t="s">
        <v>33</v>
      </c>
      <c r="F39" s="466"/>
      <c r="L39" s="469"/>
    </row>
    <row r="40" spans="2:12" x14ac:dyDescent="0.35">
      <c r="B40" s="1617" t="s">
        <v>34</v>
      </c>
      <c r="F40" s="466"/>
      <c r="L40" s="469"/>
    </row>
    <row r="41" spans="2:12" x14ac:dyDescent="0.35">
      <c r="B41" s="1617" t="s">
        <v>35</v>
      </c>
      <c r="F41" s="466"/>
      <c r="L41" s="469"/>
    </row>
    <row r="42" spans="2:12" x14ac:dyDescent="0.35">
      <c r="F42" s="466"/>
      <c r="L42" s="469"/>
    </row>
    <row r="43" spans="2:12" x14ac:dyDescent="0.35">
      <c r="B43" s="1613" t="s">
        <v>4475</v>
      </c>
      <c r="L43" s="469"/>
    </row>
    <row r="44" spans="2:12" x14ac:dyDescent="0.35">
      <c r="B44" s="1613" t="s">
        <v>4431</v>
      </c>
      <c r="L44" s="469"/>
    </row>
    <row r="45" spans="2:12" x14ac:dyDescent="0.35">
      <c r="B45" s="1613" t="s">
        <v>4476</v>
      </c>
      <c r="L45" s="469"/>
    </row>
    <row r="46" spans="2:12" x14ac:dyDescent="0.35">
      <c r="B46" s="1613" t="s">
        <v>4618</v>
      </c>
      <c r="L46" s="469"/>
    </row>
    <row r="47" spans="2:12" x14ac:dyDescent="0.35">
      <c r="L47" s="469"/>
    </row>
    <row r="48" spans="2:12" x14ac:dyDescent="0.35">
      <c r="B48" s="1613" t="s">
        <v>4611</v>
      </c>
      <c r="L48" s="469"/>
    </row>
    <row r="49" spans="2:12" x14ac:dyDescent="0.35">
      <c r="B49" s="1613" t="s">
        <v>4612</v>
      </c>
      <c r="L49" s="469"/>
    </row>
    <row r="51" spans="2:12" x14ac:dyDescent="0.35">
      <c r="B51" s="1618" t="s">
        <v>4344</v>
      </c>
    </row>
    <row r="52" spans="2:12" x14ac:dyDescent="0.35">
      <c r="B52" s="1618" t="s">
        <v>4345</v>
      </c>
    </row>
    <row r="53" spans="2:12" x14ac:dyDescent="0.35">
      <c r="B53" s="1618" t="s">
        <v>5043</v>
      </c>
    </row>
    <row r="54" spans="2:12" x14ac:dyDescent="0.35">
      <c r="B54" s="1618" t="s">
        <v>5044</v>
      </c>
    </row>
    <row r="56" spans="2:12" x14ac:dyDescent="0.35">
      <c r="B56" s="1618" t="s">
        <v>5644</v>
      </c>
    </row>
    <row r="57" spans="2:12" x14ac:dyDescent="0.35">
      <c r="B57" s="1618" t="s">
        <v>5645</v>
      </c>
    </row>
    <row r="58" spans="2:12" x14ac:dyDescent="0.35">
      <c r="B58" s="1618" t="s">
        <v>5646</v>
      </c>
      <c r="C58" s="470"/>
    </row>
    <row r="60" spans="2:12" x14ac:dyDescent="0.35">
      <c r="B60" s="1620" t="s">
        <v>4702</v>
      </c>
    </row>
    <row r="61" spans="2:12" x14ac:dyDescent="0.35">
      <c r="B61" s="1620" t="s">
        <v>4703</v>
      </c>
    </row>
    <row r="62" spans="2:12" x14ac:dyDescent="0.35">
      <c r="B62" s="1620" t="s">
        <v>4462</v>
      </c>
    </row>
    <row r="63" spans="2:12" x14ac:dyDescent="0.35">
      <c r="B63" s="1620" t="s">
        <v>4704</v>
      </c>
    </row>
    <row r="64" spans="2:12" x14ac:dyDescent="0.35">
      <c r="B64" s="1620" t="s">
        <v>4706</v>
      </c>
    </row>
    <row r="65" spans="2:3" x14ac:dyDescent="0.35">
      <c r="B65" s="1620" t="s">
        <v>4707</v>
      </c>
    </row>
    <row r="66" spans="2:3" x14ac:dyDescent="0.35">
      <c r="B66" s="1620" t="s">
        <v>4709</v>
      </c>
    </row>
    <row r="67" spans="2:3" x14ac:dyDescent="0.35">
      <c r="B67" s="1620" t="s">
        <v>4710</v>
      </c>
      <c r="C67" s="1613"/>
    </row>
    <row r="68" spans="2:3" x14ac:dyDescent="0.35">
      <c r="B68" s="1620" t="s">
        <v>4712</v>
      </c>
      <c r="C68" s="1613"/>
    </row>
    <row r="69" spans="2:3" x14ac:dyDescent="0.35">
      <c r="B69" s="1620" t="s">
        <v>5082</v>
      </c>
    </row>
    <row r="71" spans="2:3" x14ac:dyDescent="0.35">
      <c r="B71" s="1620" t="s">
        <v>5097</v>
      </c>
    </row>
    <row r="72" spans="2:3" x14ac:dyDescent="0.35">
      <c r="B72" s="1620" t="s">
        <v>5098</v>
      </c>
    </row>
    <row r="73" spans="2:3" x14ac:dyDescent="0.35">
      <c r="B73" s="1620" t="s">
        <v>5096</v>
      </c>
    </row>
    <row r="75" spans="2:3" x14ac:dyDescent="0.35">
      <c r="B75" s="1620" t="s">
        <v>4947</v>
      </c>
    </row>
    <row r="76" spans="2:3" x14ac:dyDescent="0.35">
      <c r="B76" s="1620" t="s">
        <v>4948</v>
      </c>
    </row>
    <row r="77" spans="2:3" x14ac:dyDescent="0.35">
      <c r="B77" s="1620" t="s">
        <v>4949</v>
      </c>
    </row>
    <row r="78" spans="2:3" x14ac:dyDescent="0.35">
      <c r="B78" s="1620" t="s">
        <v>4950</v>
      </c>
    </row>
    <row r="79" spans="2:3" x14ac:dyDescent="0.35">
      <c r="B79" s="1620" t="s">
        <v>5105</v>
      </c>
    </row>
    <row r="80" spans="2:3" x14ac:dyDescent="0.35">
      <c r="B80" s="1620" t="s">
        <v>5106</v>
      </c>
    </row>
    <row r="81" spans="2:2" x14ac:dyDescent="0.35">
      <c r="B81" s="1620" t="s">
        <v>5107</v>
      </c>
    </row>
    <row r="82" spans="2:2" x14ac:dyDescent="0.35">
      <c r="B82" s="591"/>
    </row>
    <row r="83" spans="2:2" x14ac:dyDescent="0.35">
      <c r="B83" s="1620" t="s">
        <v>4394</v>
      </c>
    </row>
    <row r="84" spans="2:2" x14ac:dyDescent="0.35">
      <c r="B84" s="1620" t="s">
        <v>4395</v>
      </c>
    </row>
    <row r="85" spans="2:2" x14ac:dyDescent="0.35">
      <c r="B85" s="1620" t="s">
        <v>4396</v>
      </c>
    </row>
    <row r="87" spans="2:2" x14ac:dyDescent="0.35">
      <c r="B87" s="1616" t="s">
        <v>4899</v>
      </c>
    </row>
    <row r="88" spans="2:2" x14ac:dyDescent="0.35">
      <c r="B88" s="1617" t="s">
        <v>4900</v>
      </c>
    </row>
    <row r="89" spans="2:2" x14ac:dyDescent="0.35">
      <c r="B89" s="1617" t="s">
        <v>4901</v>
      </c>
    </row>
    <row r="90" spans="2:2" x14ac:dyDescent="0.35">
      <c r="B90" s="1617" t="s">
        <v>4902</v>
      </c>
    </row>
    <row r="91" spans="2:2" x14ac:dyDescent="0.35">
      <c r="B91" s="1617" t="s">
        <v>4922</v>
      </c>
    </row>
    <row r="92" spans="2:2" x14ac:dyDescent="0.35">
      <c r="B92" s="1617" t="s">
        <v>4904</v>
      </c>
    </row>
    <row r="94" spans="2:2" x14ac:dyDescent="0.35">
      <c r="B94" s="1619" t="s">
        <v>5676</v>
      </c>
    </row>
    <row r="95" spans="2:2" x14ac:dyDescent="0.35">
      <c r="B95" s="1619" t="s">
        <v>5677</v>
      </c>
    </row>
    <row r="97" spans="2:5" x14ac:dyDescent="0.35">
      <c r="B97" s="1613" t="s">
        <v>5756</v>
      </c>
    </row>
    <row r="98" spans="2:5" x14ac:dyDescent="0.35">
      <c r="B98" s="1613" t="s">
        <v>5757</v>
      </c>
    </row>
    <row r="99" spans="2:5" x14ac:dyDescent="0.35">
      <c r="B99" s="1613"/>
    </row>
    <row r="100" spans="2:5" x14ac:dyDescent="0.35">
      <c r="B100" s="1613" t="s">
        <v>5758</v>
      </c>
    </row>
    <row r="101" spans="2:5" x14ac:dyDescent="0.35">
      <c r="B101" s="1613" t="s">
        <v>5759</v>
      </c>
    </row>
    <row r="103" spans="2:5" x14ac:dyDescent="0.35">
      <c r="B103" s="1165" t="s">
        <v>4457</v>
      </c>
      <c r="C103" s="1165" t="s">
        <v>4458</v>
      </c>
      <c r="D103" s="1165" t="s">
        <v>4459</v>
      </c>
      <c r="E103" s="1165" t="s">
        <v>6121</v>
      </c>
    </row>
    <row r="104" spans="2:5" x14ac:dyDescent="0.35">
      <c r="B104" s="471">
        <v>11</v>
      </c>
      <c r="C104" s="472">
        <v>0.57700000000000007</v>
      </c>
      <c r="D104" s="472">
        <v>0.107</v>
      </c>
      <c r="E104" s="1166">
        <v>0.91744238527119315</v>
      </c>
    </row>
    <row r="105" spans="2:5" x14ac:dyDescent="0.35">
      <c r="B105" s="471">
        <v>12</v>
      </c>
      <c r="C105" s="472">
        <v>0.68599999999999994</v>
      </c>
      <c r="D105" s="472">
        <v>6.5000000000000002E-2</v>
      </c>
      <c r="E105" s="1166">
        <v>0.92659432201264957</v>
      </c>
    </row>
    <row r="106" spans="2:5" x14ac:dyDescent="0.35">
      <c r="B106" s="471">
        <v>22</v>
      </c>
      <c r="C106" s="472">
        <v>0.67779999999999996</v>
      </c>
      <c r="D106" s="472">
        <v>6.2E-2</v>
      </c>
      <c r="E106" s="1166">
        <v>0.92625006754158812</v>
      </c>
    </row>
    <row r="107" spans="2:5" x14ac:dyDescent="0.35">
      <c r="B107" s="471">
        <v>23</v>
      </c>
      <c r="C107" s="472">
        <v>0.72</v>
      </c>
      <c r="D107" s="472">
        <v>5.0999999999999997E-2</v>
      </c>
      <c r="E107" s="1166">
        <v>0.92954388565768609</v>
      </c>
    </row>
    <row r="108" spans="2:5" x14ac:dyDescent="0.35">
      <c r="B108" s="471">
        <v>24</v>
      </c>
      <c r="C108" s="472">
        <v>0.79</v>
      </c>
      <c r="D108" s="472">
        <v>2.7999999999999997E-2</v>
      </c>
      <c r="E108" s="1166">
        <v>0.93465332990733185</v>
      </c>
    </row>
    <row r="109" spans="2:5" x14ac:dyDescent="0.35">
      <c r="B109" s="471">
        <v>32</v>
      </c>
      <c r="C109" s="472">
        <v>0.65500000000000003</v>
      </c>
      <c r="D109" s="472">
        <v>6.7000000000000004E-2</v>
      </c>
      <c r="E109" s="1166">
        <v>0.9244443978585638</v>
      </c>
    </row>
    <row r="110" spans="2:5" x14ac:dyDescent="0.35">
      <c r="B110" s="471">
        <v>33</v>
      </c>
      <c r="C110" s="472">
        <v>0.70400000000000007</v>
      </c>
      <c r="D110" s="472">
        <v>5.4000000000000006E-2</v>
      </c>
      <c r="E110" s="1166">
        <v>0.94115784181934536</v>
      </c>
    </row>
    <row r="111" spans="2:5" x14ac:dyDescent="0.35">
      <c r="B111" s="471">
        <v>34</v>
      </c>
      <c r="C111" s="472">
        <v>0.748</v>
      </c>
      <c r="D111" s="472">
        <v>4.5999999999999999E-2</v>
      </c>
      <c r="E111" s="1166">
        <v>0.94714443054352615</v>
      </c>
    </row>
    <row r="112" spans="2:5" x14ac:dyDescent="0.35">
      <c r="B112" s="471">
        <v>91</v>
      </c>
      <c r="C112" s="472">
        <v>0.26</v>
      </c>
      <c r="D112" s="472">
        <v>6.8000000000000005E-2</v>
      </c>
      <c r="E112" s="1166">
        <v>0.90272539520160577</v>
      </c>
    </row>
    <row r="113" spans="2:5" x14ac:dyDescent="0.35">
      <c r="B113" s="471">
        <v>92</v>
      </c>
      <c r="C113" s="472">
        <v>0.34100000000000003</v>
      </c>
      <c r="D113" s="472">
        <v>0.03</v>
      </c>
      <c r="E113" s="1166">
        <v>0.89714171609607307</v>
      </c>
    </row>
    <row r="114" spans="2:5" x14ac:dyDescent="0.35">
      <c r="B114" s="471">
        <v>93</v>
      </c>
      <c r="C114" s="472">
        <v>0.46500000000000002</v>
      </c>
      <c r="D114" s="472">
        <v>2.6000000000000002E-2</v>
      </c>
      <c r="E114" s="1166">
        <v>0.89884123092736246</v>
      </c>
    </row>
    <row r="115" spans="2:5" x14ac:dyDescent="0.35">
      <c r="E115" s="1167">
        <v>0.92144852354578777</v>
      </c>
    </row>
    <row r="117" spans="2:5" x14ac:dyDescent="0.35">
      <c r="B117" s="1165" t="s">
        <v>2095</v>
      </c>
      <c r="C117" s="1165" t="s">
        <v>2096</v>
      </c>
      <c r="D117" s="1165" t="s">
        <v>29</v>
      </c>
      <c r="E117" s="1165" t="s">
        <v>4342</v>
      </c>
    </row>
    <row r="118" spans="2:5" x14ac:dyDescent="0.35">
      <c r="B118" s="473" t="s">
        <v>4085</v>
      </c>
      <c r="C118" s="473" t="s">
        <v>1844</v>
      </c>
      <c r="D118" s="474" t="s">
        <v>1679</v>
      </c>
      <c r="E118" s="475">
        <v>22</v>
      </c>
    </row>
    <row r="119" spans="2:5" x14ac:dyDescent="0.35">
      <c r="B119" s="473" t="s">
        <v>3935</v>
      </c>
      <c r="C119" s="473" t="s">
        <v>1704</v>
      </c>
      <c r="D119" s="474" t="s">
        <v>1679</v>
      </c>
      <c r="E119" s="475">
        <v>12</v>
      </c>
    </row>
    <row r="120" spans="2:5" x14ac:dyDescent="0.35">
      <c r="B120" s="473" t="s">
        <v>2894</v>
      </c>
      <c r="C120" s="473" t="s">
        <v>785</v>
      </c>
      <c r="D120" s="474" t="s">
        <v>332</v>
      </c>
      <c r="E120" s="475">
        <v>22</v>
      </c>
    </row>
    <row r="121" spans="2:5" x14ac:dyDescent="0.35">
      <c r="B121" s="473" t="s">
        <v>3495</v>
      </c>
      <c r="C121" s="473" t="s">
        <v>1283</v>
      </c>
      <c r="D121" s="474" t="s">
        <v>1282</v>
      </c>
      <c r="E121" s="475">
        <v>33</v>
      </c>
    </row>
    <row r="122" spans="2:5" x14ac:dyDescent="0.35">
      <c r="B122" s="473" t="s">
        <v>2765</v>
      </c>
      <c r="C122" s="473" t="s">
        <v>666</v>
      </c>
      <c r="D122" s="474" t="s">
        <v>332</v>
      </c>
      <c r="E122" s="475">
        <v>22</v>
      </c>
    </row>
    <row r="123" spans="2:5" x14ac:dyDescent="0.35">
      <c r="B123" s="473" t="s">
        <v>4158</v>
      </c>
      <c r="C123" s="473" t="s">
        <v>1911</v>
      </c>
      <c r="D123" s="474" t="s">
        <v>1679</v>
      </c>
      <c r="E123" s="475">
        <v>34</v>
      </c>
    </row>
    <row r="124" spans="2:5" x14ac:dyDescent="0.35">
      <c r="B124" s="473" t="s">
        <v>2508</v>
      </c>
      <c r="C124" s="473" t="s">
        <v>427</v>
      </c>
      <c r="D124" s="474" t="s">
        <v>332</v>
      </c>
      <c r="E124" s="475">
        <v>24</v>
      </c>
    </row>
    <row r="125" spans="2:5" x14ac:dyDescent="0.35">
      <c r="B125" s="473" t="s">
        <v>3367</v>
      </c>
      <c r="C125" s="473" t="s">
        <v>1163</v>
      </c>
      <c r="D125" s="474" t="s">
        <v>879</v>
      </c>
      <c r="E125" s="475">
        <v>23</v>
      </c>
    </row>
    <row r="126" spans="2:5" x14ac:dyDescent="0.35">
      <c r="B126" s="473" t="s">
        <v>3726</v>
      </c>
      <c r="C126" s="473" t="s">
        <v>1510</v>
      </c>
      <c r="D126" s="474" t="s">
        <v>1400</v>
      </c>
      <c r="E126" s="475">
        <v>33</v>
      </c>
    </row>
    <row r="127" spans="2:5" x14ac:dyDescent="0.35">
      <c r="B127" s="473" t="s">
        <v>3496</v>
      </c>
      <c r="C127" s="473" t="s">
        <v>1284</v>
      </c>
      <c r="D127" s="474" t="s">
        <v>1282</v>
      </c>
      <c r="E127" s="475">
        <v>12</v>
      </c>
    </row>
    <row r="128" spans="2:5" x14ac:dyDescent="0.35">
      <c r="B128" s="473" t="s">
        <v>3285</v>
      </c>
      <c r="C128" s="473" t="s">
        <v>1105</v>
      </c>
      <c r="D128" s="474" t="s">
        <v>879</v>
      </c>
      <c r="E128" s="475">
        <v>34</v>
      </c>
    </row>
    <row r="129" spans="2:5" x14ac:dyDescent="0.35">
      <c r="B129" s="473" t="s">
        <v>3834</v>
      </c>
      <c r="C129" s="473" t="s">
        <v>1608</v>
      </c>
      <c r="D129" s="474" t="s">
        <v>1400</v>
      </c>
      <c r="E129" s="475">
        <v>24</v>
      </c>
    </row>
    <row r="130" spans="2:5" x14ac:dyDescent="0.35">
      <c r="B130" s="473" t="s">
        <v>2354</v>
      </c>
      <c r="C130" s="473" t="s">
        <v>289</v>
      </c>
      <c r="D130" s="474" t="s">
        <v>212</v>
      </c>
      <c r="E130" s="475">
        <v>24</v>
      </c>
    </row>
    <row r="131" spans="2:5" x14ac:dyDescent="0.35">
      <c r="B131" s="473" t="s">
        <v>2639</v>
      </c>
      <c r="C131" s="473" t="s">
        <v>553</v>
      </c>
      <c r="D131" s="474" t="s">
        <v>332</v>
      </c>
      <c r="E131" s="475">
        <v>23</v>
      </c>
    </row>
    <row r="132" spans="2:5" x14ac:dyDescent="0.35">
      <c r="B132" s="473" t="s">
        <v>3286</v>
      </c>
      <c r="C132" s="473" t="s">
        <v>1106</v>
      </c>
      <c r="D132" s="474" t="s">
        <v>879</v>
      </c>
      <c r="E132" s="475">
        <v>33</v>
      </c>
    </row>
    <row r="133" spans="2:5" x14ac:dyDescent="0.35">
      <c r="B133" s="473" t="s">
        <v>3727</v>
      </c>
      <c r="C133" s="473" t="s">
        <v>1511</v>
      </c>
      <c r="D133" s="474" t="s">
        <v>1400</v>
      </c>
      <c r="E133" s="475">
        <v>33</v>
      </c>
    </row>
    <row r="134" spans="2:5" x14ac:dyDescent="0.35">
      <c r="B134" s="473" t="s">
        <v>3470</v>
      </c>
      <c r="C134" s="473" t="s">
        <v>1258</v>
      </c>
      <c r="D134" s="474" t="s">
        <v>879</v>
      </c>
      <c r="E134" s="475">
        <v>24</v>
      </c>
    </row>
    <row r="135" spans="2:5" x14ac:dyDescent="0.35">
      <c r="B135" s="473" t="s">
        <v>3712</v>
      </c>
      <c r="C135" s="473" t="s">
        <v>1496</v>
      </c>
      <c r="D135" s="474" t="s">
        <v>1400</v>
      </c>
      <c r="E135" s="475">
        <v>33</v>
      </c>
    </row>
    <row r="136" spans="2:5" x14ac:dyDescent="0.35">
      <c r="B136" s="473" t="s">
        <v>3330</v>
      </c>
      <c r="C136" s="473" t="s">
        <v>1136</v>
      </c>
      <c r="D136" s="474" t="s">
        <v>879</v>
      </c>
      <c r="E136" s="475">
        <v>34</v>
      </c>
    </row>
    <row r="137" spans="2:5" x14ac:dyDescent="0.35">
      <c r="B137" s="473" t="s">
        <v>4086</v>
      </c>
      <c r="C137" s="473" t="s">
        <v>1845</v>
      </c>
      <c r="D137" s="474" t="s">
        <v>1679</v>
      </c>
      <c r="E137" s="475">
        <v>23</v>
      </c>
    </row>
    <row r="138" spans="2:5" x14ac:dyDescent="0.35">
      <c r="B138" s="473" t="s">
        <v>3131</v>
      </c>
      <c r="C138" s="473" t="s">
        <v>977</v>
      </c>
      <c r="D138" s="474" t="s">
        <v>879</v>
      </c>
      <c r="E138" s="475">
        <v>23</v>
      </c>
    </row>
    <row r="139" spans="2:5" x14ac:dyDescent="0.35">
      <c r="B139" s="473" t="s">
        <v>2402</v>
      </c>
      <c r="C139" s="473" t="s">
        <v>323</v>
      </c>
      <c r="D139" s="474" t="s">
        <v>212</v>
      </c>
      <c r="E139" s="475">
        <v>34</v>
      </c>
    </row>
    <row r="140" spans="2:5" x14ac:dyDescent="0.35">
      <c r="B140" s="473" t="s">
        <v>2574</v>
      </c>
      <c r="C140" s="473" t="s">
        <v>491</v>
      </c>
      <c r="D140" s="474" t="s">
        <v>332</v>
      </c>
      <c r="E140" s="475">
        <v>34</v>
      </c>
    </row>
    <row r="141" spans="2:5" x14ac:dyDescent="0.35">
      <c r="B141" s="473" t="s">
        <v>3388</v>
      </c>
      <c r="C141" s="473" t="s">
        <v>1182</v>
      </c>
      <c r="D141" s="474" t="s">
        <v>879</v>
      </c>
      <c r="E141" s="475">
        <v>23</v>
      </c>
    </row>
    <row r="142" spans="2:5" x14ac:dyDescent="0.35">
      <c r="B142" s="473" t="s">
        <v>4229</v>
      </c>
      <c r="C142" s="473" t="s">
        <v>1977</v>
      </c>
      <c r="D142" s="474" t="s">
        <v>1950</v>
      </c>
      <c r="E142" s="475">
        <v>22</v>
      </c>
    </row>
    <row r="143" spans="2:5" x14ac:dyDescent="0.35">
      <c r="B143" s="473" t="s">
        <v>3772</v>
      </c>
      <c r="C143" s="473" t="s">
        <v>1552</v>
      </c>
      <c r="D143" s="474" t="s">
        <v>1400</v>
      </c>
      <c r="E143" s="475">
        <v>22</v>
      </c>
    </row>
    <row r="144" spans="2:5" x14ac:dyDescent="0.35">
      <c r="B144" s="473" t="s">
        <v>2640</v>
      </c>
      <c r="C144" s="473" t="s">
        <v>554</v>
      </c>
      <c r="D144" s="474" t="s">
        <v>332</v>
      </c>
      <c r="E144" s="475">
        <v>34</v>
      </c>
    </row>
    <row r="145" spans="2:5" x14ac:dyDescent="0.35">
      <c r="B145" s="473" t="s">
        <v>3936</v>
      </c>
      <c r="C145" s="473" t="s">
        <v>1705</v>
      </c>
      <c r="D145" s="474" t="s">
        <v>1679</v>
      </c>
      <c r="E145" s="475">
        <v>12</v>
      </c>
    </row>
    <row r="146" spans="2:5" x14ac:dyDescent="0.35">
      <c r="B146" s="473" t="s">
        <v>3067</v>
      </c>
      <c r="C146" s="473" t="s">
        <v>923</v>
      </c>
      <c r="D146" s="474" t="s">
        <v>879</v>
      </c>
      <c r="E146" s="475">
        <v>22</v>
      </c>
    </row>
    <row r="147" spans="2:5" x14ac:dyDescent="0.35">
      <c r="B147" s="473" t="s">
        <v>2457</v>
      </c>
      <c r="C147" s="473" t="s">
        <v>365</v>
      </c>
      <c r="D147" s="474" t="s">
        <v>332</v>
      </c>
      <c r="E147" s="475">
        <v>23</v>
      </c>
    </row>
    <row r="148" spans="2:5" x14ac:dyDescent="0.35">
      <c r="B148" s="473" t="s">
        <v>2988</v>
      </c>
      <c r="C148" s="473" t="s">
        <v>855</v>
      </c>
      <c r="D148" s="474" t="s">
        <v>332</v>
      </c>
      <c r="E148" s="475">
        <v>33</v>
      </c>
    </row>
    <row r="149" spans="2:5" x14ac:dyDescent="0.35">
      <c r="B149" s="473" t="s">
        <v>3666</v>
      </c>
      <c r="C149" s="473" t="s">
        <v>1452</v>
      </c>
      <c r="D149" s="474" t="s">
        <v>1400</v>
      </c>
      <c r="E149" s="475">
        <v>24</v>
      </c>
    </row>
    <row r="150" spans="2:5" x14ac:dyDescent="0.35">
      <c r="B150" s="473" t="s">
        <v>3216</v>
      </c>
      <c r="C150" s="473" t="s">
        <v>1050</v>
      </c>
      <c r="D150" s="474" t="s">
        <v>879</v>
      </c>
      <c r="E150" s="475">
        <v>23</v>
      </c>
    </row>
    <row r="151" spans="2:5" x14ac:dyDescent="0.35">
      <c r="B151" s="473" t="s">
        <v>3192</v>
      </c>
      <c r="C151" s="473" t="s">
        <v>1030</v>
      </c>
      <c r="D151" s="474" t="s">
        <v>879</v>
      </c>
      <c r="E151" s="475">
        <v>24</v>
      </c>
    </row>
    <row r="152" spans="2:5" x14ac:dyDescent="0.35">
      <c r="B152" s="473" t="s">
        <v>2418</v>
      </c>
      <c r="C152" s="473" t="s">
        <v>336</v>
      </c>
      <c r="D152" s="474" t="s">
        <v>332</v>
      </c>
      <c r="E152" s="475">
        <v>23</v>
      </c>
    </row>
    <row r="153" spans="2:5" x14ac:dyDescent="0.35">
      <c r="B153" s="473" t="s">
        <v>4024</v>
      </c>
      <c r="C153" s="473" t="s">
        <v>1785</v>
      </c>
      <c r="D153" s="474" t="s">
        <v>1679</v>
      </c>
      <c r="E153" s="475">
        <v>23</v>
      </c>
    </row>
    <row r="154" spans="2:5" x14ac:dyDescent="0.35">
      <c r="B154" s="473" t="s">
        <v>4272</v>
      </c>
      <c r="C154" s="473" t="s">
        <v>2018</v>
      </c>
      <c r="D154" s="474" t="s">
        <v>1950</v>
      </c>
      <c r="E154" s="475">
        <v>12</v>
      </c>
    </row>
    <row r="155" spans="2:5" x14ac:dyDescent="0.35">
      <c r="B155" s="473" t="s">
        <v>3713</v>
      </c>
      <c r="C155" s="473" t="s">
        <v>1497</v>
      </c>
      <c r="D155" s="474" t="s">
        <v>1400</v>
      </c>
      <c r="E155" s="475">
        <v>34</v>
      </c>
    </row>
    <row r="156" spans="2:5" x14ac:dyDescent="0.35">
      <c r="B156" s="473" t="s">
        <v>3389</v>
      </c>
      <c r="C156" s="473" t="s">
        <v>1183</v>
      </c>
      <c r="D156" s="474" t="s">
        <v>879</v>
      </c>
      <c r="E156" s="475">
        <v>23</v>
      </c>
    </row>
    <row r="157" spans="2:5" x14ac:dyDescent="0.35">
      <c r="B157" s="473" t="s">
        <v>2599</v>
      </c>
      <c r="C157" s="473" t="s">
        <v>514</v>
      </c>
      <c r="D157" s="474" t="s">
        <v>332</v>
      </c>
      <c r="E157" s="475">
        <v>34</v>
      </c>
    </row>
    <row r="158" spans="2:5" x14ac:dyDescent="0.35">
      <c r="B158" s="473" t="s">
        <v>2785</v>
      </c>
      <c r="C158" s="473" t="s">
        <v>686</v>
      </c>
      <c r="D158" s="474" t="s">
        <v>332</v>
      </c>
      <c r="E158" s="475">
        <v>24</v>
      </c>
    </row>
    <row r="159" spans="2:5" x14ac:dyDescent="0.35">
      <c r="B159" s="473" t="s">
        <v>3287</v>
      </c>
      <c r="C159" s="473" t="s">
        <v>1107</v>
      </c>
      <c r="D159" s="474" t="s">
        <v>879</v>
      </c>
      <c r="E159" s="475">
        <v>32</v>
      </c>
    </row>
    <row r="160" spans="2:5" x14ac:dyDescent="0.35">
      <c r="B160" s="473" t="s">
        <v>2458</v>
      </c>
      <c r="C160" s="473" t="s">
        <v>366</v>
      </c>
      <c r="D160" s="474" t="s">
        <v>332</v>
      </c>
      <c r="E160" s="475">
        <v>24</v>
      </c>
    </row>
    <row r="161" spans="2:5" x14ac:dyDescent="0.35">
      <c r="B161" s="473" t="s">
        <v>3714</v>
      </c>
      <c r="C161" s="473" t="s">
        <v>1498</v>
      </c>
      <c r="D161" s="474" t="s">
        <v>1400</v>
      </c>
      <c r="E161" s="475">
        <v>34</v>
      </c>
    </row>
    <row r="162" spans="2:5" x14ac:dyDescent="0.35">
      <c r="B162" s="473" t="s">
        <v>3545</v>
      </c>
      <c r="C162" s="473" t="s">
        <v>1333</v>
      </c>
      <c r="D162" s="474" t="s">
        <v>1282</v>
      </c>
      <c r="E162" s="475">
        <v>32</v>
      </c>
    </row>
    <row r="163" spans="2:5" x14ac:dyDescent="0.35">
      <c r="B163" s="473" t="s">
        <v>3015</v>
      </c>
      <c r="C163" s="473" t="s">
        <v>883</v>
      </c>
      <c r="D163" s="474" t="s">
        <v>879</v>
      </c>
      <c r="E163" s="475">
        <v>22</v>
      </c>
    </row>
    <row r="164" spans="2:5" x14ac:dyDescent="0.35">
      <c r="B164" s="473" t="s">
        <v>2298</v>
      </c>
      <c r="C164" s="473" t="s">
        <v>239</v>
      </c>
      <c r="D164" s="474" t="s">
        <v>212</v>
      </c>
      <c r="E164" s="475">
        <v>22</v>
      </c>
    </row>
    <row r="165" spans="2:5" x14ac:dyDescent="0.35">
      <c r="B165" s="473" t="s">
        <v>2833</v>
      </c>
      <c r="C165" s="473" t="s">
        <v>726</v>
      </c>
      <c r="D165" s="474" t="s">
        <v>332</v>
      </c>
      <c r="E165" s="475">
        <v>23</v>
      </c>
    </row>
    <row r="166" spans="2:5" x14ac:dyDescent="0.35">
      <c r="B166" s="473" t="s">
        <v>2729</v>
      </c>
      <c r="C166" s="473" t="s">
        <v>630</v>
      </c>
      <c r="D166" s="474" t="s">
        <v>332</v>
      </c>
      <c r="E166" s="475">
        <v>34</v>
      </c>
    </row>
    <row r="167" spans="2:5" x14ac:dyDescent="0.35">
      <c r="B167" s="473" t="s">
        <v>3002</v>
      </c>
      <c r="C167" s="473" t="s">
        <v>869</v>
      </c>
      <c r="D167" s="474" t="s">
        <v>332</v>
      </c>
      <c r="E167" s="475">
        <v>34</v>
      </c>
    </row>
    <row r="168" spans="2:5" x14ac:dyDescent="0.35">
      <c r="B168" s="473" t="s">
        <v>3109</v>
      </c>
      <c r="C168" s="473" t="s">
        <v>959</v>
      </c>
      <c r="D168" s="474" t="s">
        <v>879</v>
      </c>
      <c r="E168" s="475">
        <v>12</v>
      </c>
    </row>
    <row r="169" spans="2:5" x14ac:dyDescent="0.35">
      <c r="B169" s="473" t="s">
        <v>3332</v>
      </c>
      <c r="C169" s="473" t="s">
        <v>1138</v>
      </c>
      <c r="D169" s="474" t="s">
        <v>879</v>
      </c>
      <c r="E169" s="475">
        <v>34</v>
      </c>
    </row>
    <row r="170" spans="2:5" x14ac:dyDescent="0.35">
      <c r="B170" s="473" t="s">
        <v>2552</v>
      </c>
      <c r="C170" s="473" t="s">
        <v>471</v>
      </c>
      <c r="D170" s="474" t="s">
        <v>332</v>
      </c>
      <c r="E170" s="475">
        <v>34</v>
      </c>
    </row>
    <row r="171" spans="2:5" x14ac:dyDescent="0.35">
      <c r="B171" s="473" t="s">
        <v>4087</v>
      </c>
      <c r="C171" s="473" t="s">
        <v>1846</v>
      </c>
      <c r="D171" s="474" t="s">
        <v>1679</v>
      </c>
      <c r="E171" s="475">
        <v>12</v>
      </c>
    </row>
    <row r="172" spans="2:5" x14ac:dyDescent="0.35">
      <c r="B172" s="473" t="s">
        <v>3937</v>
      </c>
      <c r="C172" s="473" t="s">
        <v>1706</v>
      </c>
      <c r="D172" s="474" t="s">
        <v>1679</v>
      </c>
      <c r="E172" s="475">
        <v>22</v>
      </c>
    </row>
    <row r="173" spans="2:5" x14ac:dyDescent="0.35">
      <c r="B173" s="473" t="s">
        <v>3416</v>
      </c>
      <c r="C173" s="473" t="s">
        <v>1208</v>
      </c>
      <c r="D173" s="474" t="s">
        <v>879</v>
      </c>
      <c r="E173" s="475">
        <v>23</v>
      </c>
    </row>
    <row r="174" spans="2:5" x14ac:dyDescent="0.35">
      <c r="B174" s="473" t="s">
        <v>2419</v>
      </c>
      <c r="C174" s="473" t="s">
        <v>337</v>
      </c>
      <c r="D174" s="474" t="s">
        <v>332</v>
      </c>
      <c r="E174" s="475">
        <v>11</v>
      </c>
    </row>
    <row r="175" spans="2:5" x14ac:dyDescent="0.35">
      <c r="B175" s="473" t="s">
        <v>2181</v>
      </c>
      <c r="C175" s="473" t="s">
        <v>125</v>
      </c>
      <c r="D175" s="473" t="s">
        <v>40</v>
      </c>
      <c r="E175" s="475">
        <v>34</v>
      </c>
    </row>
    <row r="176" spans="2:5" x14ac:dyDescent="0.35">
      <c r="B176" s="473" t="s">
        <v>4230</v>
      </c>
      <c r="C176" s="473" t="s">
        <v>1978</v>
      </c>
      <c r="D176" s="474" t="s">
        <v>1950</v>
      </c>
      <c r="E176" s="475">
        <v>22</v>
      </c>
    </row>
    <row r="177" spans="2:5" x14ac:dyDescent="0.35">
      <c r="B177" s="473" t="s">
        <v>2509</v>
      </c>
      <c r="C177" s="473" t="s">
        <v>428</v>
      </c>
      <c r="D177" s="474" t="s">
        <v>332</v>
      </c>
      <c r="E177" s="475">
        <v>24</v>
      </c>
    </row>
    <row r="178" spans="2:5" x14ac:dyDescent="0.35">
      <c r="B178" s="473" t="s">
        <v>3333</v>
      </c>
      <c r="C178" s="473" t="s">
        <v>1139</v>
      </c>
      <c r="D178" s="474" t="s">
        <v>879</v>
      </c>
      <c r="E178" s="475">
        <v>22</v>
      </c>
    </row>
    <row r="179" spans="2:5" x14ac:dyDescent="0.35">
      <c r="B179" s="473" t="s">
        <v>3246</v>
      </c>
      <c r="C179" s="473" t="s">
        <v>1072</v>
      </c>
      <c r="D179" s="474" t="s">
        <v>879</v>
      </c>
      <c r="E179" s="475">
        <v>24</v>
      </c>
    </row>
    <row r="180" spans="2:5" x14ac:dyDescent="0.35">
      <c r="B180" s="473" t="s">
        <v>4025</v>
      </c>
      <c r="C180" s="473" t="s">
        <v>1786</v>
      </c>
      <c r="D180" s="474" t="s">
        <v>1679</v>
      </c>
      <c r="E180" s="475">
        <v>12</v>
      </c>
    </row>
    <row r="181" spans="2:5" x14ac:dyDescent="0.35">
      <c r="B181" s="473" t="s">
        <v>3794</v>
      </c>
      <c r="C181" s="473" t="s">
        <v>1570</v>
      </c>
      <c r="D181" s="474" t="s">
        <v>1400</v>
      </c>
      <c r="E181" s="475">
        <v>23</v>
      </c>
    </row>
    <row r="182" spans="2:5" x14ac:dyDescent="0.35">
      <c r="B182" s="473" t="s">
        <v>4050</v>
      </c>
      <c r="C182" s="473" t="s">
        <v>1811</v>
      </c>
      <c r="D182" s="474" t="s">
        <v>1679</v>
      </c>
      <c r="E182" s="475">
        <v>22</v>
      </c>
    </row>
    <row r="183" spans="2:5" x14ac:dyDescent="0.35">
      <c r="B183" s="473" t="s">
        <v>2510</v>
      </c>
      <c r="C183" s="473" t="s">
        <v>429</v>
      </c>
      <c r="D183" s="474" t="s">
        <v>332</v>
      </c>
      <c r="E183" s="475">
        <v>33</v>
      </c>
    </row>
    <row r="184" spans="2:5" x14ac:dyDescent="0.35">
      <c r="B184" s="473" t="s">
        <v>3508</v>
      </c>
      <c r="C184" s="473" t="s">
        <v>1296</v>
      </c>
      <c r="D184" s="474" t="s">
        <v>1282</v>
      </c>
      <c r="E184" s="475">
        <v>12</v>
      </c>
    </row>
    <row r="185" spans="2:5" x14ac:dyDescent="0.35">
      <c r="B185" s="473" t="s">
        <v>2670</v>
      </c>
      <c r="C185" s="473" t="s">
        <v>581</v>
      </c>
      <c r="D185" s="474" t="s">
        <v>332</v>
      </c>
      <c r="E185" s="475">
        <v>33</v>
      </c>
    </row>
    <row r="186" spans="2:5" x14ac:dyDescent="0.35">
      <c r="B186" s="473" t="s">
        <v>3497</v>
      </c>
      <c r="C186" s="473" t="s">
        <v>1285</v>
      </c>
      <c r="D186" s="474" t="s">
        <v>1282</v>
      </c>
      <c r="E186" s="475">
        <v>34</v>
      </c>
    </row>
    <row r="187" spans="2:5" x14ac:dyDescent="0.35">
      <c r="B187" s="473" t="s">
        <v>4088</v>
      </c>
      <c r="C187" s="473" t="s">
        <v>1847</v>
      </c>
      <c r="D187" s="474" t="s">
        <v>1679</v>
      </c>
      <c r="E187" s="475">
        <v>22</v>
      </c>
    </row>
    <row r="188" spans="2:5" x14ac:dyDescent="0.35">
      <c r="B188" s="473" t="s">
        <v>3193</v>
      </c>
      <c r="C188" s="473" t="s">
        <v>1031</v>
      </c>
      <c r="D188" s="474" t="s">
        <v>879</v>
      </c>
      <c r="E188" s="475">
        <v>12</v>
      </c>
    </row>
    <row r="189" spans="2:5" x14ac:dyDescent="0.35">
      <c r="B189" s="473" t="s">
        <v>2177</v>
      </c>
      <c r="C189" s="473" t="s">
        <v>121</v>
      </c>
      <c r="D189" s="473" t="s">
        <v>40</v>
      </c>
      <c r="E189" s="475">
        <v>22</v>
      </c>
    </row>
    <row r="190" spans="2:5" x14ac:dyDescent="0.35">
      <c r="B190" s="473" t="s">
        <v>3509</v>
      </c>
      <c r="C190" s="473" t="s">
        <v>1297</v>
      </c>
      <c r="D190" s="474" t="s">
        <v>1282</v>
      </c>
      <c r="E190" s="475">
        <v>22</v>
      </c>
    </row>
    <row r="191" spans="2:5" x14ac:dyDescent="0.35">
      <c r="B191" s="473" t="s">
        <v>3247</v>
      </c>
      <c r="C191" s="473" t="s">
        <v>1073</v>
      </c>
      <c r="D191" s="474" t="s">
        <v>879</v>
      </c>
      <c r="E191" s="475">
        <v>23</v>
      </c>
    </row>
    <row r="192" spans="2:5" x14ac:dyDescent="0.35">
      <c r="B192" s="473" t="s">
        <v>2182</v>
      </c>
      <c r="C192" s="473" t="s">
        <v>126</v>
      </c>
      <c r="D192" s="473" t="s">
        <v>40</v>
      </c>
      <c r="E192" s="475">
        <v>33</v>
      </c>
    </row>
    <row r="193" spans="2:5" x14ac:dyDescent="0.35">
      <c r="B193" s="473" t="s">
        <v>2989</v>
      </c>
      <c r="C193" s="473" t="s">
        <v>856</v>
      </c>
      <c r="D193" s="474" t="s">
        <v>332</v>
      </c>
      <c r="E193" s="475">
        <v>34</v>
      </c>
    </row>
    <row r="194" spans="2:5" x14ac:dyDescent="0.35">
      <c r="B194" s="473" t="s">
        <v>3217</v>
      </c>
      <c r="C194" s="473" t="s">
        <v>1051</v>
      </c>
      <c r="D194" s="474" t="s">
        <v>879</v>
      </c>
      <c r="E194" s="475">
        <v>22</v>
      </c>
    </row>
    <row r="195" spans="2:5" x14ac:dyDescent="0.35">
      <c r="B195" s="473" t="s">
        <v>2420</v>
      </c>
      <c r="C195" s="473" t="s">
        <v>338</v>
      </c>
      <c r="D195" s="474" t="s">
        <v>332</v>
      </c>
      <c r="E195" s="475">
        <v>23</v>
      </c>
    </row>
    <row r="196" spans="2:5" x14ac:dyDescent="0.35">
      <c r="B196" s="473" t="s">
        <v>3715</v>
      </c>
      <c r="C196" s="473" t="s">
        <v>1499</v>
      </c>
      <c r="D196" s="474" t="s">
        <v>1400</v>
      </c>
      <c r="E196" s="475">
        <v>33</v>
      </c>
    </row>
    <row r="197" spans="2:5" x14ac:dyDescent="0.35">
      <c r="B197" s="473" t="s">
        <v>3667</v>
      </c>
      <c r="C197" s="473" t="s">
        <v>1453</v>
      </c>
      <c r="D197" s="474" t="s">
        <v>1400</v>
      </c>
      <c r="E197" s="475">
        <v>34</v>
      </c>
    </row>
    <row r="198" spans="2:5" x14ac:dyDescent="0.35">
      <c r="B198" s="473" t="s">
        <v>2355</v>
      </c>
      <c r="C198" s="473" t="s">
        <v>290</v>
      </c>
      <c r="D198" s="474" t="s">
        <v>212</v>
      </c>
      <c r="E198" s="475">
        <v>23</v>
      </c>
    </row>
    <row r="199" spans="2:5" x14ac:dyDescent="0.35">
      <c r="B199" s="473" t="s">
        <v>3288</v>
      </c>
      <c r="C199" s="473" t="s">
        <v>1108</v>
      </c>
      <c r="D199" s="474" t="s">
        <v>879</v>
      </c>
      <c r="E199" s="475">
        <v>33</v>
      </c>
    </row>
    <row r="200" spans="2:5" x14ac:dyDescent="0.35">
      <c r="B200" s="473" t="s">
        <v>2356</v>
      </c>
      <c r="C200" s="473" t="s">
        <v>291</v>
      </c>
      <c r="D200" s="474" t="s">
        <v>212</v>
      </c>
      <c r="E200" s="475">
        <v>23</v>
      </c>
    </row>
    <row r="201" spans="2:5" x14ac:dyDescent="0.35">
      <c r="B201" s="473" t="s">
        <v>2686</v>
      </c>
      <c r="C201" s="473" t="s">
        <v>593</v>
      </c>
      <c r="D201" s="474" t="s">
        <v>332</v>
      </c>
      <c r="E201" s="475">
        <v>34</v>
      </c>
    </row>
    <row r="202" spans="2:5" x14ac:dyDescent="0.35">
      <c r="B202" s="473" t="s">
        <v>3910</v>
      </c>
      <c r="C202" s="473" t="s">
        <v>1681</v>
      </c>
      <c r="D202" s="474" t="s">
        <v>1679</v>
      </c>
      <c r="E202" s="475">
        <v>11</v>
      </c>
    </row>
    <row r="203" spans="2:5" x14ac:dyDescent="0.35">
      <c r="B203" s="473" t="s">
        <v>3068</v>
      </c>
      <c r="C203" s="473" t="s">
        <v>924</v>
      </c>
      <c r="D203" s="474" t="s">
        <v>879</v>
      </c>
      <c r="E203" s="475">
        <v>23</v>
      </c>
    </row>
    <row r="204" spans="2:5" x14ac:dyDescent="0.35">
      <c r="B204" s="473" t="s">
        <v>3368</v>
      </c>
      <c r="C204" s="473" t="s">
        <v>1164</v>
      </c>
      <c r="D204" s="474" t="s">
        <v>879</v>
      </c>
      <c r="E204" s="475">
        <v>23</v>
      </c>
    </row>
    <row r="205" spans="2:5" x14ac:dyDescent="0.35">
      <c r="B205" s="473" t="s">
        <v>4159</v>
      </c>
      <c r="C205" s="473" t="s">
        <v>1912</v>
      </c>
      <c r="D205" s="474" t="s">
        <v>1679</v>
      </c>
      <c r="E205" s="475">
        <v>22</v>
      </c>
    </row>
    <row r="206" spans="2:5" x14ac:dyDescent="0.35">
      <c r="B206" s="473" t="s">
        <v>2421</v>
      </c>
      <c r="C206" s="473" t="s">
        <v>339</v>
      </c>
      <c r="D206" s="474" t="s">
        <v>332</v>
      </c>
      <c r="E206" s="475">
        <v>22</v>
      </c>
    </row>
    <row r="207" spans="2:5" x14ac:dyDescent="0.35">
      <c r="B207" s="473" t="s">
        <v>3016</v>
      </c>
      <c r="C207" s="473" t="s">
        <v>884</v>
      </c>
      <c r="D207" s="474" t="s">
        <v>879</v>
      </c>
      <c r="E207" s="475">
        <v>24</v>
      </c>
    </row>
    <row r="208" spans="2:5" x14ac:dyDescent="0.35">
      <c r="B208" s="473" t="s">
        <v>2787</v>
      </c>
      <c r="C208" s="473" t="s">
        <v>2788</v>
      </c>
      <c r="D208" s="474" t="s">
        <v>332</v>
      </c>
      <c r="E208" s="475">
        <v>23</v>
      </c>
    </row>
    <row r="209" spans="2:5" x14ac:dyDescent="0.35">
      <c r="B209" s="473" t="s">
        <v>2786</v>
      </c>
      <c r="C209" s="473" t="s">
        <v>687</v>
      </c>
      <c r="D209" s="474" t="s">
        <v>332</v>
      </c>
      <c r="E209" s="475">
        <v>22</v>
      </c>
    </row>
    <row r="210" spans="2:5" x14ac:dyDescent="0.35">
      <c r="B210" s="473" t="s">
        <v>2730</v>
      </c>
      <c r="C210" s="473" t="s">
        <v>631</v>
      </c>
      <c r="D210" s="474" t="s">
        <v>332</v>
      </c>
      <c r="E210" s="475">
        <v>34</v>
      </c>
    </row>
    <row r="211" spans="2:5" x14ac:dyDescent="0.35">
      <c r="B211" s="473" t="s">
        <v>2834</v>
      </c>
      <c r="C211" s="473" t="s">
        <v>727</v>
      </c>
      <c r="D211" s="474" t="s">
        <v>332</v>
      </c>
      <c r="E211" s="475">
        <v>24</v>
      </c>
    </row>
    <row r="212" spans="2:5" x14ac:dyDescent="0.35">
      <c r="B212" s="473" t="s">
        <v>4089</v>
      </c>
      <c r="C212" s="473" t="s">
        <v>1848</v>
      </c>
      <c r="D212" s="474" t="s">
        <v>1679</v>
      </c>
      <c r="E212" s="475">
        <v>22</v>
      </c>
    </row>
    <row r="213" spans="2:5" x14ac:dyDescent="0.35">
      <c r="B213" s="473" t="s">
        <v>3194</v>
      </c>
      <c r="C213" s="473" t="s">
        <v>1032</v>
      </c>
      <c r="D213" s="474" t="s">
        <v>879</v>
      </c>
      <c r="E213" s="475">
        <v>23</v>
      </c>
    </row>
    <row r="214" spans="2:5" x14ac:dyDescent="0.35">
      <c r="B214" s="473" t="s">
        <v>3417</v>
      </c>
      <c r="C214" s="473" t="s">
        <v>1209</v>
      </c>
      <c r="D214" s="474" t="s">
        <v>879</v>
      </c>
      <c r="E214" s="475">
        <v>23</v>
      </c>
    </row>
    <row r="215" spans="2:5" x14ac:dyDescent="0.35">
      <c r="B215" s="473" t="s">
        <v>3418</v>
      </c>
      <c r="C215" s="473" t="s">
        <v>1210</v>
      </c>
      <c r="D215" s="474" t="s">
        <v>879</v>
      </c>
      <c r="E215" s="475">
        <v>11</v>
      </c>
    </row>
    <row r="216" spans="2:5" x14ac:dyDescent="0.35">
      <c r="B216" s="473" t="s">
        <v>3419</v>
      </c>
      <c r="C216" s="473" t="s">
        <v>1211</v>
      </c>
      <c r="D216" s="474" t="s">
        <v>879</v>
      </c>
      <c r="E216" s="475">
        <v>24</v>
      </c>
    </row>
    <row r="217" spans="2:5" x14ac:dyDescent="0.35">
      <c r="B217" s="473" t="s">
        <v>2895</v>
      </c>
      <c r="C217" s="473" t="s">
        <v>786</v>
      </c>
      <c r="D217" s="474" t="s">
        <v>332</v>
      </c>
      <c r="E217" s="475">
        <v>23</v>
      </c>
    </row>
    <row r="218" spans="2:5" x14ac:dyDescent="0.35">
      <c r="B218" s="473" t="s">
        <v>3289</v>
      </c>
      <c r="C218" s="473" t="s">
        <v>1109</v>
      </c>
      <c r="D218" s="474" t="s">
        <v>879</v>
      </c>
      <c r="E218" s="475">
        <v>34</v>
      </c>
    </row>
    <row r="219" spans="2:5" x14ac:dyDescent="0.35">
      <c r="B219" s="473" t="s">
        <v>4231</v>
      </c>
      <c r="C219" s="473" t="s">
        <v>1979</v>
      </c>
      <c r="D219" s="474" t="s">
        <v>1950</v>
      </c>
      <c r="E219" s="475">
        <v>33</v>
      </c>
    </row>
    <row r="220" spans="2:5" x14ac:dyDescent="0.35">
      <c r="B220" s="473" t="s">
        <v>2487</v>
      </c>
      <c r="C220" s="473" t="s">
        <v>395</v>
      </c>
      <c r="D220" s="474" t="s">
        <v>332</v>
      </c>
      <c r="E220" s="475">
        <v>24</v>
      </c>
    </row>
    <row r="221" spans="2:5" x14ac:dyDescent="0.35">
      <c r="B221" s="473" t="s">
        <v>3290</v>
      </c>
      <c r="C221" s="473" t="s">
        <v>1110</v>
      </c>
      <c r="D221" s="474" t="s">
        <v>879</v>
      </c>
      <c r="E221" s="475">
        <v>34</v>
      </c>
    </row>
    <row r="222" spans="2:5" x14ac:dyDescent="0.35">
      <c r="B222" s="473" t="s">
        <v>3017</v>
      </c>
      <c r="C222" s="473" t="s">
        <v>885</v>
      </c>
      <c r="D222" s="474" t="s">
        <v>879</v>
      </c>
      <c r="E222" s="475">
        <v>34</v>
      </c>
    </row>
    <row r="223" spans="2:5" x14ac:dyDescent="0.35">
      <c r="B223" s="473" t="s">
        <v>2511</v>
      </c>
      <c r="C223" s="473" t="s">
        <v>430</v>
      </c>
      <c r="D223" s="474" t="s">
        <v>332</v>
      </c>
      <c r="E223" s="475">
        <v>32</v>
      </c>
    </row>
    <row r="224" spans="2:5" x14ac:dyDescent="0.35">
      <c r="B224" s="473" t="s">
        <v>3420</v>
      </c>
      <c r="C224" s="473" t="s">
        <v>1212</v>
      </c>
      <c r="D224" s="474" t="s">
        <v>879</v>
      </c>
      <c r="E224" s="475">
        <v>24</v>
      </c>
    </row>
    <row r="225" spans="2:5" x14ac:dyDescent="0.35">
      <c r="B225" s="473" t="s">
        <v>4001</v>
      </c>
      <c r="C225" s="473" t="s">
        <v>1768</v>
      </c>
      <c r="D225" s="474" t="s">
        <v>1679</v>
      </c>
      <c r="E225" s="475">
        <v>33</v>
      </c>
    </row>
    <row r="226" spans="2:5" x14ac:dyDescent="0.35">
      <c r="B226" s="473" t="s">
        <v>3248</v>
      </c>
      <c r="C226" s="473" t="s">
        <v>1074</v>
      </c>
      <c r="D226" s="474" t="s">
        <v>879</v>
      </c>
      <c r="E226" s="475">
        <v>12</v>
      </c>
    </row>
    <row r="227" spans="2:5" x14ac:dyDescent="0.35">
      <c r="B227" s="473" t="s">
        <v>4090</v>
      </c>
      <c r="C227" s="473" t="s">
        <v>1849</v>
      </c>
      <c r="D227" s="474" t="s">
        <v>1679</v>
      </c>
      <c r="E227" s="475">
        <v>34</v>
      </c>
    </row>
    <row r="228" spans="2:5" x14ac:dyDescent="0.35">
      <c r="B228" s="473" t="s">
        <v>3938</v>
      </c>
      <c r="C228" s="473" t="s">
        <v>1707</v>
      </c>
      <c r="D228" s="474" t="s">
        <v>1679</v>
      </c>
      <c r="E228" s="475">
        <v>12</v>
      </c>
    </row>
    <row r="229" spans="2:5" x14ac:dyDescent="0.35">
      <c r="B229" s="473" t="s">
        <v>4121</v>
      </c>
      <c r="C229" s="473" t="s">
        <v>1874</v>
      </c>
      <c r="D229" s="474" t="s">
        <v>1679</v>
      </c>
      <c r="E229" s="475">
        <v>34</v>
      </c>
    </row>
    <row r="230" spans="2:5" x14ac:dyDescent="0.35">
      <c r="B230" s="473" t="s">
        <v>3471</v>
      </c>
      <c r="C230" s="473" t="s">
        <v>1259</v>
      </c>
      <c r="D230" s="474" t="s">
        <v>879</v>
      </c>
      <c r="E230" s="475">
        <v>23</v>
      </c>
    </row>
    <row r="231" spans="2:5" x14ac:dyDescent="0.35">
      <c r="B231" s="473" t="s">
        <v>3716</v>
      </c>
      <c r="C231" s="473" t="s">
        <v>1500</v>
      </c>
      <c r="D231" s="474" t="s">
        <v>1400</v>
      </c>
      <c r="E231" s="475">
        <v>33</v>
      </c>
    </row>
    <row r="232" spans="2:5" x14ac:dyDescent="0.35">
      <c r="B232" s="473" t="s">
        <v>2357</v>
      </c>
      <c r="C232" s="473" t="s">
        <v>292</v>
      </c>
      <c r="D232" s="474" t="s">
        <v>212</v>
      </c>
      <c r="E232" s="475">
        <v>24</v>
      </c>
    </row>
    <row r="233" spans="2:5" x14ac:dyDescent="0.35">
      <c r="B233" s="473" t="s">
        <v>3845</v>
      </c>
      <c r="C233" s="473" t="s">
        <v>1619</v>
      </c>
      <c r="D233" s="474" t="s">
        <v>1400</v>
      </c>
      <c r="E233" s="475">
        <v>33</v>
      </c>
    </row>
    <row r="234" spans="2:5" x14ac:dyDescent="0.35">
      <c r="B234" s="473" t="s">
        <v>2488</v>
      </c>
      <c r="C234" s="473" t="s">
        <v>396</v>
      </c>
      <c r="D234" s="474" t="s">
        <v>332</v>
      </c>
      <c r="E234" s="475">
        <v>32</v>
      </c>
    </row>
    <row r="235" spans="2:5" x14ac:dyDescent="0.35">
      <c r="B235" s="473" t="s">
        <v>2936</v>
      </c>
      <c r="C235" s="473" t="s">
        <v>824</v>
      </c>
      <c r="D235" s="474" t="s">
        <v>332</v>
      </c>
      <c r="E235" s="475">
        <v>22</v>
      </c>
    </row>
    <row r="236" spans="2:5" x14ac:dyDescent="0.35">
      <c r="B236" s="473" t="s">
        <v>2932</v>
      </c>
      <c r="C236" s="473" t="s">
        <v>820</v>
      </c>
      <c r="D236" s="474" t="s">
        <v>332</v>
      </c>
      <c r="E236" s="475">
        <v>22</v>
      </c>
    </row>
    <row r="237" spans="2:5" x14ac:dyDescent="0.35">
      <c r="B237" s="473" t="s">
        <v>3547</v>
      </c>
      <c r="C237" s="473" t="s">
        <v>1335</v>
      </c>
      <c r="D237" s="474" t="s">
        <v>1282</v>
      </c>
      <c r="E237" s="475">
        <v>32</v>
      </c>
    </row>
    <row r="238" spans="2:5" x14ac:dyDescent="0.35">
      <c r="B238" s="473" t="s">
        <v>3892</v>
      </c>
      <c r="C238" s="473" t="s">
        <v>1664</v>
      </c>
      <c r="D238" s="474" t="s">
        <v>1400</v>
      </c>
      <c r="E238" s="475">
        <v>33</v>
      </c>
    </row>
    <row r="239" spans="2:5" x14ac:dyDescent="0.35">
      <c r="B239" s="473" t="s">
        <v>3110</v>
      </c>
      <c r="C239" s="473" t="s">
        <v>960</v>
      </c>
      <c r="D239" s="474" t="s">
        <v>879</v>
      </c>
      <c r="E239" s="475">
        <v>32</v>
      </c>
    </row>
    <row r="240" spans="2:5" x14ac:dyDescent="0.35">
      <c r="B240" s="473" t="s">
        <v>2558</v>
      </c>
      <c r="C240" s="473" t="s">
        <v>477</v>
      </c>
      <c r="D240" s="474" t="s">
        <v>332</v>
      </c>
      <c r="E240" s="475">
        <v>34</v>
      </c>
    </row>
    <row r="241" spans="2:5" x14ac:dyDescent="0.35">
      <c r="B241" s="473" t="s">
        <v>3369</v>
      </c>
      <c r="C241" s="473" t="s">
        <v>1165</v>
      </c>
      <c r="D241" s="474" t="s">
        <v>879</v>
      </c>
      <c r="E241" s="475">
        <v>23</v>
      </c>
    </row>
    <row r="242" spans="2:5" x14ac:dyDescent="0.35">
      <c r="B242" s="473" t="s">
        <v>4026</v>
      </c>
      <c r="C242" s="473" t="s">
        <v>1787</v>
      </c>
      <c r="D242" s="474" t="s">
        <v>1679</v>
      </c>
      <c r="E242" s="475">
        <v>12</v>
      </c>
    </row>
    <row r="243" spans="2:5" x14ac:dyDescent="0.35">
      <c r="B243" s="473" t="s">
        <v>3546</v>
      </c>
      <c r="C243" s="473" t="s">
        <v>1334</v>
      </c>
      <c r="D243" s="474" t="s">
        <v>1282</v>
      </c>
      <c r="E243" s="475">
        <v>32</v>
      </c>
    </row>
    <row r="244" spans="2:5" x14ac:dyDescent="0.35">
      <c r="B244" s="473" t="s">
        <v>3111</v>
      </c>
      <c r="C244" s="473" t="s">
        <v>961</v>
      </c>
      <c r="D244" s="474" t="s">
        <v>879</v>
      </c>
      <c r="E244" s="475">
        <v>32</v>
      </c>
    </row>
    <row r="245" spans="2:5" x14ac:dyDescent="0.35">
      <c r="B245" s="473" t="s">
        <v>2321</v>
      </c>
      <c r="C245" s="473" t="s">
        <v>256</v>
      </c>
      <c r="D245" s="474" t="s">
        <v>212</v>
      </c>
      <c r="E245" s="475">
        <v>33</v>
      </c>
    </row>
    <row r="246" spans="2:5" x14ac:dyDescent="0.35">
      <c r="B246" s="473" t="s">
        <v>3223</v>
      </c>
      <c r="C246" s="473" t="s">
        <v>1057</v>
      </c>
      <c r="D246" s="474" t="s">
        <v>879</v>
      </c>
      <c r="E246" s="475">
        <v>24</v>
      </c>
    </row>
    <row r="247" spans="2:5" x14ac:dyDescent="0.35">
      <c r="B247" s="473" t="s">
        <v>3390</v>
      </c>
      <c r="C247" s="473" t="s">
        <v>1184</v>
      </c>
      <c r="D247" s="474" t="s">
        <v>879</v>
      </c>
      <c r="E247" s="475">
        <v>23</v>
      </c>
    </row>
    <row r="248" spans="2:5" x14ac:dyDescent="0.35">
      <c r="B248" s="473" t="s">
        <v>3728</v>
      </c>
      <c r="C248" s="473" t="s">
        <v>1512</v>
      </c>
      <c r="D248" s="474" t="s">
        <v>1400</v>
      </c>
      <c r="E248" s="475">
        <v>33</v>
      </c>
    </row>
    <row r="249" spans="2:5" x14ac:dyDescent="0.35">
      <c r="B249" s="473" t="s">
        <v>2512</v>
      </c>
      <c r="C249" s="473" t="s">
        <v>431</v>
      </c>
      <c r="D249" s="474" t="s">
        <v>332</v>
      </c>
      <c r="E249" s="475">
        <v>23</v>
      </c>
    </row>
    <row r="250" spans="2:5" x14ac:dyDescent="0.35">
      <c r="B250" s="473" t="s">
        <v>3893</v>
      </c>
      <c r="C250" s="473" t="s">
        <v>1665</v>
      </c>
      <c r="D250" s="474" t="s">
        <v>1400</v>
      </c>
      <c r="E250" s="475">
        <v>34</v>
      </c>
    </row>
    <row r="251" spans="2:5" x14ac:dyDescent="0.35">
      <c r="B251" s="473" t="s">
        <v>2172</v>
      </c>
      <c r="C251" s="473" t="s">
        <v>116</v>
      </c>
      <c r="D251" s="473" t="s">
        <v>40</v>
      </c>
      <c r="E251" s="475">
        <v>22</v>
      </c>
    </row>
    <row r="252" spans="2:5" x14ac:dyDescent="0.35">
      <c r="B252" s="473" t="s">
        <v>3132</v>
      </c>
      <c r="C252" s="473" t="s">
        <v>978</v>
      </c>
      <c r="D252" s="474" t="s">
        <v>879</v>
      </c>
      <c r="E252" s="475">
        <v>22</v>
      </c>
    </row>
    <row r="253" spans="2:5" x14ac:dyDescent="0.35">
      <c r="B253" s="473" t="s">
        <v>2933</v>
      </c>
      <c r="C253" s="473" t="s">
        <v>821</v>
      </c>
      <c r="D253" s="474" t="s">
        <v>332</v>
      </c>
      <c r="E253" s="475">
        <v>34</v>
      </c>
    </row>
    <row r="254" spans="2:5" x14ac:dyDescent="0.35">
      <c r="B254" s="473" t="s">
        <v>2388</v>
      </c>
      <c r="C254" s="473" t="s">
        <v>2389</v>
      </c>
      <c r="D254" s="474" t="s">
        <v>212</v>
      </c>
      <c r="E254" s="475">
        <v>24</v>
      </c>
    </row>
    <row r="255" spans="2:5" x14ac:dyDescent="0.35">
      <c r="B255" s="473" t="s">
        <v>2236</v>
      </c>
      <c r="C255" s="473" t="s">
        <v>180</v>
      </c>
      <c r="D255" s="473" t="s">
        <v>40</v>
      </c>
      <c r="E255" s="475">
        <v>34</v>
      </c>
    </row>
    <row r="256" spans="2:5" x14ac:dyDescent="0.35">
      <c r="B256" s="473" t="s">
        <v>3009</v>
      </c>
      <c r="C256" s="473" t="s">
        <v>876</v>
      </c>
      <c r="D256" s="474" t="s">
        <v>332</v>
      </c>
      <c r="E256" s="475">
        <v>34</v>
      </c>
    </row>
    <row r="257" spans="2:5" x14ac:dyDescent="0.35">
      <c r="B257" s="473" t="s">
        <v>3507</v>
      </c>
      <c r="C257" s="473" t="s">
        <v>1295</v>
      </c>
      <c r="D257" s="474" t="s">
        <v>1282</v>
      </c>
      <c r="E257" s="475">
        <v>12</v>
      </c>
    </row>
    <row r="258" spans="2:5" x14ac:dyDescent="0.35">
      <c r="B258" s="473" t="s">
        <v>2459</v>
      </c>
      <c r="C258" s="473" t="s">
        <v>367</v>
      </c>
      <c r="D258" s="474" t="s">
        <v>332</v>
      </c>
      <c r="E258" s="475">
        <v>12</v>
      </c>
    </row>
    <row r="259" spans="2:5" x14ac:dyDescent="0.35">
      <c r="B259" s="473" t="s">
        <v>3866</v>
      </c>
      <c r="C259" s="473" t="s">
        <v>1638</v>
      </c>
      <c r="D259" s="474" t="s">
        <v>1400</v>
      </c>
      <c r="E259" s="475">
        <v>34</v>
      </c>
    </row>
    <row r="260" spans="2:5" x14ac:dyDescent="0.35">
      <c r="B260" s="473" t="s">
        <v>3472</v>
      </c>
      <c r="C260" s="473" t="s">
        <v>1260</v>
      </c>
      <c r="D260" s="474" t="s">
        <v>879</v>
      </c>
      <c r="E260" s="475">
        <v>22</v>
      </c>
    </row>
    <row r="261" spans="2:5" x14ac:dyDescent="0.35">
      <c r="B261" s="473" t="s">
        <v>3108</v>
      </c>
      <c r="C261" s="473" t="s">
        <v>958</v>
      </c>
      <c r="D261" s="474" t="s">
        <v>879</v>
      </c>
      <c r="E261" s="475">
        <v>33</v>
      </c>
    </row>
    <row r="262" spans="2:5" x14ac:dyDescent="0.35">
      <c r="B262" s="473" t="s">
        <v>2460</v>
      </c>
      <c r="C262" s="473" t="s">
        <v>368</v>
      </c>
      <c r="D262" s="474" t="s">
        <v>332</v>
      </c>
      <c r="E262" s="475">
        <v>11</v>
      </c>
    </row>
    <row r="263" spans="2:5" x14ac:dyDescent="0.35">
      <c r="B263" s="473" t="s">
        <v>2266</v>
      </c>
      <c r="C263" s="473" t="s">
        <v>210</v>
      </c>
      <c r="D263" s="473" t="s">
        <v>40</v>
      </c>
      <c r="E263" s="475">
        <v>34</v>
      </c>
    </row>
    <row r="264" spans="2:5" x14ac:dyDescent="0.35">
      <c r="B264" s="473" t="s">
        <v>2322</v>
      </c>
      <c r="C264" s="473" t="s">
        <v>257</v>
      </c>
      <c r="D264" s="474" t="s">
        <v>212</v>
      </c>
      <c r="E264" s="475">
        <v>23</v>
      </c>
    </row>
    <row r="265" spans="2:5" x14ac:dyDescent="0.35">
      <c r="B265" s="473" t="s">
        <v>3764</v>
      </c>
      <c r="C265" s="473" t="s">
        <v>1544</v>
      </c>
      <c r="D265" s="474" t="s">
        <v>1400</v>
      </c>
      <c r="E265" s="475">
        <v>12</v>
      </c>
    </row>
    <row r="266" spans="2:5" x14ac:dyDescent="0.35">
      <c r="B266" s="473" t="s">
        <v>2990</v>
      </c>
      <c r="C266" s="473" t="s">
        <v>857</v>
      </c>
      <c r="D266" s="474" t="s">
        <v>332</v>
      </c>
      <c r="E266" s="475">
        <v>34</v>
      </c>
    </row>
    <row r="267" spans="2:5" x14ac:dyDescent="0.35">
      <c r="B267" s="473" t="s">
        <v>4197</v>
      </c>
      <c r="C267" s="473" t="s">
        <v>1951</v>
      </c>
      <c r="D267" s="474" t="s">
        <v>1950</v>
      </c>
      <c r="E267" s="475">
        <v>22</v>
      </c>
    </row>
    <row r="268" spans="2:5" x14ac:dyDescent="0.35">
      <c r="B268" s="473" t="s">
        <v>2178</v>
      </c>
      <c r="C268" s="473" t="s">
        <v>122</v>
      </c>
      <c r="D268" s="473" t="s">
        <v>40</v>
      </c>
      <c r="E268" s="475">
        <v>23</v>
      </c>
    </row>
    <row r="269" spans="2:5" x14ac:dyDescent="0.35">
      <c r="B269" s="473" t="s">
        <v>3218</v>
      </c>
      <c r="C269" s="473" t="s">
        <v>1052</v>
      </c>
      <c r="D269" s="474" t="s">
        <v>879</v>
      </c>
      <c r="E269" s="475">
        <v>22</v>
      </c>
    </row>
    <row r="270" spans="2:5" x14ac:dyDescent="0.35">
      <c r="B270" s="473" t="s">
        <v>3939</v>
      </c>
      <c r="C270" s="473" t="s">
        <v>1708</v>
      </c>
      <c r="D270" s="474" t="s">
        <v>1679</v>
      </c>
      <c r="E270" s="475">
        <v>12</v>
      </c>
    </row>
    <row r="271" spans="2:5" x14ac:dyDescent="0.35">
      <c r="B271" s="473" t="s">
        <v>2422</v>
      </c>
      <c r="C271" s="473" t="s">
        <v>340</v>
      </c>
      <c r="D271" s="474" t="s">
        <v>332</v>
      </c>
      <c r="E271" s="475">
        <v>23</v>
      </c>
    </row>
    <row r="272" spans="2:5" x14ac:dyDescent="0.35">
      <c r="B272" s="473" t="s">
        <v>2489</v>
      </c>
      <c r="C272" s="473" t="s">
        <v>397</v>
      </c>
      <c r="D272" s="474" t="s">
        <v>332</v>
      </c>
      <c r="E272" s="475">
        <v>34</v>
      </c>
    </row>
    <row r="273" spans="2:5" x14ac:dyDescent="0.35">
      <c r="B273" s="473" t="s">
        <v>3421</v>
      </c>
      <c r="C273" s="473" t="s">
        <v>1213</v>
      </c>
      <c r="D273" s="474" t="s">
        <v>879</v>
      </c>
      <c r="E273" s="475">
        <v>23</v>
      </c>
    </row>
    <row r="274" spans="2:5" x14ac:dyDescent="0.35">
      <c r="B274" s="473" t="s">
        <v>2323</v>
      </c>
      <c r="C274" s="473" t="s">
        <v>258</v>
      </c>
      <c r="D274" s="474" t="s">
        <v>212</v>
      </c>
      <c r="E274" s="475">
        <v>22</v>
      </c>
    </row>
    <row r="275" spans="2:5" x14ac:dyDescent="0.35">
      <c r="B275" s="473" t="s">
        <v>2641</v>
      </c>
      <c r="C275" s="473" t="s">
        <v>555</v>
      </c>
      <c r="D275" s="474" t="s">
        <v>332</v>
      </c>
      <c r="E275" s="475">
        <v>24</v>
      </c>
    </row>
    <row r="276" spans="2:5" x14ac:dyDescent="0.35">
      <c r="B276" s="473" t="s">
        <v>3510</v>
      </c>
      <c r="C276" s="473" t="s">
        <v>1298</v>
      </c>
      <c r="D276" s="474" t="s">
        <v>1282</v>
      </c>
      <c r="E276" s="475">
        <v>12</v>
      </c>
    </row>
    <row r="277" spans="2:5" x14ac:dyDescent="0.35">
      <c r="B277" s="473" t="s">
        <v>2687</v>
      </c>
      <c r="C277" s="473" t="s">
        <v>594</v>
      </c>
      <c r="D277" s="474" t="s">
        <v>332</v>
      </c>
      <c r="E277" s="475">
        <v>22</v>
      </c>
    </row>
    <row r="278" spans="2:5" x14ac:dyDescent="0.35">
      <c r="B278" s="473" t="s">
        <v>2461</v>
      </c>
      <c r="C278" s="473" t="s">
        <v>369</v>
      </c>
      <c r="D278" s="474" t="s">
        <v>332</v>
      </c>
      <c r="E278" s="475">
        <v>12</v>
      </c>
    </row>
    <row r="279" spans="2:5" x14ac:dyDescent="0.35">
      <c r="B279" s="473" t="s">
        <v>3511</v>
      </c>
      <c r="C279" s="473" t="s">
        <v>1299</v>
      </c>
      <c r="D279" s="474" t="s">
        <v>1282</v>
      </c>
      <c r="E279" s="475">
        <v>23</v>
      </c>
    </row>
    <row r="280" spans="2:5" x14ac:dyDescent="0.35">
      <c r="B280" s="473" t="s">
        <v>2731</v>
      </c>
      <c r="C280" s="473" t="s">
        <v>632</v>
      </c>
      <c r="D280" s="474" t="s">
        <v>332</v>
      </c>
      <c r="E280" s="475">
        <v>33</v>
      </c>
    </row>
    <row r="281" spans="2:5" x14ac:dyDescent="0.35">
      <c r="B281" s="473" t="s">
        <v>2237</v>
      </c>
      <c r="C281" s="473" t="s">
        <v>181</v>
      </c>
      <c r="D281" s="473" t="s">
        <v>40</v>
      </c>
      <c r="E281" s="475">
        <v>34</v>
      </c>
    </row>
    <row r="282" spans="2:5" x14ac:dyDescent="0.35">
      <c r="B282" s="473" t="s">
        <v>4122</v>
      </c>
      <c r="C282" s="473" t="s">
        <v>1875</v>
      </c>
      <c r="D282" s="474" t="s">
        <v>1679</v>
      </c>
      <c r="E282" s="475">
        <v>24</v>
      </c>
    </row>
    <row r="283" spans="2:5" x14ac:dyDescent="0.35">
      <c r="B283" s="473" t="s">
        <v>4232</v>
      </c>
      <c r="C283" s="473" t="s">
        <v>1980</v>
      </c>
      <c r="D283" s="474" t="s">
        <v>1950</v>
      </c>
      <c r="E283" s="475">
        <v>22</v>
      </c>
    </row>
    <row r="284" spans="2:5" x14ac:dyDescent="0.35">
      <c r="B284" s="473" t="s">
        <v>2423</v>
      </c>
      <c r="C284" s="473" t="s">
        <v>341</v>
      </c>
      <c r="D284" s="474" t="s">
        <v>332</v>
      </c>
      <c r="E284" s="475">
        <v>22</v>
      </c>
    </row>
    <row r="285" spans="2:5" x14ac:dyDescent="0.35">
      <c r="B285" s="473" t="s">
        <v>4123</v>
      </c>
      <c r="C285" s="473" t="s">
        <v>1876</v>
      </c>
      <c r="D285" s="474" t="s">
        <v>1679</v>
      </c>
      <c r="E285" s="475">
        <v>24</v>
      </c>
    </row>
    <row r="286" spans="2:5" x14ac:dyDescent="0.35">
      <c r="B286" s="473" t="s">
        <v>4124</v>
      </c>
      <c r="C286" s="473" t="s">
        <v>1877</v>
      </c>
      <c r="D286" s="474" t="s">
        <v>1679</v>
      </c>
      <c r="E286" s="475">
        <v>22</v>
      </c>
    </row>
    <row r="287" spans="2:5" x14ac:dyDescent="0.35">
      <c r="B287" s="473" t="s">
        <v>2766</v>
      </c>
      <c r="C287" s="473" t="s">
        <v>667</v>
      </c>
      <c r="D287" s="474" t="s">
        <v>332</v>
      </c>
      <c r="E287" s="475">
        <v>12</v>
      </c>
    </row>
    <row r="288" spans="2:5" x14ac:dyDescent="0.35">
      <c r="B288" s="473" t="s">
        <v>2147</v>
      </c>
      <c r="C288" s="473" t="s">
        <v>91</v>
      </c>
      <c r="D288" s="473" t="s">
        <v>40</v>
      </c>
      <c r="E288" s="475">
        <v>34</v>
      </c>
    </row>
    <row r="289" spans="2:5" x14ac:dyDescent="0.35">
      <c r="B289" s="473" t="s">
        <v>4233</v>
      </c>
      <c r="C289" s="473" t="s">
        <v>1981</v>
      </c>
      <c r="D289" s="474" t="s">
        <v>1950</v>
      </c>
      <c r="E289" s="475">
        <v>23</v>
      </c>
    </row>
    <row r="290" spans="2:5" x14ac:dyDescent="0.35">
      <c r="B290" s="473" t="s">
        <v>3940</v>
      </c>
      <c r="C290" s="473" t="s">
        <v>1709</v>
      </c>
      <c r="D290" s="474" t="s">
        <v>1679</v>
      </c>
      <c r="E290" s="475">
        <v>12</v>
      </c>
    </row>
    <row r="291" spans="2:5" x14ac:dyDescent="0.35">
      <c r="B291" s="473" t="s">
        <v>3795</v>
      </c>
      <c r="C291" s="473" t="s">
        <v>1571</v>
      </c>
      <c r="D291" s="474" t="s">
        <v>1400</v>
      </c>
      <c r="E291" s="475">
        <v>23</v>
      </c>
    </row>
    <row r="292" spans="2:5" x14ac:dyDescent="0.35">
      <c r="B292" s="473" t="s">
        <v>2620</v>
      </c>
      <c r="C292" s="473" t="s">
        <v>533</v>
      </c>
      <c r="D292" s="474" t="s">
        <v>332</v>
      </c>
      <c r="E292" s="475">
        <v>12</v>
      </c>
    </row>
    <row r="293" spans="2:5" x14ac:dyDescent="0.35">
      <c r="B293" s="473" t="s">
        <v>3548</v>
      </c>
      <c r="C293" s="473" t="s">
        <v>1336</v>
      </c>
      <c r="D293" s="474" t="s">
        <v>1282</v>
      </c>
      <c r="E293" s="475">
        <v>22</v>
      </c>
    </row>
    <row r="294" spans="2:5" x14ac:dyDescent="0.35">
      <c r="B294" s="473" t="s">
        <v>2688</v>
      </c>
      <c r="C294" s="473" t="s">
        <v>595</v>
      </c>
      <c r="D294" s="474" t="s">
        <v>332</v>
      </c>
      <c r="E294" s="475">
        <v>24</v>
      </c>
    </row>
    <row r="295" spans="2:5" x14ac:dyDescent="0.35">
      <c r="B295" s="473" t="s">
        <v>4234</v>
      </c>
      <c r="C295" s="473" t="s">
        <v>1982</v>
      </c>
      <c r="D295" s="474" t="s">
        <v>1950</v>
      </c>
      <c r="E295" s="475">
        <v>33</v>
      </c>
    </row>
    <row r="296" spans="2:5" x14ac:dyDescent="0.35">
      <c r="B296" s="473" t="s">
        <v>2374</v>
      </c>
      <c r="C296" s="473" t="s">
        <v>307</v>
      </c>
      <c r="D296" s="474" t="s">
        <v>212</v>
      </c>
      <c r="E296" s="475">
        <v>22</v>
      </c>
    </row>
    <row r="297" spans="2:5" x14ac:dyDescent="0.35">
      <c r="B297" s="473" t="s">
        <v>2689</v>
      </c>
      <c r="C297" s="473" t="s">
        <v>596</v>
      </c>
      <c r="D297" s="474" t="s">
        <v>332</v>
      </c>
      <c r="E297" s="475">
        <v>22</v>
      </c>
    </row>
    <row r="298" spans="2:5" x14ac:dyDescent="0.35">
      <c r="B298" s="473" t="s">
        <v>4198</v>
      </c>
      <c r="C298" s="473" t="s">
        <v>1952</v>
      </c>
      <c r="D298" s="474" t="s">
        <v>1950</v>
      </c>
      <c r="E298" s="475">
        <v>23</v>
      </c>
    </row>
    <row r="299" spans="2:5" x14ac:dyDescent="0.35">
      <c r="B299" s="473" t="s">
        <v>4199</v>
      </c>
      <c r="C299" s="473" t="s">
        <v>1953</v>
      </c>
      <c r="D299" s="474" t="s">
        <v>1950</v>
      </c>
      <c r="E299" s="475">
        <v>11</v>
      </c>
    </row>
    <row r="300" spans="2:5" x14ac:dyDescent="0.35">
      <c r="B300" s="473" t="s">
        <v>4200</v>
      </c>
      <c r="C300" s="473" t="s">
        <v>1954</v>
      </c>
      <c r="D300" s="474" t="s">
        <v>1950</v>
      </c>
      <c r="E300" s="475">
        <v>11</v>
      </c>
    </row>
    <row r="301" spans="2:5" x14ac:dyDescent="0.35">
      <c r="B301" s="473" t="s">
        <v>2486</v>
      </c>
      <c r="C301" s="473" t="s">
        <v>394</v>
      </c>
      <c r="D301" s="474" t="s">
        <v>332</v>
      </c>
      <c r="E301" s="475">
        <v>24</v>
      </c>
    </row>
    <row r="302" spans="2:5" x14ac:dyDescent="0.35">
      <c r="B302" s="473" t="s">
        <v>2732</v>
      </c>
      <c r="C302" s="473" t="s">
        <v>633</v>
      </c>
      <c r="D302" s="474" t="s">
        <v>332</v>
      </c>
      <c r="E302" s="475">
        <v>22</v>
      </c>
    </row>
    <row r="303" spans="2:5" x14ac:dyDescent="0.35">
      <c r="B303" s="473" t="s">
        <v>2122</v>
      </c>
      <c r="C303" s="473" t="s">
        <v>66</v>
      </c>
      <c r="D303" s="473" t="s">
        <v>40</v>
      </c>
      <c r="E303" s="475">
        <v>34</v>
      </c>
    </row>
    <row r="304" spans="2:5" x14ac:dyDescent="0.35">
      <c r="B304" s="473" t="s">
        <v>2835</v>
      </c>
      <c r="C304" s="473" t="s">
        <v>728</v>
      </c>
      <c r="D304" s="474" t="s">
        <v>332</v>
      </c>
      <c r="E304" s="475">
        <v>22</v>
      </c>
    </row>
    <row r="305" spans="2:5" x14ac:dyDescent="0.35">
      <c r="B305" s="473" t="s">
        <v>3585</v>
      </c>
      <c r="C305" s="473" t="s">
        <v>1373</v>
      </c>
      <c r="D305" s="474" t="s">
        <v>1282</v>
      </c>
      <c r="E305" s="475">
        <v>32</v>
      </c>
    </row>
    <row r="306" spans="2:5" x14ac:dyDescent="0.35">
      <c r="B306" s="473" t="s">
        <v>4201</v>
      </c>
      <c r="C306" s="473" t="s">
        <v>1955</v>
      </c>
      <c r="D306" s="474" t="s">
        <v>1950</v>
      </c>
      <c r="E306" s="475">
        <v>24</v>
      </c>
    </row>
    <row r="307" spans="2:5" x14ac:dyDescent="0.35">
      <c r="B307" s="473" t="s">
        <v>4160</v>
      </c>
      <c r="C307" s="473" t="s">
        <v>1913</v>
      </c>
      <c r="D307" s="474" t="s">
        <v>1679</v>
      </c>
      <c r="E307" s="475">
        <v>34</v>
      </c>
    </row>
    <row r="308" spans="2:5" x14ac:dyDescent="0.35">
      <c r="B308" s="473" t="s">
        <v>4027</v>
      </c>
      <c r="C308" s="473" t="s">
        <v>1788</v>
      </c>
      <c r="D308" s="474" t="s">
        <v>1679</v>
      </c>
      <c r="E308" s="475">
        <v>24</v>
      </c>
    </row>
    <row r="309" spans="2:5" x14ac:dyDescent="0.35">
      <c r="B309" s="473" t="s">
        <v>2836</v>
      </c>
      <c r="C309" s="473" t="s">
        <v>729</v>
      </c>
      <c r="D309" s="474" t="s">
        <v>332</v>
      </c>
      <c r="E309" s="475">
        <v>23</v>
      </c>
    </row>
    <row r="310" spans="2:5" x14ac:dyDescent="0.35">
      <c r="B310" s="473" t="s">
        <v>2553</v>
      </c>
      <c r="C310" s="473" t="s">
        <v>472</v>
      </c>
      <c r="D310" s="474" t="s">
        <v>332</v>
      </c>
      <c r="E310" s="475">
        <v>34</v>
      </c>
    </row>
    <row r="311" spans="2:5" x14ac:dyDescent="0.35">
      <c r="B311" s="473" t="s">
        <v>3018</v>
      </c>
      <c r="C311" s="473" t="s">
        <v>886</v>
      </c>
      <c r="D311" s="474" t="s">
        <v>879</v>
      </c>
      <c r="E311" s="475">
        <v>11</v>
      </c>
    </row>
    <row r="312" spans="2:5" x14ac:dyDescent="0.35">
      <c r="B312" s="473" t="s">
        <v>4235</v>
      </c>
      <c r="C312" s="473" t="s">
        <v>1983</v>
      </c>
      <c r="D312" s="474" t="s">
        <v>1950</v>
      </c>
      <c r="E312" s="475">
        <v>11</v>
      </c>
    </row>
    <row r="313" spans="2:5" x14ac:dyDescent="0.35">
      <c r="B313" s="473" t="s">
        <v>2789</v>
      </c>
      <c r="C313" s="473" t="s">
        <v>688</v>
      </c>
      <c r="D313" s="474" t="s">
        <v>332</v>
      </c>
      <c r="E313" s="475">
        <v>22</v>
      </c>
    </row>
    <row r="314" spans="2:5" x14ac:dyDescent="0.35">
      <c r="B314" s="473" t="s">
        <v>3826</v>
      </c>
      <c r="C314" s="473" t="s">
        <v>1600</v>
      </c>
      <c r="D314" s="474" t="s">
        <v>1400</v>
      </c>
      <c r="E314" s="475">
        <v>24</v>
      </c>
    </row>
    <row r="315" spans="2:5" x14ac:dyDescent="0.35">
      <c r="B315" s="473" t="s">
        <v>4028</v>
      </c>
      <c r="C315" s="473" t="s">
        <v>1789</v>
      </c>
      <c r="D315" s="474" t="s">
        <v>1679</v>
      </c>
      <c r="E315" s="475">
        <v>23</v>
      </c>
    </row>
    <row r="316" spans="2:5" x14ac:dyDescent="0.35">
      <c r="B316" s="473" t="s">
        <v>2099</v>
      </c>
      <c r="C316" s="473" t="s">
        <v>43</v>
      </c>
      <c r="D316" s="473" t="s">
        <v>40</v>
      </c>
      <c r="E316" s="475">
        <v>22</v>
      </c>
    </row>
    <row r="317" spans="2:5" x14ac:dyDescent="0.35">
      <c r="B317" s="473" t="s">
        <v>2767</v>
      </c>
      <c r="C317" s="473" t="s">
        <v>668</v>
      </c>
      <c r="D317" s="474" t="s">
        <v>332</v>
      </c>
      <c r="E317" s="475">
        <v>22</v>
      </c>
    </row>
    <row r="318" spans="2:5" x14ac:dyDescent="0.35">
      <c r="B318" s="473" t="s">
        <v>2790</v>
      </c>
      <c r="C318" s="473" t="s">
        <v>689</v>
      </c>
      <c r="D318" s="474" t="s">
        <v>332</v>
      </c>
      <c r="E318" s="475">
        <v>23</v>
      </c>
    </row>
    <row r="319" spans="2:5" x14ac:dyDescent="0.35">
      <c r="B319" s="473" t="s">
        <v>4125</v>
      </c>
      <c r="C319" s="473" t="s">
        <v>1878</v>
      </c>
      <c r="D319" s="474" t="s">
        <v>1679</v>
      </c>
      <c r="E319" s="475">
        <v>12</v>
      </c>
    </row>
    <row r="320" spans="2:5" x14ac:dyDescent="0.35">
      <c r="B320" s="473" t="s">
        <v>4002</v>
      </c>
      <c r="C320" s="473" t="s">
        <v>1769</v>
      </c>
      <c r="D320" s="474" t="s">
        <v>1679</v>
      </c>
      <c r="E320" s="475">
        <v>22</v>
      </c>
    </row>
    <row r="321" spans="2:5" x14ac:dyDescent="0.35">
      <c r="B321" s="473" t="s">
        <v>4029</v>
      </c>
      <c r="C321" s="473" t="s">
        <v>1790</v>
      </c>
      <c r="D321" s="474" t="s">
        <v>1679</v>
      </c>
      <c r="E321" s="475">
        <v>22</v>
      </c>
    </row>
    <row r="322" spans="2:5" x14ac:dyDescent="0.35">
      <c r="B322" s="473" t="s">
        <v>2955</v>
      </c>
      <c r="C322" s="473" t="s">
        <v>843</v>
      </c>
      <c r="D322" s="474" t="s">
        <v>332</v>
      </c>
      <c r="E322" s="475">
        <v>24</v>
      </c>
    </row>
    <row r="323" spans="2:5" x14ac:dyDescent="0.35">
      <c r="B323" s="473" t="s">
        <v>4161</v>
      </c>
      <c r="C323" s="473" t="s">
        <v>1914</v>
      </c>
      <c r="D323" s="474" t="s">
        <v>1679</v>
      </c>
      <c r="E323" s="475">
        <v>24</v>
      </c>
    </row>
    <row r="324" spans="2:5" x14ac:dyDescent="0.35">
      <c r="B324" s="473" t="s">
        <v>3586</v>
      </c>
      <c r="C324" s="473" t="s">
        <v>1374</v>
      </c>
      <c r="D324" s="474" t="s">
        <v>1282</v>
      </c>
      <c r="E324" s="475">
        <v>32</v>
      </c>
    </row>
    <row r="325" spans="2:5" x14ac:dyDescent="0.35">
      <c r="B325" s="473" t="s">
        <v>2490</v>
      </c>
      <c r="C325" s="473" t="s">
        <v>398</v>
      </c>
      <c r="D325" s="474" t="s">
        <v>332</v>
      </c>
      <c r="E325" s="475">
        <v>22</v>
      </c>
    </row>
    <row r="326" spans="2:5" x14ac:dyDescent="0.35">
      <c r="B326" s="473" t="s">
        <v>3835</v>
      </c>
      <c r="C326" s="473" t="s">
        <v>1609</v>
      </c>
      <c r="D326" s="474" t="s">
        <v>1400</v>
      </c>
      <c r="E326" s="475">
        <v>11</v>
      </c>
    </row>
    <row r="327" spans="2:5" x14ac:dyDescent="0.35">
      <c r="B327" s="473" t="s">
        <v>2299</v>
      </c>
      <c r="C327" s="473" t="s">
        <v>240</v>
      </c>
      <c r="D327" s="474" t="s">
        <v>212</v>
      </c>
      <c r="E327" s="475">
        <v>24</v>
      </c>
    </row>
    <row r="328" spans="2:5" x14ac:dyDescent="0.35">
      <c r="B328" s="473" t="s">
        <v>2183</v>
      </c>
      <c r="C328" s="473" t="s">
        <v>127</v>
      </c>
      <c r="D328" s="473" t="s">
        <v>40</v>
      </c>
      <c r="E328" s="475">
        <v>22</v>
      </c>
    </row>
    <row r="329" spans="2:5" x14ac:dyDescent="0.35">
      <c r="B329" s="473" t="s">
        <v>3133</v>
      </c>
      <c r="C329" s="473" t="s">
        <v>979</v>
      </c>
      <c r="D329" s="474" t="s">
        <v>879</v>
      </c>
      <c r="E329" s="475">
        <v>32</v>
      </c>
    </row>
    <row r="330" spans="2:5" x14ac:dyDescent="0.35">
      <c r="B330" s="473" t="s">
        <v>2768</v>
      </c>
      <c r="C330" s="473" t="s">
        <v>669</v>
      </c>
      <c r="D330" s="474" t="s">
        <v>332</v>
      </c>
      <c r="E330" s="475">
        <v>11</v>
      </c>
    </row>
    <row r="331" spans="2:5" x14ac:dyDescent="0.35">
      <c r="B331" s="473" t="s">
        <v>2600</v>
      </c>
      <c r="C331" s="473" t="s">
        <v>515</v>
      </c>
      <c r="D331" s="474" t="s">
        <v>332</v>
      </c>
      <c r="E331" s="475">
        <v>33</v>
      </c>
    </row>
    <row r="332" spans="2:5" x14ac:dyDescent="0.35">
      <c r="B332" s="473" t="s">
        <v>3334</v>
      </c>
      <c r="C332" s="473" t="s">
        <v>1140</v>
      </c>
      <c r="D332" s="474" t="s">
        <v>879</v>
      </c>
      <c r="E332" s="475">
        <v>33</v>
      </c>
    </row>
    <row r="333" spans="2:5" x14ac:dyDescent="0.35">
      <c r="B333" s="473" t="s">
        <v>4236</v>
      </c>
      <c r="C333" s="473" t="s">
        <v>1984</v>
      </c>
      <c r="D333" s="474" t="s">
        <v>1950</v>
      </c>
      <c r="E333" s="475">
        <v>24</v>
      </c>
    </row>
    <row r="334" spans="2:5" x14ac:dyDescent="0.35">
      <c r="B334" s="473" t="s">
        <v>4162</v>
      </c>
      <c r="C334" s="473" t="s">
        <v>1915</v>
      </c>
      <c r="D334" s="474" t="s">
        <v>1679</v>
      </c>
      <c r="E334" s="475">
        <v>22</v>
      </c>
    </row>
    <row r="335" spans="2:5" x14ac:dyDescent="0.35">
      <c r="B335" s="473" t="s">
        <v>2791</v>
      </c>
      <c r="C335" s="473" t="s">
        <v>690</v>
      </c>
      <c r="D335" s="474" t="s">
        <v>332</v>
      </c>
      <c r="E335" s="475">
        <v>24</v>
      </c>
    </row>
    <row r="336" spans="2:5" x14ac:dyDescent="0.35">
      <c r="B336" s="473" t="s">
        <v>3473</v>
      </c>
      <c r="C336" s="473" t="s">
        <v>1261</v>
      </c>
      <c r="D336" s="474" t="s">
        <v>879</v>
      </c>
      <c r="E336" s="475">
        <v>23</v>
      </c>
    </row>
    <row r="337" spans="2:5" x14ac:dyDescent="0.35">
      <c r="B337" s="473" t="s">
        <v>3846</v>
      </c>
      <c r="C337" s="473" t="s">
        <v>3847</v>
      </c>
      <c r="D337" s="474" t="s">
        <v>1400</v>
      </c>
      <c r="E337" s="475">
        <v>34</v>
      </c>
    </row>
    <row r="338" spans="2:5" x14ac:dyDescent="0.35">
      <c r="B338" s="473" t="s">
        <v>3848</v>
      </c>
      <c r="C338" s="473" t="s">
        <v>1620</v>
      </c>
      <c r="D338" s="474" t="s">
        <v>1400</v>
      </c>
      <c r="E338" s="475">
        <v>34</v>
      </c>
    </row>
    <row r="339" spans="2:5" x14ac:dyDescent="0.35">
      <c r="B339" s="473" t="s">
        <v>2123</v>
      </c>
      <c r="C339" s="473" t="s">
        <v>67</v>
      </c>
      <c r="D339" s="473" t="s">
        <v>40</v>
      </c>
      <c r="E339" s="475">
        <v>34</v>
      </c>
    </row>
    <row r="340" spans="2:5" x14ac:dyDescent="0.35">
      <c r="B340" s="473" t="s">
        <v>3019</v>
      </c>
      <c r="C340" s="473" t="s">
        <v>887</v>
      </c>
      <c r="D340" s="474" t="s">
        <v>879</v>
      </c>
      <c r="E340" s="475">
        <v>23</v>
      </c>
    </row>
    <row r="341" spans="2:5" x14ac:dyDescent="0.35">
      <c r="B341" s="473" t="s">
        <v>2601</v>
      </c>
      <c r="C341" s="473" t="s">
        <v>516</v>
      </c>
      <c r="D341" s="474" t="s">
        <v>332</v>
      </c>
      <c r="E341" s="475">
        <v>34</v>
      </c>
    </row>
    <row r="342" spans="2:5" x14ac:dyDescent="0.35">
      <c r="B342" s="473" t="s">
        <v>2825</v>
      </c>
      <c r="C342" s="473" t="s">
        <v>718</v>
      </c>
      <c r="D342" s="474" t="s">
        <v>332</v>
      </c>
      <c r="E342" s="475">
        <v>24</v>
      </c>
    </row>
    <row r="343" spans="2:5" x14ac:dyDescent="0.35">
      <c r="B343" s="473" t="s">
        <v>3512</v>
      </c>
      <c r="C343" s="473" t="s">
        <v>1300</v>
      </c>
      <c r="D343" s="474" t="s">
        <v>1282</v>
      </c>
      <c r="E343" s="475">
        <v>22</v>
      </c>
    </row>
    <row r="344" spans="2:5" x14ac:dyDescent="0.35">
      <c r="B344" s="473" t="s">
        <v>4202</v>
      </c>
      <c r="C344" s="473" t="s">
        <v>1956</v>
      </c>
      <c r="D344" s="474" t="s">
        <v>1950</v>
      </c>
      <c r="E344" s="475">
        <v>11</v>
      </c>
    </row>
    <row r="345" spans="2:5" x14ac:dyDescent="0.35">
      <c r="B345" s="473" t="s">
        <v>4203</v>
      </c>
      <c r="C345" s="473" t="s">
        <v>1957</v>
      </c>
      <c r="D345" s="474" t="s">
        <v>1950</v>
      </c>
      <c r="E345" s="475">
        <v>24</v>
      </c>
    </row>
    <row r="346" spans="2:5" x14ac:dyDescent="0.35">
      <c r="B346" s="473" t="s">
        <v>4204</v>
      </c>
      <c r="C346" s="473" t="s">
        <v>1958</v>
      </c>
      <c r="D346" s="474" t="s">
        <v>1950</v>
      </c>
      <c r="E346" s="475">
        <v>23</v>
      </c>
    </row>
    <row r="347" spans="2:5" x14ac:dyDescent="0.35">
      <c r="B347" s="473" t="s">
        <v>4237</v>
      </c>
      <c r="C347" s="473" t="s">
        <v>1985</v>
      </c>
      <c r="D347" s="474" t="s">
        <v>1950</v>
      </c>
      <c r="E347" s="475">
        <v>24</v>
      </c>
    </row>
    <row r="348" spans="2:5" x14ac:dyDescent="0.35">
      <c r="B348" s="473" t="s">
        <v>3867</v>
      </c>
      <c r="C348" s="473" t="s">
        <v>1639</v>
      </c>
      <c r="D348" s="474" t="s">
        <v>1400</v>
      </c>
      <c r="E348" s="475">
        <v>33</v>
      </c>
    </row>
    <row r="349" spans="2:5" x14ac:dyDescent="0.35">
      <c r="B349" s="473" t="s">
        <v>2270</v>
      </c>
      <c r="C349" s="473" t="s">
        <v>215</v>
      </c>
      <c r="D349" s="474" t="s">
        <v>212</v>
      </c>
      <c r="E349" s="475">
        <v>33</v>
      </c>
    </row>
    <row r="350" spans="2:5" x14ac:dyDescent="0.35">
      <c r="B350" s="473" t="s">
        <v>2324</v>
      </c>
      <c r="C350" s="473" t="s">
        <v>259</v>
      </c>
      <c r="D350" s="474" t="s">
        <v>212</v>
      </c>
      <c r="E350" s="475">
        <v>22</v>
      </c>
    </row>
    <row r="351" spans="2:5" x14ac:dyDescent="0.35">
      <c r="B351" s="473" t="s">
        <v>3422</v>
      </c>
      <c r="C351" s="473" t="s">
        <v>1214</v>
      </c>
      <c r="D351" s="474" t="s">
        <v>879</v>
      </c>
      <c r="E351" s="475">
        <v>22</v>
      </c>
    </row>
    <row r="352" spans="2:5" x14ac:dyDescent="0.35">
      <c r="B352" s="473" t="s">
        <v>3894</v>
      </c>
      <c r="C352" s="473" t="s">
        <v>1666</v>
      </c>
      <c r="D352" s="474" t="s">
        <v>1400</v>
      </c>
      <c r="E352" s="475">
        <v>34</v>
      </c>
    </row>
    <row r="353" spans="2:5" x14ac:dyDescent="0.35">
      <c r="B353" s="473" t="s">
        <v>2184</v>
      </c>
      <c r="C353" s="473" t="s">
        <v>128</v>
      </c>
      <c r="D353" s="473" t="s">
        <v>40</v>
      </c>
      <c r="E353" s="475">
        <v>34</v>
      </c>
    </row>
    <row r="354" spans="2:5" x14ac:dyDescent="0.35">
      <c r="B354" s="473" t="s">
        <v>2150</v>
      </c>
      <c r="C354" s="473" t="s">
        <v>94</v>
      </c>
      <c r="D354" s="473" t="s">
        <v>40</v>
      </c>
      <c r="E354" s="475">
        <v>34</v>
      </c>
    </row>
    <row r="355" spans="2:5" x14ac:dyDescent="0.35">
      <c r="B355" s="473" t="s">
        <v>2238</v>
      </c>
      <c r="C355" s="473" t="s">
        <v>182</v>
      </c>
      <c r="D355" s="473" t="s">
        <v>40</v>
      </c>
      <c r="E355" s="475">
        <v>34</v>
      </c>
    </row>
    <row r="356" spans="2:5" x14ac:dyDescent="0.35">
      <c r="B356" s="473" t="s">
        <v>3653</v>
      </c>
      <c r="C356" s="473" t="s">
        <v>1441</v>
      </c>
      <c r="D356" s="474" t="s">
        <v>1400</v>
      </c>
      <c r="E356" s="475">
        <v>22</v>
      </c>
    </row>
    <row r="357" spans="2:5" x14ac:dyDescent="0.35">
      <c r="B357" s="473" t="s">
        <v>2300</v>
      </c>
      <c r="C357" s="473" t="s">
        <v>241</v>
      </c>
      <c r="D357" s="474" t="s">
        <v>212</v>
      </c>
      <c r="E357" s="475">
        <v>34</v>
      </c>
    </row>
    <row r="358" spans="2:5" x14ac:dyDescent="0.35">
      <c r="B358" s="473" t="s">
        <v>2208</v>
      </c>
      <c r="C358" s="473" t="s">
        <v>152</v>
      </c>
      <c r="D358" s="473" t="s">
        <v>40</v>
      </c>
      <c r="E358" s="475">
        <v>32</v>
      </c>
    </row>
    <row r="359" spans="2:5" x14ac:dyDescent="0.35">
      <c r="B359" s="473" t="s">
        <v>3621</v>
      </c>
      <c r="C359" s="473" t="s">
        <v>1409</v>
      </c>
      <c r="D359" s="474" t="s">
        <v>1400</v>
      </c>
      <c r="E359" s="475">
        <v>33</v>
      </c>
    </row>
    <row r="360" spans="2:5" x14ac:dyDescent="0.35">
      <c r="B360" s="473" t="s">
        <v>2513</v>
      </c>
      <c r="C360" s="473" t="s">
        <v>432</v>
      </c>
      <c r="D360" s="474" t="s">
        <v>332</v>
      </c>
      <c r="E360" s="475">
        <v>22</v>
      </c>
    </row>
    <row r="361" spans="2:5" x14ac:dyDescent="0.35">
      <c r="B361" s="473" t="s">
        <v>3587</v>
      </c>
      <c r="C361" s="473" t="s">
        <v>1375</v>
      </c>
      <c r="D361" s="474" t="s">
        <v>1282</v>
      </c>
      <c r="E361" s="475">
        <v>34</v>
      </c>
    </row>
    <row r="362" spans="2:5" x14ac:dyDescent="0.35">
      <c r="B362" s="473" t="s">
        <v>3335</v>
      </c>
      <c r="C362" s="473" t="s">
        <v>1141</v>
      </c>
      <c r="D362" s="474" t="s">
        <v>879</v>
      </c>
      <c r="E362" s="475">
        <v>34</v>
      </c>
    </row>
    <row r="363" spans="2:5" x14ac:dyDescent="0.35">
      <c r="B363" s="473" t="s">
        <v>3370</v>
      </c>
      <c r="C363" s="473" t="s">
        <v>1166</v>
      </c>
      <c r="D363" s="474" t="s">
        <v>879</v>
      </c>
      <c r="E363" s="475">
        <v>12</v>
      </c>
    </row>
    <row r="364" spans="2:5" x14ac:dyDescent="0.35">
      <c r="B364" s="473" t="s">
        <v>2916</v>
      </c>
      <c r="C364" s="473" t="s">
        <v>806</v>
      </c>
      <c r="D364" s="474" t="s">
        <v>332</v>
      </c>
      <c r="E364" s="475">
        <v>34</v>
      </c>
    </row>
    <row r="365" spans="2:5" x14ac:dyDescent="0.35">
      <c r="B365" s="473" t="s">
        <v>2375</v>
      </c>
      <c r="C365" s="473" t="s">
        <v>308</v>
      </c>
      <c r="D365" s="474" t="s">
        <v>212</v>
      </c>
      <c r="E365" s="475">
        <v>24</v>
      </c>
    </row>
    <row r="366" spans="2:5" x14ac:dyDescent="0.35">
      <c r="B366" s="473" t="s">
        <v>3219</v>
      </c>
      <c r="C366" s="473" t="s">
        <v>1053</v>
      </c>
      <c r="D366" s="474" t="s">
        <v>879</v>
      </c>
      <c r="E366" s="475">
        <v>34</v>
      </c>
    </row>
    <row r="367" spans="2:5" x14ac:dyDescent="0.35">
      <c r="B367" s="473" t="s">
        <v>2917</v>
      </c>
      <c r="C367" s="473" t="s">
        <v>807</v>
      </c>
      <c r="D367" s="474" t="s">
        <v>332</v>
      </c>
      <c r="E367" s="475">
        <v>34</v>
      </c>
    </row>
    <row r="368" spans="2:5" x14ac:dyDescent="0.35">
      <c r="B368" s="473" t="s">
        <v>3654</v>
      </c>
      <c r="C368" s="473" t="s">
        <v>1442</v>
      </c>
      <c r="D368" s="474" t="s">
        <v>1400</v>
      </c>
      <c r="E368" s="475">
        <v>24</v>
      </c>
    </row>
    <row r="369" spans="2:5" x14ac:dyDescent="0.35">
      <c r="B369" s="473" t="s">
        <v>4091</v>
      </c>
      <c r="C369" s="473" t="s">
        <v>1850</v>
      </c>
      <c r="D369" s="474" t="s">
        <v>1679</v>
      </c>
      <c r="E369" s="475">
        <v>12</v>
      </c>
    </row>
    <row r="370" spans="2:5" x14ac:dyDescent="0.35">
      <c r="B370" s="473" t="s">
        <v>2100</v>
      </c>
      <c r="C370" s="473" t="s">
        <v>44</v>
      </c>
      <c r="D370" s="473" t="s">
        <v>40</v>
      </c>
      <c r="E370" s="475">
        <v>22</v>
      </c>
    </row>
    <row r="371" spans="2:5" x14ac:dyDescent="0.35">
      <c r="B371" s="473" t="s">
        <v>4238</v>
      </c>
      <c r="C371" s="473" t="s">
        <v>1986</v>
      </c>
      <c r="D371" s="474" t="s">
        <v>1950</v>
      </c>
      <c r="E371" s="475">
        <v>23</v>
      </c>
    </row>
    <row r="372" spans="2:5" x14ac:dyDescent="0.35">
      <c r="B372" s="473" t="s">
        <v>3336</v>
      </c>
      <c r="C372" s="473" t="s">
        <v>1142</v>
      </c>
      <c r="D372" s="474" t="s">
        <v>879</v>
      </c>
      <c r="E372" s="475">
        <v>23</v>
      </c>
    </row>
    <row r="373" spans="2:5" x14ac:dyDescent="0.35">
      <c r="B373" s="473" t="s">
        <v>3513</v>
      </c>
      <c r="C373" s="473" t="s">
        <v>1301</v>
      </c>
      <c r="D373" s="474" t="s">
        <v>1282</v>
      </c>
      <c r="E373" s="475">
        <v>24</v>
      </c>
    </row>
    <row r="374" spans="2:5" x14ac:dyDescent="0.35">
      <c r="B374" s="473" t="s">
        <v>3549</v>
      </c>
      <c r="C374" s="473" t="s">
        <v>1337</v>
      </c>
      <c r="D374" s="474" t="s">
        <v>1282</v>
      </c>
      <c r="E374" s="475">
        <v>33</v>
      </c>
    </row>
    <row r="375" spans="2:5" x14ac:dyDescent="0.35">
      <c r="B375" s="473" t="s">
        <v>2690</v>
      </c>
      <c r="C375" s="473" t="s">
        <v>597</v>
      </c>
      <c r="D375" s="474" t="s">
        <v>332</v>
      </c>
      <c r="E375" s="475">
        <v>34</v>
      </c>
    </row>
    <row r="376" spans="2:5" x14ac:dyDescent="0.35">
      <c r="B376" s="473" t="s">
        <v>4269</v>
      </c>
      <c r="C376" s="473" t="s">
        <v>2015</v>
      </c>
      <c r="D376" s="474" t="s">
        <v>1950</v>
      </c>
      <c r="E376" s="475">
        <v>11</v>
      </c>
    </row>
    <row r="377" spans="2:5" x14ac:dyDescent="0.35">
      <c r="B377" s="473" t="s">
        <v>2733</v>
      </c>
      <c r="C377" s="473" t="s">
        <v>634</v>
      </c>
      <c r="D377" s="474" t="s">
        <v>332</v>
      </c>
      <c r="E377" s="475">
        <v>34</v>
      </c>
    </row>
    <row r="378" spans="2:5" x14ac:dyDescent="0.35">
      <c r="B378" s="473" t="s">
        <v>2162</v>
      </c>
      <c r="C378" s="473" t="s">
        <v>106</v>
      </c>
      <c r="D378" s="473" t="s">
        <v>40</v>
      </c>
      <c r="E378" s="475">
        <v>22</v>
      </c>
    </row>
    <row r="379" spans="2:5" x14ac:dyDescent="0.35">
      <c r="B379" s="473" t="s">
        <v>2209</v>
      </c>
      <c r="C379" s="473" t="s">
        <v>153</v>
      </c>
      <c r="D379" s="473" t="s">
        <v>40</v>
      </c>
      <c r="E379" s="475">
        <v>34</v>
      </c>
    </row>
    <row r="380" spans="2:5" x14ac:dyDescent="0.35">
      <c r="B380" s="473" t="s">
        <v>2602</v>
      </c>
      <c r="C380" s="473" t="s">
        <v>517</v>
      </c>
      <c r="D380" s="474" t="s">
        <v>332</v>
      </c>
      <c r="E380" s="475">
        <v>34</v>
      </c>
    </row>
    <row r="381" spans="2:5" x14ac:dyDescent="0.35">
      <c r="B381" s="473" t="s">
        <v>2514</v>
      </c>
      <c r="C381" s="473" t="s">
        <v>433</v>
      </c>
      <c r="D381" s="474" t="s">
        <v>332</v>
      </c>
      <c r="E381" s="475">
        <v>32</v>
      </c>
    </row>
    <row r="382" spans="2:5" x14ac:dyDescent="0.35">
      <c r="B382" s="473" t="s">
        <v>2669</v>
      </c>
      <c r="C382" s="473" t="s">
        <v>580</v>
      </c>
      <c r="D382" s="474" t="s">
        <v>332</v>
      </c>
      <c r="E382" s="475">
        <v>24</v>
      </c>
    </row>
    <row r="383" spans="2:5" x14ac:dyDescent="0.35">
      <c r="B383" s="473" t="s">
        <v>2691</v>
      </c>
      <c r="C383" s="473" t="s">
        <v>598</v>
      </c>
      <c r="D383" s="474" t="s">
        <v>332</v>
      </c>
      <c r="E383" s="475">
        <v>24</v>
      </c>
    </row>
    <row r="384" spans="2:5" x14ac:dyDescent="0.35">
      <c r="B384" s="473" t="s">
        <v>4273</v>
      </c>
      <c r="C384" s="473" t="s">
        <v>2019</v>
      </c>
      <c r="D384" s="474" t="s">
        <v>1950</v>
      </c>
      <c r="E384" s="475">
        <v>24</v>
      </c>
    </row>
    <row r="385" spans="2:5" x14ac:dyDescent="0.35">
      <c r="B385" s="473" t="s">
        <v>4274</v>
      </c>
      <c r="C385" s="473" t="s">
        <v>2020</v>
      </c>
      <c r="D385" s="474" t="s">
        <v>1950</v>
      </c>
      <c r="E385" s="475">
        <v>24</v>
      </c>
    </row>
    <row r="386" spans="2:5" x14ac:dyDescent="0.35">
      <c r="B386" s="473" t="s">
        <v>2515</v>
      </c>
      <c r="C386" s="473" t="s">
        <v>434</v>
      </c>
      <c r="D386" s="474" t="s">
        <v>332</v>
      </c>
      <c r="E386" s="475">
        <v>33</v>
      </c>
    </row>
    <row r="387" spans="2:5" x14ac:dyDescent="0.35">
      <c r="B387" s="473" t="s">
        <v>2642</v>
      </c>
      <c r="C387" s="473" t="s">
        <v>556</v>
      </c>
      <c r="D387" s="474" t="s">
        <v>332</v>
      </c>
      <c r="E387" s="475">
        <v>23</v>
      </c>
    </row>
    <row r="388" spans="2:5" x14ac:dyDescent="0.35">
      <c r="B388" s="473" t="s">
        <v>4030</v>
      </c>
      <c r="C388" s="473" t="s">
        <v>1791</v>
      </c>
      <c r="D388" s="474" t="s">
        <v>1679</v>
      </c>
      <c r="E388" s="475">
        <v>23</v>
      </c>
    </row>
    <row r="389" spans="2:5" x14ac:dyDescent="0.35">
      <c r="B389" s="473" t="s">
        <v>4163</v>
      </c>
      <c r="C389" s="473" t="s">
        <v>1916</v>
      </c>
      <c r="D389" s="474" t="s">
        <v>1679</v>
      </c>
      <c r="E389" s="475">
        <v>23</v>
      </c>
    </row>
    <row r="390" spans="2:5" x14ac:dyDescent="0.35">
      <c r="B390" s="473" t="s">
        <v>3550</v>
      </c>
      <c r="C390" s="473" t="s">
        <v>1338</v>
      </c>
      <c r="D390" s="474" t="s">
        <v>1282</v>
      </c>
      <c r="E390" s="475">
        <v>22</v>
      </c>
    </row>
    <row r="391" spans="2:5" x14ac:dyDescent="0.35">
      <c r="B391" s="473" t="s">
        <v>3514</v>
      </c>
      <c r="C391" s="473" t="s">
        <v>1302</v>
      </c>
      <c r="D391" s="474" t="s">
        <v>1282</v>
      </c>
      <c r="E391" s="475">
        <v>24</v>
      </c>
    </row>
    <row r="392" spans="2:5" x14ac:dyDescent="0.35">
      <c r="B392" s="473" t="s">
        <v>2934</v>
      </c>
      <c r="C392" s="473" t="s">
        <v>822</v>
      </c>
      <c r="D392" s="474" t="s">
        <v>332</v>
      </c>
      <c r="E392" s="475">
        <v>22</v>
      </c>
    </row>
    <row r="393" spans="2:5" x14ac:dyDescent="0.35">
      <c r="B393" s="473" t="s">
        <v>3112</v>
      </c>
      <c r="C393" s="473" t="s">
        <v>962</v>
      </c>
      <c r="D393" s="474" t="s">
        <v>879</v>
      </c>
      <c r="E393" s="475">
        <v>22</v>
      </c>
    </row>
    <row r="394" spans="2:5" x14ac:dyDescent="0.35">
      <c r="B394" s="473" t="s">
        <v>2516</v>
      </c>
      <c r="C394" s="473" t="s">
        <v>435</v>
      </c>
      <c r="D394" s="474" t="s">
        <v>332</v>
      </c>
      <c r="E394" s="475">
        <v>34</v>
      </c>
    </row>
    <row r="395" spans="2:5" x14ac:dyDescent="0.35">
      <c r="B395" s="473" t="s">
        <v>2278</v>
      </c>
      <c r="C395" s="473" t="s">
        <v>221</v>
      </c>
      <c r="D395" s="474" t="s">
        <v>212</v>
      </c>
      <c r="E395" s="475">
        <v>22</v>
      </c>
    </row>
    <row r="396" spans="2:5" x14ac:dyDescent="0.35">
      <c r="B396" s="473" t="s">
        <v>2124</v>
      </c>
      <c r="C396" s="473" t="s">
        <v>68</v>
      </c>
      <c r="D396" s="473" t="s">
        <v>40</v>
      </c>
      <c r="E396" s="475">
        <v>34</v>
      </c>
    </row>
    <row r="397" spans="2:5" x14ac:dyDescent="0.35">
      <c r="B397" s="473" t="s">
        <v>2967</v>
      </c>
      <c r="C397" s="473" t="s">
        <v>414</v>
      </c>
      <c r="D397" s="474" t="s">
        <v>332</v>
      </c>
      <c r="E397" s="475">
        <v>23</v>
      </c>
    </row>
    <row r="398" spans="2:5" x14ac:dyDescent="0.35">
      <c r="B398" s="473" t="s">
        <v>2376</v>
      </c>
      <c r="C398" s="473" t="s">
        <v>309</v>
      </c>
      <c r="D398" s="474" t="s">
        <v>212</v>
      </c>
      <c r="E398" s="475">
        <v>22</v>
      </c>
    </row>
    <row r="399" spans="2:5" x14ac:dyDescent="0.35">
      <c r="B399" s="473" t="s">
        <v>3249</v>
      </c>
      <c r="C399" s="473" t="s">
        <v>1075</v>
      </c>
      <c r="D399" s="474" t="s">
        <v>879</v>
      </c>
      <c r="E399" s="475">
        <v>23</v>
      </c>
    </row>
    <row r="400" spans="2:5" x14ac:dyDescent="0.35">
      <c r="B400" s="473" t="s">
        <v>3849</v>
      </c>
      <c r="C400" s="473" t="s">
        <v>1621</v>
      </c>
      <c r="D400" s="474" t="s">
        <v>1400</v>
      </c>
      <c r="E400" s="475">
        <v>34</v>
      </c>
    </row>
    <row r="401" spans="2:5" x14ac:dyDescent="0.35">
      <c r="B401" s="473" t="s">
        <v>3474</v>
      </c>
      <c r="C401" s="473" t="s">
        <v>1262</v>
      </c>
      <c r="D401" s="474" t="s">
        <v>879</v>
      </c>
      <c r="E401" s="475">
        <v>24</v>
      </c>
    </row>
    <row r="402" spans="2:5" x14ac:dyDescent="0.35">
      <c r="B402" s="473" t="s">
        <v>2301</v>
      </c>
      <c r="C402" s="473" t="s">
        <v>242</v>
      </c>
      <c r="D402" s="474" t="s">
        <v>212</v>
      </c>
      <c r="E402" s="475">
        <v>24</v>
      </c>
    </row>
    <row r="403" spans="2:5" x14ac:dyDescent="0.35">
      <c r="B403" s="473" t="s">
        <v>2462</v>
      </c>
      <c r="C403" s="473" t="s">
        <v>370</v>
      </c>
      <c r="D403" s="474" t="s">
        <v>332</v>
      </c>
      <c r="E403" s="475">
        <v>22</v>
      </c>
    </row>
    <row r="404" spans="2:5" x14ac:dyDescent="0.35">
      <c r="B404" s="473" t="s">
        <v>2991</v>
      </c>
      <c r="C404" s="473" t="s">
        <v>858</v>
      </c>
      <c r="D404" s="474" t="s">
        <v>332</v>
      </c>
      <c r="E404" s="475">
        <v>34</v>
      </c>
    </row>
    <row r="405" spans="2:5" x14ac:dyDescent="0.35">
      <c r="B405" s="473" t="s">
        <v>2517</v>
      </c>
      <c r="C405" s="473" t="s">
        <v>436</v>
      </c>
      <c r="D405" s="474" t="s">
        <v>332</v>
      </c>
      <c r="E405" s="475">
        <v>23</v>
      </c>
    </row>
    <row r="406" spans="2:5" x14ac:dyDescent="0.35">
      <c r="B406" s="473" t="s">
        <v>3882</v>
      </c>
      <c r="C406" s="473" t="s">
        <v>1654</v>
      </c>
      <c r="D406" s="474" t="s">
        <v>1400</v>
      </c>
      <c r="E406" s="475">
        <v>33</v>
      </c>
    </row>
    <row r="407" spans="2:5" x14ac:dyDescent="0.35">
      <c r="B407" s="473" t="s">
        <v>3765</v>
      </c>
      <c r="C407" s="473" t="s">
        <v>1545</v>
      </c>
      <c r="D407" s="474" t="s">
        <v>1400</v>
      </c>
      <c r="E407" s="475">
        <v>24</v>
      </c>
    </row>
    <row r="408" spans="2:5" x14ac:dyDescent="0.35">
      <c r="B408" s="473" t="s">
        <v>2207</v>
      </c>
      <c r="C408" s="473" t="s">
        <v>151</v>
      </c>
      <c r="D408" s="473" t="s">
        <v>40</v>
      </c>
      <c r="E408" s="475">
        <v>34</v>
      </c>
    </row>
    <row r="409" spans="2:5" x14ac:dyDescent="0.35">
      <c r="B409" s="473" t="s">
        <v>3168</v>
      </c>
      <c r="C409" s="473" t="s">
        <v>1008</v>
      </c>
      <c r="D409" s="474" t="s">
        <v>879</v>
      </c>
      <c r="E409" s="475">
        <v>33</v>
      </c>
    </row>
    <row r="410" spans="2:5" x14ac:dyDescent="0.35">
      <c r="B410" s="473" t="s">
        <v>2792</v>
      </c>
      <c r="C410" s="473" t="s">
        <v>691</v>
      </c>
      <c r="D410" s="474" t="s">
        <v>332</v>
      </c>
      <c r="E410" s="475">
        <v>22</v>
      </c>
    </row>
    <row r="411" spans="2:5" x14ac:dyDescent="0.35">
      <c r="B411" s="473" t="s">
        <v>3475</v>
      </c>
      <c r="C411" s="473" t="s">
        <v>1263</v>
      </c>
      <c r="D411" s="474" t="s">
        <v>879</v>
      </c>
      <c r="E411" s="475">
        <v>22</v>
      </c>
    </row>
    <row r="412" spans="2:5" x14ac:dyDescent="0.35">
      <c r="B412" s="473" t="s">
        <v>3069</v>
      </c>
      <c r="C412" s="473" t="s">
        <v>925</v>
      </c>
      <c r="D412" s="474" t="s">
        <v>879</v>
      </c>
      <c r="E412" s="475">
        <v>22</v>
      </c>
    </row>
    <row r="413" spans="2:5" x14ac:dyDescent="0.35">
      <c r="B413" s="473" t="s">
        <v>4239</v>
      </c>
      <c r="C413" s="473" t="s">
        <v>1987</v>
      </c>
      <c r="D413" s="474" t="s">
        <v>1950</v>
      </c>
      <c r="E413" s="475">
        <v>22</v>
      </c>
    </row>
    <row r="414" spans="2:5" x14ac:dyDescent="0.35">
      <c r="B414" s="473" t="s">
        <v>3020</v>
      </c>
      <c r="C414" s="473" t="s">
        <v>888</v>
      </c>
      <c r="D414" s="474" t="s">
        <v>879</v>
      </c>
      <c r="E414" s="475">
        <v>24</v>
      </c>
    </row>
    <row r="415" spans="2:5" x14ac:dyDescent="0.35">
      <c r="B415" s="473" t="s">
        <v>2603</v>
      </c>
      <c r="C415" s="473" t="s">
        <v>518</v>
      </c>
      <c r="D415" s="474" t="s">
        <v>332</v>
      </c>
      <c r="E415" s="475">
        <v>32</v>
      </c>
    </row>
    <row r="416" spans="2:5" x14ac:dyDescent="0.35">
      <c r="B416" s="473" t="s">
        <v>2935</v>
      </c>
      <c r="C416" s="473" t="s">
        <v>823</v>
      </c>
      <c r="D416" s="474" t="s">
        <v>332</v>
      </c>
      <c r="E416" s="475">
        <v>12</v>
      </c>
    </row>
    <row r="417" spans="2:5" x14ac:dyDescent="0.35">
      <c r="B417" s="473" t="s">
        <v>3195</v>
      </c>
      <c r="C417" s="473" t="s">
        <v>1033</v>
      </c>
      <c r="D417" s="474" t="s">
        <v>879</v>
      </c>
      <c r="E417" s="475">
        <v>24</v>
      </c>
    </row>
    <row r="418" spans="2:5" x14ac:dyDescent="0.35">
      <c r="B418" s="473" t="s">
        <v>3337</v>
      </c>
      <c r="C418" s="473" t="s">
        <v>1143</v>
      </c>
      <c r="D418" s="474" t="s">
        <v>879</v>
      </c>
      <c r="E418" s="475">
        <v>24</v>
      </c>
    </row>
    <row r="419" spans="2:5" x14ac:dyDescent="0.35">
      <c r="B419" s="473" t="s">
        <v>2554</v>
      </c>
      <c r="C419" s="473" t="s">
        <v>473</v>
      </c>
      <c r="D419" s="474" t="s">
        <v>332</v>
      </c>
      <c r="E419" s="475">
        <v>34</v>
      </c>
    </row>
    <row r="420" spans="2:5" x14ac:dyDescent="0.35">
      <c r="B420" s="473" t="s">
        <v>3655</v>
      </c>
      <c r="C420" s="473" t="s">
        <v>1443</v>
      </c>
      <c r="D420" s="474" t="s">
        <v>1400</v>
      </c>
      <c r="E420" s="475">
        <v>22</v>
      </c>
    </row>
    <row r="421" spans="2:5" x14ac:dyDescent="0.35">
      <c r="B421" s="473" t="s">
        <v>4126</v>
      </c>
      <c r="C421" s="473" t="s">
        <v>1879</v>
      </c>
      <c r="D421" s="474" t="s">
        <v>1679</v>
      </c>
      <c r="E421" s="475">
        <v>12</v>
      </c>
    </row>
    <row r="422" spans="2:5" x14ac:dyDescent="0.35">
      <c r="B422" s="473" t="s">
        <v>3684</v>
      </c>
      <c r="C422" s="473" t="s">
        <v>1470</v>
      </c>
      <c r="D422" s="474" t="s">
        <v>1400</v>
      </c>
      <c r="E422" s="475">
        <v>22</v>
      </c>
    </row>
    <row r="423" spans="2:5" x14ac:dyDescent="0.35">
      <c r="B423" s="473" t="s">
        <v>4127</v>
      </c>
      <c r="C423" s="473" t="s">
        <v>1880</v>
      </c>
      <c r="D423" s="474" t="s">
        <v>1679</v>
      </c>
      <c r="E423" s="475">
        <v>22</v>
      </c>
    </row>
    <row r="424" spans="2:5" x14ac:dyDescent="0.35">
      <c r="B424" s="473" t="s">
        <v>3622</v>
      </c>
      <c r="C424" s="473" t="s">
        <v>1410</v>
      </c>
      <c r="D424" s="474" t="s">
        <v>1400</v>
      </c>
      <c r="E424" s="475">
        <v>34</v>
      </c>
    </row>
    <row r="425" spans="2:5" x14ac:dyDescent="0.35">
      <c r="B425" s="473" t="s">
        <v>4240</v>
      </c>
      <c r="C425" s="473" t="s">
        <v>1988</v>
      </c>
      <c r="D425" s="474" t="s">
        <v>1950</v>
      </c>
      <c r="E425" s="475">
        <v>24</v>
      </c>
    </row>
    <row r="426" spans="2:5" x14ac:dyDescent="0.35">
      <c r="B426" s="473" t="s">
        <v>2837</v>
      </c>
      <c r="C426" s="473" t="s">
        <v>730</v>
      </c>
      <c r="D426" s="474" t="s">
        <v>332</v>
      </c>
      <c r="E426" s="475">
        <v>22</v>
      </c>
    </row>
    <row r="427" spans="2:5" x14ac:dyDescent="0.35">
      <c r="B427" s="473" t="s">
        <v>3883</v>
      </c>
      <c r="C427" s="473" t="s">
        <v>1655</v>
      </c>
      <c r="D427" s="474" t="s">
        <v>1400</v>
      </c>
      <c r="E427" s="475">
        <v>23</v>
      </c>
    </row>
    <row r="428" spans="2:5" x14ac:dyDescent="0.35">
      <c r="B428" s="473" t="s">
        <v>3391</v>
      </c>
      <c r="C428" s="473" t="s">
        <v>1185</v>
      </c>
      <c r="D428" s="474" t="s">
        <v>879</v>
      </c>
      <c r="E428" s="475">
        <v>24</v>
      </c>
    </row>
    <row r="429" spans="2:5" x14ac:dyDescent="0.35">
      <c r="B429" s="473" t="s">
        <v>3696</v>
      </c>
      <c r="C429" s="473" t="s">
        <v>1480</v>
      </c>
      <c r="D429" s="474" t="s">
        <v>1400</v>
      </c>
      <c r="E429" s="475">
        <v>23</v>
      </c>
    </row>
    <row r="430" spans="2:5" x14ac:dyDescent="0.35">
      <c r="B430" s="473" t="s">
        <v>2377</v>
      </c>
      <c r="C430" s="473" t="s">
        <v>310</v>
      </c>
      <c r="D430" s="474" t="s">
        <v>212</v>
      </c>
      <c r="E430" s="475">
        <v>33</v>
      </c>
    </row>
    <row r="431" spans="2:5" x14ac:dyDescent="0.35">
      <c r="B431" s="473" t="s">
        <v>2097</v>
      </c>
      <c r="C431" s="473" t="s">
        <v>41</v>
      </c>
      <c r="D431" s="473" t="s">
        <v>40</v>
      </c>
      <c r="E431" s="475">
        <v>12</v>
      </c>
    </row>
    <row r="432" spans="2:5" x14ac:dyDescent="0.35">
      <c r="B432" s="473" t="s">
        <v>2555</v>
      </c>
      <c r="C432" s="473" t="s">
        <v>474</v>
      </c>
      <c r="D432" s="474" t="s">
        <v>332</v>
      </c>
      <c r="E432" s="475">
        <v>34</v>
      </c>
    </row>
    <row r="433" spans="2:5" x14ac:dyDescent="0.35">
      <c r="B433" s="473" t="s">
        <v>3250</v>
      </c>
      <c r="C433" s="473" t="s">
        <v>1076</v>
      </c>
      <c r="D433" s="474" t="s">
        <v>879</v>
      </c>
      <c r="E433" s="475">
        <v>12</v>
      </c>
    </row>
    <row r="434" spans="2:5" x14ac:dyDescent="0.35">
      <c r="B434" s="473" t="s">
        <v>4128</v>
      </c>
      <c r="C434" s="473" t="s">
        <v>1881</v>
      </c>
      <c r="D434" s="474" t="s">
        <v>1679</v>
      </c>
      <c r="E434" s="475">
        <v>34</v>
      </c>
    </row>
    <row r="435" spans="2:5" x14ac:dyDescent="0.35">
      <c r="B435" s="473" t="s">
        <v>3515</v>
      </c>
      <c r="C435" s="473" t="s">
        <v>1303</v>
      </c>
      <c r="D435" s="474" t="s">
        <v>1282</v>
      </c>
      <c r="E435" s="475">
        <v>23</v>
      </c>
    </row>
    <row r="436" spans="2:5" x14ac:dyDescent="0.35">
      <c r="B436" s="473" t="s">
        <v>3941</v>
      </c>
      <c r="C436" s="473" t="s">
        <v>1710</v>
      </c>
      <c r="D436" s="474" t="s">
        <v>1679</v>
      </c>
      <c r="E436" s="475">
        <v>24</v>
      </c>
    </row>
    <row r="437" spans="2:5" x14ac:dyDescent="0.35">
      <c r="B437" s="473" t="s">
        <v>4031</v>
      </c>
      <c r="C437" s="473" t="s">
        <v>1792</v>
      </c>
      <c r="D437" s="474" t="s">
        <v>1679</v>
      </c>
      <c r="E437" s="475">
        <v>23</v>
      </c>
    </row>
    <row r="438" spans="2:5" x14ac:dyDescent="0.35">
      <c r="B438" s="473" t="s">
        <v>4129</v>
      </c>
      <c r="C438" s="473" t="s">
        <v>1882</v>
      </c>
      <c r="D438" s="474" t="s">
        <v>1679</v>
      </c>
      <c r="E438" s="475">
        <v>24</v>
      </c>
    </row>
    <row r="439" spans="2:5" x14ac:dyDescent="0.35">
      <c r="B439" s="473" t="s">
        <v>3516</v>
      </c>
      <c r="C439" s="473" t="s">
        <v>1304</v>
      </c>
      <c r="D439" s="474" t="s">
        <v>1282</v>
      </c>
      <c r="E439" s="475">
        <v>11</v>
      </c>
    </row>
    <row r="440" spans="2:5" x14ac:dyDescent="0.35">
      <c r="B440" s="473" t="s">
        <v>2151</v>
      </c>
      <c r="C440" s="473" t="s">
        <v>95</v>
      </c>
      <c r="D440" s="473" t="s">
        <v>40</v>
      </c>
      <c r="E440" s="475">
        <v>34</v>
      </c>
    </row>
    <row r="441" spans="2:5" x14ac:dyDescent="0.35">
      <c r="B441" s="473" t="s">
        <v>2728</v>
      </c>
      <c r="C441" s="473" t="s">
        <v>629</v>
      </c>
      <c r="D441" s="474" t="s">
        <v>332</v>
      </c>
      <c r="E441" s="475">
        <v>23</v>
      </c>
    </row>
    <row r="442" spans="2:5" x14ac:dyDescent="0.35">
      <c r="B442" s="473" t="s">
        <v>3668</v>
      </c>
      <c r="C442" s="473" t="s">
        <v>1454</v>
      </c>
      <c r="D442" s="474" t="s">
        <v>1400</v>
      </c>
      <c r="E442" s="475">
        <v>24</v>
      </c>
    </row>
    <row r="443" spans="2:5" x14ac:dyDescent="0.35">
      <c r="B443" s="473" t="s">
        <v>2518</v>
      </c>
      <c r="C443" s="473" t="s">
        <v>437</v>
      </c>
      <c r="D443" s="474" t="s">
        <v>332</v>
      </c>
      <c r="E443" s="475">
        <v>34</v>
      </c>
    </row>
    <row r="444" spans="2:5" x14ac:dyDescent="0.35">
      <c r="B444" s="473" t="s">
        <v>3338</v>
      </c>
      <c r="C444" s="473" t="s">
        <v>1144</v>
      </c>
      <c r="D444" s="474" t="s">
        <v>879</v>
      </c>
      <c r="E444" s="475">
        <v>34</v>
      </c>
    </row>
    <row r="445" spans="2:5" x14ac:dyDescent="0.35">
      <c r="B445" s="473" t="s">
        <v>3392</v>
      </c>
      <c r="C445" s="473" t="s">
        <v>1186</v>
      </c>
      <c r="D445" s="474" t="s">
        <v>879</v>
      </c>
      <c r="E445" s="475">
        <v>22</v>
      </c>
    </row>
    <row r="446" spans="2:5" x14ac:dyDescent="0.35">
      <c r="B446" s="473" t="s">
        <v>3196</v>
      </c>
      <c r="C446" s="473" t="s">
        <v>1034</v>
      </c>
      <c r="D446" s="474" t="s">
        <v>879</v>
      </c>
      <c r="E446" s="475">
        <v>11</v>
      </c>
    </row>
    <row r="447" spans="2:5" x14ac:dyDescent="0.35">
      <c r="B447" s="473" t="s">
        <v>2424</v>
      </c>
      <c r="C447" s="473" t="s">
        <v>342</v>
      </c>
      <c r="D447" s="474" t="s">
        <v>332</v>
      </c>
      <c r="E447" s="475">
        <v>12</v>
      </c>
    </row>
    <row r="448" spans="2:5" x14ac:dyDescent="0.35">
      <c r="B448" s="473" t="s">
        <v>3339</v>
      </c>
      <c r="C448" s="473" t="s">
        <v>1145</v>
      </c>
      <c r="D448" s="474" t="s">
        <v>879</v>
      </c>
      <c r="E448" s="475">
        <v>34</v>
      </c>
    </row>
    <row r="449" spans="2:5" x14ac:dyDescent="0.35">
      <c r="B449" s="473" t="s">
        <v>2793</v>
      </c>
      <c r="C449" s="473" t="s">
        <v>692</v>
      </c>
      <c r="D449" s="474" t="s">
        <v>332</v>
      </c>
      <c r="E449" s="475">
        <v>22</v>
      </c>
    </row>
    <row r="450" spans="2:5" x14ac:dyDescent="0.35">
      <c r="B450" s="473" t="s">
        <v>2491</v>
      </c>
      <c r="C450" s="473" t="s">
        <v>399</v>
      </c>
      <c r="D450" s="474" t="s">
        <v>332</v>
      </c>
      <c r="E450" s="475">
        <v>22</v>
      </c>
    </row>
    <row r="451" spans="2:5" x14ac:dyDescent="0.35">
      <c r="B451" s="473" t="s">
        <v>2621</v>
      </c>
      <c r="C451" s="473" t="s">
        <v>534</v>
      </c>
      <c r="D451" s="474" t="s">
        <v>332</v>
      </c>
      <c r="E451" s="475">
        <v>23</v>
      </c>
    </row>
    <row r="452" spans="2:5" x14ac:dyDescent="0.35">
      <c r="B452" s="473" t="s">
        <v>2463</v>
      </c>
      <c r="C452" s="473" t="s">
        <v>371</v>
      </c>
      <c r="D452" s="474" t="s">
        <v>332</v>
      </c>
      <c r="E452" s="475">
        <v>12</v>
      </c>
    </row>
    <row r="453" spans="2:5" x14ac:dyDescent="0.35">
      <c r="B453" s="473" t="s">
        <v>4032</v>
      </c>
      <c r="C453" s="473" t="s">
        <v>1793</v>
      </c>
      <c r="D453" s="474" t="s">
        <v>1679</v>
      </c>
      <c r="E453" s="475">
        <v>23</v>
      </c>
    </row>
    <row r="454" spans="2:5" x14ac:dyDescent="0.35">
      <c r="B454" s="473" t="s">
        <v>2692</v>
      </c>
      <c r="C454" s="473" t="s">
        <v>599</v>
      </c>
      <c r="D454" s="474" t="s">
        <v>332</v>
      </c>
      <c r="E454" s="475">
        <v>23</v>
      </c>
    </row>
    <row r="455" spans="2:5" x14ac:dyDescent="0.35">
      <c r="B455" s="473" t="s">
        <v>2622</v>
      </c>
      <c r="C455" s="473" t="s">
        <v>535</v>
      </c>
      <c r="D455" s="474" t="s">
        <v>332</v>
      </c>
      <c r="E455" s="475">
        <v>23</v>
      </c>
    </row>
    <row r="456" spans="2:5" x14ac:dyDescent="0.35">
      <c r="B456" s="473" t="s">
        <v>2425</v>
      </c>
      <c r="C456" s="473" t="s">
        <v>343</v>
      </c>
      <c r="D456" s="474" t="s">
        <v>332</v>
      </c>
      <c r="E456" s="475">
        <v>22</v>
      </c>
    </row>
    <row r="457" spans="2:5" x14ac:dyDescent="0.35">
      <c r="B457" s="473" t="s">
        <v>2426</v>
      </c>
      <c r="C457" s="473" t="s">
        <v>344</v>
      </c>
      <c r="D457" s="474" t="s">
        <v>332</v>
      </c>
      <c r="E457" s="475">
        <v>24</v>
      </c>
    </row>
    <row r="458" spans="2:5" x14ac:dyDescent="0.35">
      <c r="B458" s="473" t="s">
        <v>2671</v>
      </c>
      <c r="C458" s="473" t="s">
        <v>582</v>
      </c>
      <c r="D458" s="474" t="s">
        <v>332</v>
      </c>
      <c r="E458" s="475">
        <v>23</v>
      </c>
    </row>
    <row r="459" spans="2:5" x14ac:dyDescent="0.35">
      <c r="B459" s="473" t="s">
        <v>3134</v>
      </c>
      <c r="C459" s="473" t="s">
        <v>980</v>
      </c>
      <c r="D459" s="474" t="s">
        <v>879</v>
      </c>
      <c r="E459" s="475">
        <v>34</v>
      </c>
    </row>
    <row r="460" spans="2:5" x14ac:dyDescent="0.35">
      <c r="B460" s="473" t="s">
        <v>3340</v>
      </c>
      <c r="C460" s="473" t="s">
        <v>1146</v>
      </c>
      <c r="D460" s="474" t="s">
        <v>879</v>
      </c>
      <c r="E460" s="475">
        <v>34</v>
      </c>
    </row>
    <row r="461" spans="2:5" x14ac:dyDescent="0.35">
      <c r="B461" s="473" t="s">
        <v>3517</v>
      </c>
      <c r="C461" s="473" t="s">
        <v>1305</v>
      </c>
      <c r="D461" s="474" t="s">
        <v>1282</v>
      </c>
      <c r="E461" s="475">
        <v>12</v>
      </c>
    </row>
    <row r="462" spans="2:5" x14ac:dyDescent="0.35">
      <c r="B462" s="473" t="s">
        <v>2427</v>
      </c>
      <c r="C462" s="473" t="s">
        <v>345</v>
      </c>
      <c r="D462" s="474" t="s">
        <v>332</v>
      </c>
      <c r="E462" s="475">
        <v>24</v>
      </c>
    </row>
    <row r="463" spans="2:5" x14ac:dyDescent="0.35">
      <c r="B463" s="473" t="s">
        <v>4054</v>
      </c>
      <c r="C463" s="473" t="s">
        <v>1815</v>
      </c>
      <c r="D463" s="474" t="s">
        <v>1679</v>
      </c>
      <c r="E463" s="475">
        <v>23</v>
      </c>
    </row>
    <row r="464" spans="2:5" x14ac:dyDescent="0.35">
      <c r="B464" s="473" t="s">
        <v>3518</v>
      </c>
      <c r="C464" s="473" t="s">
        <v>1306</v>
      </c>
      <c r="D464" s="474" t="s">
        <v>1282</v>
      </c>
      <c r="E464" s="475">
        <v>23</v>
      </c>
    </row>
    <row r="465" spans="2:5" x14ac:dyDescent="0.35">
      <c r="B465" s="473" t="s">
        <v>2734</v>
      </c>
      <c r="C465" s="473" t="s">
        <v>645</v>
      </c>
      <c r="D465" s="474" t="s">
        <v>332</v>
      </c>
      <c r="E465" s="475">
        <v>34</v>
      </c>
    </row>
    <row r="466" spans="2:5" x14ac:dyDescent="0.35">
      <c r="B466" s="473" t="s">
        <v>2735</v>
      </c>
      <c r="C466" s="473" t="s">
        <v>646</v>
      </c>
      <c r="D466" s="474" t="s">
        <v>332</v>
      </c>
      <c r="E466" s="475">
        <v>34</v>
      </c>
    </row>
    <row r="467" spans="2:5" x14ac:dyDescent="0.35">
      <c r="B467" s="473" t="s">
        <v>3895</v>
      </c>
      <c r="C467" s="473" t="s">
        <v>1667</v>
      </c>
      <c r="D467" s="474" t="s">
        <v>1400</v>
      </c>
      <c r="E467" s="475">
        <v>32</v>
      </c>
    </row>
    <row r="468" spans="2:5" x14ac:dyDescent="0.35">
      <c r="B468" s="473" t="s">
        <v>2794</v>
      </c>
      <c r="C468" s="473" t="s">
        <v>693</v>
      </c>
      <c r="D468" s="474" t="s">
        <v>332</v>
      </c>
      <c r="E468" s="475">
        <v>24</v>
      </c>
    </row>
    <row r="469" spans="2:5" x14ac:dyDescent="0.35">
      <c r="B469" s="473" t="s">
        <v>2358</v>
      </c>
      <c r="C469" s="473" t="s">
        <v>293</v>
      </c>
      <c r="D469" s="474" t="s">
        <v>212</v>
      </c>
      <c r="E469" s="475">
        <v>24</v>
      </c>
    </row>
    <row r="470" spans="2:5" x14ac:dyDescent="0.35">
      <c r="B470" s="473" t="s">
        <v>2279</v>
      </c>
      <c r="C470" s="473" t="s">
        <v>222</v>
      </c>
      <c r="D470" s="474" t="s">
        <v>212</v>
      </c>
      <c r="E470" s="475">
        <v>23</v>
      </c>
    </row>
    <row r="471" spans="2:5" x14ac:dyDescent="0.35">
      <c r="B471" s="473" t="s">
        <v>2378</v>
      </c>
      <c r="C471" s="473" t="s">
        <v>311</v>
      </c>
      <c r="D471" s="474" t="s">
        <v>212</v>
      </c>
      <c r="E471" s="475">
        <v>33</v>
      </c>
    </row>
    <row r="472" spans="2:5" x14ac:dyDescent="0.35">
      <c r="B472" s="473" t="s">
        <v>3868</v>
      </c>
      <c r="C472" s="473" t="s">
        <v>1640</v>
      </c>
      <c r="D472" s="474" t="s">
        <v>1400</v>
      </c>
      <c r="E472" s="475">
        <v>22</v>
      </c>
    </row>
    <row r="473" spans="2:5" x14ac:dyDescent="0.35">
      <c r="B473" s="473" t="s">
        <v>2359</v>
      </c>
      <c r="C473" s="473" t="s">
        <v>294</v>
      </c>
      <c r="D473" s="474" t="s">
        <v>212</v>
      </c>
      <c r="E473" s="475">
        <v>24</v>
      </c>
    </row>
    <row r="474" spans="2:5" x14ac:dyDescent="0.35">
      <c r="B474" s="473" t="s">
        <v>3896</v>
      </c>
      <c r="C474" s="473" t="s">
        <v>1668</v>
      </c>
      <c r="D474" s="474" t="s">
        <v>1400</v>
      </c>
      <c r="E474" s="475">
        <v>32</v>
      </c>
    </row>
    <row r="475" spans="2:5" x14ac:dyDescent="0.35">
      <c r="B475" s="473" t="s">
        <v>4275</v>
      </c>
      <c r="C475" s="473" t="s">
        <v>2021</v>
      </c>
      <c r="D475" s="474" t="s">
        <v>1950</v>
      </c>
      <c r="E475" s="475">
        <v>11</v>
      </c>
    </row>
    <row r="476" spans="2:5" x14ac:dyDescent="0.35">
      <c r="B476" s="473" t="s">
        <v>3393</v>
      </c>
      <c r="C476" s="473" t="s">
        <v>1187</v>
      </c>
      <c r="D476" s="474" t="s">
        <v>879</v>
      </c>
      <c r="E476" s="475">
        <v>22</v>
      </c>
    </row>
    <row r="477" spans="2:5" x14ac:dyDescent="0.35">
      <c r="B477" s="473" t="s">
        <v>3629</v>
      </c>
      <c r="C477" s="473" t="s">
        <v>1417</v>
      </c>
      <c r="D477" s="474" t="s">
        <v>1400</v>
      </c>
      <c r="E477" s="475">
        <v>12</v>
      </c>
    </row>
    <row r="478" spans="2:5" x14ac:dyDescent="0.35">
      <c r="B478" s="473" t="s">
        <v>3021</v>
      </c>
      <c r="C478" s="473" t="s">
        <v>889</v>
      </c>
      <c r="D478" s="474" t="s">
        <v>879</v>
      </c>
      <c r="E478" s="475">
        <v>24</v>
      </c>
    </row>
    <row r="479" spans="2:5" x14ac:dyDescent="0.35">
      <c r="B479" s="473" t="s">
        <v>2403</v>
      </c>
      <c r="C479" s="473" t="s">
        <v>324</v>
      </c>
      <c r="D479" s="474" t="s">
        <v>212</v>
      </c>
      <c r="E479" s="475">
        <v>22</v>
      </c>
    </row>
    <row r="480" spans="2:5" x14ac:dyDescent="0.35">
      <c r="B480" s="473" t="s">
        <v>2937</v>
      </c>
      <c r="C480" s="473" t="s">
        <v>825</v>
      </c>
      <c r="D480" s="474" t="s">
        <v>332</v>
      </c>
      <c r="E480" s="475">
        <v>12</v>
      </c>
    </row>
    <row r="481" spans="2:5" x14ac:dyDescent="0.35">
      <c r="B481" s="473" t="s">
        <v>2896</v>
      </c>
      <c r="C481" s="473" t="s">
        <v>787</v>
      </c>
      <c r="D481" s="474" t="s">
        <v>332</v>
      </c>
      <c r="E481" s="475">
        <v>22</v>
      </c>
    </row>
    <row r="482" spans="2:5" x14ac:dyDescent="0.35">
      <c r="B482" s="473" t="s">
        <v>4055</v>
      </c>
      <c r="C482" s="473" t="s">
        <v>1816</v>
      </c>
      <c r="D482" s="474" t="s">
        <v>1679</v>
      </c>
      <c r="E482" s="475">
        <v>24</v>
      </c>
    </row>
    <row r="483" spans="2:5" x14ac:dyDescent="0.35">
      <c r="B483" s="473" t="s">
        <v>2280</v>
      </c>
      <c r="C483" s="473" t="s">
        <v>223</v>
      </c>
      <c r="D483" s="474" t="s">
        <v>212</v>
      </c>
      <c r="E483" s="475">
        <v>22</v>
      </c>
    </row>
    <row r="484" spans="2:5" x14ac:dyDescent="0.35">
      <c r="B484" s="473" t="s">
        <v>2360</v>
      </c>
      <c r="C484" s="473" t="s">
        <v>295</v>
      </c>
      <c r="D484" s="474" t="s">
        <v>212</v>
      </c>
      <c r="E484" s="475">
        <v>23</v>
      </c>
    </row>
    <row r="485" spans="2:5" x14ac:dyDescent="0.35">
      <c r="B485" s="473" t="s">
        <v>3656</v>
      </c>
      <c r="C485" s="473" t="s">
        <v>1444</v>
      </c>
      <c r="D485" s="474" t="s">
        <v>1400</v>
      </c>
      <c r="E485" s="475">
        <v>12</v>
      </c>
    </row>
    <row r="486" spans="2:5" x14ac:dyDescent="0.35">
      <c r="B486" s="473" t="s">
        <v>2428</v>
      </c>
      <c r="C486" s="473" t="s">
        <v>346</v>
      </c>
      <c r="D486" s="474" t="s">
        <v>332</v>
      </c>
      <c r="E486" s="475">
        <v>24</v>
      </c>
    </row>
    <row r="487" spans="2:5" x14ac:dyDescent="0.35">
      <c r="B487" s="473" t="s">
        <v>4003</v>
      </c>
      <c r="C487" s="473" t="s">
        <v>1770</v>
      </c>
      <c r="D487" s="474" t="s">
        <v>1679</v>
      </c>
      <c r="E487" s="475">
        <v>32</v>
      </c>
    </row>
    <row r="488" spans="2:5" x14ac:dyDescent="0.35">
      <c r="B488" s="473" t="s">
        <v>3551</v>
      </c>
      <c r="C488" s="473" t="s">
        <v>1339</v>
      </c>
      <c r="D488" s="474" t="s">
        <v>1282</v>
      </c>
      <c r="E488" s="475">
        <v>34</v>
      </c>
    </row>
    <row r="489" spans="2:5" x14ac:dyDescent="0.35">
      <c r="B489" s="473" t="s">
        <v>4164</v>
      </c>
      <c r="C489" s="473" t="s">
        <v>1917</v>
      </c>
      <c r="D489" s="474" t="s">
        <v>1679</v>
      </c>
      <c r="E489" s="475">
        <v>33</v>
      </c>
    </row>
    <row r="490" spans="2:5" x14ac:dyDescent="0.35">
      <c r="B490" s="473" t="s">
        <v>2361</v>
      </c>
      <c r="C490" s="473" t="s">
        <v>296</v>
      </c>
      <c r="D490" s="474" t="s">
        <v>212</v>
      </c>
      <c r="E490" s="475">
        <v>22</v>
      </c>
    </row>
    <row r="491" spans="2:5" x14ac:dyDescent="0.35">
      <c r="B491" s="473" t="s">
        <v>2968</v>
      </c>
      <c r="C491" s="473" t="s">
        <v>415</v>
      </c>
      <c r="D491" s="474" t="s">
        <v>332</v>
      </c>
      <c r="E491" s="475">
        <v>22</v>
      </c>
    </row>
    <row r="492" spans="2:5" x14ac:dyDescent="0.35">
      <c r="B492" s="473" t="s">
        <v>3773</v>
      </c>
      <c r="C492" s="473" t="s">
        <v>1553</v>
      </c>
      <c r="D492" s="474" t="s">
        <v>1400</v>
      </c>
      <c r="E492" s="475">
        <v>34</v>
      </c>
    </row>
    <row r="493" spans="2:5" x14ac:dyDescent="0.35">
      <c r="B493" s="473" t="s">
        <v>3476</v>
      </c>
      <c r="C493" s="473" t="s">
        <v>1264</v>
      </c>
      <c r="D493" s="474" t="s">
        <v>879</v>
      </c>
      <c r="E493" s="475">
        <v>24</v>
      </c>
    </row>
    <row r="494" spans="2:5" x14ac:dyDescent="0.35">
      <c r="B494" s="473" t="s">
        <v>4056</v>
      </c>
      <c r="C494" s="473" t="s">
        <v>1817</v>
      </c>
      <c r="D494" s="474" t="s">
        <v>1679</v>
      </c>
      <c r="E494" s="475">
        <v>24</v>
      </c>
    </row>
    <row r="495" spans="2:5" x14ac:dyDescent="0.35">
      <c r="B495" s="473" t="s">
        <v>3552</v>
      </c>
      <c r="C495" s="473" t="s">
        <v>1340</v>
      </c>
      <c r="D495" s="474" t="s">
        <v>1282</v>
      </c>
      <c r="E495" s="475">
        <v>33</v>
      </c>
    </row>
    <row r="496" spans="2:5" x14ac:dyDescent="0.35">
      <c r="B496" s="473" t="s">
        <v>3796</v>
      </c>
      <c r="C496" s="473" t="s">
        <v>1572</v>
      </c>
      <c r="D496" s="474" t="s">
        <v>1400</v>
      </c>
      <c r="E496" s="475">
        <v>24</v>
      </c>
    </row>
    <row r="497" spans="2:5" x14ac:dyDescent="0.35">
      <c r="B497" s="473" t="s">
        <v>2326</v>
      </c>
      <c r="C497" s="473" t="s">
        <v>261</v>
      </c>
      <c r="D497" s="474" t="s">
        <v>212</v>
      </c>
      <c r="E497" s="475">
        <v>34</v>
      </c>
    </row>
    <row r="498" spans="2:5" x14ac:dyDescent="0.35">
      <c r="B498" s="473" t="s">
        <v>3942</v>
      </c>
      <c r="C498" s="473" t="s">
        <v>1711</v>
      </c>
      <c r="D498" s="474" t="s">
        <v>1679</v>
      </c>
      <c r="E498" s="475">
        <v>22</v>
      </c>
    </row>
    <row r="499" spans="2:5" x14ac:dyDescent="0.35">
      <c r="B499" s="473" t="s">
        <v>4057</v>
      </c>
      <c r="C499" s="473" t="s">
        <v>1818</v>
      </c>
      <c r="D499" s="474" t="s">
        <v>1679</v>
      </c>
      <c r="E499" s="475">
        <v>23</v>
      </c>
    </row>
    <row r="500" spans="2:5" x14ac:dyDescent="0.35">
      <c r="B500" s="473" t="s">
        <v>4058</v>
      </c>
      <c r="C500" s="473" t="s">
        <v>1819</v>
      </c>
      <c r="D500" s="474" t="s">
        <v>1679</v>
      </c>
      <c r="E500" s="475">
        <v>23</v>
      </c>
    </row>
    <row r="501" spans="2:5" x14ac:dyDescent="0.35">
      <c r="B501" s="473" t="s">
        <v>3774</v>
      </c>
      <c r="C501" s="473" t="s">
        <v>1554</v>
      </c>
      <c r="D501" s="474" t="s">
        <v>1400</v>
      </c>
      <c r="E501" s="475">
        <v>24</v>
      </c>
    </row>
    <row r="502" spans="2:5" x14ac:dyDescent="0.35">
      <c r="B502" s="473" t="s">
        <v>3805</v>
      </c>
      <c r="C502" s="473" t="s">
        <v>1581</v>
      </c>
      <c r="D502" s="474" t="s">
        <v>1400</v>
      </c>
      <c r="E502" s="475">
        <v>12</v>
      </c>
    </row>
    <row r="503" spans="2:5" x14ac:dyDescent="0.35">
      <c r="B503" s="473" t="s">
        <v>4205</v>
      </c>
      <c r="C503" s="473" t="s">
        <v>1959</v>
      </c>
      <c r="D503" s="474" t="s">
        <v>1950</v>
      </c>
      <c r="E503" s="475">
        <v>24</v>
      </c>
    </row>
    <row r="504" spans="2:5" x14ac:dyDescent="0.35">
      <c r="B504" s="473" t="s">
        <v>4130</v>
      </c>
      <c r="C504" s="473" t="s">
        <v>1883</v>
      </c>
      <c r="D504" s="474" t="s">
        <v>1679</v>
      </c>
      <c r="E504" s="475">
        <v>24</v>
      </c>
    </row>
    <row r="505" spans="2:5" x14ac:dyDescent="0.35">
      <c r="B505" s="473" t="s">
        <v>2163</v>
      </c>
      <c r="C505" s="473" t="s">
        <v>107</v>
      </c>
      <c r="D505" s="473" t="s">
        <v>40</v>
      </c>
      <c r="E505" s="475">
        <v>24</v>
      </c>
    </row>
    <row r="506" spans="2:5" x14ac:dyDescent="0.35">
      <c r="B506" s="473" t="s">
        <v>3423</v>
      </c>
      <c r="C506" s="473" t="s">
        <v>1215</v>
      </c>
      <c r="D506" s="474" t="s">
        <v>879</v>
      </c>
      <c r="E506" s="475">
        <v>24</v>
      </c>
    </row>
    <row r="507" spans="2:5" x14ac:dyDescent="0.35">
      <c r="B507" s="473" t="s">
        <v>3553</v>
      </c>
      <c r="C507" s="473" t="s">
        <v>1341</v>
      </c>
      <c r="D507" s="474" t="s">
        <v>1282</v>
      </c>
      <c r="E507" s="475">
        <v>34</v>
      </c>
    </row>
    <row r="508" spans="2:5" x14ac:dyDescent="0.35">
      <c r="B508" s="473" t="s">
        <v>3070</v>
      </c>
      <c r="C508" s="473" t="s">
        <v>926</v>
      </c>
      <c r="D508" s="474" t="s">
        <v>879</v>
      </c>
      <c r="E508" s="475">
        <v>22</v>
      </c>
    </row>
    <row r="509" spans="2:5" x14ac:dyDescent="0.35">
      <c r="B509" s="473" t="s">
        <v>2210</v>
      </c>
      <c r="C509" s="473" t="s">
        <v>154</v>
      </c>
      <c r="D509" s="473" t="s">
        <v>40</v>
      </c>
      <c r="E509" s="475">
        <v>33</v>
      </c>
    </row>
    <row r="510" spans="2:5" x14ac:dyDescent="0.35">
      <c r="B510" s="473" t="s">
        <v>3424</v>
      </c>
      <c r="C510" s="473" t="s">
        <v>1216</v>
      </c>
      <c r="D510" s="474" t="s">
        <v>879</v>
      </c>
      <c r="E510" s="475">
        <v>24</v>
      </c>
    </row>
    <row r="511" spans="2:5" x14ac:dyDescent="0.35">
      <c r="B511" s="473" t="s">
        <v>2838</v>
      </c>
      <c r="C511" s="473" t="s">
        <v>731</v>
      </c>
      <c r="D511" s="474" t="s">
        <v>332</v>
      </c>
      <c r="E511" s="475">
        <v>33</v>
      </c>
    </row>
    <row r="512" spans="2:5" x14ac:dyDescent="0.35">
      <c r="B512" s="473" t="s">
        <v>3425</v>
      </c>
      <c r="C512" s="473" t="s">
        <v>1217</v>
      </c>
      <c r="D512" s="474" t="s">
        <v>879</v>
      </c>
      <c r="E512" s="475">
        <v>22</v>
      </c>
    </row>
    <row r="513" spans="2:5" x14ac:dyDescent="0.35">
      <c r="B513" s="473" t="s">
        <v>3022</v>
      </c>
      <c r="C513" s="473" t="s">
        <v>890</v>
      </c>
      <c r="D513" s="474" t="s">
        <v>879</v>
      </c>
      <c r="E513" s="475">
        <v>34</v>
      </c>
    </row>
    <row r="514" spans="2:5" x14ac:dyDescent="0.35">
      <c r="B514" s="473" t="s">
        <v>2390</v>
      </c>
      <c r="C514" s="473" t="s">
        <v>2391</v>
      </c>
      <c r="D514" s="474" t="s">
        <v>212</v>
      </c>
      <c r="E514" s="475">
        <v>12</v>
      </c>
    </row>
    <row r="515" spans="2:5" x14ac:dyDescent="0.35">
      <c r="B515" s="473" t="s">
        <v>4276</v>
      </c>
      <c r="C515" s="473" t="s">
        <v>2022</v>
      </c>
      <c r="D515" s="474" t="s">
        <v>1950</v>
      </c>
      <c r="E515" s="475">
        <v>22</v>
      </c>
    </row>
    <row r="516" spans="2:5" x14ac:dyDescent="0.35">
      <c r="B516" s="473" t="s">
        <v>2185</v>
      </c>
      <c r="C516" s="473" t="s">
        <v>129</v>
      </c>
      <c r="D516" s="473" t="s">
        <v>40</v>
      </c>
      <c r="E516" s="475">
        <v>33</v>
      </c>
    </row>
    <row r="517" spans="2:5" x14ac:dyDescent="0.35">
      <c r="B517" s="473" t="s">
        <v>2320</v>
      </c>
      <c r="C517" s="473" t="s">
        <v>255</v>
      </c>
      <c r="D517" s="474" t="s">
        <v>212</v>
      </c>
      <c r="E517" s="475">
        <v>23</v>
      </c>
    </row>
    <row r="518" spans="2:5" x14ac:dyDescent="0.35">
      <c r="B518" s="473" t="s">
        <v>3614</v>
      </c>
      <c r="C518" s="473" t="s">
        <v>1402</v>
      </c>
      <c r="D518" s="474" t="s">
        <v>1400</v>
      </c>
      <c r="E518" s="475">
        <v>22</v>
      </c>
    </row>
    <row r="519" spans="2:5" x14ac:dyDescent="0.35">
      <c r="B519" s="473" t="s">
        <v>4277</v>
      </c>
      <c r="C519" s="473" t="s">
        <v>2023</v>
      </c>
      <c r="D519" s="474" t="s">
        <v>1950</v>
      </c>
      <c r="E519" s="475">
        <v>24</v>
      </c>
    </row>
    <row r="520" spans="2:5" x14ac:dyDescent="0.35">
      <c r="B520" s="473" t="s">
        <v>3341</v>
      </c>
      <c r="C520" s="473" t="s">
        <v>1147</v>
      </c>
      <c r="D520" s="474" t="s">
        <v>879</v>
      </c>
      <c r="E520" s="475">
        <v>34</v>
      </c>
    </row>
    <row r="521" spans="2:5" x14ac:dyDescent="0.35">
      <c r="B521" s="473" t="s">
        <v>3080</v>
      </c>
      <c r="C521" s="473" t="s">
        <v>934</v>
      </c>
      <c r="D521" s="474" t="s">
        <v>879</v>
      </c>
      <c r="E521" s="475">
        <v>22</v>
      </c>
    </row>
    <row r="522" spans="2:5" x14ac:dyDescent="0.35">
      <c r="B522" s="473" t="s">
        <v>2362</v>
      </c>
      <c r="C522" s="473" t="s">
        <v>297</v>
      </c>
      <c r="D522" s="474" t="s">
        <v>212</v>
      </c>
      <c r="E522" s="475">
        <v>23</v>
      </c>
    </row>
    <row r="523" spans="2:5" x14ac:dyDescent="0.35">
      <c r="B523" s="473" t="s">
        <v>3850</v>
      </c>
      <c r="C523" s="473" t="s">
        <v>1622</v>
      </c>
      <c r="D523" s="474" t="s">
        <v>1400</v>
      </c>
      <c r="E523" s="475">
        <v>33</v>
      </c>
    </row>
    <row r="524" spans="2:5" x14ac:dyDescent="0.35">
      <c r="B524" s="473" t="s">
        <v>2302</v>
      </c>
      <c r="C524" s="473" t="s">
        <v>243</v>
      </c>
      <c r="D524" s="474" t="s">
        <v>212</v>
      </c>
      <c r="E524" s="475">
        <v>22</v>
      </c>
    </row>
    <row r="525" spans="2:5" x14ac:dyDescent="0.35">
      <c r="B525" s="473" t="s">
        <v>3943</v>
      </c>
      <c r="C525" s="473" t="s">
        <v>1712</v>
      </c>
      <c r="D525" s="474" t="s">
        <v>1679</v>
      </c>
      <c r="E525" s="475">
        <v>12</v>
      </c>
    </row>
    <row r="526" spans="2:5" x14ac:dyDescent="0.35">
      <c r="B526" s="473" t="s">
        <v>3657</v>
      </c>
      <c r="C526" s="473" t="s">
        <v>1445</v>
      </c>
      <c r="D526" s="474" t="s">
        <v>1400</v>
      </c>
      <c r="E526" s="475">
        <v>22</v>
      </c>
    </row>
    <row r="527" spans="2:5" x14ac:dyDescent="0.35">
      <c r="B527" s="473" t="s">
        <v>4165</v>
      </c>
      <c r="C527" s="473" t="s">
        <v>1918</v>
      </c>
      <c r="D527" s="474" t="s">
        <v>1679</v>
      </c>
      <c r="E527" s="475">
        <v>22</v>
      </c>
    </row>
    <row r="528" spans="2:5" x14ac:dyDescent="0.35">
      <c r="B528" s="473" t="s">
        <v>4166</v>
      </c>
      <c r="C528" s="473" t="s">
        <v>1919</v>
      </c>
      <c r="D528" s="474" t="s">
        <v>1679</v>
      </c>
      <c r="E528" s="475">
        <v>24</v>
      </c>
    </row>
    <row r="529" spans="2:5" x14ac:dyDescent="0.35">
      <c r="B529" s="473" t="s">
        <v>3944</v>
      </c>
      <c r="C529" s="473" t="s">
        <v>1713</v>
      </c>
      <c r="D529" s="474" t="s">
        <v>1679</v>
      </c>
      <c r="E529" s="475">
        <v>23</v>
      </c>
    </row>
    <row r="530" spans="2:5" x14ac:dyDescent="0.35">
      <c r="B530" s="473" t="s">
        <v>3869</v>
      </c>
      <c r="C530" s="473" t="s">
        <v>1641</v>
      </c>
      <c r="D530" s="474" t="s">
        <v>1400</v>
      </c>
      <c r="E530" s="475">
        <v>32</v>
      </c>
    </row>
    <row r="531" spans="2:5" x14ac:dyDescent="0.35">
      <c r="B531" s="473" t="s">
        <v>2464</v>
      </c>
      <c r="C531" s="473" t="s">
        <v>372</v>
      </c>
      <c r="D531" s="474" t="s">
        <v>332</v>
      </c>
      <c r="E531" s="475">
        <v>24</v>
      </c>
    </row>
    <row r="532" spans="2:5" x14ac:dyDescent="0.35">
      <c r="B532" s="473" t="s">
        <v>2644</v>
      </c>
      <c r="C532" s="473" t="s">
        <v>558</v>
      </c>
      <c r="D532" s="474" t="s">
        <v>332</v>
      </c>
      <c r="E532" s="475">
        <v>22</v>
      </c>
    </row>
    <row r="533" spans="2:5" x14ac:dyDescent="0.35">
      <c r="B533" s="473" t="s">
        <v>3588</v>
      </c>
      <c r="C533" s="473" t="s">
        <v>1376</v>
      </c>
      <c r="D533" s="474" t="s">
        <v>1282</v>
      </c>
      <c r="E533" s="475">
        <v>34</v>
      </c>
    </row>
    <row r="534" spans="2:5" x14ac:dyDescent="0.35">
      <c r="B534" s="473" t="s">
        <v>3519</v>
      </c>
      <c r="C534" s="473" t="s">
        <v>1307</v>
      </c>
      <c r="D534" s="474" t="s">
        <v>1282</v>
      </c>
      <c r="E534" s="475">
        <v>23</v>
      </c>
    </row>
    <row r="535" spans="2:5" x14ac:dyDescent="0.35">
      <c r="B535" s="473" t="s">
        <v>4241</v>
      </c>
      <c r="C535" s="473" t="s">
        <v>1989</v>
      </c>
      <c r="D535" s="474" t="s">
        <v>1950</v>
      </c>
      <c r="E535" s="475">
        <v>12</v>
      </c>
    </row>
    <row r="536" spans="2:5" x14ac:dyDescent="0.35">
      <c r="B536" s="473" t="s">
        <v>2769</v>
      </c>
      <c r="C536" s="473" t="s">
        <v>670</v>
      </c>
      <c r="D536" s="474" t="s">
        <v>332</v>
      </c>
      <c r="E536" s="475">
        <v>24</v>
      </c>
    </row>
    <row r="537" spans="2:5" x14ac:dyDescent="0.35">
      <c r="B537" s="473" t="s">
        <v>3806</v>
      </c>
      <c r="C537" s="473" t="s">
        <v>1582</v>
      </c>
      <c r="D537" s="474" t="s">
        <v>1400</v>
      </c>
      <c r="E537" s="475">
        <v>24</v>
      </c>
    </row>
    <row r="538" spans="2:5" x14ac:dyDescent="0.35">
      <c r="B538" s="473" t="s">
        <v>3669</v>
      </c>
      <c r="C538" s="473" t="s">
        <v>1455</v>
      </c>
      <c r="D538" s="474" t="s">
        <v>1400</v>
      </c>
      <c r="E538" s="475">
        <v>24</v>
      </c>
    </row>
    <row r="539" spans="2:5" x14ac:dyDescent="0.35">
      <c r="B539" s="473" t="s">
        <v>2969</v>
      </c>
      <c r="C539" s="473" t="s">
        <v>763</v>
      </c>
      <c r="D539" s="474" t="s">
        <v>332</v>
      </c>
      <c r="E539" s="475">
        <v>12</v>
      </c>
    </row>
    <row r="540" spans="2:5" x14ac:dyDescent="0.35">
      <c r="B540" s="473" t="s">
        <v>3371</v>
      </c>
      <c r="C540" s="473" t="s">
        <v>1167</v>
      </c>
      <c r="D540" s="474" t="s">
        <v>879</v>
      </c>
      <c r="E540" s="475">
        <v>33</v>
      </c>
    </row>
    <row r="541" spans="2:5" x14ac:dyDescent="0.35">
      <c r="B541" s="473" t="s">
        <v>4092</v>
      </c>
      <c r="C541" s="473" t="s">
        <v>1851</v>
      </c>
      <c r="D541" s="474" t="s">
        <v>1679</v>
      </c>
      <c r="E541" s="475">
        <v>12</v>
      </c>
    </row>
    <row r="542" spans="2:5" x14ac:dyDescent="0.35">
      <c r="B542" s="473" t="s">
        <v>3729</v>
      </c>
      <c r="C542" s="473" t="s">
        <v>1513</v>
      </c>
      <c r="D542" s="474" t="s">
        <v>1400</v>
      </c>
      <c r="E542" s="475">
        <v>33</v>
      </c>
    </row>
    <row r="543" spans="2:5" x14ac:dyDescent="0.35">
      <c r="B543" s="473" t="s">
        <v>4242</v>
      </c>
      <c r="C543" s="473" t="s">
        <v>1990</v>
      </c>
      <c r="D543" s="474" t="s">
        <v>1950</v>
      </c>
      <c r="E543" s="475">
        <v>22</v>
      </c>
    </row>
    <row r="544" spans="2:5" x14ac:dyDescent="0.35">
      <c r="B544" s="473" t="s">
        <v>2379</v>
      </c>
      <c r="C544" s="473" t="s">
        <v>312</v>
      </c>
      <c r="D544" s="474" t="s">
        <v>212</v>
      </c>
      <c r="E544" s="475">
        <v>24</v>
      </c>
    </row>
    <row r="545" spans="2:5" x14ac:dyDescent="0.35">
      <c r="B545" s="473" t="s">
        <v>3394</v>
      </c>
      <c r="C545" s="473" t="s">
        <v>1188</v>
      </c>
      <c r="D545" s="474" t="s">
        <v>879</v>
      </c>
      <c r="E545" s="475">
        <v>22</v>
      </c>
    </row>
    <row r="546" spans="2:5" x14ac:dyDescent="0.35">
      <c r="B546" s="473" t="s">
        <v>3135</v>
      </c>
      <c r="C546" s="473" t="s">
        <v>981</v>
      </c>
      <c r="D546" s="474" t="s">
        <v>879</v>
      </c>
      <c r="E546" s="475">
        <v>24</v>
      </c>
    </row>
    <row r="547" spans="2:5" x14ac:dyDescent="0.35">
      <c r="B547" s="473" t="s">
        <v>4167</v>
      </c>
      <c r="C547" s="473" t="s">
        <v>1920</v>
      </c>
      <c r="D547" s="474" t="s">
        <v>1679</v>
      </c>
      <c r="E547" s="475">
        <v>24</v>
      </c>
    </row>
    <row r="548" spans="2:5" x14ac:dyDescent="0.35">
      <c r="B548" s="473" t="s">
        <v>4059</v>
      </c>
      <c r="C548" s="473" t="s">
        <v>1820</v>
      </c>
      <c r="D548" s="474" t="s">
        <v>1679</v>
      </c>
      <c r="E548" s="475">
        <v>34</v>
      </c>
    </row>
    <row r="549" spans="2:5" x14ac:dyDescent="0.35">
      <c r="B549" s="473" t="s">
        <v>2874</v>
      </c>
      <c r="C549" s="473" t="s">
        <v>769</v>
      </c>
      <c r="D549" s="474" t="s">
        <v>332</v>
      </c>
      <c r="E549" s="475">
        <v>33</v>
      </c>
    </row>
    <row r="550" spans="2:5" x14ac:dyDescent="0.35">
      <c r="B550" s="473" t="s">
        <v>3685</v>
      </c>
      <c r="C550" s="473" t="s">
        <v>1471</v>
      </c>
      <c r="D550" s="474" t="s">
        <v>1400</v>
      </c>
      <c r="E550" s="475">
        <v>24</v>
      </c>
    </row>
    <row r="551" spans="2:5" x14ac:dyDescent="0.35">
      <c r="B551" s="473" t="s">
        <v>3426</v>
      </c>
      <c r="C551" s="473" t="s">
        <v>1218</v>
      </c>
      <c r="D551" s="474" t="s">
        <v>879</v>
      </c>
      <c r="E551" s="475">
        <v>22</v>
      </c>
    </row>
    <row r="552" spans="2:5" x14ac:dyDescent="0.35">
      <c r="B552" s="473" t="s">
        <v>3731</v>
      </c>
      <c r="C552" s="473" t="s">
        <v>3732</v>
      </c>
      <c r="D552" s="474" t="s">
        <v>1400</v>
      </c>
      <c r="E552" s="475">
        <v>33</v>
      </c>
    </row>
    <row r="553" spans="2:5" x14ac:dyDescent="0.35">
      <c r="B553" s="473" t="s">
        <v>2519</v>
      </c>
      <c r="C553" s="473" t="s">
        <v>438</v>
      </c>
      <c r="D553" s="474" t="s">
        <v>332</v>
      </c>
      <c r="E553" s="475">
        <v>22</v>
      </c>
    </row>
    <row r="554" spans="2:5" x14ac:dyDescent="0.35">
      <c r="B554" s="473" t="s">
        <v>2604</v>
      </c>
      <c r="C554" s="473" t="s">
        <v>519</v>
      </c>
      <c r="D554" s="474" t="s">
        <v>332</v>
      </c>
      <c r="E554" s="475">
        <v>32</v>
      </c>
    </row>
    <row r="555" spans="2:5" x14ac:dyDescent="0.35">
      <c r="B555" s="473" t="s">
        <v>3372</v>
      </c>
      <c r="C555" s="473" t="s">
        <v>1168</v>
      </c>
      <c r="D555" s="474" t="s">
        <v>879</v>
      </c>
      <c r="E555" s="475">
        <v>12</v>
      </c>
    </row>
    <row r="556" spans="2:5" x14ac:dyDescent="0.35">
      <c r="B556" s="473" t="s">
        <v>4206</v>
      </c>
      <c r="C556" s="473" t="s">
        <v>1960</v>
      </c>
      <c r="D556" s="474" t="s">
        <v>1950</v>
      </c>
      <c r="E556" s="475">
        <v>33</v>
      </c>
    </row>
    <row r="557" spans="2:5" x14ac:dyDescent="0.35">
      <c r="B557" s="473" t="s">
        <v>3775</v>
      </c>
      <c r="C557" s="473" t="s">
        <v>1555</v>
      </c>
      <c r="D557" s="474" t="s">
        <v>1400</v>
      </c>
      <c r="E557" s="475">
        <v>34</v>
      </c>
    </row>
    <row r="558" spans="2:5" x14ac:dyDescent="0.35">
      <c r="B558" s="473" t="s">
        <v>3136</v>
      </c>
      <c r="C558" s="473" t="s">
        <v>982</v>
      </c>
      <c r="D558" s="474" t="s">
        <v>879</v>
      </c>
      <c r="E558" s="475">
        <v>23</v>
      </c>
    </row>
    <row r="559" spans="2:5" x14ac:dyDescent="0.35">
      <c r="B559" s="473" t="s">
        <v>2918</v>
      </c>
      <c r="C559" s="473" t="s">
        <v>808</v>
      </c>
      <c r="D559" s="474" t="s">
        <v>332</v>
      </c>
      <c r="E559" s="475">
        <v>34</v>
      </c>
    </row>
    <row r="560" spans="2:5" x14ac:dyDescent="0.35">
      <c r="B560" s="473" t="s">
        <v>2186</v>
      </c>
      <c r="C560" s="473" t="s">
        <v>130</v>
      </c>
      <c r="D560" s="473" t="s">
        <v>40</v>
      </c>
      <c r="E560" s="475">
        <v>32</v>
      </c>
    </row>
    <row r="561" spans="2:5" x14ac:dyDescent="0.35">
      <c r="B561" s="473" t="s">
        <v>2736</v>
      </c>
      <c r="C561" s="473" t="s">
        <v>647</v>
      </c>
      <c r="D561" s="474" t="s">
        <v>332</v>
      </c>
      <c r="E561" s="475">
        <v>34</v>
      </c>
    </row>
    <row r="562" spans="2:5" x14ac:dyDescent="0.35">
      <c r="B562" s="473" t="s">
        <v>2737</v>
      </c>
      <c r="C562" s="473" t="s">
        <v>648</v>
      </c>
      <c r="D562" s="474" t="s">
        <v>332</v>
      </c>
      <c r="E562" s="475">
        <v>23</v>
      </c>
    </row>
    <row r="563" spans="2:5" x14ac:dyDescent="0.35">
      <c r="B563" s="473" t="s">
        <v>3137</v>
      </c>
      <c r="C563" s="473" t="s">
        <v>983</v>
      </c>
      <c r="D563" s="474" t="s">
        <v>879</v>
      </c>
      <c r="E563" s="475">
        <v>24</v>
      </c>
    </row>
    <row r="564" spans="2:5" x14ac:dyDescent="0.35">
      <c r="B564" s="473" t="s">
        <v>2645</v>
      </c>
      <c r="C564" s="473" t="s">
        <v>559</v>
      </c>
      <c r="D564" s="474" t="s">
        <v>332</v>
      </c>
      <c r="E564" s="475">
        <v>22</v>
      </c>
    </row>
    <row r="565" spans="2:5" x14ac:dyDescent="0.35">
      <c r="B565" s="473" t="s">
        <v>3251</v>
      </c>
      <c r="C565" s="473" t="s">
        <v>1077</v>
      </c>
      <c r="D565" s="474" t="s">
        <v>879</v>
      </c>
      <c r="E565" s="475">
        <v>24</v>
      </c>
    </row>
    <row r="566" spans="2:5" x14ac:dyDescent="0.35">
      <c r="B566" s="473" t="s">
        <v>3252</v>
      </c>
      <c r="C566" s="473" t="s">
        <v>1078</v>
      </c>
      <c r="D566" s="474" t="s">
        <v>879</v>
      </c>
      <c r="E566" s="475">
        <v>22</v>
      </c>
    </row>
    <row r="567" spans="2:5" x14ac:dyDescent="0.35">
      <c r="B567" s="473" t="s">
        <v>3766</v>
      </c>
      <c r="C567" s="473" t="s">
        <v>1546</v>
      </c>
      <c r="D567" s="474" t="s">
        <v>1400</v>
      </c>
      <c r="E567" s="475">
        <v>24</v>
      </c>
    </row>
    <row r="568" spans="2:5" x14ac:dyDescent="0.35">
      <c r="B568" s="473" t="s">
        <v>2605</v>
      </c>
      <c r="C568" s="473" t="s">
        <v>520</v>
      </c>
      <c r="D568" s="474" t="s">
        <v>332</v>
      </c>
      <c r="E568" s="475">
        <v>32</v>
      </c>
    </row>
    <row r="569" spans="2:5" x14ac:dyDescent="0.35">
      <c r="B569" s="473" t="s">
        <v>2970</v>
      </c>
      <c r="C569" s="473" t="s">
        <v>552</v>
      </c>
      <c r="D569" s="474" t="s">
        <v>332</v>
      </c>
      <c r="E569" s="475">
        <v>22</v>
      </c>
    </row>
    <row r="570" spans="2:5" x14ac:dyDescent="0.35">
      <c r="B570" s="473" t="s">
        <v>2839</v>
      </c>
      <c r="C570" s="473" t="s">
        <v>732</v>
      </c>
      <c r="D570" s="474" t="s">
        <v>332</v>
      </c>
      <c r="E570" s="475">
        <v>24</v>
      </c>
    </row>
    <row r="571" spans="2:5" x14ac:dyDescent="0.35">
      <c r="B571" s="473" t="s">
        <v>2125</v>
      </c>
      <c r="C571" s="473" t="s">
        <v>69</v>
      </c>
      <c r="D571" s="473" t="s">
        <v>40</v>
      </c>
      <c r="E571" s="475">
        <v>34</v>
      </c>
    </row>
    <row r="572" spans="2:5" x14ac:dyDescent="0.35">
      <c r="B572" s="473" t="s">
        <v>3023</v>
      </c>
      <c r="C572" s="473" t="s">
        <v>891</v>
      </c>
      <c r="D572" s="474" t="s">
        <v>879</v>
      </c>
      <c r="E572" s="475">
        <v>24</v>
      </c>
    </row>
    <row r="573" spans="2:5" x14ac:dyDescent="0.35">
      <c r="B573" s="473" t="s">
        <v>4168</v>
      </c>
      <c r="C573" s="473" t="s">
        <v>1921</v>
      </c>
      <c r="D573" s="474" t="s">
        <v>1679</v>
      </c>
      <c r="E573" s="475">
        <v>34</v>
      </c>
    </row>
    <row r="574" spans="2:5" x14ac:dyDescent="0.35">
      <c r="B574" s="473" t="s">
        <v>4169</v>
      </c>
      <c r="C574" s="473" t="s">
        <v>1922</v>
      </c>
      <c r="D574" s="474" t="s">
        <v>1679</v>
      </c>
      <c r="E574" s="475">
        <v>34</v>
      </c>
    </row>
    <row r="575" spans="2:5" x14ac:dyDescent="0.35">
      <c r="B575" s="473" t="s">
        <v>3797</v>
      </c>
      <c r="C575" s="473" t="s">
        <v>1573</v>
      </c>
      <c r="D575" s="474" t="s">
        <v>1400</v>
      </c>
      <c r="E575" s="475">
        <v>33</v>
      </c>
    </row>
    <row r="576" spans="2:5" x14ac:dyDescent="0.35">
      <c r="B576" s="473" t="s">
        <v>2646</v>
      </c>
      <c r="C576" s="473" t="s">
        <v>560</v>
      </c>
      <c r="D576" s="474" t="s">
        <v>332</v>
      </c>
      <c r="E576" s="475">
        <v>23</v>
      </c>
    </row>
    <row r="577" spans="2:5" x14ac:dyDescent="0.35">
      <c r="B577" s="473" t="s">
        <v>2770</v>
      </c>
      <c r="C577" s="473" t="s">
        <v>671</v>
      </c>
      <c r="D577" s="474" t="s">
        <v>332</v>
      </c>
      <c r="E577" s="475">
        <v>12</v>
      </c>
    </row>
    <row r="578" spans="2:5" x14ac:dyDescent="0.35">
      <c r="B578" s="473" t="s">
        <v>3024</v>
      </c>
      <c r="C578" s="473" t="s">
        <v>892</v>
      </c>
      <c r="D578" s="474" t="s">
        <v>879</v>
      </c>
      <c r="E578" s="475">
        <v>24</v>
      </c>
    </row>
    <row r="579" spans="2:5" x14ac:dyDescent="0.35">
      <c r="B579" s="473" t="s">
        <v>2276</v>
      </c>
      <c r="C579" s="473" t="s">
        <v>219</v>
      </c>
      <c r="D579" s="474" t="s">
        <v>212</v>
      </c>
      <c r="E579" s="475">
        <v>34</v>
      </c>
    </row>
    <row r="580" spans="2:5" x14ac:dyDescent="0.35">
      <c r="B580" s="473" t="s">
        <v>2404</v>
      </c>
      <c r="C580" s="473" t="s">
        <v>325</v>
      </c>
      <c r="D580" s="474" t="s">
        <v>212</v>
      </c>
      <c r="E580" s="475">
        <v>23</v>
      </c>
    </row>
    <row r="581" spans="2:5" x14ac:dyDescent="0.35">
      <c r="B581" s="473" t="s">
        <v>3686</v>
      </c>
      <c r="C581" s="473" t="s">
        <v>1472</v>
      </c>
      <c r="D581" s="474" t="s">
        <v>1400</v>
      </c>
      <c r="E581" s="475">
        <v>24</v>
      </c>
    </row>
    <row r="582" spans="2:5" x14ac:dyDescent="0.35">
      <c r="B582" s="473" t="s">
        <v>3798</v>
      </c>
      <c r="C582" s="473" t="s">
        <v>1574</v>
      </c>
      <c r="D582" s="474" t="s">
        <v>1400</v>
      </c>
      <c r="E582" s="475">
        <v>22</v>
      </c>
    </row>
    <row r="583" spans="2:5" x14ac:dyDescent="0.35">
      <c r="B583" s="473" t="s">
        <v>2520</v>
      </c>
      <c r="C583" s="473" t="s">
        <v>439</v>
      </c>
      <c r="D583" s="474" t="s">
        <v>332</v>
      </c>
      <c r="E583" s="475">
        <v>23</v>
      </c>
    </row>
    <row r="584" spans="2:5" x14ac:dyDescent="0.35">
      <c r="B584" s="473" t="s">
        <v>2380</v>
      </c>
      <c r="C584" s="473" t="s">
        <v>313</v>
      </c>
      <c r="D584" s="474" t="s">
        <v>212</v>
      </c>
      <c r="E584" s="475">
        <v>34</v>
      </c>
    </row>
    <row r="585" spans="2:5" x14ac:dyDescent="0.35">
      <c r="B585" s="473" t="s">
        <v>2303</v>
      </c>
      <c r="C585" s="473" t="s">
        <v>244</v>
      </c>
      <c r="D585" s="474" t="s">
        <v>212</v>
      </c>
      <c r="E585" s="475">
        <v>34</v>
      </c>
    </row>
    <row r="586" spans="2:5" x14ac:dyDescent="0.35">
      <c r="B586" s="473" t="s">
        <v>2795</v>
      </c>
      <c r="C586" s="473" t="s">
        <v>694</v>
      </c>
      <c r="D586" s="474" t="s">
        <v>332</v>
      </c>
      <c r="E586" s="475">
        <v>22</v>
      </c>
    </row>
    <row r="587" spans="2:5" x14ac:dyDescent="0.35">
      <c r="B587" s="473" t="s">
        <v>2556</v>
      </c>
      <c r="C587" s="473" t="s">
        <v>475</v>
      </c>
      <c r="D587" s="474" t="s">
        <v>332</v>
      </c>
      <c r="E587" s="475">
        <v>32</v>
      </c>
    </row>
    <row r="588" spans="2:5" x14ac:dyDescent="0.35">
      <c r="B588" s="473" t="s">
        <v>2327</v>
      </c>
      <c r="C588" s="473" t="s">
        <v>262</v>
      </c>
      <c r="D588" s="474" t="s">
        <v>212</v>
      </c>
      <c r="E588" s="475">
        <v>23</v>
      </c>
    </row>
    <row r="589" spans="2:5" x14ac:dyDescent="0.35">
      <c r="B589" s="473" t="s">
        <v>3113</v>
      </c>
      <c r="C589" s="473" t="s">
        <v>963</v>
      </c>
      <c r="D589" s="474" t="s">
        <v>879</v>
      </c>
      <c r="E589" s="475">
        <v>12</v>
      </c>
    </row>
    <row r="590" spans="2:5" x14ac:dyDescent="0.35">
      <c r="B590" s="473" t="s">
        <v>2738</v>
      </c>
      <c r="C590" s="473" t="s">
        <v>649</v>
      </c>
      <c r="D590" s="474" t="s">
        <v>332</v>
      </c>
      <c r="E590" s="475">
        <v>34</v>
      </c>
    </row>
    <row r="591" spans="2:5" x14ac:dyDescent="0.35">
      <c r="B591" s="473" t="s">
        <v>3945</v>
      </c>
      <c r="C591" s="473" t="s">
        <v>1714</v>
      </c>
      <c r="D591" s="474" t="s">
        <v>1679</v>
      </c>
      <c r="E591" s="475">
        <v>24</v>
      </c>
    </row>
    <row r="592" spans="2:5" x14ac:dyDescent="0.35">
      <c r="B592" s="473" t="s">
        <v>3897</v>
      </c>
      <c r="C592" s="473" t="s">
        <v>1669</v>
      </c>
      <c r="D592" s="474" t="s">
        <v>1400</v>
      </c>
      <c r="E592" s="475">
        <v>34</v>
      </c>
    </row>
    <row r="593" spans="2:5" x14ac:dyDescent="0.35">
      <c r="B593" s="473" t="s">
        <v>2405</v>
      </c>
      <c r="C593" s="473" t="s">
        <v>326</v>
      </c>
      <c r="D593" s="474" t="s">
        <v>212</v>
      </c>
      <c r="E593" s="475">
        <v>34</v>
      </c>
    </row>
    <row r="594" spans="2:5" x14ac:dyDescent="0.35">
      <c r="B594" s="473" t="s">
        <v>4278</v>
      </c>
      <c r="C594" s="473" t="s">
        <v>2024</v>
      </c>
      <c r="D594" s="474" t="s">
        <v>1950</v>
      </c>
      <c r="E594" s="475">
        <v>22</v>
      </c>
    </row>
    <row r="595" spans="2:5" x14ac:dyDescent="0.35">
      <c r="B595" s="473" t="s">
        <v>4004</v>
      </c>
      <c r="C595" s="473" t="s">
        <v>1771</v>
      </c>
      <c r="D595" s="474" t="s">
        <v>1679</v>
      </c>
      <c r="E595" s="475">
        <v>23</v>
      </c>
    </row>
    <row r="596" spans="2:5" x14ac:dyDescent="0.35">
      <c r="B596" s="473" t="s">
        <v>3554</v>
      </c>
      <c r="C596" s="473" t="s">
        <v>1342</v>
      </c>
      <c r="D596" s="474" t="s">
        <v>1282</v>
      </c>
      <c r="E596" s="475">
        <v>33</v>
      </c>
    </row>
    <row r="597" spans="2:5" x14ac:dyDescent="0.35">
      <c r="B597" s="473" t="s">
        <v>3395</v>
      </c>
      <c r="C597" s="473" t="s">
        <v>1189</v>
      </c>
      <c r="D597" s="474" t="s">
        <v>879</v>
      </c>
      <c r="E597" s="475">
        <v>23</v>
      </c>
    </row>
    <row r="598" spans="2:5" x14ac:dyDescent="0.35">
      <c r="B598" s="473" t="s">
        <v>2575</v>
      </c>
      <c r="C598" s="473" t="s">
        <v>492</v>
      </c>
      <c r="D598" s="474" t="s">
        <v>332</v>
      </c>
      <c r="E598" s="475">
        <v>23</v>
      </c>
    </row>
    <row r="599" spans="2:5" x14ac:dyDescent="0.35">
      <c r="B599" s="473" t="s">
        <v>2693</v>
      </c>
      <c r="C599" s="473" t="s">
        <v>600</v>
      </c>
      <c r="D599" s="474" t="s">
        <v>332</v>
      </c>
      <c r="E599" s="475">
        <v>34</v>
      </c>
    </row>
    <row r="600" spans="2:5" x14ac:dyDescent="0.35">
      <c r="B600" s="473" t="s">
        <v>3498</v>
      </c>
      <c r="C600" s="473" t="s">
        <v>1286</v>
      </c>
      <c r="D600" s="474" t="s">
        <v>1282</v>
      </c>
      <c r="E600" s="475">
        <v>22</v>
      </c>
    </row>
    <row r="601" spans="2:5" x14ac:dyDescent="0.35">
      <c r="B601" s="473" t="s">
        <v>2187</v>
      </c>
      <c r="C601" s="473" t="s">
        <v>131</v>
      </c>
      <c r="D601" s="473" t="s">
        <v>40</v>
      </c>
      <c r="E601" s="475">
        <v>33</v>
      </c>
    </row>
    <row r="602" spans="2:5" x14ac:dyDescent="0.35">
      <c r="B602" s="473" t="s">
        <v>3520</v>
      </c>
      <c r="C602" s="473" t="s">
        <v>1308</v>
      </c>
      <c r="D602" s="474" t="s">
        <v>1282</v>
      </c>
      <c r="E602" s="475">
        <v>22</v>
      </c>
    </row>
    <row r="603" spans="2:5" x14ac:dyDescent="0.35">
      <c r="B603" s="473" t="s">
        <v>2992</v>
      </c>
      <c r="C603" s="473" t="s">
        <v>859</v>
      </c>
      <c r="D603" s="474" t="s">
        <v>332</v>
      </c>
      <c r="E603" s="475">
        <v>32</v>
      </c>
    </row>
    <row r="604" spans="2:5" x14ac:dyDescent="0.35">
      <c r="B604" s="473" t="s">
        <v>3570</v>
      </c>
      <c r="C604" s="473" t="s">
        <v>1358</v>
      </c>
      <c r="D604" s="474" t="s">
        <v>1282</v>
      </c>
      <c r="E604" s="475">
        <v>34</v>
      </c>
    </row>
    <row r="605" spans="2:5" x14ac:dyDescent="0.35">
      <c r="B605" s="473" t="s">
        <v>3114</v>
      </c>
      <c r="C605" s="473" t="s">
        <v>964</v>
      </c>
      <c r="D605" s="474" t="s">
        <v>879</v>
      </c>
      <c r="E605" s="475">
        <v>33</v>
      </c>
    </row>
    <row r="606" spans="2:5" x14ac:dyDescent="0.35">
      <c r="B606" s="473" t="s">
        <v>3630</v>
      </c>
      <c r="C606" s="473" t="s">
        <v>1418</v>
      </c>
      <c r="D606" s="474" t="s">
        <v>1400</v>
      </c>
      <c r="E606" s="475">
        <v>12</v>
      </c>
    </row>
    <row r="607" spans="2:5" x14ac:dyDescent="0.35">
      <c r="B607" s="473" t="s">
        <v>2875</v>
      </c>
      <c r="C607" s="473" t="s">
        <v>770</v>
      </c>
      <c r="D607" s="474" t="s">
        <v>332</v>
      </c>
      <c r="E607" s="475">
        <v>33</v>
      </c>
    </row>
    <row r="608" spans="2:5" x14ac:dyDescent="0.35">
      <c r="B608" s="473" t="s">
        <v>2492</v>
      </c>
      <c r="C608" s="473" t="s">
        <v>400</v>
      </c>
      <c r="D608" s="474" t="s">
        <v>332</v>
      </c>
      <c r="E608" s="475">
        <v>24</v>
      </c>
    </row>
    <row r="609" spans="2:5" x14ac:dyDescent="0.35">
      <c r="B609" s="473" t="s">
        <v>2493</v>
      </c>
      <c r="C609" s="473" t="s">
        <v>401</v>
      </c>
      <c r="D609" s="474" t="s">
        <v>332</v>
      </c>
      <c r="E609" s="475">
        <v>22</v>
      </c>
    </row>
    <row r="610" spans="2:5" x14ac:dyDescent="0.35">
      <c r="B610" s="473" t="s">
        <v>3946</v>
      </c>
      <c r="C610" s="473" t="s">
        <v>1715</v>
      </c>
      <c r="D610" s="474" t="s">
        <v>1679</v>
      </c>
      <c r="E610" s="475">
        <v>12</v>
      </c>
    </row>
    <row r="611" spans="2:5" x14ac:dyDescent="0.35">
      <c r="B611" s="473" t="s">
        <v>4279</v>
      </c>
      <c r="C611" s="473" t="s">
        <v>2025</v>
      </c>
      <c r="D611" s="474" t="s">
        <v>1950</v>
      </c>
      <c r="E611" s="475">
        <v>11</v>
      </c>
    </row>
    <row r="612" spans="2:5" x14ac:dyDescent="0.35">
      <c r="B612" s="473" t="s">
        <v>2576</v>
      </c>
      <c r="C612" s="473" t="s">
        <v>493</v>
      </c>
      <c r="D612" s="474" t="s">
        <v>332</v>
      </c>
      <c r="E612" s="475">
        <v>23</v>
      </c>
    </row>
    <row r="613" spans="2:5" x14ac:dyDescent="0.35">
      <c r="B613" s="473" t="s">
        <v>2796</v>
      </c>
      <c r="C613" s="473" t="s">
        <v>2797</v>
      </c>
      <c r="D613" s="474" t="s">
        <v>332</v>
      </c>
      <c r="E613" s="475">
        <v>12</v>
      </c>
    </row>
    <row r="614" spans="2:5" x14ac:dyDescent="0.35">
      <c r="B614" s="473" t="s">
        <v>3870</v>
      </c>
      <c r="C614" s="473" t="s">
        <v>1642</v>
      </c>
      <c r="D614" s="474" t="s">
        <v>1400</v>
      </c>
      <c r="E614" s="475">
        <v>33</v>
      </c>
    </row>
    <row r="615" spans="2:5" x14ac:dyDescent="0.35">
      <c r="B615" s="473" t="s">
        <v>2643</v>
      </c>
      <c r="C615" s="473" t="s">
        <v>557</v>
      </c>
      <c r="D615" s="474" t="s">
        <v>332</v>
      </c>
      <c r="E615" s="475">
        <v>22</v>
      </c>
    </row>
    <row r="616" spans="2:5" x14ac:dyDescent="0.35">
      <c r="B616" s="473" t="s">
        <v>2239</v>
      </c>
      <c r="C616" s="473" t="s">
        <v>183</v>
      </c>
      <c r="D616" s="473" t="s">
        <v>40</v>
      </c>
      <c r="E616" s="475">
        <v>34</v>
      </c>
    </row>
    <row r="617" spans="2:5" x14ac:dyDescent="0.35">
      <c r="B617" s="473" t="s">
        <v>2993</v>
      </c>
      <c r="C617" s="473" t="s">
        <v>860</v>
      </c>
      <c r="D617" s="474" t="s">
        <v>332</v>
      </c>
      <c r="E617" s="475">
        <v>34</v>
      </c>
    </row>
    <row r="618" spans="2:5" x14ac:dyDescent="0.35">
      <c r="B618" s="473" t="s">
        <v>2281</v>
      </c>
      <c r="C618" s="473" t="s">
        <v>224</v>
      </c>
      <c r="D618" s="474" t="s">
        <v>212</v>
      </c>
      <c r="E618" s="475">
        <v>23</v>
      </c>
    </row>
    <row r="619" spans="2:5" x14ac:dyDescent="0.35">
      <c r="B619" s="473" t="s">
        <v>2897</v>
      </c>
      <c r="C619" s="473" t="s">
        <v>788</v>
      </c>
      <c r="D619" s="474" t="s">
        <v>332</v>
      </c>
      <c r="E619" s="475">
        <v>22</v>
      </c>
    </row>
    <row r="620" spans="2:5" x14ac:dyDescent="0.35">
      <c r="B620" s="473" t="s">
        <v>3670</v>
      </c>
      <c r="C620" s="473" t="s">
        <v>1456</v>
      </c>
      <c r="D620" s="474" t="s">
        <v>1400</v>
      </c>
      <c r="E620" s="475">
        <v>12</v>
      </c>
    </row>
    <row r="621" spans="2:5" x14ac:dyDescent="0.35">
      <c r="B621" s="473" t="s">
        <v>4132</v>
      </c>
      <c r="C621" s="473" t="s">
        <v>1885</v>
      </c>
      <c r="D621" s="474" t="s">
        <v>1679</v>
      </c>
      <c r="E621" s="475">
        <v>34</v>
      </c>
    </row>
    <row r="622" spans="2:5" x14ac:dyDescent="0.35">
      <c r="B622" s="473" t="s">
        <v>3396</v>
      </c>
      <c r="C622" s="473" t="s">
        <v>1190</v>
      </c>
      <c r="D622" s="474" t="s">
        <v>879</v>
      </c>
      <c r="E622" s="475">
        <v>23</v>
      </c>
    </row>
    <row r="623" spans="2:5" x14ac:dyDescent="0.35">
      <c r="B623" s="473" t="s">
        <v>2971</v>
      </c>
      <c r="C623" s="473" t="s">
        <v>416</v>
      </c>
      <c r="D623" s="474" t="s">
        <v>332</v>
      </c>
      <c r="E623" s="475">
        <v>22</v>
      </c>
    </row>
    <row r="624" spans="2:5" x14ac:dyDescent="0.35">
      <c r="B624" s="473" t="s">
        <v>4131</v>
      </c>
      <c r="C624" s="473" t="s">
        <v>1884</v>
      </c>
      <c r="D624" s="474" t="s">
        <v>1679</v>
      </c>
      <c r="E624" s="475">
        <v>24</v>
      </c>
    </row>
    <row r="625" spans="2:5" x14ac:dyDescent="0.35">
      <c r="B625" s="473" t="s">
        <v>3631</v>
      </c>
      <c r="C625" s="473" t="s">
        <v>1419</v>
      </c>
      <c r="D625" s="474" t="s">
        <v>1400</v>
      </c>
      <c r="E625" s="475">
        <v>23</v>
      </c>
    </row>
    <row r="626" spans="2:5" x14ac:dyDescent="0.35">
      <c r="B626" s="473" t="s">
        <v>3658</v>
      </c>
      <c r="C626" s="473" t="s">
        <v>1446</v>
      </c>
      <c r="D626" s="474" t="s">
        <v>1400</v>
      </c>
      <c r="E626" s="475">
        <v>22</v>
      </c>
    </row>
    <row r="627" spans="2:5" x14ac:dyDescent="0.35">
      <c r="B627" s="473" t="s">
        <v>3613</v>
      </c>
      <c r="C627" s="473" t="s">
        <v>1401</v>
      </c>
      <c r="D627" s="474" t="s">
        <v>1400</v>
      </c>
      <c r="E627" s="475">
        <v>11</v>
      </c>
    </row>
    <row r="628" spans="2:5" x14ac:dyDescent="0.35">
      <c r="B628" s="473" t="s">
        <v>2328</v>
      </c>
      <c r="C628" s="473" t="s">
        <v>263</v>
      </c>
      <c r="D628" s="474" t="s">
        <v>212</v>
      </c>
      <c r="E628" s="475">
        <v>22</v>
      </c>
    </row>
    <row r="629" spans="2:5" x14ac:dyDescent="0.35">
      <c r="B629" s="473" t="s">
        <v>3220</v>
      </c>
      <c r="C629" s="473" t="s">
        <v>1054</v>
      </c>
      <c r="D629" s="474" t="s">
        <v>879</v>
      </c>
      <c r="E629" s="475">
        <v>22</v>
      </c>
    </row>
    <row r="630" spans="2:5" x14ac:dyDescent="0.35">
      <c r="B630" s="473" t="s">
        <v>3851</v>
      </c>
      <c r="C630" s="473" t="s">
        <v>1623</v>
      </c>
      <c r="D630" s="474" t="s">
        <v>1400</v>
      </c>
      <c r="E630" s="475">
        <v>34</v>
      </c>
    </row>
    <row r="631" spans="2:5" x14ac:dyDescent="0.35">
      <c r="B631" s="473" t="s">
        <v>2876</v>
      </c>
      <c r="C631" s="473" t="s">
        <v>771</v>
      </c>
      <c r="D631" s="474" t="s">
        <v>332</v>
      </c>
      <c r="E631" s="475">
        <v>23</v>
      </c>
    </row>
    <row r="632" spans="2:5" x14ac:dyDescent="0.35">
      <c r="B632" s="473" t="s">
        <v>2877</v>
      </c>
      <c r="C632" s="473" t="s">
        <v>772</v>
      </c>
      <c r="D632" s="474" t="s">
        <v>332</v>
      </c>
      <c r="E632" s="475">
        <v>34</v>
      </c>
    </row>
    <row r="633" spans="2:5" x14ac:dyDescent="0.35">
      <c r="B633" s="473" t="s">
        <v>3947</v>
      </c>
      <c r="C633" s="473" t="s">
        <v>1716</v>
      </c>
      <c r="D633" s="474" t="s">
        <v>1679</v>
      </c>
      <c r="E633" s="475">
        <v>23</v>
      </c>
    </row>
    <row r="634" spans="2:5" x14ac:dyDescent="0.35">
      <c r="B634" s="473" t="s">
        <v>3948</v>
      </c>
      <c r="C634" s="473" t="s">
        <v>1717</v>
      </c>
      <c r="D634" s="474" t="s">
        <v>1679</v>
      </c>
      <c r="E634" s="475">
        <v>24</v>
      </c>
    </row>
    <row r="635" spans="2:5" x14ac:dyDescent="0.35">
      <c r="B635" s="473" t="s">
        <v>3138</v>
      </c>
      <c r="C635" s="473" t="s">
        <v>984</v>
      </c>
      <c r="D635" s="474" t="s">
        <v>879</v>
      </c>
      <c r="E635" s="475">
        <v>22</v>
      </c>
    </row>
    <row r="636" spans="2:5" x14ac:dyDescent="0.35">
      <c r="B636" s="473" t="s">
        <v>2381</v>
      </c>
      <c r="C636" s="473" t="s">
        <v>314</v>
      </c>
      <c r="D636" s="474" t="s">
        <v>212</v>
      </c>
      <c r="E636" s="475">
        <v>24</v>
      </c>
    </row>
    <row r="637" spans="2:5" x14ac:dyDescent="0.35">
      <c r="B637" s="473" t="s">
        <v>2798</v>
      </c>
      <c r="C637" s="473" t="s">
        <v>695</v>
      </c>
      <c r="D637" s="474" t="s">
        <v>332</v>
      </c>
      <c r="E637" s="475">
        <v>22</v>
      </c>
    </row>
    <row r="638" spans="2:5" x14ac:dyDescent="0.35">
      <c r="B638" s="473" t="s">
        <v>4060</v>
      </c>
      <c r="C638" s="473" t="s">
        <v>1821</v>
      </c>
      <c r="D638" s="474" t="s">
        <v>1679</v>
      </c>
      <c r="E638" s="475">
        <v>22</v>
      </c>
    </row>
    <row r="639" spans="2:5" x14ac:dyDescent="0.35">
      <c r="B639" s="473" t="s">
        <v>3949</v>
      </c>
      <c r="C639" s="473" t="s">
        <v>1718</v>
      </c>
      <c r="D639" s="474" t="s">
        <v>1679</v>
      </c>
      <c r="E639" s="475">
        <v>12</v>
      </c>
    </row>
    <row r="640" spans="2:5" x14ac:dyDescent="0.35">
      <c r="B640" s="473" t="s">
        <v>3717</v>
      </c>
      <c r="C640" s="473" t="s">
        <v>1501</v>
      </c>
      <c r="D640" s="474" t="s">
        <v>1400</v>
      </c>
      <c r="E640" s="475">
        <v>34</v>
      </c>
    </row>
    <row r="641" spans="2:5" x14ac:dyDescent="0.35">
      <c r="B641" s="473" t="s">
        <v>3521</v>
      </c>
      <c r="C641" s="473" t="s">
        <v>1309</v>
      </c>
      <c r="D641" s="474" t="s">
        <v>1282</v>
      </c>
      <c r="E641" s="475">
        <v>12</v>
      </c>
    </row>
    <row r="642" spans="2:5" x14ac:dyDescent="0.35">
      <c r="B642" s="473" t="s">
        <v>2994</v>
      </c>
      <c r="C642" s="473" t="s">
        <v>861</v>
      </c>
      <c r="D642" s="474" t="s">
        <v>332</v>
      </c>
      <c r="E642" s="475">
        <v>34</v>
      </c>
    </row>
    <row r="643" spans="2:5" x14ac:dyDescent="0.35">
      <c r="B643" s="473" t="s">
        <v>3623</v>
      </c>
      <c r="C643" s="473" t="s">
        <v>1411</v>
      </c>
      <c r="D643" s="474" t="s">
        <v>1400</v>
      </c>
      <c r="E643" s="475">
        <v>23</v>
      </c>
    </row>
    <row r="644" spans="2:5" x14ac:dyDescent="0.35">
      <c r="B644" s="473" t="s">
        <v>3555</v>
      </c>
      <c r="C644" s="473" t="s">
        <v>1343</v>
      </c>
      <c r="D644" s="474" t="s">
        <v>1282</v>
      </c>
      <c r="E644" s="475">
        <v>33</v>
      </c>
    </row>
    <row r="645" spans="2:5" x14ac:dyDescent="0.35">
      <c r="B645" s="473" t="s">
        <v>2557</v>
      </c>
      <c r="C645" s="473" t="s">
        <v>476</v>
      </c>
      <c r="D645" s="474" t="s">
        <v>332</v>
      </c>
      <c r="E645" s="475">
        <v>33</v>
      </c>
    </row>
    <row r="646" spans="2:5" x14ac:dyDescent="0.35">
      <c r="B646" s="473" t="s">
        <v>2739</v>
      </c>
      <c r="C646" s="473" t="s">
        <v>650</v>
      </c>
      <c r="D646" s="474" t="s">
        <v>332</v>
      </c>
      <c r="E646" s="475">
        <v>23</v>
      </c>
    </row>
    <row r="647" spans="2:5" x14ac:dyDescent="0.35">
      <c r="B647" s="473" t="s">
        <v>2740</v>
      </c>
      <c r="C647" s="473" t="s">
        <v>651</v>
      </c>
      <c r="D647" s="474" t="s">
        <v>332</v>
      </c>
      <c r="E647" s="475">
        <v>22</v>
      </c>
    </row>
    <row r="648" spans="2:5" x14ac:dyDescent="0.35">
      <c r="B648" s="473" t="s">
        <v>2521</v>
      </c>
      <c r="C648" s="473" t="s">
        <v>440</v>
      </c>
      <c r="D648" s="474" t="s">
        <v>332</v>
      </c>
      <c r="E648" s="475">
        <v>12</v>
      </c>
    </row>
    <row r="649" spans="2:5" x14ac:dyDescent="0.35">
      <c r="B649" s="473" t="s">
        <v>3522</v>
      </c>
      <c r="C649" s="473" t="s">
        <v>1310</v>
      </c>
      <c r="D649" s="474" t="s">
        <v>1282</v>
      </c>
      <c r="E649" s="475">
        <v>23</v>
      </c>
    </row>
    <row r="650" spans="2:5" x14ac:dyDescent="0.35">
      <c r="B650" s="473" t="s">
        <v>2995</v>
      </c>
      <c r="C650" s="473" t="s">
        <v>862</v>
      </c>
      <c r="D650" s="474" t="s">
        <v>332</v>
      </c>
      <c r="E650" s="475">
        <v>34</v>
      </c>
    </row>
    <row r="651" spans="2:5" x14ac:dyDescent="0.35">
      <c r="B651" s="473" t="s">
        <v>2741</v>
      </c>
      <c r="C651" s="473" t="s">
        <v>652</v>
      </c>
      <c r="D651" s="474" t="s">
        <v>332</v>
      </c>
      <c r="E651" s="475">
        <v>34</v>
      </c>
    </row>
    <row r="652" spans="2:5" x14ac:dyDescent="0.35">
      <c r="B652" s="473" t="s">
        <v>2522</v>
      </c>
      <c r="C652" s="473" t="s">
        <v>441</v>
      </c>
      <c r="D652" s="474" t="s">
        <v>332</v>
      </c>
      <c r="E652" s="475">
        <v>24</v>
      </c>
    </row>
    <row r="653" spans="2:5" x14ac:dyDescent="0.35">
      <c r="B653" s="473" t="s">
        <v>2101</v>
      </c>
      <c r="C653" s="473" t="s">
        <v>45</v>
      </c>
      <c r="D653" s="473" t="s">
        <v>40</v>
      </c>
      <c r="E653" s="475">
        <v>12</v>
      </c>
    </row>
    <row r="654" spans="2:5" x14ac:dyDescent="0.35">
      <c r="B654" s="473" t="s">
        <v>2325</v>
      </c>
      <c r="C654" s="473" t="s">
        <v>260</v>
      </c>
      <c r="D654" s="474" t="s">
        <v>212</v>
      </c>
      <c r="E654" s="475">
        <v>24</v>
      </c>
    </row>
    <row r="655" spans="2:5" x14ac:dyDescent="0.35">
      <c r="B655" s="473" t="s">
        <v>3671</v>
      </c>
      <c r="C655" s="473" t="s">
        <v>1457</v>
      </c>
      <c r="D655" s="474" t="s">
        <v>1400</v>
      </c>
      <c r="E655" s="475">
        <v>24</v>
      </c>
    </row>
    <row r="656" spans="2:5" x14ac:dyDescent="0.35">
      <c r="B656" s="473" t="s">
        <v>2742</v>
      </c>
      <c r="C656" s="473" t="s">
        <v>653</v>
      </c>
      <c r="D656" s="474" t="s">
        <v>332</v>
      </c>
      <c r="E656" s="475">
        <v>34</v>
      </c>
    </row>
    <row r="657" spans="2:5" x14ac:dyDescent="0.35">
      <c r="B657" s="473" t="s">
        <v>2623</v>
      </c>
      <c r="C657" s="473" t="s">
        <v>536</v>
      </c>
      <c r="D657" s="474" t="s">
        <v>332</v>
      </c>
      <c r="E657" s="475">
        <v>24</v>
      </c>
    </row>
    <row r="658" spans="2:5" x14ac:dyDescent="0.35">
      <c r="B658" s="473" t="s">
        <v>2141</v>
      </c>
      <c r="C658" s="473" t="s">
        <v>85</v>
      </c>
      <c r="D658" s="473" t="s">
        <v>40</v>
      </c>
      <c r="E658" s="475">
        <v>34</v>
      </c>
    </row>
    <row r="659" spans="2:5" x14ac:dyDescent="0.35">
      <c r="B659" s="473" t="s">
        <v>2240</v>
      </c>
      <c r="C659" s="473" t="s">
        <v>184</v>
      </c>
      <c r="D659" s="473" t="s">
        <v>40</v>
      </c>
      <c r="E659" s="475">
        <v>33</v>
      </c>
    </row>
    <row r="660" spans="2:5" x14ac:dyDescent="0.35">
      <c r="B660" s="473" t="s">
        <v>3373</v>
      </c>
      <c r="C660" s="473" t="s">
        <v>1169</v>
      </c>
      <c r="D660" s="474" t="s">
        <v>879</v>
      </c>
      <c r="E660" s="475">
        <v>33</v>
      </c>
    </row>
    <row r="661" spans="2:5" x14ac:dyDescent="0.35">
      <c r="B661" s="473" t="s">
        <v>2898</v>
      </c>
      <c r="C661" s="473" t="s">
        <v>789</v>
      </c>
      <c r="D661" s="474" t="s">
        <v>332</v>
      </c>
      <c r="E661" s="475">
        <v>24</v>
      </c>
    </row>
    <row r="662" spans="2:5" x14ac:dyDescent="0.35">
      <c r="B662" s="473" t="s">
        <v>2624</v>
      </c>
      <c r="C662" s="473" t="s">
        <v>537</v>
      </c>
      <c r="D662" s="474" t="s">
        <v>332</v>
      </c>
      <c r="E662" s="475">
        <v>24</v>
      </c>
    </row>
    <row r="663" spans="2:5" x14ac:dyDescent="0.35">
      <c r="B663" s="473" t="s">
        <v>2559</v>
      </c>
      <c r="C663" s="473" t="s">
        <v>478</v>
      </c>
      <c r="D663" s="474" t="s">
        <v>332</v>
      </c>
      <c r="E663" s="475">
        <v>34</v>
      </c>
    </row>
    <row r="664" spans="2:5" x14ac:dyDescent="0.35">
      <c r="B664" s="473" t="s">
        <v>2523</v>
      </c>
      <c r="C664" s="473" t="s">
        <v>442</v>
      </c>
      <c r="D664" s="474" t="s">
        <v>332</v>
      </c>
      <c r="E664" s="475">
        <v>32</v>
      </c>
    </row>
    <row r="665" spans="2:5" x14ac:dyDescent="0.35">
      <c r="B665" s="473" t="s">
        <v>2919</v>
      </c>
      <c r="C665" s="473" t="s">
        <v>809</v>
      </c>
      <c r="D665" s="474" t="s">
        <v>332</v>
      </c>
      <c r="E665" s="475">
        <v>33</v>
      </c>
    </row>
    <row r="666" spans="2:5" x14ac:dyDescent="0.35">
      <c r="B666" s="473" t="s">
        <v>3852</v>
      </c>
      <c r="C666" s="473" t="s">
        <v>1624</v>
      </c>
      <c r="D666" s="474" t="s">
        <v>1400</v>
      </c>
      <c r="E666" s="475">
        <v>34</v>
      </c>
    </row>
    <row r="667" spans="2:5" x14ac:dyDescent="0.35">
      <c r="B667" s="473" t="s">
        <v>2211</v>
      </c>
      <c r="C667" s="473" t="s">
        <v>155</v>
      </c>
      <c r="D667" s="473" t="s">
        <v>40</v>
      </c>
      <c r="E667" s="475">
        <v>34</v>
      </c>
    </row>
    <row r="668" spans="2:5" x14ac:dyDescent="0.35">
      <c r="B668" s="473" t="s">
        <v>2899</v>
      </c>
      <c r="C668" s="473" t="s">
        <v>790</v>
      </c>
      <c r="D668" s="474" t="s">
        <v>332</v>
      </c>
      <c r="E668" s="475">
        <v>22</v>
      </c>
    </row>
    <row r="669" spans="2:5" x14ac:dyDescent="0.35">
      <c r="B669" s="473" t="s">
        <v>3871</v>
      </c>
      <c r="C669" s="473" t="s">
        <v>1643</v>
      </c>
      <c r="D669" s="474" t="s">
        <v>1400</v>
      </c>
      <c r="E669" s="475">
        <v>23</v>
      </c>
    </row>
    <row r="670" spans="2:5" x14ac:dyDescent="0.35">
      <c r="B670" s="473" t="s">
        <v>3115</v>
      </c>
      <c r="C670" s="473" t="s">
        <v>965</v>
      </c>
      <c r="D670" s="474" t="s">
        <v>879</v>
      </c>
      <c r="E670" s="475">
        <v>23</v>
      </c>
    </row>
    <row r="671" spans="2:5" x14ac:dyDescent="0.35">
      <c r="B671" s="473" t="s">
        <v>3081</v>
      </c>
      <c r="C671" s="473" t="s">
        <v>935</v>
      </c>
      <c r="D671" s="474" t="s">
        <v>879</v>
      </c>
      <c r="E671" s="475">
        <v>33</v>
      </c>
    </row>
    <row r="672" spans="2:5" x14ac:dyDescent="0.35">
      <c r="B672" s="473" t="s">
        <v>2799</v>
      </c>
      <c r="C672" s="473" t="s">
        <v>696</v>
      </c>
      <c r="D672" s="474" t="s">
        <v>332</v>
      </c>
      <c r="E672" s="475">
        <v>23</v>
      </c>
    </row>
    <row r="673" spans="2:5" x14ac:dyDescent="0.35">
      <c r="B673" s="473" t="s">
        <v>3169</v>
      </c>
      <c r="C673" s="473" t="s">
        <v>1009</v>
      </c>
      <c r="D673" s="474" t="s">
        <v>879</v>
      </c>
      <c r="E673" s="475">
        <v>23</v>
      </c>
    </row>
    <row r="674" spans="2:5" x14ac:dyDescent="0.35">
      <c r="B674" s="473" t="s">
        <v>3718</v>
      </c>
      <c r="C674" s="473" t="s">
        <v>1502</v>
      </c>
      <c r="D674" s="474" t="s">
        <v>1400</v>
      </c>
      <c r="E674" s="475">
        <v>34</v>
      </c>
    </row>
    <row r="675" spans="2:5" x14ac:dyDescent="0.35">
      <c r="B675" s="473" t="s">
        <v>3950</v>
      </c>
      <c r="C675" s="473" t="s">
        <v>1719</v>
      </c>
      <c r="D675" s="474" t="s">
        <v>1679</v>
      </c>
      <c r="E675" s="475">
        <v>34</v>
      </c>
    </row>
    <row r="676" spans="2:5" x14ac:dyDescent="0.35">
      <c r="B676" s="473" t="s">
        <v>3116</v>
      </c>
      <c r="C676" s="473" t="s">
        <v>966</v>
      </c>
      <c r="D676" s="474" t="s">
        <v>879</v>
      </c>
      <c r="E676" s="475">
        <v>22</v>
      </c>
    </row>
    <row r="677" spans="2:5" x14ac:dyDescent="0.35">
      <c r="B677" s="473" t="s">
        <v>2771</v>
      </c>
      <c r="C677" s="473" t="s">
        <v>672</v>
      </c>
      <c r="D677" s="474" t="s">
        <v>332</v>
      </c>
      <c r="E677" s="475">
        <v>12</v>
      </c>
    </row>
    <row r="678" spans="2:5" x14ac:dyDescent="0.35">
      <c r="B678" s="473" t="s">
        <v>2465</v>
      </c>
      <c r="C678" s="473" t="s">
        <v>373</v>
      </c>
      <c r="D678" s="474" t="s">
        <v>332</v>
      </c>
      <c r="E678" s="475">
        <v>23</v>
      </c>
    </row>
    <row r="679" spans="2:5" x14ac:dyDescent="0.35">
      <c r="B679" s="473" t="s">
        <v>3477</v>
      </c>
      <c r="C679" s="473" t="s">
        <v>1265</v>
      </c>
      <c r="D679" s="474" t="s">
        <v>879</v>
      </c>
      <c r="E679" s="475">
        <v>12</v>
      </c>
    </row>
    <row r="680" spans="2:5" x14ac:dyDescent="0.35">
      <c r="B680" s="473" t="s">
        <v>2577</v>
      </c>
      <c r="C680" s="473" t="s">
        <v>494</v>
      </c>
      <c r="D680" s="474" t="s">
        <v>332</v>
      </c>
      <c r="E680" s="475">
        <v>33</v>
      </c>
    </row>
    <row r="681" spans="2:5" x14ac:dyDescent="0.35">
      <c r="B681" s="473" t="s">
        <v>2772</v>
      </c>
      <c r="C681" s="473" t="s">
        <v>673</v>
      </c>
      <c r="D681" s="474" t="s">
        <v>332</v>
      </c>
      <c r="E681" s="475">
        <v>12</v>
      </c>
    </row>
    <row r="682" spans="2:5" x14ac:dyDescent="0.35">
      <c r="B682" s="473" t="s">
        <v>2304</v>
      </c>
      <c r="C682" s="473" t="s">
        <v>245</v>
      </c>
      <c r="D682" s="474" t="s">
        <v>212</v>
      </c>
      <c r="E682" s="475">
        <v>24</v>
      </c>
    </row>
    <row r="683" spans="2:5" x14ac:dyDescent="0.35">
      <c r="B683" s="473" t="s">
        <v>3253</v>
      </c>
      <c r="C683" s="473" t="s">
        <v>1079</v>
      </c>
      <c r="D683" s="474" t="s">
        <v>879</v>
      </c>
      <c r="E683" s="475">
        <v>22</v>
      </c>
    </row>
    <row r="684" spans="2:5" x14ac:dyDescent="0.35">
      <c r="B684" s="473" t="s">
        <v>2126</v>
      </c>
      <c r="C684" s="473" t="s">
        <v>70</v>
      </c>
      <c r="D684" s="473" t="s">
        <v>40</v>
      </c>
      <c r="E684" s="475">
        <v>34</v>
      </c>
    </row>
    <row r="685" spans="2:5" x14ac:dyDescent="0.35">
      <c r="B685" s="473" t="s">
        <v>3082</v>
      </c>
      <c r="C685" s="473" t="s">
        <v>936</v>
      </c>
      <c r="D685" s="474" t="s">
        <v>879</v>
      </c>
      <c r="E685" s="475">
        <v>34</v>
      </c>
    </row>
    <row r="686" spans="2:5" x14ac:dyDescent="0.35">
      <c r="B686" s="473" t="s">
        <v>3799</v>
      </c>
      <c r="C686" s="473" t="s">
        <v>1575</v>
      </c>
      <c r="D686" s="474" t="s">
        <v>1400</v>
      </c>
      <c r="E686" s="475">
        <v>24</v>
      </c>
    </row>
    <row r="687" spans="2:5" x14ac:dyDescent="0.35">
      <c r="B687" s="473" t="s">
        <v>2996</v>
      </c>
      <c r="C687" s="473" t="s">
        <v>863</v>
      </c>
      <c r="D687" s="474" t="s">
        <v>332</v>
      </c>
      <c r="E687" s="475">
        <v>34</v>
      </c>
    </row>
    <row r="688" spans="2:5" x14ac:dyDescent="0.35">
      <c r="B688" s="473" t="s">
        <v>2938</v>
      </c>
      <c r="C688" s="473" t="s">
        <v>826</v>
      </c>
      <c r="D688" s="474" t="s">
        <v>332</v>
      </c>
      <c r="E688" s="475">
        <v>22</v>
      </c>
    </row>
    <row r="689" spans="2:5" x14ac:dyDescent="0.35">
      <c r="B689" s="473" t="s">
        <v>2305</v>
      </c>
      <c r="C689" s="473" t="s">
        <v>246</v>
      </c>
      <c r="D689" s="474" t="s">
        <v>212</v>
      </c>
      <c r="E689" s="475">
        <v>24</v>
      </c>
    </row>
    <row r="690" spans="2:5" x14ac:dyDescent="0.35">
      <c r="B690" s="473" t="s">
        <v>2127</v>
      </c>
      <c r="C690" s="473" t="s">
        <v>71</v>
      </c>
      <c r="D690" s="473" t="s">
        <v>40</v>
      </c>
      <c r="E690" s="475">
        <v>34</v>
      </c>
    </row>
    <row r="691" spans="2:5" x14ac:dyDescent="0.35">
      <c r="B691" s="473" t="s">
        <v>2429</v>
      </c>
      <c r="C691" s="473" t="s">
        <v>347</v>
      </c>
      <c r="D691" s="474" t="s">
        <v>332</v>
      </c>
      <c r="E691" s="475">
        <v>22</v>
      </c>
    </row>
    <row r="692" spans="2:5" x14ac:dyDescent="0.35">
      <c r="B692" s="473" t="s">
        <v>3139</v>
      </c>
      <c r="C692" s="473" t="s">
        <v>985</v>
      </c>
      <c r="D692" s="474" t="s">
        <v>879</v>
      </c>
      <c r="E692" s="475">
        <v>23</v>
      </c>
    </row>
    <row r="693" spans="2:5" x14ac:dyDescent="0.35">
      <c r="B693" s="473" t="s">
        <v>2139</v>
      </c>
      <c r="C693" s="473" t="s">
        <v>83</v>
      </c>
      <c r="D693" s="473" t="s">
        <v>40</v>
      </c>
      <c r="E693" s="475">
        <v>34</v>
      </c>
    </row>
    <row r="694" spans="2:5" x14ac:dyDescent="0.35">
      <c r="B694" s="473" t="s">
        <v>2647</v>
      </c>
      <c r="C694" s="473" t="s">
        <v>561</v>
      </c>
      <c r="D694" s="474" t="s">
        <v>332</v>
      </c>
      <c r="E694" s="475">
        <v>22</v>
      </c>
    </row>
    <row r="695" spans="2:5" x14ac:dyDescent="0.35">
      <c r="B695" s="473" t="s">
        <v>2578</v>
      </c>
      <c r="C695" s="473" t="s">
        <v>495</v>
      </c>
      <c r="D695" s="474" t="s">
        <v>332</v>
      </c>
      <c r="E695" s="475">
        <v>34</v>
      </c>
    </row>
    <row r="696" spans="2:5" x14ac:dyDescent="0.35">
      <c r="B696" s="473" t="s">
        <v>2841</v>
      </c>
      <c r="C696" s="473" t="s">
        <v>734</v>
      </c>
      <c r="D696" s="474" t="s">
        <v>332</v>
      </c>
      <c r="E696" s="475">
        <v>23</v>
      </c>
    </row>
    <row r="697" spans="2:5" x14ac:dyDescent="0.35">
      <c r="B697" s="473" t="s">
        <v>3083</v>
      </c>
      <c r="C697" s="473" t="s">
        <v>937</v>
      </c>
      <c r="D697" s="474" t="s">
        <v>879</v>
      </c>
      <c r="E697" s="475">
        <v>22</v>
      </c>
    </row>
    <row r="698" spans="2:5" x14ac:dyDescent="0.35">
      <c r="B698" s="473" t="s">
        <v>2625</v>
      </c>
      <c r="C698" s="473" t="s">
        <v>538</v>
      </c>
      <c r="D698" s="474" t="s">
        <v>332</v>
      </c>
      <c r="E698" s="475">
        <v>23</v>
      </c>
    </row>
    <row r="699" spans="2:5" x14ac:dyDescent="0.35">
      <c r="B699" s="473" t="s">
        <v>3397</v>
      </c>
      <c r="C699" s="473" t="s">
        <v>1191</v>
      </c>
      <c r="D699" s="474" t="s">
        <v>879</v>
      </c>
      <c r="E699" s="475">
        <v>24</v>
      </c>
    </row>
    <row r="700" spans="2:5" x14ac:dyDescent="0.35">
      <c r="B700" s="473" t="s">
        <v>3071</v>
      </c>
      <c r="C700" s="473" t="s">
        <v>927</v>
      </c>
      <c r="D700" s="474" t="s">
        <v>879</v>
      </c>
      <c r="E700" s="475">
        <v>34</v>
      </c>
    </row>
    <row r="701" spans="2:5" x14ac:dyDescent="0.35">
      <c r="B701" s="473" t="s">
        <v>2430</v>
      </c>
      <c r="C701" s="473" t="s">
        <v>348</v>
      </c>
      <c r="D701" s="474" t="s">
        <v>332</v>
      </c>
      <c r="E701" s="475">
        <v>23</v>
      </c>
    </row>
    <row r="702" spans="2:5" x14ac:dyDescent="0.35">
      <c r="B702" s="473" t="s">
        <v>3025</v>
      </c>
      <c r="C702" s="473" t="s">
        <v>893</v>
      </c>
      <c r="D702" s="474" t="s">
        <v>879</v>
      </c>
      <c r="E702" s="475">
        <v>33</v>
      </c>
    </row>
    <row r="703" spans="2:5" x14ac:dyDescent="0.35">
      <c r="B703" s="473" t="s">
        <v>3911</v>
      </c>
      <c r="C703" s="473" t="s">
        <v>1682</v>
      </c>
      <c r="D703" s="474" t="s">
        <v>1679</v>
      </c>
      <c r="E703" s="475">
        <v>22</v>
      </c>
    </row>
    <row r="704" spans="2:5" x14ac:dyDescent="0.35">
      <c r="B704" s="473" t="s">
        <v>2494</v>
      </c>
      <c r="C704" s="473" t="s">
        <v>2495</v>
      </c>
      <c r="D704" s="474" t="s">
        <v>332</v>
      </c>
      <c r="E704" s="475">
        <v>32</v>
      </c>
    </row>
    <row r="705" spans="2:5" x14ac:dyDescent="0.35">
      <c r="B705" s="473" t="s">
        <v>2672</v>
      </c>
      <c r="C705" s="473" t="s">
        <v>583</v>
      </c>
      <c r="D705" s="474" t="s">
        <v>332</v>
      </c>
      <c r="E705" s="475">
        <v>33</v>
      </c>
    </row>
    <row r="706" spans="2:5" x14ac:dyDescent="0.35">
      <c r="B706" s="473" t="s">
        <v>4170</v>
      </c>
      <c r="C706" s="473" t="s">
        <v>1923</v>
      </c>
      <c r="D706" s="474" t="s">
        <v>1679</v>
      </c>
      <c r="E706" s="475">
        <v>32</v>
      </c>
    </row>
    <row r="707" spans="2:5" x14ac:dyDescent="0.35">
      <c r="B707" s="473" t="s">
        <v>3884</v>
      </c>
      <c r="C707" s="473" t="s">
        <v>1656</v>
      </c>
      <c r="D707" s="474" t="s">
        <v>1400</v>
      </c>
      <c r="E707" s="475">
        <v>33</v>
      </c>
    </row>
    <row r="708" spans="2:5" x14ac:dyDescent="0.35">
      <c r="B708" s="473" t="s">
        <v>2188</v>
      </c>
      <c r="C708" s="473" t="s">
        <v>132</v>
      </c>
      <c r="D708" s="473" t="s">
        <v>40</v>
      </c>
      <c r="E708" s="475">
        <v>32</v>
      </c>
    </row>
    <row r="709" spans="2:5" x14ac:dyDescent="0.35">
      <c r="B709" s="473" t="s">
        <v>3986</v>
      </c>
      <c r="C709" s="473" t="s">
        <v>1753</v>
      </c>
      <c r="D709" s="474" t="s">
        <v>1679</v>
      </c>
      <c r="E709" s="475">
        <v>11</v>
      </c>
    </row>
    <row r="710" spans="2:5" x14ac:dyDescent="0.35">
      <c r="B710" s="473" t="s">
        <v>3499</v>
      </c>
      <c r="C710" s="473" t="s">
        <v>1287</v>
      </c>
      <c r="D710" s="474" t="s">
        <v>1282</v>
      </c>
      <c r="E710" s="475">
        <v>11</v>
      </c>
    </row>
    <row r="711" spans="2:5" x14ac:dyDescent="0.35">
      <c r="B711" s="473" t="s">
        <v>3117</v>
      </c>
      <c r="C711" s="473" t="s">
        <v>967</v>
      </c>
      <c r="D711" s="474" t="s">
        <v>879</v>
      </c>
      <c r="E711" s="475">
        <v>32</v>
      </c>
    </row>
    <row r="712" spans="2:5" x14ac:dyDescent="0.35">
      <c r="B712" s="473" t="s">
        <v>3523</v>
      </c>
      <c r="C712" s="473" t="s">
        <v>1311</v>
      </c>
      <c r="D712" s="474" t="s">
        <v>1282</v>
      </c>
      <c r="E712" s="475">
        <v>12</v>
      </c>
    </row>
    <row r="713" spans="2:5" x14ac:dyDescent="0.35">
      <c r="B713" s="473" t="s">
        <v>3026</v>
      </c>
      <c r="C713" s="473" t="s">
        <v>894</v>
      </c>
      <c r="D713" s="474" t="s">
        <v>879</v>
      </c>
      <c r="E713" s="475">
        <v>24</v>
      </c>
    </row>
    <row r="714" spans="2:5" x14ac:dyDescent="0.35">
      <c r="B714" s="473" t="s">
        <v>2241</v>
      </c>
      <c r="C714" s="473" t="s">
        <v>185</v>
      </c>
      <c r="D714" s="473" t="s">
        <v>40</v>
      </c>
      <c r="E714" s="475">
        <v>34</v>
      </c>
    </row>
    <row r="715" spans="2:5" x14ac:dyDescent="0.35">
      <c r="B715" s="473" t="s">
        <v>4243</v>
      </c>
      <c r="C715" s="473" t="s">
        <v>1991</v>
      </c>
      <c r="D715" s="474" t="s">
        <v>1950</v>
      </c>
      <c r="E715" s="475">
        <v>12</v>
      </c>
    </row>
    <row r="716" spans="2:5" x14ac:dyDescent="0.35">
      <c r="B716" s="473" t="s">
        <v>2579</v>
      </c>
      <c r="C716" s="473" t="s">
        <v>496</v>
      </c>
      <c r="D716" s="474" t="s">
        <v>332</v>
      </c>
      <c r="E716" s="475">
        <v>33</v>
      </c>
    </row>
    <row r="717" spans="2:5" x14ac:dyDescent="0.35">
      <c r="B717" s="473" t="s">
        <v>3197</v>
      </c>
      <c r="C717" s="473" t="s">
        <v>1035</v>
      </c>
      <c r="D717" s="474" t="s">
        <v>879</v>
      </c>
      <c r="E717" s="475">
        <v>24</v>
      </c>
    </row>
    <row r="718" spans="2:5" x14ac:dyDescent="0.35">
      <c r="B718" s="473" t="s">
        <v>2524</v>
      </c>
      <c r="C718" s="473" t="s">
        <v>443</v>
      </c>
      <c r="D718" s="474" t="s">
        <v>332</v>
      </c>
      <c r="E718" s="475">
        <v>24</v>
      </c>
    </row>
    <row r="719" spans="2:5" x14ac:dyDescent="0.35">
      <c r="B719" s="473" t="s">
        <v>2626</v>
      </c>
      <c r="C719" s="473" t="s">
        <v>539</v>
      </c>
      <c r="D719" s="474" t="s">
        <v>332</v>
      </c>
      <c r="E719" s="475">
        <v>23</v>
      </c>
    </row>
    <row r="720" spans="2:5" x14ac:dyDescent="0.35">
      <c r="B720" s="473" t="s">
        <v>3632</v>
      </c>
      <c r="C720" s="473" t="s">
        <v>1420</v>
      </c>
      <c r="D720" s="474" t="s">
        <v>1400</v>
      </c>
      <c r="E720" s="475">
        <v>12</v>
      </c>
    </row>
    <row r="721" spans="2:5" x14ac:dyDescent="0.35">
      <c r="B721" s="473" t="s">
        <v>4171</v>
      </c>
      <c r="C721" s="473" t="s">
        <v>1924</v>
      </c>
      <c r="D721" s="474" t="s">
        <v>1679</v>
      </c>
      <c r="E721" s="475">
        <v>23</v>
      </c>
    </row>
    <row r="722" spans="2:5" x14ac:dyDescent="0.35">
      <c r="B722" s="473" t="s">
        <v>3853</v>
      </c>
      <c r="C722" s="473" t="s">
        <v>1625</v>
      </c>
      <c r="D722" s="474" t="s">
        <v>1400</v>
      </c>
      <c r="E722" s="475">
        <v>32</v>
      </c>
    </row>
    <row r="723" spans="2:5" x14ac:dyDescent="0.35">
      <c r="B723" s="473" t="s">
        <v>3854</v>
      </c>
      <c r="C723" s="473" t="s">
        <v>1626</v>
      </c>
      <c r="D723" s="474" t="s">
        <v>1400</v>
      </c>
      <c r="E723" s="475">
        <v>32</v>
      </c>
    </row>
    <row r="724" spans="2:5" x14ac:dyDescent="0.35">
      <c r="B724" s="473" t="s">
        <v>3072</v>
      </c>
      <c r="C724" s="473" t="s">
        <v>928</v>
      </c>
      <c r="D724" s="474" t="s">
        <v>879</v>
      </c>
      <c r="E724" s="475">
        <v>23</v>
      </c>
    </row>
    <row r="725" spans="2:5" x14ac:dyDescent="0.35">
      <c r="B725" s="473" t="s">
        <v>3872</v>
      </c>
      <c r="C725" s="473" t="s">
        <v>1644</v>
      </c>
      <c r="D725" s="474" t="s">
        <v>1400</v>
      </c>
      <c r="E725" s="475">
        <v>32</v>
      </c>
    </row>
    <row r="726" spans="2:5" x14ac:dyDescent="0.35">
      <c r="B726" s="473" t="s">
        <v>4133</v>
      </c>
      <c r="C726" s="473" t="s">
        <v>1886</v>
      </c>
      <c r="D726" s="474" t="s">
        <v>1679</v>
      </c>
      <c r="E726" s="475">
        <v>24</v>
      </c>
    </row>
    <row r="727" spans="2:5" x14ac:dyDescent="0.35">
      <c r="B727" s="473" t="s">
        <v>3633</v>
      </c>
      <c r="C727" s="473" t="s">
        <v>1421</v>
      </c>
      <c r="D727" s="474" t="s">
        <v>1400</v>
      </c>
      <c r="E727" s="475">
        <v>23</v>
      </c>
    </row>
    <row r="728" spans="2:5" x14ac:dyDescent="0.35">
      <c r="B728" s="473" t="s">
        <v>3291</v>
      </c>
      <c r="C728" s="473" t="s">
        <v>1111</v>
      </c>
      <c r="D728" s="474" t="s">
        <v>879</v>
      </c>
      <c r="E728" s="475">
        <v>33</v>
      </c>
    </row>
    <row r="729" spans="2:5" x14ac:dyDescent="0.35">
      <c r="B729" s="473" t="s">
        <v>2496</v>
      </c>
      <c r="C729" s="473" t="s">
        <v>402</v>
      </c>
      <c r="D729" s="474" t="s">
        <v>332</v>
      </c>
      <c r="E729" s="475">
        <v>23</v>
      </c>
    </row>
    <row r="730" spans="2:5" x14ac:dyDescent="0.35">
      <c r="B730" s="473" t="s">
        <v>3951</v>
      </c>
      <c r="C730" s="473" t="s">
        <v>1720</v>
      </c>
      <c r="D730" s="474" t="s">
        <v>1679</v>
      </c>
      <c r="E730" s="475">
        <v>22</v>
      </c>
    </row>
    <row r="731" spans="2:5" x14ac:dyDescent="0.35">
      <c r="B731" s="473" t="s">
        <v>2561</v>
      </c>
      <c r="C731" s="473" t="s">
        <v>480</v>
      </c>
      <c r="D731" s="474" t="s">
        <v>332</v>
      </c>
      <c r="E731" s="475">
        <v>34</v>
      </c>
    </row>
    <row r="732" spans="2:5" x14ac:dyDescent="0.35">
      <c r="B732" s="473" t="s">
        <v>2580</v>
      </c>
      <c r="C732" s="473" t="s">
        <v>497</v>
      </c>
      <c r="D732" s="474" t="s">
        <v>332</v>
      </c>
      <c r="E732" s="475">
        <v>33</v>
      </c>
    </row>
    <row r="733" spans="2:5" x14ac:dyDescent="0.35">
      <c r="B733" s="473" t="s">
        <v>2842</v>
      </c>
      <c r="C733" s="473" t="s">
        <v>735</v>
      </c>
      <c r="D733" s="474" t="s">
        <v>332</v>
      </c>
      <c r="E733" s="475">
        <v>23</v>
      </c>
    </row>
    <row r="734" spans="2:5" x14ac:dyDescent="0.35">
      <c r="B734" s="473" t="s">
        <v>3719</v>
      </c>
      <c r="C734" s="473" t="s">
        <v>1503</v>
      </c>
      <c r="D734" s="474" t="s">
        <v>1400</v>
      </c>
      <c r="E734" s="475">
        <v>33</v>
      </c>
    </row>
    <row r="735" spans="2:5" x14ac:dyDescent="0.35">
      <c r="B735" s="473" t="s">
        <v>2743</v>
      </c>
      <c r="C735" s="473" t="s">
        <v>654</v>
      </c>
      <c r="D735" s="474" t="s">
        <v>332</v>
      </c>
      <c r="E735" s="475">
        <v>34</v>
      </c>
    </row>
    <row r="736" spans="2:5" x14ac:dyDescent="0.35">
      <c r="B736" s="473" t="s">
        <v>2525</v>
      </c>
      <c r="C736" s="473" t="s">
        <v>444</v>
      </c>
      <c r="D736" s="474" t="s">
        <v>332</v>
      </c>
      <c r="E736" s="475">
        <v>34</v>
      </c>
    </row>
    <row r="737" spans="2:5" x14ac:dyDescent="0.35">
      <c r="B737" s="473" t="s">
        <v>2627</v>
      </c>
      <c r="C737" s="473" t="s">
        <v>540</v>
      </c>
      <c r="D737" s="474" t="s">
        <v>332</v>
      </c>
      <c r="E737" s="475">
        <v>23</v>
      </c>
    </row>
    <row r="738" spans="2:5" x14ac:dyDescent="0.35">
      <c r="B738" s="473" t="s">
        <v>3634</v>
      </c>
      <c r="C738" s="473" t="s">
        <v>1422</v>
      </c>
      <c r="D738" s="474" t="s">
        <v>1400</v>
      </c>
      <c r="E738" s="475">
        <v>12</v>
      </c>
    </row>
    <row r="739" spans="2:5" x14ac:dyDescent="0.35">
      <c r="B739" s="473" t="s">
        <v>2562</v>
      </c>
      <c r="C739" s="473" t="s">
        <v>481</v>
      </c>
      <c r="D739" s="474" t="s">
        <v>332</v>
      </c>
      <c r="E739" s="475">
        <v>33</v>
      </c>
    </row>
    <row r="740" spans="2:5" x14ac:dyDescent="0.35">
      <c r="B740" s="473" t="s">
        <v>3140</v>
      </c>
      <c r="C740" s="473" t="s">
        <v>986</v>
      </c>
      <c r="D740" s="474" t="s">
        <v>879</v>
      </c>
      <c r="E740" s="475">
        <v>34</v>
      </c>
    </row>
    <row r="741" spans="2:5" x14ac:dyDescent="0.35">
      <c r="B741" s="473" t="s">
        <v>2329</v>
      </c>
      <c r="C741" s="473" t="s">
        <v>264</v>
      </c>
      <c r="D741" s="474" t="s">
        <v>212</v>
      </c>
      <c r="E741" s="475">
        <v>34</v>
      </c>
    </row>
    <row r="742" spans="2:5" x14ac:dyDescent="0.35">
      <c r="B742" s="473" t="s">
        <v>2128</v>
      </c>
      <c r="C742" s="473" t="s">
        <v>72</v>
      </c>
      <c r="D742" s="473" t="s">
        <v>40</v>
      </c>
      <c r="E742" s="475">
        <v>34</v>
      </c>
    </row>
    <row r="743" spans="2:5" x14ac:dyDescent="0.35">
      <c r="B743" s="473" t="s">
        <v>2466</v>
      </c>
      <c r="C743" s="473" t="s">
        <v>374</v>
      </c>
      <c r="D743" s="474" t="s">
        <v>332</v>
      </c>
      <c r="E743" s="475">
        <v>23</v>
      </c>
    </row>
    <row r="744" spans="2:5" x14ac:dyDescent="0.35">
      <c r="B744" s="473" t="s">
        <v>3687</v>
      </c>
      <c r="C744" s="473" t="s">
        <v>1473</v>
      </c>
      <c r="D744" s="474" t="s">
        <v>1400</v>
      </c>
      <c r="E744" s="475">
        <v>23</v>
      </c>
    </row>
    <row r="745" spans="2:5" x14ac:dyDescent="0.35">
      <c r="B745" s="473" t="s">
        <v>2152</v>
      </c>
      <c r="C745" s="473" t="s">
        <v>96</v>
      </c>
      <c r="D745" s="473" t="s">
        <v>40</v>
      </c>
      <c r="E745" s="475">
        <v>34</v>
      </c>
    </row>
    <row r="746" spans="2:5" x14ac:dyDescent="0.35">
      <c r="B746" s="473" t="s">
        <v>3672</v>
      </c>
      <c r="C746" s="473" t="s">
        <v>1458</v>
      </c>
      <c r="D746" s="474" t="s">
        <v>1400</v>
      </c>
      <c r="E746" s="475">
        <v>24</v>
      </c>
    </row>
    <row r="747" spans="2:5" x14ac:dyDescent="0.35">
      <c r="B747" s="473" t="s">
        <v>4120</v>
      </c>
      <c r="C747" s="473" t="s">
        <v>1873</v>
      </c>
      <c r="D747" s="474" t="s">
        <v>1679</v>
      </c>
      <c r="E747" s="475">
        <v>23</v>
      </c>
    </row>
    <row r="748" spans="2:5" x14ac:dyDescent="0.35">
      <c r="B748" s="473" t="s">
        <v>4134</v>
      </c>
      <c r="C748" s="473" t="s">
        <v>1887</v>
      </c>
      <c r="D748" s="474" t="s">
        <v>1679</v>
      </c>
      <c r="E748" s="475">
        <v>22</v>
      </c>
    </row>
    <row r="749" spans="2:5" x14ac:dyDescent="0.35">
      <c r="B749" s="473" t="s">
        <v>2581</v>
      </c>
      <c r="C749" s="473" t="s">
        <v>498</v>
      </c>
      <c r="D749" s="474" t="s">
        <v>332</v>
      </c>
      <c r="E749" s="475">
        <v>24</v>
      </c>
    </row>
    <row r="750" spans="2:5" x14ac:dyDescent="0.35">
      <c r="B750" s="473" t="s">
        <v>3292</v>
      </c>
      <c r="C750" s="473" t="s">
        <v>1112</v>
      </c>
      <c r="D750" s="474" t="s">
        <v>879</v>
      </c>
      <c r="E750" s="475">
        <v>33</v>
      </c>
    </row>
    <row r="751" spans="2:5" x14ac:dyDescent="0.35">
      <c r="B751" s="473" t="s">
        <v>3398</v>
      </c>
      <c r="C751" s="473" t="s">
        <v>1192</v>
      </c>
      <c r="D751" s="474" t="s">
        <v>879</v>
      </c>
      <c r="E751" s="475">
        <v>23</v>
      </c>
    </row>
    <row r="752" spans="2:5" x14ac:dyDescent="0.35">
      <c r="B752" s="473" t="s">
        <v>3027</v>
      </c>
      <c r="C752" s="473" t="s">
        <v>895</v>
      </c>
      <c r="D752" s="474" t="s">
        <v>879</v>
      </c>
      <c r="E752" s="475">
        <v>23</v>
      </c>
    </row>
    <row r="753" spans="2:5" x14ac:dyDescent="0.35">
      <c r="B753" s="473" t="s">
        <v>3673</v>
      </c>
      <c r="C753" s="473" t="s">
        <v>1459</v>
      </c>
      <c r="D753" s="474" t="s">
        <v>1400</v>
      </c>
      <c r="E753" s="475">
        <v>23</v>
      </c>
    </row>
    <row r="754" spans="2:5" x14ac:dyDescent="0.35">
      <c r="B754" s="473" t="s">
        <v>3524</v>
      </c>
      <c r="C754" s="473" t="s">
        <v>1312</v>
      </c>
      <c r="D754" s="474" t="s">
        <v>1282</v>
      </c>
      <c r="E754" s="475">
        <v>23</v>
      </c>
    </row>
    <row r="755" spans="2:5" x14ac:dyDescent="0.35">
      <c r="B755" s="473" t="s">
        <v>2773</v>
      </c>
      <c r="C755" s="473" t="s">
        <v>674</v>
      </c>
      <c r="D755" s="474" t="s">
        <v>332</v>
      </c>
      <c r="E755" s="475">
        <v>12</v>
      </c>
    </row>
    <row r="756" spans="2:5" x14ac:dyDescent="0.35">
      <c r="B756" s="473" t="s">
        <v>2271</v>
      </c>
      <c r="C756" s="473" t="s">
        <v>216</v>
      </c>
      <c r="D756" s="474" t="s">
        <v>212</v>
      </c>
      <c r="E756" s="475">
        <v>33</v>
      </c>
    </row>
    <row r="757" spans="2:5" x14ac:dyDescent="0.35">
      <c r="B757" s="473" t="s">
        <v>2467</v>
      </c>
      <c r="C757" s="473" t="s">
        <v>375</v>
      </c>
      <c r="D757" s="474" t="s">
        <v>332</v>
      </c>
      <c r="E757" s="475">
        <v>24</v>
      </c>
    </row>
    <row r="758" spans="2:5" x14ac:dyDescent="0.35">
      <c r="B758" s="473" t="s">
        <v>2744</v>
      </c>
      <c r="C758" s="473" t="s">
        <v>655</v>
      </c>
      <c r="D758" s="474" t="s">
        <v>332</v>
      </c>
      <c r="E758" s="475">
        <v>34</v>
      </c>
    </row>
    <row r="759" spans="2:5" x14ac:dyDescent="0.35">
      <c r="B759" s="473" t="s">
        <v>2843</v>
      </c>
      <c r="C759" s="473" t="s">
        <v>736</v>
      </c>
      <c r="D759" s="474" t="s">
        <v>332</v>
      </c>
      <c r="E759" s="475">
        <v>22</v>
      </c>
    </row>
    <row r="760" spans="2:5" x14ac:dyDescent="0.35">
      <c r="B760" s="473" t="s">
        <v>3399</v>
      </c>
      <c r="C760" s="473" t="s">
        <v>1193</v>
      </c>
      <c r="D760" s="474" t="s">
        <v>879</v>
      </c>
      <c r="E760" s="475">
        <v>22</v>
      </c>
    </row>
    <row r="761" spans="2:5" x14ac:dyDescent="0.35">
      <c r="B761" s="473" t="s">
        <v>2145</v>
      </c>
      <c r="C761" s="473" t="s">
        <v>89</v>
      </c>
      <c r="D761" s="473" t="s">
        <v>40</v>
      </c>
      <c r="E761" s="475">
        <v>34</v>
      </c>
    </row>
    <row r="762" spans="2:5" x14ac:dyDescent="0.35">
      <c r="B762" s="473" t="s">
        <v>2972</v>
      </c>
      <c r="C762" s="473" t="s">
        <v>417</v>
      </c>
      <c r="D762" s="474" t="s">
        <v>332</v>
      </c>
      <c r="E762" s="475">
        <v>22</v>
      </c>
    </row>
    <row r="763" spans="2:5" x14ac:dyDescent="0.35">
      <c r="B763" s="473" t="s">
        <v>2406</v>
      </c>
      <c r="C763" s="473" t="s">
        <v>327</v>
      </c>
      <c r="D763" s="474" t="s">
        <v>212</v>
      </c>
      <c r="E763" s="475">
        <v>34</v>
      </c>
    </row>
    <row r="764" spans="2:5" x14ac:dyDescent="0.35">
      <c r="B764" s="473" t="s">
        <v>2774</v>
      </c>
      <c r="C764" s="473" t="s">
        <v>675</v>
      </c>
      <c r="D764" s="474" t="s">
        <v>332</v>
      </c>
      <c r="E764" s="475">
        <v>12</v>
      </c>
    </row>
    <row r="765" spans="2:5" x14ac:dyDescent="0.35">
      <c r="B765" s="473" t="s">
        <v>4135</v>
      </c>
      <c r="C765" s="473" t="s">
        <v>1888</v>
      </c>
      <c r="D765" s="474" t="s">
        <v>1679</v>
      </c>
      <c r="E765" s="475">
        <v>34</v>
      </c>
    </row>
    <row r="766" spans="2:5" x14ac:dyDescent="0.35">
      <c r="B766" s="473" t="s">
        <v>3525</v>
      </c>
      <c r="C766" s="473" t="s">
        <v>1313</v>
      </c>
      <c r="D766" s="474" t="s">
        <v>1282</v>
      </c>
      <c r="E766" s="475">
        <v>24</v>
      </c>
    </row>
    <row r="767" spans="2:5" x14ac:dyDescent="0.35">
      <c r="B767" s="473" t="s">
        <v>3170</v>
      </c>
      <c r="C767" s="473" t="s">
        <v>1010</v>
      </c>
      <c r="D767" s="474" t="s">
        <v>879</v>
      </c>
      <c r="E767" s="475">
        <v>33</v>
      </c>
    </row>
    <row r="768" spans="2:5" x14ac:dyDescent="0.35">
      <c r="B768" s="473" t="s">
        <v>3073</v>
      </c>
      <c r="C768" s="473" t="s">
        <v>929</v>
      </c>
      <c r="D768" s="474" t="s">
        <v>879</v>
      </c>
      <c r="E768" s="475">
        <v>22</v>
      </c>
    </row>
    <row r="769" spans="2:5" x14ac:dyDescent="0.35">
      <c r="B769" s="473" t="s">
        <v>4172</v>
      </c>
      <c r="C769" s="473" t="s">
        <v>1925</v>
      </c>
      <c r="D769" s="474" t="s">
        <v>1679</v>
      </c>
      <c r="E769" s="475">
        <v>32</v>
      </c>
    </row>
    <row r="770" spans="2:5" x14ac:dyDescent="0.35">
      <c r="B770" s="473" t="s">
        <v>2164</v>
      </c>
      <c r="C770" s="473" t="s">
        <v>108</v>
      </c>
      <c r="D770" s="473" t="s">
        <v>40</v>
      </c>
      <c r="E770" s="475">
        <v>23</v>
      </c>
    </row>
    <row r="771" spans="2:5" x14ac:dyDescent="0.35">
      <c r="B771" s="473" t="s">
        <v>2563</v>
      </c>
      <c r="C771" s="473" t="s">
        <v>482</v>
      </c>
      <c r="D771" s="474" t="s">
        <v>332</v>
      </c>
      <c r="E771" s="475">
        <v>33</v>
      </c>
    </row>
    <row r="772" spans="2:5" x14ac:dyDescent="0.35">
      <c r="B772" s="473" t="s">
        <v>3084</v>
      </c>
      <c r="C772" s="473" t="s">
        <v>938</v>
      </c>
      <c r="D772" s="474" t="s">
        <v>879</v>
      </c>
      <c r="E772" s="475">
        <v>24</v>
      </c>
    </row>
    <row r="773" spans="2:5" x14ac:dyDescent="0.35">
      <c r="B773" s="473" t="s">
        <v>3767</v>
      </c>
      <c r="C773" s="473" t="s">
        <v>1547</v>
      </c>
      <c r="D773" s="474" t="s">
        <v>1400</v>
      </c>
      <c r="E773" s="475">
        <v>24</v>
      </c>
    </row>
    <row r="774" spans="2:5" x14ac:dyDescent="0.35">
      <c r="B774" s="473" t="s">
        <v>2468</v>
      </c>
      <c r="C774" s="473" t="s">
        <v>376</v>
      </c>
      <c r="D774" s="474" t="s">
        <v>332</v>
      </c>
      <c r="E774" s="475">
        <v>12</v>
      </c>
    </row>
    <row r="775" spans="2:5" x14ac:dyDescent="0.35">
      <c r="B775" s="473" t="s">
        <v>4244</v>
      </c>
      <c r="C775" s="473" t="s">
        <v>1992</v>
      </c>
      <c r="D775" s="474" t="s">
        <v>1950</v>
      </c>
      <c r="E775" s="475">
        <v>23</v>
      </c>
    </row>
    <row r="776" spans="2:5" x14ac:dyDescent="0.35">
      <c r="B776" s="473" t="s">
        <v>3659</v>
      </c>
      <c r="C776" s="473" t="s">
        <v>1447</v>
      </c>
      <c r="D776" s="474" t="s">
        <v>1400</v>
      </c>
      <c r="E776" s="475">
        <v>23</v>
      </c>
    </row>
    <row r="777" spans="2:5" x14ac:dyDescent="0.35">
      <c r="B777" s="473" t="s">
        <v>3028</v>
      </c>
      <c r="C777" s="473" t="s">
        <v>896</v>
      </c>
      <c r="D777" s="474" t="s">
        <v>879</v>
      </c>
      <c r="E777" s="475">
        <v>24</v>
      </c>
    </row>
    <row r="778" spans="2:5" x14ac:dyDescent="0.35">
      <c r="B778" s="473" t="s">
        <v>4005</v>
      </c>
      <c r="C778" s="473" t="s">
        <v>1772</v>
      </c>
      <c r="D778" s="474" t="s">
        <v>1679</v>
      </c>
      <c r="E778" s="475">
        <v>32</v>
      </c>
    </row>
    <row r="779" spans="2:5" x14ac:dyDescent="0.35">
      <c r="B779" s="473" t="s">
        <v>2745</v>
      </c>
      <c r="C779" s="473" t="s">
        <v>656</v>
      </c>
      <c r="D779" s="474" t="s">
        <v>332</v>
      </c>
      <c r="E779" s="475">
        <v>24</v>
      </c>
    </row>
    <row r="780" spans="2:5" x14ac:dyDescent="0.35">
      <c r="B780" s="473" t="s">
        <v>2939</v>
      </c>
      <c r="C780" s="473" t="s">
        <v>827</v>
      </c>
      <c r="D780" s="474" t="s">
        <v>332</v>
      </c>
      <c r="E780" s="475">
        <v>34</v>
      </c>
    </row>
    <row r="781" spans="2:5" x14ac:dyDescent="0.35">
      <c r="B781" s="473" t="s">
        <v>4245</v>
      </c>
      <c r="C781" s="473" t="s">
        <v>1993</v>
      </c>
      <c r="D781" s="474" t="s">
        <v>1950</v>
      </c>
      <c r="E781" s="475">
        <v>11</v>
      </c>
    </row>
    <row r="782" spans="2:5" x14ac:dyDescent="0.35">
      <c r="B782" s="473" t="s">
        <v>2940</v>
      </c>
      <c r="C782" s="473" t="s">
        <v>828</v>
      </c>
      <c r="D782" s="474" t="s">
        <v>332</v>
      </c>
      <c r="E782" s="475">
        <v>24</v>
      </c>
    </row>
    <row r="783" spans="2:5" x14ac:dyDescent="0.35">
      <c r="B783" s="473" t="s">
        <v>2498</v>
      </c>
      <c r="C783" s="473" t="s">
        <v>404</v>
      </c>
      <c r="D783" s="474" t="s">
        <v>332</v>
      </c>
      <c r="E783" s="475">
        <v>24</v>
      </c>
    </row>
    <row r="784" spans="2:5" x14ac:dyDescent="0.35">
      <c r="B784" s="473" t="s">
        <v>3526</v>
      </c>
      <c r="C784" s="473" t="s">
        <v>1314</v>
      </c>
      <c r="D784" s="474" t="s">
        <v>1282</v>
      </c>
      <c r="E784" s="475">
        <v>23</v>
      </c>
    </row>
    <row r="785" spans="2:5" x14ac:dyDescent="0.35">
      <c r="B785" s="473" t="s">
        <v>2694</v>
      </c>
      <c r="C785" s="473" t="s">
        <v>601</v>
      </c>
      <c r="D785" s="474" t="s">
        <v>332</v>
      </c>
      <c r="E785" s="475">
        <v>23</v>
      </c>
    </row>
    <row r="786" spans="2:5" x14ac:dyDescent="0.35">
      <c r="B786" s="473" t="s">
        <v>4136</v>
      </c>
      <c r="C786" s="473" t="s">
        <v>1889</v>
      </c>
      <c r="D786" s="474" t="s">
        <v>1679</v>
      </c>
      <c r="E786" s="475">
        <v>12</v>
      </c>
    </row>
    <row r="787" spans="2:5" x14ac:dyDescent="0.35">
      <c r="B787" s="473" t="s">
        <v>3141</v>
      </c>
      <c r="C787" s="473" t="s">
        <v>987</v>
      </c>
      <c r="D787" s="474" t="s">
        <v>879</v>
      </c>
      <c r="E787" s="475">
        <v>24</v>
      </c>
    </row>
    <row r="788" spans="2:5" x14ac:dyDescent="0.35">
      <c r="B788" s="473" t="s">
        <v>3294</v>
      </c>
      <c r="C788" s="473" t="s">
        <v>1114</v>
      </c>
      <c r="D788" s="474" t="s">
        <v>879</v>
      </c>
      <c r="E788" s="475">
        <v>34</v>
      </c>
    </row>
    <row r="789" spans="2:5" x14ac:dyDescent="0.35">
      <c r="B789" s="473" t="s">
        <v>3199</v>
      </c>
      <c r="C789" s="473" t="s">
        <v>1037</v>
      </c>
      <c r="D789" s="474" t="s">
        <v>879</v>
      </c>
      <c r="E789" s="475">
        <v>24</v>
      </c>
    </row>
    <row r="790" spans="2:5" x14ac:dyDescent="0.35">
      <c r="B790" s="473" t="s">
        <v>2497</v>
      </c>
      <c r="C790" s="473" t="s">
        <v>403</v>
      </c>
      <c r="D790" s="474" t="s">
        <v>332</v>
      </c>
      <c r="E790" s="475">
        <v>34</v>
      </c>
    </row>
    <row r="791" spans="2:5" x14ac:dyDescent="0.35">
      <c r="B791" s="473" t="s">
        <v>2832</v>
      </c>
      <c r="C791" s="473" t="s">
        <v>725</v>
      </c>
      <c r="D791" s="474" t="s">
        <v>332</v>
      </c>
      <c r="E791" s="475">
        <v>23</v>
      </c>
    </row>
    <row r="792" spans="2:5" x14ac:dyDescent="0.35">
      <c r="B792" s="473" t="s">
        <v>3777</v>
      </c>
      <c r="C792" s="473" t="s">
        <v>1557</v>
      </c>
      <c r="D792" s="474" t="s">
        <v>1400</v>
      </c>
      <c r="E792" s="475">
        <v>23</v>
      </c>
    </row>
    <row r="793" spans="2:5" x14ac:dyDescent="0.35">
      <c r="B793" s="473" t="s">
        <v>2840</v>
      </c>
      <c r="C793" s="473" t="s">
        <v>733</v>
      </c>
      <c r="D793" s="474" t="s">
        <v>332</v>
      </c>
      <c r="E793" s="475">
        <v>23</v>
      </c>
    </row>
    <row r="794" spans="2:5" x14ac:dyDescent="0.35">
      <c r="B794" s="473" t="s">
        <v>2941</v>
      </c>
      <c r="C794" s="473" t="s">
        <v>829</v>
      </c>
      <c r="D794" s="474" t="s">
        <v>332</v>
      </c>
      <c r="E794" s="475">
        <v>24</v>
      </c>
    </row>
    <row r="795" spans="2:5" x14ac:dyDescent="0.35">
      <c r="B795" s="473" t="s">
        <v>2526</v>
      </c>
      <c r="C795" s="473" t="s">
        <v>445</v>
      </c>
      <c r="D795" s="474" t="s">
        <v>332</v>
      </c>
      <c r="E795" s="475">
        <v>32</v>
      </c>
    </row>
    <row r="796" spans="2:5" x14ac:dyDescent="0.35">
      <c r="B796" s="473" t="s">
        <v>2673</v>
      </c>
      <c r="C796" s="473" t="s">
        <v>584</v>
      </c>
      <c r="D796" s="474" t="s">
        <v>332</v>
      </c>
      <c r="E796" s="475">
        <v>34</v>
      </c>
    </row>
    <row r="797" spans="2:5" x14ac:dyDescent="0.35">
      <c r="B797" s="473" t="s">
        <v>2564</v>
      </c>
      <c r="C797" s="473" t="s">
        <v>483</v>
      </c>
      <c r="D797" s="474" t="s">
        <v>332</v>
      </c>
      <c r="E797" s="475">
        <v>33</v>
      </c>
    </row>
    <row r="798" spans="2:5" x14ac:dyDescent="0.35">
      <c r="B798" s="473" t="s">
        <v>4270</v>
      </c>
      <c r="C798" s="473" t="s">
        <v>2016</v>
      </c>
      <c r="D798" s="474" t="s">
        <v>1950</v>
      </c>
      <c r="E798" s="475">
        <v>11</v>
      </c>
    </row>
    <row r="799" spans="2:5" x14ac:dyDescent="0.35">
      <c r="B799" s="473" t="s">
        <v>2527</v>
      </c>
      <c r="C799" s="473" t="s">
        <v>446</v>
      </c>
      <c r="D799" s="474" t="s">
        <v>332</v>
      </c>
      <c r="E799" s="475">
        <v>34</v>
      </c>
    </row>
    <row r="800" spans="2:5" x14ac:dyDescent="0.35">
      <c r="B800" s="473" t="s">
        <v>3807</v>
      </c>
      <c r="C800" s="473" t="s">
        <v>1583</v>
      </c>
      <c r="D800" s="474" t="s">
        <v>1400</v>
      </c>
      <c r="E800" s="475">
        <v>34</v>
      </c>
    </row>
    <row r="801" spans="2:5" x14ac:dyDescent="0.35">
      <c r="B801" s="473" t="s">
        <v>2363</v>
      </c>
      <c r="C801" s="473" t="s">
        <v>298</v>
      </c>
      <c r="D801" s="474" t="s">
        <v>212</v>
      </c>
      <c r="E801" s="475">
        <v>24</v>
      </c>
    </row>
    <row r="802" spans="2:5" x14ac:dyDescent="0.35">
      <c r="B802" s="473" t="s">
        <v>2582</v>
      </c>
      <c r="C802" s="473" t="s">
        <v>2583</v>
      </c>
      <c r="D802" s="474" t="s">
        <v>332</v>
      </c>
      <c r="E802" s="475">
        <v>24</v>
      </c>
    </row>
    <row r="803" spans="2:5" x14ac:dyDescent="0.35">
      <c r="B803" s="473" t="s">
        <v>4247</v>
      </c>
      <c r="C803" s="473" t="s">
        <v>1995</v>
      </c>
      <c r="D803" s="474" t="s">
        <v>1950</v>
      </c>
      <c r="E803" s="475">
        <v>23</v>
      </c>
    </row>
    <row r="804" spans="2:5" x14ac:dyDescent="0.35">
      <c r="B804" s="473" t="s">
        <v>3254</v>
      </c>
      <c r="C804" s="473" t="s">
        <v>1080</v>
      </c>
      <c r="D804" s="474" t="s">
        <v>879</v>
      </c>
      <c r="E804" s="475">
        <v>23</v>
      </c>
    </row>
    <row r="805" spans="2:5" x14ac:dyDescent="0.35">
      <c r="B805" s="473" t="s">
        <v>3029</v>
      </c>
      <c r="C805" s="473" t="s">
        <v>897</v>
      </c>
      <c r="D805" s="474" t="s">
        <v>879</v>
      </c>
      <c r="E805" s="475">
        <v>24</v>
      </c>
    </row>
    <row r="806" spans="2:5" x14ac:dyDescent="0.35">
      <c r="B806" s="473" t="s">
        <v>2584</v>
      </c>
      <c r="C806" s="473" t="s">
        <v>499</v>
      </c>
      <c r="D806" s="474" t="s">
        <v>332</v>
      </c>
      <c r="E806" s="475">
        <v>22</v>
      </c>
    </row>
    <row r="807" spans="2:5" x14ac:dyDescent="0.35">
      <c r="B807" s="473" t="s">
        <v>2431</v>
      </c>
      <c r="C807" s="473" t="s">
        <v>349</v>
      </c>
      <c r="D807" s="474" t="s">
        <v>332</v>
      </c>
      <c r="E807" s="475">
        <v>34</v>
      </c>
    </row>
    <row r="808" spans="2:5" x14ac:dyDescent="0.35">
      <c r="B808" s="473" t="s">
        <v>2942</v>
      </c>
      <c r="C808" s="473" t="s">
        <v>830</v>
      </c>
      <c r="D808" s="474" t="s">
        <v>332</v>
      </c>
      <c r="E808" s="475">
        <v>34</v>
      </c>
    </row>
    <row r="809" spans="2:5" x14ac:dyDescent="0.35">
      <c r="B809" s="473" t="s">
        <v>3589</v>
      </c>
      <c r="C809" s="473" t="s">
        <v>1377</v>
      </c>
      <c r="D809" s="474" t="s">
        <v>1282</v>
      </c>
      <c r="E809" s="475">
        <v>32</v>
      </c>
    </row>
    <row r="810" spans="2:5" x14ac:dyDescent="0.35">
      <c r="B810" s="473" t="s">
        <v>4137</v>
      </c>
      <c r="C810" s="473" t="s">
        <v>1890</v>
      </c>
      <c r="D810" s="474" t="s">
        <v>1679</v>
      </c>
      <c r="E810" s="475">
        <v>34</v>
      </c>
    </row>
    <row r="811" spans="2:5" x14ac:dyDescent="0.35">
      <c r="B811" s="473" t="s">
        <v>3478</v>
      </c>
      <c r="C811" s="473" t="s">
        <v>1266</v>
      </c>
      <c r="D811" s="474" t="s">
        <v>879</v>
      </c>
      <c r="E811" s="475">
        <v>23</v>
      </c>
    </row>
    <row r="812" spans="2:5" x14ac:dyDescent="0.35">
      <c r="B812" s="473" t="s">
        <v>4006</v>
      </c>
      <c r="C812" s="473" t="s">
        <v>1773</v>
      </c>
      <c r="D812" s="474" t="s">
        <v>1679</v>
      </c>
      <c r="E812" s="475">
        <v>22</v>
      </c>
    </row>
    <row r="813" spans="2:5" x14ac:dyDescent="0.35">
      <c r="B813" s="473" t="s">
        <v>4093</v>
      </c>
      <c r="C813" s="473" t="s">
        <v>1852</v>
      </c>
      <c r="D813" s="474" t="s">
        <v>1679</v>
      </c>
      <c r="E813" s="475">
        <v>24</v>
      </c>
    </row>
    <row r="814" spans="2:5" x14ac:dyDescent="0.35">
      <c r="B814" s="473" t="s">
        <v>3293</v>
      </c>
      <c r="C814" s="473" t="s">
        <v>1113</v>
      </c>
      <c r="D814" s="474" t="s">
        <v>879</v>
      </c>
      <c r="E814" s="475">
        <v>33</v>
      </c>
    </row>
    <row r="815" spans="2:5" x14ac:dyDescent="0.35">
      <c r="B815" s="473" t="s">
        <v>4246</v>
      </c>
      <c r="C815" s="473" t="s">
        <v>1994</v>
      </c>
      <c r="D815" s="474" t="s">
        <v>1950</v>
      </c>
      <c r="E815" s="475">
        <v>12</v>
      </c>
    </row>
    <row r="816" spans="2:5" x14ac:dyDescent="0.35">
      <c r="B816" s="473" t="s">
        <v>2212</v>
      </c>
      <c r="C816" s="473" t="s">
        <v>156</v>
      </c>
      <c r="D816" s="473" t="s">
        <v>40</v>
      </c>
      <c r="E816" s="475">
        <v>33</v>
      </c>
    </row>
    <row r="817" spans="2:5" x14ac:dyDescent="0.35">
      <c r="B817" s="473" t="s">
        <v>2606</v>
      </c>
      <c r="C817" s="473" t="s">
        <v>521</v>
      </c>
      <c r="D817" s="474" t="s">
        <v>332</v>
      </c>
      <c r="E817" s="475">
        <v>32</v>
      </c>
    </row>
    <row r="818" spans="2:5" x14ac:dyDescent="0.35">
      <c r="B818" s="473" t="s">
        <v>2102</v>
      </c>
      <c r="C818" s="473" t="s">
        <v>46</v>
      </c>
      <c r="D818" s="473" t="s">
        <v>40</v>
      </c>
      <c r="E818" s="475">
        <v>23</v>
      </c>
    </row>
    <row r="819" spans="2:5" x14ac:dyDescent="0.35">
      <c r="B819" s="473" t="s">
        <v>3198</v>
      </c>
      <c r="C819" s="473" t="s">
        <v>1036</v>
      </c>
      <c r="D819" s="474" t="s">
        <v>879</v>
      </c>
      <c r="E819" s="475">
        <v>22</v>
      </c>
    </row>
    <row r="820" spans="2:5" x14ac:dyDescent="0.35">
      <c r="B820" s="473" t="s">
        <v>2499</v>
      </c>
      <c r="C820" s="473" t="s">
        <v>405</v>
      </c>
      <c r="D820" s="474" t="s">
        <v>332</v>
      </c>
      <c r="E820" s="475">
        <v>34</v>
      </c>
    </row>
    <row r="821" spans="2:5" x14ac:dyDescent="0.35">
      <c r="B821" s="473" t="s">
        <v>2695</v>
      </c>
      <c r="C821" s="473" t="s">
        <v>602</v>
      </c>
      <c r="D821" s="474" t="s">
        <v>332</v>
      </c>
      <c r="E821" s="475">
        <v>23</v>
      </c>
    </row>
    <row r="822" spans="2:5" x14ac:dyDescent="0.35">
      <c r="B822" s="473" t="s">
        <v>3556</v>
      </c>
      <c r="C822" s="473" t="s">
        <v>1344</v>
      </c>
      <c r="D822" s="474" t="s">
        <v>1282</v>
      </c>
      <c r="E822" s="475">
        <v>33</v>
      </c>
    </row>
    <row r="823" spans="2:5" x14ac:dyDescent="0.35">
      <c r="B823" s="473" t="s">
        <v>2306</v>
      </c>
      <c r="C823" s="473" t="s">
        <v>247</v>
      </c>
      <c r="D823" s="474" t="s">
        <v>212</v>
      </c>
      <c r="E823" s="475">
        <v>34</v>
      </c>
    </row>
    <row r="824" spans="2:5" x14ac:dyDescent="0.35">
      <c r="B824" s="473" t="s">
        <v>3557</v>
      </c>
      <c r="C824" s="473" t="s">
        <v>1345</v>
      </c>
      <c r="D824" s="474" t="s">
        <v>1282</v>
      </c>
      <c r="E824" s="475">
        <v>34</v>
      </c>
    </row>
    <row r="825" spans="2:5" x14ac:dyDescent="0.35">
      <c r="B825" s="473" t="s">
        <v>2189</v>
      </c>
      <c r="C825" s="473" t="s">
        <v>133</v>
      </c>
      <c r="D825" s="473" t="s">
        <v>40</v>
      </c>
      <c r="E825" s="475">
        <v>33</v>
      </c>
    </row>
    <row r="826" spans="2:5" x14ac:dyDescent="0.35">
      <c r="B826" s="473" t="s">
        <v>3873</v>
      </c>
      <c r="C826" s="473" t="s">
        <v>1645</v>
      </c>
      <c r="D826" s="474" t="s">
        <v>1400</v>
      </c>
      <c r="E826" s="475">
        <v>22</v>
      </c>
    </row>
    <row r="827" spans="2:5" x14ac:dyDescent="0.35">
      <c r="B827" s="473" t="s">
        <v>3800</v>
      </c>
      <c r="C827" s="473" t="s">
        <v>1576</v>
      </c>
      <c r="D827" s="474" t="s">
        <v>1400</v>
      </c>
      <c r="E827" s="475">
        <v>22</v>
      </c>
    </row>
    <row r="828" spans="2:5" x14ac:dyDescent="0.35">
      <c r="B828" s="473" t="s">
        <v>3912</v>
      </c>
      <c r="C828" s="473" t="s">
        <v>1683</v>
      </c>
      <c r="D828" s="474" t="s">
        <v>1679</v>
      </c>
      <c r="E828" s="475">
        <v>12</v>
      </c>
    </row>
    <row r="829" spans="2:5" x14ac:dyDescent="0.35">
      <c r="B829" s="473" t="s">
        <v>3913</v>
      </c>
      <c r="C829" s="473" t="s">
        <v>1684</v>
      </c>
      <c r="D829" s="474" t="s">
        <v>1679</v>
      </c>
      <c r="E829" s="475">
        <v>22</v>
      </c>
    </row>
    <row r="830" spans="2:5" x14ac:dyDescent="0.35">
      <c r="B830" s="473" t="s">
        <v>4207</v>
      </c>
      <c r="C830" s="473" t="s">
        <v>1961</v>
      </c>
      <c r="D830" s="474" t="s">
        <v>1950</v>
      </c>
      <c r="E830" s="475">
        <v>23</v>
      </c>
    </row>
    <row r="831" spans="2:5" x14ac:dyDescent="0.35">
      <c r="B831" s="473" t="s">
        <v>3427</v>
      </c>
      <c r="C831" s="473" t="s">
        <v>1219</v>
      </c>
      <c r="D831" s="474" t="s">
        <v>879</v>
      </c>
      <c r="E831" s="475">
        <v>24</v>
      </c>
    </row>
    <row r="832" spans="2:5" x14ac:dyDescent="0.35">
      <c r="B832" s="473" t="s">
        <v>4094</v>
      </c>
      <c r="C832" s="473" t="s">
        <v>1853</v>
      </c>
      <c r="D832" s="474" t="s">
        <v>1679</v>
      </c>
      <c r="E832" s="475">
        <v>34</v>
      </c>
    </row>
    <row r="833" spans="2:5" x14ac:dyDescent="0.35">
      <c r="B833" s="473" t="s">
        <v>3909</v>
      </c>
      <c r="C833" s="473" t="s">
        <v>1680</v>
      </c>
      <c r="D833" s="474" t="s">
        <v>1679</v>
      </c>
      <c r="E833" s="475">
        <v>11</v>
      </c>
    </row>
    <row r="834" spans="2:5" x14ac:dyDescent="0.35">
      <c r="B834" s="473" t="s">
        <v>2142</v>
      </c>
      <c r="C834" s="473" t="s">
        <v>86</v>
      </c>
      <c r="D834" s="473" t="s">
        <v>40</v>
      </c>
      <c r="E834" s="475">
        <v>34</v>
      </c>
    </row>
    <row r="835" spans="2:5" x14ac:dyDescent="0.35">
      <c r="B835" s="473" t="s">
        <v>3171</v>
      </c>
      <c r="C835" s="473" t="s">
        <v>1011</v>
      </c>
      <c r="D835" s="474" t="s">
        <v>879</v>
      </c>
      <c r="E835" s="475">
        <v>22</v>
      </c>
    </row>
    <row r="836" spans="2:5" x14ac:dyDescent="0.35">
      <c r="B836" s="473" t="s">
        <v>2844</v>
      </c>
      <c r="C836" s="473" t="s">
        <v>737</v>
      </c>
      <c r="D836" s="474" t="s">
        <v>332</v>
      </c>
      <c r="E836" s="475">
        <v>23</v>
      </c>
    </row>
    <row r="837" spans="2:5" x14ac:dyDescent="0.35">
      <c r="B837" s="473" t="s">
        <v>3952</v>
      </c>
      <c r="C837" s="473" t="s">
        <v>1721</v>
      </c>
      <c r="D837" s="474" t="s">
        <v>1679</v>
      </c>
      <c r="E837" s="475">
        <v>22</v>
      </c>
    </row>
    <row r="838" spans="2:5" x14ac:dyDescent="0.35">
      <c r="B838" s="473" t="s">
        <v>3730</v>
      </c>
      <c r="C838" s="473" t="s">
        <v>1514</v>
      </c>
      <c r="D838" s="474" t="s">
        <v>1400</v>
      </c>
      <c r="E838" s="475">
        <v>34</v>
      </c>
    </row>
    <row r="839" spans="2:5" x14ac:dyDescent="0.35">
      <c r="B839" s="473" t="s">
        <v>2607</v>
      </c>
      <c r="C839" s="473" t="s">
        <v>522</v>
      </c>
      <c r="D839" s="474" t="s">
        <v>332</v>
      </c>
      <c r="E839" s="475">
        <v>33</v>
      </c>
    </row>
    <row r="840" spans="2:5" x14ac:dyDescent="0.35">
      <c r="B840" s="473" t="s">
        <v>2330</v>
      </c>
      <c r="C840" s="473" t="s">
        <v>265</v>
      </c>
      <c r="D840" s="474" t="s">
        <v>212</v>
      </c>
      <c r="E840" s="475">
        <v>22</v>
      </c>
    </row>
    <row r="841" spans="2:5" x14ac:dyDescent="0.35">
      <c r="B841" s="473" t="s">
        <v>4061</v>
      </c>
      <c r="C841" s="473" t="s">
        <v>1822</v>
      </c>
      <c r="D841" s="474" t="s">
        <v>1679</v>
      </c>
      <c r="E841" s="475">
        <v>34</v>
      </c>
    </row>
    <row r="842" spans="2:5" x14ac:dyDescent="0.35">
      <c r="B842" s="473" t="s">
        <v>4095</v>
      </c>
      <c r="C842" s="473" t="s">
        <v>1854</v>
      </c>
      <c r="D842" s="474" t="s">
        <v>1679</v>
      </c>
      <c r="E842" s="475">
        <v>12</v>
      </c>
    </row>
    <row r="843" spans="2:5" x14ac:dyDescent="0.35">
      <c r="B843" s="473" t="s">
        <v>4007</v>
      </c>
      <c r="C843" s="473" t="s">
        <v>1774</v>
      </c>
      <c r="D843" s="474" t="s">
        <v>1679</v>
      </c>
      <c r="E843" s="475">
        <v>23</v>
      </c>
    </row>
    <row r="844" spans="2:5" x14ac:dyDescent="0.35">
      <c r="B844" s="473" t="s">
        <v>2265</v>
      </c>
      <c r="C844" s="473" t="s">
        <v>209</v>
      </c>
      <c r="D844" s="473" t="s">
        <v>40</v>
      </c>
      <c r="E844" s="475">
        <v>34</v>
      </c>
    </row>
    <row r="845" spans="2:5" x14ac:dyDescent="0.35">
      <c r="B845" s="473" t="s">
        <v>3885</v>
      </c>
      <c r="C845" s="473" t="s">
        <v>1657</v>
      </c>
      <c r="D845" s="474" t="s">
        <v>1400</v>
      </c>
      <c r="E845" s="475">
        <v>24</v>
      </c>
    </row>
    <row r="846" spans="2:5" x14ac:dyDescent="0.35">
      <c r="B846" s="473" t="s">
        <v>2648</v>
      </c>
      <c r="C846" s="473" t="s">
        <v>562</v>
      </c>
      <c r="D846" s="474" t="s">
        <v>332</v>
      </c>
      <c r="E846" s="475">
        <v>24</v>
      </c>
    </row>
    <row r="847" spans="2:5" x14ac:dyDescent="0.35">
      <c r="B847" s="473" t="s">
        <v>2608</v>
      </c>
      <c r="C847" s="473" t="s">
        <v>523</v>
      </c>
      <c r="D847" s="474" t="s">
        <v>332</v>
      </c>
      <c r="E847" s="475">
        <v>34</v>
      </c>
    </row>
    <row r="848" spans="2:5" x14ac:dyDescent="0.35">
      <c r="B848" s="473" t="s">
        <v>2528</v>
      </c>
      <c r="C848" s="473" t="s">
        <v>447</v>
      </c>
      <c r="D848" s="474" t="s">
        <v>332</v>
      </c>
      <c r="E848" s="475">
        <v>33</v>
      </c>
    </row>
    <row r="849" spans="2:5" x14ac:dyDescent="0.35">
      <c r="B849" s="473" t="s">
        <v>3030</v>
      </c>
      <c r="C849" s="473" t="s">
        <v>898</v>
      </c>
      <c r="D849" s="474" t="s">
        <v>879</v>
      </c>
      <c r="E849" s="475">
        <v>24</v>
      </c>
    </row>
    <row r="850" spans="2:5" x14ac:dyDescent="0.35">
      <c r="B850" s="473" t="s">
        <v>4173</v>
      </c>
      <c r="C850" s="473" t="s">
        <v>1926</v>
      </c>
      <c r="D850" s="474" t="s">
        <v>1679</v>
      </c>
      <c r="E850" s="475">
        <v>22</v>
      </c>
    </row>
    <row r="851" spans="2:5" x14ac:dyDescent="0.35">
      <c r="B851" s="473" t="s">
        <v>2153</v>
      </c>
      <c r="C851" s="473" t="s">
        <v>97</v>
      </c>
      <c r="D851" s="473" t="s">
        <v>40</v>
      </c>
      <c r="E851" s="475">
        <v>33</v>
      </c>
    </row>
    <row r="852" spans="2:5" x14ac:dyDescent="0.35">
      <c r="B852" s="473" t="s">
        <v>3914</v>
      </c>
      <c r="C852" s="473" t="s">
        <v>1685</v>
      </c>
      <c r="D852" s="474" t="s">
        <v>1679</v>
      </c>
      <c r="E852" s="475">
        <v>23</v>
      </c>
    </row>
    <row r="853" spans="2:5" x14ac:dyDescent="0.35">
      <c r="B853" s="473" t="s">
        <v>4008</v>
      </c>
      <c r="C853" s="473" t="s">
        <v>1775</v>
      </c>
      <c r="D853" s="474" t="s">
        <v>1679</v>
      </c>
      <c r="E853" s="475">
        <v>33</v>
      </c>
    </row>
    <row r="854" spans="2:5" x14ac:dyDescent="0.35">
      <c r="B854" s="473" t="s">
        <v>2190</v>
      </c>
      <c r="C854" s="473" t="s">
        <v>134</v>
      </c>
      <c r="D854" s="473" t="s">
        <v>40</v>
      </c>
      <c r="E854" s="475">
        <v>22</v>
      </c>
    </row>
    <row r="855" spans="2:5" x14ac:dyDescent="0.35">
      <c r="B855" s="473" t="s">
        <v>2900</v>
      </c>
      <c r="C855" s="473" t="s">
        <v>791</v>
      </c>
      <c r="D855" s="474" t="s">
        <v>332</v>
      </c>
      <c r="E855" s="475">
        <v>22</v>
      </c>
    </row>
    <row r="856" spans="2:5" x14ac:dyDescent="0.35">
      <c r="B856" s="473" t="s">
        <v>3817</v>
      </c>
      <c r="C856" s="473" t="s">
        <v>1591</v>
      </c>
      <c r="D856" s="474" t="s">
        <v>1400</v>
      </c>
      <c r="E856" s="475">
        <v>12</v>
      </c>
    </row>
    <row r="857" spans="2:5" x14ac:dyDescent="0.35">
      <c r="B857" s="473" t="s">
        <v>3295</v>
      </c>
      <c r="C857" s="473" t="s">
        <v>1115</v>
      </c>
      <c r="D857" s="474" t="s">
        <v>879</v>
      </c>
      <c r="E857" s="475">
        <v>34</v>
      </c>
    </row>
    <row r="858" spans="2:5" x14ac:dyDescent="0.35">
      <c r="B858" s="473" t="s">
        <v>4138</v>
      </c>
      <c r="C858" s="473" t="s">
        <v>1891</v>
      </c>
      <c r="D858" s="474" t="s">
        <v>1679</v>
      </c>
      <c r="E858" s="475">
        <v>34</v>
      </c>
    </row>
    <row r="859" spans="2:5" x14ac:dyDescent="0.35">
      <c r="B859" s="473" t="s">
        <v>3768</v>
      </c>
      <c r="C859" s="473" t="s">
        <v>1548</v>
      </c>
      <c r="D859" s="474" t="s">
        <v>1400</v>
      </c>
      <c r="E859" s="475">
        <v>24</v>
      </c>
    </row>
    <row r="860" spans="2:5" x14ac:dyDescent="0.35">
      <c r="B860" s="473" t="s">
        <v>3635</v>
      </c>
      <c r="C860" s="473" t="s">
        <v>1423</v>
      </c>
      <c r="D860" s="474" t="s">
        <v>1400</v>
      </c>
      <c r="E860" s="475">
        <v>22</v>
      </c>
    </row>
    <row r="861" spans="2:5" x14ac:dyDescent="0.35">
      <c r="B861" s="473" t="s">
        <v>3874</v>
      </c>
      <c r="C861" s="473" t="s">
        <v>1646</v>
      </c>
      <c r="D861" s="474" t="s">
        <v>1400</v>
      </c>
      <c r="E861" s="475">
        <v>32</v>
      </c>
    </row>
    <row r="862" spans="2:5" x14ac:dyDescent="0.35">
      <c r="B862" s="473" t="s">
        <v>4139</v>
      </c>
      <c r="C862" s="473" t="s">
        <v>1892</v>
      </c>
      <c r="D862" s="474" t="s">
        <v>1679</v>
      </c>
      <c r="E862" s="475">
        <v>34</v>
      </c>
    </row>
    <row r="863" spans="2:5" x14ac:dyDescent="0.35">
      <c r="B863" s="473" t="s">
        <v>2213</v>
      </c>
      <c r="C863" s="473" t="s">
        <v>157</v>
      </c>
      <c r="D863" s="473" t="s">
        <v>40</v>
      </c>
      <c r="E863" s="475">
        <v>34</v>
      </c>
    </row>
    <row r="864" spans="2:5" x14ac:dyDescent="0.35">
      <c r="B864" s="473" t="s">
        <v>3142</v>
      </c>
      <c r="C864" s="473" t="s">
        <v>988</v>
      </c>
      <c r="D864" s="474" t="s">
        <v>879</v>
      </c>
      <c r="E864" s="475">
        <v>32</v>
      </c>
    </row>
    <row r="865" spans="2:5" x14ac:dyDescent="0.35">
      <c r="B865" s="473" t="s">
        <v>4096</v>
      </c>
      <c r="C865" s="473" t="s">
        <v>1855</v>
      </c>
      <c r="D865" s="474" t="s">
        <v>1679</v>
      </c>
      <c r="E865" s="475">
        <v>34</v>
      </c>
    </row>
    <row r="866" spans="2:5" x14ac:dyDescent="0.35">
      <c r="B866" s="473" t="s">
        <v>3636</v>
      </c>
      <c r="C866" s="473" t="s">
        <v>1424</v>
      </c>
      <c r="D866" s="474" t="s">
        <v>1400</v>
      </c>
      <c r="E866" s="475">
        <v>12</v>
      </c>
    </row>
    <row r="867" spans="2:5" x14ac:dyDescent="0.35">
      <c r="B867" s="473" t="s">
        <v>4174</v>
      </c>
      <c r="C867" s="473" t="s">
        <v>1927</v>
      </c>
      <c r="D867" s="474" t="s">
        <v>1679</v>
      </c>
      <c r="E867" s="475">
        <v>22</v>
      </c>
    </row>
    <row r="868" spans="2:5" x14ac:dyDescent="0.35">
      <c r="B868" s="473" t="s">
        <v>3085</v>
      </c>
      <c r="C868" s="473" t="s">
        <v>939</v>
      </c>
      <c r="D868" s="474" t="s">
        <v>879</v>
      </c>
      <c r="E868" s="475">
        <v>33</v>
      </c>
    </row>
    <row r="869" spans="2:5" x14ac:dyDescent="0.35">
      <c r="B869" s="473" t="s">
        <v>2775</v>
      </c>
      <c r="C869" s="473" t="s">
        <v>676</v>
      </c>
      <c r="D869" s="474" t="s">
        <v>332</v>
      </c>
      <c r="E869" s="475">
        <v>23</v>
      </c>
    </row>
    <row r="870" spans="2:5" x14ac:dyDescent="0.35">
      <c r="B870" s="473" t="s">
        <v>3697</v>
      </c>
      <c r="C870" s="473" t="s">
        <v>1481</v>
      </c>
      <c r="D870" s="474" t="s">
        <v>1400</v>
      </c>
      <c r="E870" s="475">
        <v>23</v>
      </c>
    </row>
    <row r="871" spans="2:5" x14ac:dyDescent="0.35">
      <c r="B871" s="473" t="s">
        <v>3698</v>
      </c>
      <c r="C871" s="473" t="s">
        <v>1482</v>
      </c>
      <c r="D871" s="474" t="s">
        <v>1400</v>
      </c>
      <c r="E871" s="475">
        <v>23</v>
      </c>
    </row>
    <row r="872" spans="2:5" x14ac:dyDescent="0.35">
      <c r="B872" s="473" t="s">
        <v>2845</v>
      </c>
      <c r="C872" s="473" t="s">
        <v>738</v>
      </c>
      <c r="D872" s="474" t="s">
        <v>332</v>
      </c>
      <c r="E872" s="475">
        <v>23</v>
      </c>
    </row>
    <row r="873" spans="2:5" x14ac:dyDescent="0.35">
      <c r="B873" s="473" t="s">
        <v>3836</v>
      </c>
      <c r="C873" s="473" t="s">
        <v>1610</v>
      </c>
      <c r="D873" s="474" t="s">
        <v>1400</v>
      </c>
      <c r="E873" s="475">
        <v>12</v>
      </c>
    </row>
    <row r="874" spans="2:5" x14ac:dyDescent="0.35">
      <c r="B874" s="473" t="s">
        <v>3886</v>
      </c>
      <c r="C874" s="473" t="s">
        <v>1658</v>
      </c>
      <c r="D874" s="474" t="s">
        <v>1400</v>
      </c>
      <c r="E874" s="475">
        <v>34</v>
      </c>
    </row>
    <row r="875" spans="2:5" x14ac:dyDescent="0.35">
      <c r="B875" s="473" t="s">
        <v>2307</v>
      </c>
      <c r="C875" s="473" t="s">
        <v>248</v>
      </c>
      <c r="D875" s="474" t="s">
        <v>212</v>
      </c>
      <c r="E875" s="475">
        <v>22</v>
      </c>
    </row>
    <row r="876" spans="2:5" x14ac:dyDescent="0.35">
      <c r="B876" s="473" t="s">
        <v>4062</v>
      </c>
      <c r="C876" s="473" t="s">
        <v>1823</v>
      </c>
      <c r="D876" s="474" t="s">
        <v>1679</v>
      </c>
      <c r="E876" s="475">
        <v>34</v>
      </c>
    </row>
    <row r="877" spans="2:5" x14ac:dyDescent="0.35">
      <c r="B877" s="473" t="s">
        <v>3590</v>
      </c>
      <c r="C877" s="473" t="s">
        <v>1378</v>
      </c>
      <c r="D877" s="474" t="s">
        <v>1282</v>
      </c>
      <c r="E877" s="475">
        <v>33</v>
      </c>
    </row>
    <row r="878" spans="2:5" x14ac:dyDescent="0.35">
      <c r="B878" s="473" t="s">
        <v>2920</v>
      </c>
      <c r="C878" s="473" t="s">
        <v>810</v>
      </c>
      <c r="D878" s="474" t="s">
        <v>332</v>
      </c>
      <c r="E878" s="475">
        <v>34</v>
      </c>
    </row>
    <row r="879" spans="2:5" x14ac:dyDescent="0.35">
      <c r="B879" s="473" t="s">
        <v>2846</v>
      </c>
      <c r="C879" s="473" t="s">
        <v>739</v>
      </c>
      <c r="D879" s="474" t="s">
        <v>332</v>
      </c>
      <c r="E879" s="475">
        <v>24</v>
      </c>
    </row>
    <row r="880" spans="2:5" x14ac:dyDescent="0.35">
      <c r="B880" s="473" t="s">
        <v>3915</v>
      </c>
      <c r="C880" s="473" t="s">
        <v>1686</v>
      </c>
      <c r="D880" s="474" t="s">
        <v>1679</v>
      </c>
      <c r="E880" s="475">
        <v>23</v>
      </c>
    </row>
    <row r="881" spans="2:5" x14ac:dyDescent="0.35">
      <c r="B881" s="473" t="s">
        <v>3916</v>
      </c>
      <c r="C881" s="473" t="s">
        <v>1687</v>
      </c>
      <c r="D881" s="474" t="s">
        <v>1679</v>
      </c>
      <c r="E881" s="475">
        <v>22</v>
      </c>
    </row>
    <row r="882" spans="2:5" x14ac:dyDescent="0.35">
      <c r="B882" s="473" t="s">
        <v>4097</v>
      </c>
      <c r="C882" s="473" t="s">
        <v>1856</v>
      </c>
      <c r="D882" s="474" t="s">
        <v>1679</v>
      </c>
      <c r="E882" s="475">
        <v>34</v>
      </c>
    </row>
    <row r="883" spans="2:5" x14ac:dyDescent="0.35">
      <c r="B883" s="473" t="s">
        <v>2847</v>
      </c>
      <c r="C883" s="473" t="s">
        <v>740</v>
      </c>
      <c r="D883" s="474" t="s">
        <v>332</v>
      </c>
      <c r="E883" s="475">
        <v>24</v>
      </c>
    </row>
    <row r="884" spans="2:5" x14ac:dyDescent="0.35">
      <c r="B884" s="473" t="s">
        <v>3221</v>
      </c>
      <c r="C884" s="473" t="s">
        <v>1055</v>
      </c>
      <c r="D884" s="474" t="s">
        <v>879</v>
      </c>
      <c r="E884" s="475">
        <v>22</v>
      </c>
    </row>
    <row r="885" spans="2:5" x14ac:dyDescent="0.35">
      <c r="B885" s="473" t="s">
        <v>2943</v>
      </c>
      <c r="C885" s="473" t="s">
        <v>831</v>
      </c>
      <c r="D885" s="474" t="s">
        <v>332</v>
      </c>
      <c r="E885" s="475">
        <v>22</v>
      </c>
    </row>
    <row r="886" spans="2:5" x14ac:dyDescent="0.35">
      <c r="B886" s="473" t="s">
        <v>2674</v>
      </c>
      <c r="C886" s="473" t="s">
        <v>585</v>
      </c>
      <c r="D886" s="474" t="s">
        <v>332</v>
      </c>
      <c r="E886" s="475">
        <v>24</v>
      </c>
    </row>
    <row r="887" spans="2:5" x14ac:dyDescent="0.35">
      <c r="B887" s="473" t="s">
        <v>4063</v>
      </c>
      <c r="C887" s="473" t="s">
        <v>1824</v>
      </c>
      <c r="D887" s="474" t="s">
        <v>1679</v>
      </c>
      <c r="E887" s="475">
        <v>34</v>
      </c>
    </row>
    <row r="888" spans="2:5" x14ac:dyDescent="0.35">
      <c r="B888" s="473" t="s">
        <v>4064</v>
      </c>
      <c r="C888" s="473" t="s">
        <v>1825</v>
      </c>
      <c r="D888" s="474" t="s">
        <v>1679</v>
      </c>
      <c r="E888" s="475">
        <v>34</v>
      </c>
    </row>
    <row r="889" spans="2:5" x14ac:dyDescent="0.35">
      <c r="B889" s="473" t="s">
        <v>4065</v>
      </c>
      <c r="C889" s="473" t="s">
        <v>1826</v>
      </c>
      <c r="D889" s="474" t="s">
        <v>1679</v>
      </c>
      <c r="E889" s="475">
        <v>24</v>
      </c>
    </row>
    <row r="890" spans="2:5" x14ac:dyDescent="0.35">
      <c r="B890" s="473" t="s">
        <v>2921</v>
      </c>
      <c r="C890" s="473" t="s">
        <v>811</v>
      </c>
      <c r="D890" s="474" t="s">
        <v>332</v>
      </c>
      <c r="E890" s="475">
        <v>34</v>
      </c>
    </row>
    <row r="891" spans="2:5" x14ac:dyDescent="0.35">
      <c r="B891" s="473" t="s">
        <v>3086</v>
      </c>
      <c r="C891" s="473" t="s">
        <v>940</v>
      </c>
      <c r="D891" s="474" t="s">
        <v>879</v>
      </c>
      <c r="E891" s="475">
        <v>22</v>
      </c>
    </row>
    <row r="892" spans="2:5" x14ac:dyDescent="0.35">
      <c r="B892" s="473" t="s">
        <v>3143</v>
      </c>
      <c r="C892" s="473" t="s">
        <v>989</v>
      </c>
      <c r="D892" s="474" t="s">
        <v>879</v>
      </c>
      <c r="E892" s="475">
        <v>23</v>
      </c>
    </row>
    <row r="893" spans="2:5" x14ac:dyDescent="0.35">
      <c r="B893" s="473" t="s">
        <v>3200</v>
      </c>
      <c r="C893" s="473" t="s">
        <v>1038</v>
      </c>
      <c r="D893" s="474" t="s">
        <v>879</v>
      </c>
      <c r="E893" s="475">
        <v>22</v>
      </c>
    </row>
    <row r="894" spans="2:5" x14ac:dyDescent="0.35">
      <c r="B894" s="473" t="s">
        <v>2432</v>
      </c>
      <c r="C894" s="473" t="s">
        <v>350</v>
      </c>
      <c r="D894" s="474" t="s">
        <v>332</v>
      </c>
      <c r="E894" s="475">
        <v>23</v>
      </c>
    </row>
    <row r="895" spans="2:5" x14ac:dyDescent="0.35">
      <c r="B895" s="473" t="s">
        <v>3953</v>
      </c>
      <c r="C895" s="473" t="s">
        <v>1722</v>
      </c>
      <c r="D895" s="474" t="s">
        <v>1679</v>
      </c>
      <c r="E895" s="475">
        <v>12</v>
      </c>
    </row>
    <row r="896" spans="2:5" x14ac:dyDescent="0.35">
      <c r="B896" s="473" t="s">
        <v>2242</v>
      </c>
      <c r="C896" s="473" t="s">
        <v>186</v>
      </c>
      <c r="D896" s="473" t="s">
        <v>40</v>
      </c>
      <c r="E896" s="475">
        <v>33</v>
      </c>
    </row>
    <row r="897" spans="2:5" x14ac:dyDescent="0.35">
      <c r="B897" s="473" t="s">
        <v>4248</v>
      </c>
      <c r="C897" s="473" t="s">
        <v>1996</v>
      </c>
      <c r="D897" s="474" t="s">
        <v>1950</v>
      </c>
      <c r="E897" s="475">
        <v>12</v>
      </c>
    </row>
    <row r="898" spans="2:5" x14ac:dyDescent="0.35">
      <c r="B898" s="473" t="s">
        <v>2282</v>
      </c>
      <c r="C898" s="473" t="s">
        <v>225</v>
      </c>
      <c r="D898" s="474" t="s">
        <v>212</v>
      </c>
      <c r="E898" s="475">
        <v>24</v>
      </c>
    </row>
    <row r="899" spans="2:5" x14ac:dyDescent="0.35">
      <c r="B899" s="473" t="s">
        <v>2696</v>
      </c>
      <c r="C899" s="473" t="s">
        <v>603</v>
      </c>
      <c r="D899" s="474" t="s">
        <v>332</v>
      </c>
      <c r="E899" s="475">
        <v>24</v>
      </c>
    </row>
    <row r="900" spans="2:5" x14ac:dyDescent="0.35">
      <c r="B900" s="473" t="s">
        <v>3837</v>
      </c>
      <c r="C900" s="473" t="s">
        <v>1611</v>
      </c>
      <c r="D900" s="474" t="s">
        <v>1400</v>
      </c>
      <c r="E900" s="475">
        <v>22</v>
      </c>
    </row>
    <row r="901" spans="2:5" x14ac:dyDescent="0.35">
      <c r="B901" s="473" t="s">
        <v>2272</v>
      </c>
      <c r="C901" s="473" t="s">
        <v>217</v>
      </c>
      <c r="D901" s="474" t="s">
        <v>212</v>
      </c>
      <c r="E901" s="475">
        <v>33</v>
      </c>
    </row>
    <row r="902" spans="2:5" x14ac:dyDescent="0.35">
      <c r="B902" s="473" t="s">
        <v>3898</v>
      </c>
      <c r="C902" s="473" t="s">
        <v>3899</v>
      </c>
      <c r="D902" s="474" t="s">
        <v>1400</v>
      </c>
      <c r="E902" s="475">
        <v>24</v>
      </c>
    </row>
    <row r="903" spans="2:5" x14ac:dyDescent="0.35">
      <c r="B903" s="473" t="s">
        <v>2901</v>
      </c>
      <c r="C903" s="473" t="s">
        <v>792</v>
      </c>
      <c r="D903" s="474" t="s">
        <v>332</v>
      </c>
      <c r="E903" s="475">
        <v>22</v>
      </c>
    </row>
    <row r="904" spans="2:5" x14ac:dyDescent="0.35">
      <c r="B904" s="473" t="s">
        <v>2565</v>
      </c>
      <c r="C904" s="473" t="s">
        <v>484</v>
      </c>
      <c r="D904" s="474" t="s">
        <v>332</v>
      </c>
      <c r="E904" s="475">
        <v>34</v>
      </c>
    </row>
    <row r="905" spans="2:5" x14ac:dyDescent="0.35">
      <c r="B905" s="473" t="s">
        <v>2800</v>
      </c>
      <c r="C905" s="473" t="s">
        <v>697</v>
      </c>
      <c r="D905" s="474" t="s">
        <v>332</v>
      </c>
      <c r="E905" s="475">
        <v>24</v>
      </c>
    </row>
    <row r="906" spans="2:5" x14ac:dyDescent="0.35">
      <c r="B906" s="473" t="s">
        <v>2848</v>
      </c>
      <c r="C906" s="473" t="s">
        <v>741</v>
      </c>
      <c r="D906" s="474" t="s">
        <v>332</v>
      </c>
      <c r="E906" s="475">
        <v>33</v>
      </c>
    </row>
    <row r="907" spans="2:5" x14ac:dyDescent="0.35">
      <c r="B907" s="473" t="s">
        <v>3900</v>
      </c>
      <c r="C907" s="473" t="s">
        <v>1670</v>
      </c>
      <c r="D907" s="474" t="s">
        <v>1400</v>
      </c>
      <c r="E907" s="475">
        <v>22</v>
      </c>
    </row>
    <row r="908" spans="2:5" x14ac:dyDescent="0.35">
      <c r="B908" s="473" t="s">
        <v>3031</v>
      </c>
      <c r="C908" s="473" t="s">
        <v>899</v>
      </c>
      <c r="D908" s="474" t="s">
        <v>879</v>
      </c>
      <c r="E908" s="475">
        <v>34</v>
      </c>
    </row>
    <row r="909" spans="2:5" x14ac:dyDescent="0.35">
      <c r="B909" s="473" t="s">
        <v>4009</v>
      </c>
      <c r="C909" s="473" t="s">
        <v>1776</v>
      </c>
      <c r="D909" s="474" t="s">
        <v>1679</v>
      </c>
      <c r="E909" s="475">
        <v>22</v>
      </c>
    </row>
    <row r="910" spans="2:5" x14ac:dyDescent="0.35">
      <c r="B910" s="473" t="s">
        <v>3296</v>
      </c>
      <c r="C910" s="473" t="s">
        <v>1116</v>
      </c>
      <c r="D910" s="474" t="s">
        <v>879</v>
      </c>
      <c r="E910" s="475">
        <v>34</v>
      </c>
    </row>
    <row r="911" spans="2:5" x14ac:dyDescent="0.35">
      <c r="B911" s="473" t="s">
        <v>3201</v>
      </c>
      <c r="C911" s="473" t="s">
        <v>1039</v>
      </c>
      <c r="D911" s="474" t="s">
        <v>879</v>
      </c>
      <c r="E911" s="475">
        <v>22</v>
      </c>
    </row>
    <row r="912" spans="2:5" x14ac:dyDescent="0.35">
      <c r="B912" s="473" t="s">
        <v>4033</v>
      </c>
      <c r="C912" s="473" t="s">
        <v>1794</v>
      </c>
      <c r="D912" s="474" t="s">
        <v>1679</v>
      </c>
      <c r="E912" s="475">
        <v>12</v>
      </c>
    </row>
    <row r="913" spans="2:5" x14ac:dyDescent="0.35">
      <c r="B913" s="473" t="s">
        <v>3255</v>
      </c>
      <c r="C913" s="473" t="s">
        <v>1081</v>
      </c>
      <c r="D913" s="474" t="s">
        <v>879</v>
      </c>
      <c r="E913" s="475">
        <v>24</v>
      </c>
    </row>
    <row r="914" spans="2:5" x14ac:dyDescent="0.35">
      <c r="B914" s="473" t="s">
        <v>3172</v>
      </c>
      <c r="C914" s="473" t="s">
        <v>1012</v>
      </c>
      <c r="D914" s="474" t="s">
        <v>879</v>
      </c>
      <c r="E914" s="475">
        <v>22</v>
      </c>
    </row>
    <row r="915" spans="2:5" x14ac:dyDescent="0.35">
      <c r="B915" s="473" t="s">
        <v>4010</v>
      </c>
      <c r="C915" s="473" t="s">
        <v>1777</v>
      </c>
      <c r="D915" s="474" t="s">
        <v>1679</v>
      </c>
      <c r="E915" s="475">
        <v>34</v>
      </c>
    </row>
    <row r="916" spans="2:5" x14ac:dyDescent="0.35">
      <c r="B916" s="473" t="s">
        <v>3118</v>
      </c>
      <c r="C916" s="473" t="s">
        <v>968</v>
      </c>
      <c r="D916" s="474" t="s">
        <v>879</v>
      </c>
      <c r="E916" s="475">
        <v>22</v>
      </c>
    </row>
    <row r="917" spans="2:5" x14ac:dyDescent="0.35">
      <c r="B917" s="473" t="s">
        <v>3256</v>
      </c>
      <c r="C917" s="473" t="s">
        <v>1082</v>
      </c>
      <c r="D917" s="474" t="s">
        <v>879</v>
      </c>
      <c r="E917" s="475">
        <v>24</v>
      </c>
    </row>
    <row r="918" spans="2:5" x14ac:dyDescent="0.35">
      <c r="B918" s="473" t="s">
        <v>2997</v>
      </c>
      <c r="C918" s="473" t="s">
        <v>864</v>
      </c>
      <c r="D918" s="474" t="s">
        <v>332</v>
      </c>
      <c r="E918" s="475">
        <v>34</v>
      </c>
    </row>
    <row r="919" spans="2:5" x14ac:dyDescent="0.35">
      <c r="B919" s="473" t="s">
        <v>3400</v>
      </c>
      <c r="C919" s="473" t="s">
        <v>1194</v>
      </c>
      <c r="D919" s="474" t="s">
        <v>879</v>
      </c>
      <c r="E919" s="475">
        <v>23</v>
      </c>
    </row>
    <row r="920" spans="2:5" x14ac:dyDescent="0.35">
      <c r="B920" s="473" t="s">
        <v>2944</v>
      </c>
      <c r="C920" s="473" t="s">
        <v>832</v>
      </c>
      <c r="D920" s="474" t="s">
        <v>332</v>
      </c>
      <c r="E920" s="475">
        <v>34</v>
      </c>
    </row>
    <row r="921" spans="2:5" x14ac:dyDescent="0.35">
      <c r="B921" s="473" t="s">
        <v>2849</v>
      </c>
      <c r="C921" s="473" t="s">
        <v>742</v>
      </c>
      <c r="D921" s="474" t="s">
        <v>332</v>
      </c>
      <c r="E921" s="475">
        <v>22</v>
      </c>
    </row>
    <row r="922" spans="2:5" x14ac:dyDescent="0.35">
      <c r="B922" s="473" t="s">
        <v>2697</v>
      </c>
      <c r="C922" s="473" t="s">
        <v>604</v>
      </c>
      <c r="D922" s="474" t="s">
        <v>332</v>
      </c>
      <c r="E922" s="475">
        <v>34</v>
      </c>
    </row>
    <row r="923" spans="2:5" x14ac:dyDescent="0.35">
      <c r="B923" s="473" t="s">
        <v>2191</v>
      </c>
      <c r="C923" s="473" t="s">
        <v>135</v>
      </c>
      <c r="D923" s="473" t="s">
        <v>40</v>
      </c>
      <c r="E923" s="475">
        <v>32</v>
      </c>
    </row>
    <row r="924" spans="2:5" x14ac:dyDescent="0.35">
      <c r="B924" s="473" t="s">
        <v>4011</v>
      </c>
      <c r="C924" s="473" t="s">
        <v>1778</v>
      </c>
      <c r="D924" s="474" t="s">
        <v>1679</v>
      </c>
      <c r="E924" s="475">
        <v>32</v>
      </c>
    </row>
    <row r="925" spans="2:5" x14ac:dyDescent="0.35">
      <c r="B925" s="473" t="s">
        <v>3674</v>
      </c>
      <c r="C925" s="473" t="s">
        <v>1460</v>
      </c>
      <c r="D925" s="474" t="s">
        <v>1400</v>
      </c>
      <c r="E925" s="475">
        <v>24</v>
      </c>
    </row>
    <row r="926" spans="2:5" x14ac:dyDescent="0.35">
      <c r="B926" s="473" t="s">
        <v>3297</v>
      </c>
      <c r="C926" s="473" t="s">
        <v>1117</v>
      </c>
      <c r="D926" s="474" t="s">
        <v>879</v>
      </c>
      <c r="E926" s="475">
        <v>34</v>
      </c>
    </row>
    <row r="927" spans="2:5" x14ac:dyDescent="0.35">
      <c r="B927" s="473" t="s">
        <v>2268</v>
      </c>
      <c r="C927" s="473" t="s">
        <v>213</v>
      </c>
      <c r="D927" s="474" t="s">
        <v>212</v>
      </c>
      <c r="E927" s="475">
        <v>11</v>
      </c>
    </row>
    <row r="928" spans="2:5" x14ac:dyDescent="0.35">
      <c r="B928" s="473" t="s">
        <v>3222</v>
      </c>
      <c r="C928" s="473" t="s">
        <v>1056</v>
      </c>
      <c r="D928" s="474" t="s">
        <v>879</v>
      </c>
      <c r="E928" s="475">
        <v>24</v>
      </c>
    </row>
    <row r="929" spans="2:5" x14ac:dyDescent="0.35">
      <c r="B929" s="473" t="s">
        <v>4280</v>
      </c>
      <c r="C929" s="473" t="s">
        <v>2026</v>
      </c>
      <c r="D929" s="474" t="s">
        <v>1950</v>
      </c>
      <c r="E929" s="475">
        <v>11</v>
      </c>
    </row>
    <row r="930" spans="2:5" x14ac:dyDescent="0.35">
      <c r="B930" s="473" t="s">
        <v>3173</v>
      </c>
      <c r="C930" s="473" t="s">
        <v>1013</v>
      </c>
      <c r="D930" s="474" t="s">
        <v>879</v>
      </c>
      <c r="E930" s="475">
        <v>33</v>
      </c>
    </row>
    <row r="931" spans="2:5" x14ac:dyDescent="0.35">
      <c r="B931" s="473" t="s">
        <v>2469</v>
      </c>
      <c r="C931" s="473" t="s">
        <v>377</v>
      </c>
      <c r="D931" s="474" t="s">
        <v>332</v>
      </c>
      <c r="E931" s="475">
        <v>24</v>
      </c>
    </row>
    <row r="932" spans="2:5" x14ac:dyDescent="0.35">
      <c r="B932" s="473" t="s">
        <v>2331</v>
      </c>
      <c r="C932" s="473" t="s">
        <v>266</v>
      </c>
      <c r="D932" s="474" t="s">
        <v>212</v>
      </c>
      <c r="E932" s="475">
        <v>22</v>
      </c>
    </row>
    <row r="933" spans="2:5" x14ac:dyDescent="0.35">
      <c r="B933" s="473" t="s">
        <v>2308</v>
      </c>
      <c r="C933" s="473" t="s">
        <v>2309</v>
      </c>
      <c r="D933" s="474" t="s">
        <v>212</v>
      </c>
      <c r="E933" s="475">
        <v>24</v>
      </c>
    </row>
    <row r="934" spans="2:5" x14ac:dyDescent="0.35">
      <c r="B934" s="473" t="s">
        <v>3558</v>
      </c>
      <c r="C934" s="473" t="s">
        <v>1346</v>
      </c>
      <c r="D934" s="474" t="s">
        <v>1282</v>
      </c>
      <c r="E934" s="475">
        <v>34</v>
      </c>
    </row>
    <row r="935" spans="2:5" x14ac:dyDescent="0.35">
      <c r="B935" s="473" t="s">
        <v>2143</v>
      </c>
      <c r="C935" s="473" t="s">
        <v>87</v>
      </c>
      <c r="D935" s="473" t="s">
        <v>40</v>
      </c>
      <c r="E935" s="475">
        <v>34</v>
      </c>
    </row>
    <row r="936" spans="2:5" x14ac:dyDescent="0.35">
      <c r="B936" s="473" t="s">
        <v>2973</v>
      </c>
      <c r="C936" s="473" t="s">
        <v>418</v>
      </c>
      <c r="D936" s="474" t="s">
        <v>332</v>
      </c>
      <c r="E936" s="475">
        <v>24</v>
      </c>
    </row>
    <row r="937" spans="2:5" x14ac:dyDescent="0.35">
      <c r="B937" s="473" t="s">
        <v>2698</v>
      </c>
      <c r="C937" s="473" t="s">
        <v>605</v>
      </c>
      <c r="D937" s="474" t="s">
        <v>332</v>
      </c>
      <c r="E937" s="475">
        <v>24</v>
      </c>
    </row>
    <row r="938" spans="2:5" x14ac:dyDescent="0.35">
      <c r="B938" s="473" t="s">
        <v>2675</v>
      </c>
      <c r="C938" s="473" t="s">
        <v>586</v>
      </c>
      <c r="D938" s="474" t="s">
        <v>332</v>
      </c>
      <c r="E938" s="475">
        <v>34</v>
      </c>
    </row>
    <row r="939" spans="2:5" x14ac:dyDescent="0.35">
      <c r="B939" s="473" t="s">
        <v>3298</v>
      </c>
      <c r="C939" s="473" t="s">
        <v>1118</v>
      </c>
      <c r="D939" s="474" t="s">
        <v>879</v>
      </c>
      <c r="E939" s="475">
        <v>22</v>
      </c>
    </row>
    <row r="940" spans="2:5" x14ac:dyDescent="0.35">
      <c r="B940" s="473" t="s">
        <v>2103</v>
      </c>
      <c r="C940" s="473" t="s">
        <v>47</v>
      </c>
      <c r="D940" s="473" t="s">
        <v>40</v>
      </c>
      <c r="E940" s="475">
        <v>24</v>
      </c>
    </row>
    <row r="941" spans="2:5" x14ac:dyDescent="0.35">
      <c r="B941" s="473" t="s">
        <v>3887</v>
      </c>
      <c r="C941" s="473" t="s">
        <v>1659</v>
      </c>
      <c r="D941" s="474" t="s">
        <v>1400</v>
      </c>
      <c r="E941" s="475">
        <v>34</v>
      </c>
    </row>
    <row r="942" spans="2:5" x14ac:dyDescent="0.35">
      <c r="B942" s="473" t="s">
        <v>4208</v>
      </c>
      <c r="C942" s="473" t="s">
        <v>1962</v>
      </c>
      <c r="D942" s="474" t="s">
        <v>1950</v>
      </c>
      <c r="E942" s="475">
        <v>22</v>
      </c>
    </row>
    <row r="943" spans="2:5" x14ac:dyDescent="0.35">
      <c r="B943" s="473" t="s">
        <v>2974</v>
      </c>
      <c r="C943" s="473" t="s">
        <v>805</v>
      </c>
      <c r="D943" s="474" t="s">
        <v>332</v>
      </c>
      <c r="E943" s="475">
        <v>11</v>
      </c>
    </row>
    <row r="944" spans="2:5" x14ac:dyDescent="0.35">
      <c r="B944" s="473" t="s">
        <v>3818</v>
      </c>
      <c r="C944" s="473" t="s">
        <v>1592</v>
      </c>
      <c r="D944" s="474" t="s">
        <v>1400</v>
      </c>
      <c r="E944" s="475">
        <v>11</v>
      </c>
    </row>
    <row r="945" spans="2:5" x14ac:dyDescent="0.35">
      <c r="B945" s="473" t="s">
        <v>3808</v>
      </c>
      <c r="C945" s="473" t="s">
        <v>1584</v>
      </c>
      <c r="D945" s="474" t="s">
        <v>1400</v>
      </c>
      <c r="E945" s="475">
        <v>22</v>
      </c>
    </row>
    <row r="946" spans="2:5" x14ac:dyDescent="0.35">
      <c r="B946" s="473" t="s">
        <v>2214</v>
      </c>
      <c r="C946" s="473" t="s">
        <v>158</v>
      </c>
      <c r="D946" s="473" t="s">
        <v>40</v>
      </c>
      <c r="E946" s="475">
        <v>33</v>
      </c>
    </row>
    <row r="947" spans="2:5" x14ac:dyDescent="0.35">
      <c r="B947" s="473" t="s">
        <v>4281</v>
      </c>
      <c r="C947" s="473" t="s">
        <v>2027</v>
      </c>
      <c r="D947" s="474" t="s">
        <v>1950</v>
      </c>
      <c r="E947" s="475">
        <v>22</v>
      </c>
    </row>
    <row r="948" spans="2:5" x14ac:dyDescent="0.35">
      <c r="B948" s="473" t="s">
        <v>3769</v>
      </c>
      <c r="C948" s="473" t="s">
        <v>1549</v>
      </c>
      <c r="D948" s="474" t="s">
        <v>1400</v>
      </c>
      <c r="E948" s="475">
        <v>12</v>
      </c>
    </row>
    <row r="949" spans="2:5" x14ac:dyDescent="0.35">
      <c r="B949" s="473" t="s">
        <v>2243</v>
      </c>
      <c r="C949" s="473" t="s">
        <v>187</v>
      </c>
      <c r="D949" s="473" t="s">
        <v>40</v>
      </c>
      <c r="E949" s="475">
        <v>34</v>
      </c>
    </row>
    <row r="950" spans="2:5" x14ac:dyDescent="0.35">
      <c r="B950" s="473" t="s">
        <v>3299</v>
      </c>
      <c r="C950" s="473" t="s">
        <v>1119</v>
      </c>
      <c r="D950" s="474" t="s">
        <v>879</v>
      </c>
      <c r="E950" s="475">
        <v>34</v>
      </c>
    </row>
    <row r="951" spans="2:5" x14ac:dyDescent="0.35">
      <c r="B951" s="473" t="s">
        <v>3954</v>
      </c>
      <c r="C951" s="473" t="s">
        <v>1723</v>
      </c>
      <c r="D951" s="474" t="s">
        <v>1679</v>
      </c>
      <c r="E951" s="475">
        <v>23</v>
      </c>
    </row>
    <row r="952" spans="2:5" x14ac:dyDescent="0.35">
      <c r="B952" s="473" t="s">
        <v>3955</v>
      </c>
      <c r="C952" s="473" t="s">
        <v>1724</v>
      </c>
      <c r="D952" s="474" t="s">
        <v>1679</v>
      </c>
      <c r="E952" s="475">
        <v>23</v>
      </c>
    </row>
    <row r="953" spans="2:5" x14ac:dyDescent="0.35">
      <c r="B953" s="473" t="s">
        <v>2902</v>
      </c>
      <c r="C953" s="473" t="s">
        <v>793</v>
      </c>
      <c r="D953" s="474" t="s">
        <v>332</v>
      </c>
      <c r="E953" s="475">
        <v>24</v>
      </c>
    </row>
    <row r="954" spans="2:5" x14ac:dyDescent="0.35">
      <c r="B954" s="473" t="s">
        <v>2160</v>
      </c>
      <c r="C954" s="473" t="s">
        <v>104</v>
      </c>
      <c r="D954" s="473" t="s">
        <v>40</v>
      </c>
      <c r="E954" s="475">
        <v>34</v>
      </c>
    </row>
    <row r="955" spans="2:5" x14ac:dyDescent="0.35">
      <c r="B955" s="473" t="s">
        <v>2903</v>
      </c>
      <c r="C955" s="473" t="s">
        <v>794</v>
      </c>
      <c r="D955" s="474" t="s">
        <v>332</v>
      </c>
      <c r="E955" s="475">
        <v>23</v>
      </c>
    </row>
    <row r="956" spans="2:5" x14ac:dyDescent="0.35">
      <c r="B956" s="473" t="s">
        <v>3087</v>
      </c>
      <c r="C956" s="473" t="s">
        <v>941</v>
      </c>
      <c r="D956" s="474" t="s">
        <v>879</v>
      </c>
      <c r="E956" s="475">
        <v>33</v>
      </c>
    </row>
    <row r="957" spans="2:5" x14ac:dyDescent="0.35">
      <c r="B957" s="473" t="s">
        <v>3342</v>
      </c>
      <c r="C957" s="473" t="s">
        <v>1148</v>
      </c>
      <c r="D957" s="474" t="s">
        <v>879</v>
      </c>
      <c r="E957" s="475">
        <v>34</v>
      </c>
    </row>
    <row r="958" spans="2:5" x14ac:dyDescent="0.35">
      <c r="B958" s="473" t="s">
        <v>3528</v>
      </c>
      <c r="C958" s="473" t="s">
        <v>1316</v>
      </c>
      <c r="D958" s="474" t="s">
        <v>1282</v>
      </c>
      <c r="E958" s="475">
        <v>22</v>
      </c>
    </row>
    <row r="959" spans="2:5" x14ac:dyDescent="0.35">
      <c r="B959" s="473" t="s">
        <v>2628</v>
      </c>
      <c r="C959" s="473" t="s">
        <v>541</v>
      </c>
      <c r="D959" s="474" t="s">
        <v>332</v>
      </c>
      <c r="E959" s="475">
        <v>11</v>
      </c>
    </row>
    <row r="960" spans="2:5" x14ac:dyDescent="0.35">
      <c r="B960" s="473" t="s">
        <v>4012</v>
      </c>
      <c r="C960" s="473" t="s">
        <v>1779</v>
      </c>
      <c r="D960" s="474" t="s">
        <v>1679</v>
      </c>
      <c r="E960" s="475">
        <v>23</v>
      </c>
    </row>
    <row r="961" spans="2:5" x14ac:dyDescent="0.35">
      <c r="B961" s="473" t="s">
        <v>3527</v>
      </c>
      <c r="C961" s="473" t="s">
        <v>1315</v>
      </c>
      <c r="D961" s="474" t="s">
        <v>1282</v>
      </c>
      <c r="E961" s="475">
        <v>22</v>
      </c>
    </row>
    <row r="962" spans="2:5" x14ac:dyDescent="0.35">
      <c r="B962" s="473" t="s">
        <v>2273</v>
      </c>
      <c r="C962" s="473" t="s">
        <v>218</v>
      </c>
      <c r="D962" s="474" t="s">
        <v>212</v>
      </c>
      <c r="E962" s="475">
        <v>33</v>
      </c>
    </row>
    <row r="963" spans="2:5" x14ac:dyDescent="0.35">
      <c r="B963" s="473" t="s">
        <v>2998</v>
      </c>
      <c r="C963" s="473" t="s">
        <v>865</v>
      </c>
      <c r="D963" s="474" t="s">
        <v>332</v>
      </c>
      <c r="E963" s="475">
        <v>34</v>
      </c>
    </row>
    <row r="964" spans="2:5" x14ac:dyDescent="0.35">
      <c r="B964" s="473" t="s">
        <v>2470</v>
      </c>
      <c r="C964" s="473" t="s">
        <v>378</v>
      </c>
      <c r="D964" s="474" t="s">
        <v>332</v>
      </c>
      <c r="E964" s="475">
        <v>11</v>
      </c>
    </row>
    <row r="965" spans="2:5" x14ac:dyDescent="0.35">
      <c r="B965" s="473" t="s">
        <v>2283</v>
      </c>
      <c r="C965" s="473" t="s">
        <v>226</v>
      </c>
      <c r="D965" s="474" t="s">
        <v>212</v>
      </c>
      <c r="E965" s="475">
        <v>23</v>
      </c>
    </row>
    <row r="966" spans="2:5" x14ac:dyDescent="0.35">
      <c r="B966" s="473" t="s">
        <v>3747</v>
      </c>
      <c r="C966" s="473" t="s">
        <v>1527</v>
      </c>
      <c r="D966" s="474" t="s">
        <v>1400</v>
      </c>
      <c r="E966" s="475">
        <v>34</v>
      </c>
    </row>
    <row r="967" spans="2:5" x14ac:dyDescent="0.35">
      <c r="B967" s="473" t="s">
        <v>4034</v>
      </c>
      <c r="C967" s="473" t="s">
        <v>1795</v>
      </c>
      <c r="D967" s="474" t="s">
        <v>1679</v>
      </c>
      <c r="E967" s="475">
        <v>22</v>
      </c>
    </row>
    <row r="968" spans="2:5" x14ac:dyDescent="0.35">
      <c r="B968" s="473" t="s">
        <v>3699</v>
      </c>
      <c r="C968" s="473" t="s">
        <v>1483</v>
      </c>
      <c r="D968" s="474" t="s">
        <v>1400</v>
      </c>
      <c r="E968" s="475">
        <v>23</v>
      </c>
    </row>
    <row r="969" spans="2:5" x14ac:dyDescent="0.35">
      <c r="B969" s="473" t="s">
        <v>2413</v>
      </c>
      <c r="C969" s="473" t="s">
        <v>333</v>
      </c>
      <c r="D969" s="474" t="s">
        <v>332</v>
      </c>
      <c r="E969" s="475">
        <v>11</v>
      </c>
    </row>
    <row r="970" spans="2:5" x14ac:dyDescent="0.35">
      <c r="B970" s="473" t="s">
        <v>2351</v>
      </c>
      <c r="C970" s="473" t="s">
        <v>286</v>
      </c>
      <c r="D970" s="474" t="s">
        <v>212</v>
      </c>
      <c r="E970" s="475">
        <v>24</v>
      </c>
    </row>
    <row r="971" spans="2:5" x14ac:dyDescent="0.35">
      <c r="B971" s="473" t="s">
        <v>3174</v>
      </c>
      <c r="C971" s="473" t="s">
        <v>1014</v>
      </c>
      <c r="D971" s="474" t="s">
        <v>879</v>
      </c>
      <c r="E971" s="475">
        <v>22</v>
      </c>
    </row>
    <row r="972" spans="2:5" x14ac:dyDescent="0.35">
      <c r="B972" s="473" t="s">
        <v>3479</v>
      </c>
      <c r="C972" s="473" t="s">
        <v>1267</v>
      </c>
      <c r="D972" s="474" t="s">
        <v>879</v>
      </c>
      <c r="E972" s="475">
        <v>23</v>
      </c>
    </row>
    <row r="973" spans="2:5" x14ac:dyDescent="0.35">
      <c r="B973" s="473" t="s">
        <v>2180</v>
      </c>
      <c r="C973" s="473" t="s">
        <v>124</v>
      </c>
      <c r="D973" s="473" t="s">
        <v>40</v>
      </c>
      <c r="E973" s="475">
        <v>23</v>
      </c>
    </row>
    <row r="974" spans="2:5" x14ac:dyDescent="0.35">
      <c r="B974" s="473" t="s">
        <v>2746</v>
      </c>
      <c r="C974" s="473" t="s">
        <v>657</v>
      </c>
      <c r="D974" s="474" t="s">
        <v>332</v>
      </c>
      <c r="E974" s="475">
        <v>23</v>
      </c>
    </row>
    <row r="975" spans="2:5" x14ac:dyDescent="0.35">
      <c r="B975" s="473" t="s">
        <v>2747</v>
      </c>
      <c r="C975" s="473" t="s">
        <v>658</v>
      </c>
      <c r="D975" s="474" t="s">
        <v>332</v>
      </c>
      <c r="E975" s="475">
        <v>33</v>
      </c>
    </row>
    <row r="976" spans="2:5" x14ac:dyDescent="0.35">
      <c r="B976" s="473" t="s">
        <v>3827</v>
      </c>
      <c r="C976" s="473" t="s">
        <v>1601</v>
      </c>
      <c r="D976" s="474" t="s">
        <v>1400</v>
      </c>
      <c r="E976" s="475">
        <v>23</v>
      </c>
    </row>
    <row r="977" spans="2:5" x14ac:dyDescent="0.35">
      <c r="B977" s="473" t="s">
        <v>3591</v>
      </c>
      <c r="C977" s="473" t="s">
        <v>1379</v>
      </c>
      <c r="D977" s="474" t="s">
        <v>1282</v>
      </c>
      <c r="E977" s="475">
        <v>33</v>
      </c>
    </row>
    <row r="978" spans="2:5" x14ac:dyDescent="0.35">
      <c r="B978" s="473" t="s">
        <v>3500</v>
      </c>
      <c r="C978" s="473" t="s">
        <v>1288</v>
      </c>
      <c r="D978" s="474" t="s">
        <v>1282</v>
      </c>
      <c r="E978" s="475">
        <v>24</v>
      </c>
    </row>
    <row r="979" spans="2:5" x14ac:dyDescent="0.35">
      <c r="B979" s="473" t="s">
        <v>3202</v>
      </c>
      <c r="C979" s="473" t="s">
        <v>1040</v>
      </c>
      <c r="D979" s="474" t="s">
        <v>879</v>
      </c>
      <c r="E979" s="475">
        <v>23</v>
      </c>
    </row>
    <row r="980" spans="2:5" x14ac:dyDescent="0.35">
      <c r="B980" s="473" t="s">
        <v>3757</v>
      </c>
      <c r="C980" s="473" t="s">
        <v>1537</v>
      </c>
      <c r="D980" s="474" t="s">
        <v>1400</v>
      </c>
      <c r="E980" s="475">
        <v>22</v>
      </c>
    </row>
    <row r="981" spans="2:5" x14ac:dyDescent="0.35">
      <c r="B981" s="473" t="s">
        <v>2649</v>
      </c>
      <c r="C981" s="473" t="s">
        <v>563</v>
      </c>
      <c r="D981" s="474" t="s">
        <v>332</v>
      </c>
      <c r="E981" s="475">
        <v>24</v>
      </c>
    </row>
    <row r="982" spans="2:5" x14ac:dyDescent="0.35">
      <c r="B982" s="473" t="s">
        <v>2945</v>
      </c>
      <c r="C982" s="473" t="s">
        <v>833</v>
      </c>
      <c r="D982" s="474" t="s">
        <v>332</v>
      </c>
      <c r="E982" s="475">
        <v>24</v>
      </c>
    </row>
    <row r="983" spans="2:5" x14ac:dyDescent="0.35">
      <c r="B983" s="473" t="s">
        <v>4249</v>
      </c>
      <c r="C983" s="473" t="s">
        <v>833</v>
      </c>
      <c r="D983" s="474" t="s">
        <v>1950</v>
      </c>
      <c r="E983" s="475">
        <v>23</v>
      </c>
    </row>
    <row r="984" spans="2:5" x14ac:dyDescent="0.35">
      <c r="B984" s="473" t="s">
        <v>2699</v>
      </c>
      <c r="C984" s="473" t="s">
        <v>606</v>
      </c>
      <c r="D984" s="474" t="s">
        <v>332</v>
      </c>
      <c r="E984" s="475">
        <v>33</v>
      </c>
    </row>
    <row r="985" spans="2:5" x14ac:dyDescent="0.35">
      <c r="B985" s="473" t="s">
        <v>2284</v>
      </c>
      <c r="C985" s="473" t="s">
        <v>227</v>
      </c>
      <c r="D985" s="474" t="s">
        <v>212</v>
      </c>
      <c r="E985" s="475">
        <v>22</v>
      </c>
    </row>
    <row r="986" spans="2:5" x14ac:dyDescent="0.35">
      <c r="B986" s="473" t="s">
        <v>3501</v>
      </c>
      <c r="C986" s="473" t="s">
        <v>1289</v>
      </c>
      <c r="D986" s="474" t="s">
        <v>1282</v>
      </c>
      <c r="E986" s="475">
        <v>22</v>
      </c>
    </row>
    <row r="987" spans="2:5" x14ac:dyDescent="0.35">
      <c r="B987" s="473" t="s">
        <v>4035</v>
      </c>
      <c r="C987" s="473" t="s">
        <v>1796</v>
      </c>
      <c r="D987" s="474" t="s">
        <v>1679</v>
      </c>
      <c r="E987" s="475">
        <v>11</v>
      </c>
    </row>
    <row r="988" spans="2:5" x14ac:dyDescent="0.35">
      <c r="B988" s="473" t="s">
        <v>2129</v>
      </c>
      <c r="C988" s="473" t="s">
        <v>73</v>
      </c>
      <c r="D988" s="473" t="s">
        <v>40</v>
      </c>
      <c r="E988" s="475">
        <v>34</v>
      </c>
    </row>
    <row r="989" spans="2:5" x14ac:dyDescent="0.35">
      <c r="B989" s="473" t="s">
        <v>3637</v>
      </c>
      <c r="C989" s="473" t="s">
        <v>1425</v>
      </c>
      <c r="D989" s="474" t="s">
        <v>1400</v>
      </c>
      <c r="E989" s="475">
        <v>22</v>
      </c>
    </row>
    <row r="990" spans="2:5" x14ac:dyDescent="0.35">
      <c r="B990" s="473" t="s">
        <v>4036</v>
      </c>
      <c r="C990" s="473" t="s">
        <v>1797</v>
      </c>
      <c r="D990" s="474" t="s">
        <v>1679</v>
      </c>
      <c r="E990" s="475">
        <v>22</v>
      </c>
    </row>
    <row r="991" spans="2:5" x14ac:dyDescent="0.35">
      <c r="B991" s="473" t="s">
        <v>2748</v>
      </c>
      <c r="C991" s="473" t="s">
        <v>659</v>
      </c>
      <c r="D991" s="474" t="s">
        <v>332</v>
      </c>
      <c r="E991" s="475">
        <v>32</v>
      </c>
    </row>
    <row r="992" spans="2:5" x14ac:dyDescent="0.35">
      <c r="B992" s="473" t="s">
        <v>2776</v>
      </c>
      <c r="C992" s="473" t="s">
        <v>677</v>
      </c>
      <c r="D992" s="474" t="s">
        <v>332</v>
      </c>
      <c r="E992" s="475">
        <v>23</v>
      </c>
    </row>
    <row r="993" spans="2:5" x14ac:dyDescent="0.35">
      <c r="B993" s="473" t="s">
        <v>3119</v>
      </c>
      <c r="C993" s="473" t="s">
        <v>969</v>
      </c>
      <c r="D993" s="474" t="s">
        <v>879</v>
      </c>
      <c r="E993" s="475">
        <v>12</v>
      </c>
    </row>
    <row r="994" spans="2:5" x14ac:dyDescent="0.35">
      <c r="B994" s="473" t="s">
        <v>2215</v>
      </c>
      <c r="C994" s="473" t="s">
        <v>159</v>
      </c>
      <c r="D994" s="473" t="s">
        <v>40</v>
      </c>
      <c r="E994" s="475">
        <v>34</v>
      </c>
    </row>
    <row r="995" spans="2:5" x14ac:dyDescent="0.35">
      <c r="B995" s="473" t="s">
        <v>2231</v>
      </c>
      <c r="C995" s="473" t="s">
        <v>175</v>
      </c>
      <c r="D995" s="473" t="s">
        <v>40</v>
      </c>
      <c r="E995" s="475">
        <v>34</v>
      </c>
    </row>
    <row r="996" spans="2:5" x14ac:dyDescent="0.35">
      <c r="B996" s="473" t="s">
        <v>2749</v>
      </c>
      <c r="C996" s="473" t="s">
        <v>660</v>
      </c>
      <c r="D996" s="474" t="s">
        <v>332</v>
      </c>
      <c r="E996" s="475">
        <v>32</v>
      </c>
    </row>
    <row r="997" spans="2:5" x14ac:dyDescent="0.35">
      <c r="B997" s="473" t="s">
        <v>4066</v>
      </c>
      <c r="C997" s="473" t="s">
        <v>1827</v>
      </c>
      <c r="D997" s="474" t="s">
        <v>1679</v>
      </c>
      <c r="E997" s="475">
        <v>24</v>
      </c>
    </row>
    <row r="998" spans="2:5" x14ac:dyDescent="0.35">
      <c r="B998" s="473" t="s">
        <v>3855</v>
      </c>
      <c r="C998" s="473" t="s">
        <v>1627</v>
      </c>
      <c r="D998" s="474" t="s">
        <v>1400</v>
      </c>
      <c r="E998" s="475">
        <v>34</v>
      </c>
    </row>
    <row r="999" spans="2:5" x14ac:dyDescent="0.35">
      <c r="B999" s="473" t="s">
        <v>3480</v>
      </c>
      <c r="C999" s="473" t="s">
        <v>1268</v>
      </c>
      <c r="D999" s="474" t="s">
        <v>879</v>
      </c>
      <c r="E999" s="475">
        <v>22</v>
      </c>
    </row>
    <row r="1000" spans="2:5" x14ac:dyDescent="0.35">
      <c r="B1000" s="473" t="s">
        <v>3257</v>
      </c>
      <c r="C1000" s="473" t="s">
        <v>1083</v>
      </c>
      <c r="D1000" s="474" t="s">
        <v>879</v>
      </c>
      <c r="E1000" s="475">
        <v>24</v>
      </c>
    </row>
    <row r="1001" spans="2:5" x14ac:dyDescent="0.35">
      <c r="B1001" s="473" t="s">
        <v>3529</v>
      </c>
      <c r="C1001" s="473" t="s">
        <v>1317</v>
      </c>
      <c r="D1001" s="474" t="s">
        <v>1282</v>
      </c>
      <c r="E1001" s="475">
        <v>22</v>
      </c>
    </row>
    <row r="1002" spans="2:5" x14ac:dyDescent="0.35">
      <c r="B1002" s="473" t="s">
        <v>4067</v>
      </c>
      <c r="C1002" s="473" t="s">
        <v>1828</v>
      </c>
      <c r="D1002" s="474" t="s">
        <v>1679</v>
      </c>
      <c r="E1002" s="475">
        <v>22</v>
      </c>
    </row>
    <row r="1003" spans="2:5" x14ac:dyDescent="0.35">
      <c r="B1003" s="473" t="s">
        <v>3675</v>
      </c>
      <c r="C1003" s="473" t="s">
        <v>1461</v>
      </c>
      <c r="D1003" s="474" t="s">
        <v>1400</v>
      </c>
      <c r="E1003" s="475">
        <v>24</v>
      </c>
    </row>
    <row r="1004" spans="2:5" x14ac:dyDescent="0.35">
      <c r="B1004" s="473" t="s">
        <v>2609</v>
      </c>
      <c r="C1004" s="473" t="s">
        <v>524</v>
      </c>
      <c r="D1004" s="474" t="s">
        <v>332</v>
      </c>
      <c r="E1004" s="475">
        <v>34</v>
      </c>
    </row>
    <row r="1005" spans="2:5" x14ac:dyDescent="0.35">
      <c r="B1005" s="473" t="s">
        <v>4250</v>
      </c>
      <c r="C1005" s="473" t="s">
        <v>1997</v>
      </c>
      <c r="D1005" s="474" t="s">
        <v>1950</v>
      </c>
      <c r="E1005" s="475">
        <v>23</v>
      </c>
    </row>
    <row r="1006" spans="2:5" x14ac:dyDescent="0.35">
      <c r="B1006" s="473" t="s">
        <v>4251</v>
      </c>
      <c r="C1006" s="473" t="s">
        <v>1998</v>
      </c>
      <c r="D1006" s="474" t="s">
        <v>1950</v>
      </c>
      <c r="E1006" s="475">
        <v>23</v>
      </c>
    </row>
    <row r="1007" spans="2:5" x14ac:dyDescent="0.35">
      <c r="B1007" s="473" t="s">
        <v>3917</v>
      </c>
      <c r="C1007" s="473" t="s">
        <v>1688</v>
      </c>
      <c r="D1007" s="474" t="s">
        <v>1679</v>
      </c>
      <c r="E1007" s="475">
        <v>33</v>
      </c>
    </row>
    <row r="1008" spans="2:5" x14ac:dyDescent="0.35">
      <c r="B1008" s="473" t="s">
        <v>2650</v>
      </c>
      <c r="C1008" s="473" t="s">
        <v>564</v>
      </c>
      <c r="D1008" s="474" t="s">
        <v>332</v>
      </c>
      <c r="E1008" s="475">
        <v>22</v>
      </c>
    </row>
    <row r="1009" spans="2:5" x14ac:dyDescent="0.35">
      <c r="B1009" s="473" t="s">
        <v>2904</v>
      </c>
      <c r="C1009" s="473" t="s">
        <v>795</v>
      </c>
      <c r="D1009" s="474" t="s">
        <v>332</v>
      </c>
      <c r="E1009" s="475">
        <v>22</v>
      </c>
    </row>
    <row r="1010" spans="2:5" x14ac:dyDescent="0.35">
      <c r="B1010" s="473" t="s">
        <v>3224</v>
      </c>
      <c r="C1010" s="473" t="s">
        <v>1058</v>
      </c>
      <c r="D1010" s="474" t="s">
        <v>879</v>
      </c>
      <c r="E1010" s="475">
        <v>23</v>
      </c>
    </row>
    <row r="1011" spans="2:5" x14ac:dyDescent="0.35">
      <c r="B1011" s="473" t="s">
        <v>3828</v>
      </c>
      <c r="C1011" s="473" t="s">
        <v>1602</v>
      </c>
      <c r="D1011" s="474" t="s">
        <v>1400</v>
      </c>
      <c r="E1011" s="475">
        <v>23</v>
      </c>
    </row>
    <row r="1012" spans="2:5" x14ac:dyDescent="0.35">
      <c r="B1012" s="473" t="s">
        <v>2629</v>
      </c>
      <c r="C1012" s="473" t="s">
        <v>542</v>
      </c>
      <c r="D1012" s="474" t="s">
        <v>332</v>
      </c>
      <c r="E1012" s="475">
        <v>12</v>
      </c>
    </row>
    <row r="1013" spans="2:5" x14ac:dyDescent="0.35">
      <c r="B1013" s="473" t="s">
        <v>4037</v>
      </c>
      <c r="C1013" s="473" t="s">
        <v>1798</v>
      </c>
      <c r="D1013" s="474" t="s">
        <v>1679</v>
      </c>
      <c r="E1013" s="475">
        <v>22</v>
      </c>
    </row>
    <row r="1014" spans="2:5" x14ac:dyDescent="0.35">
      <c r="B1014" s="473" t="s">
        <v>2999</v>
      </c>
      <c r="C1014" s="473" t="s">
        <v>866</v>
      </c>
      <c r="D1014" s="474" t="s">
        <v>332</v>
      </c>
      <c r="E1014" s="475">
        <v>34</v>
      </c>
    </row>
    <row r="1015" spans="2:5" x14ac:dyDescent="0.35">
      <c r="B1015" s="473" t="s">
        <v>3615</v>
      </c>
      <c r="C1015" s="473" t="s">
        <v>1403</v>
      </c>
      <c r="D1015" s="474" t="s">
        <v>1400</v>
      </c>
      <c r="E1015" s="475">
        <v>23</v>
      </c>
    </row>
    <row r="1016" spans="2:5" x14ac:dyDescent="0.35">
      <c r="B1016" s="473" t="s">
        <v>3956</v>
      </c>
      <c r="C1016" s="473" t="s">
        <v>1725</v>
      </c>
      <c r="D1016" s="474" t="s">
        <v>1679</v>
      </c>
      <c r="E1016" s="475">
        <v>12</v>
      </c>
    </row>
    <row r="1017" spans="2:5" x14ac:dyDescent="0.35">
      <c r="B1017" s="473" t="s">
        <v>2975</v>
      </c>
      <c r="C1017" s="473" t="s">
        <v>419</v>
      </c>
      <c r="D1017" s="474" t="s">
        <v>332</v>
      </c>
      <c r="E1017" s="475">
        <v>12</v>
      </c>
    </row>
    <row r="1018" spans="2:5" x14ac:dyDescent="0.35">
      <c r="B1018" s="473" t="s">
        <v>2946</v>
      </c>
      <c r="C1018" s="473" t="s">
        <v>834</v>
      </c>
      <c r="D1018" s="474" t="s">
        <v>332</v>
      </c>
      <c r="E1018" s="475">
        <v>22</v>
      </c>
    </row>
    <row r="1019" spans="2:5" x14ac:dyDescent="0.35">
      <c r="B1019" s="473" t="s">
        <v>3088</v>
      </c>
      <c r="C1019" s="473" t="s">
        <v>942</v>
      </c>
      <c r="D1019" s="474" t="s">
        <v>879</v>
      </c>
      <c r="E1019" s="475">
        <v>23</v>
      </c>
    </row>
    <row r="1020" spans="2:5" x14ac:dyDescent="0.35">
      <c r="B1020" s="473" t="s">
        <v>2529</v>
      </c>
      <c r="C1020" s="473" t="s">
        <v>448</v>
      </c>
      <c r="D1020" s="474" t="s">
        <v>332</v>
      </c>
      <c r="E1020" s="475">
        <v>32</v>
      </c>
    </row>
    <row r="1021" spans="2:5" x14ac:dyDescent="0.35">
      <c r="B1021" s="473" t="s">
        <v>3720</v>
      </c>
      <c r="C1021" s="473" t="s">
        <v>1504</v>
      </c>
      <c r="D1021" s="474" t="s">
        <v>1400</v>
      </c>
      <c r="E1021" s="475">
        <v>34</v>
      </c>
    </row>
    <row r="1022" spans="2:5" x14ac:dyDescent="0.35">
      <c r="B1022" s="473" t="s">
        <v>3638</v>
      </c>
      <c r="C1022" s="473" t="s">
        <v>1426</v>
      </c>
      <c r="D1022" s="474" t="s">
        <v>1400</v>
      </c>
      <c r="E1022" s="475">
        <v>22</v>
      </c>
    </row>
    <row r="1023" spans="2:5" x14ac:dyDescent="0.35">
      <c r="B1023" s="473" t="s">
        <v>4282</v>
      </c>
      <c r="C1023" s="473" t="s">
        <v>2028</v>
      </c>
      <c r="D1023" s="474" t="s">
        <v>1950</v>
      </c>
      <c r="E1023" s="475">
        <v>23</v>
      </c>
    </row>
    <row r="1024" spans="2:5" x14ac:dyDescent="0.35">
      <c r="B1024" s="473" t="s">
        <v>3374</v>
      </c>
      <c r="C1024" s="473" t="s">
        <v>1170</v>
      </c>
      <c r="D1024" s="474" t="s">
        <v>879</v>
      </c>
      <c r="E1024" s="475">
        <v>24</v>
      </c>
    </row>
    <row r="1025" spans="2:5" x14ac:dyDescent="0.35">
      <c r="B1025" s="473" t="s">
        <v>4252</v>
      </c>
      <c r="C1025" s="473" t="s">
        <v>1999</v>
      </c>
      <c r="D1025" s="474" t="s">
        <v>1950</v>
      </c>
      <c r="E1025" s="475">
        <v>11</v>
      </c>
    </row>
    <row r="1026" spans="2:5" x14ac:dyDescent="0.35">
      <c r="B1026" s="473" t="s">
        <v>2392</v>
      </c>
      <c r="C1026" s="473" t="s">
        <v>319</v>
      </c>
      <c r="D1026" s="474" t="s">
        <v>212</v>
      </c>
      <c r="E1026" s="475">
        <v>24</v>
      </c>
    </row>
    <row r="1027" spans="2:5" x14ac:dyDescent="0.35">
      <c r="B1027" s="473" t="s">
        <v>4098</v>
      </c>
      <c r="C1027" s="473" t="s">
        <v>1857</v>
      </c>
      <c r="D1027" s="474" t="s">
        <v>1679</v>
      </c>
      <c r="E1027" s="475">
        <v>23</v>
      </c>
    </row>
    <row r="1028" spans="2:5" x14ac:dyDescent="0.35">
      <c r="B1028" s="473" t="s">
        <v>2777</v>
      </c>
      <c r="C1028" s="473" t="s">
        <v>678</v>
      </c>
      <c r="D1028" s="474" t="s">
        <v>332</v>
      </c>
      <c r="E1028" s="475">
        <v>12</v>
      </c>
    </row>
    <row r="1029" spans="2:5" x14ac:dyDescent="0.35">
      <c r="B1029" s="473" t="s">
        <v>3676</v>
      </c>
      <c r="C1029" s="473" t="s">
        <v>1462</v>
      </c>
      <c r="D1029" s="474" t="s">
        <v>1400</v>
      </c>
      <c r="E1029" s="475">
        <v>22</v>
      </c>
    </row>
    <row r="1030" spans="2:5" x14ac:dyDescent="0.35">
      <c r="B1030" s="473" t="s">
        <v>4209</v>
      </c>
      <c r="C1030" s="473" t="s">
        <v>1963</v>
      </c>
      <c r="D1030" s="474" t="s">
        <v>1950</v>
      </c>
      <c r="E1030" s="475">
        <v>33</v>
      </c>
    </row>
    <row r="1031" spans="2:5" x14ac:dyDescent="0.35">
      <c r="B1031" s="473" t="s">
        <v>4140</v>
      </c>
      <c r="C1031" s="473" t="s">
        <v>1893</v>
      </c>
      <c r="D1031" s="474" t="s">
        <v>1679</v>
      </c>
      <c r="E1031" s="475">
        <v>12</v>
      </c>
    </row>
    <row r="1032" spans="2:5" x14ac:dyDescent="0.35">
      <c r="B1032" s="473" t="s">
        <v>2700</v>
      </c>
      <c r="C1032" s="473" t="s">
        <v>607</v>
      </c>
      <c r="D1032" s="474" t="s">
        <v>332</v>
      </c>
      <c r="E1032" s="475">
        <v>24</v>
      </c>
    </row>
    <row r="1033" spans="2:5" x14ac:dyDescent="0.35">
      <c r="B1033" s="473" t="s">
        <v>3688</v>
      </c>
      <c r="C1033" s="473" t="s">
        <v>1474</v>
      </c>
      <c r="D1033" s="474" t="s">
        <v>1400</v>
      </c>
      <c r="E1033" s="475">
        <v>11</v>
      </c>
    </row>
    <row r="1034" spans="2:5" x14ac:dyDescent="0.35">
      <c r="B1034" s="473" t="s">
        <v>4099</v>
      </c>
      <c r="C1034" s="473" t="s">
        <v>1858</v>
      </c>
      <c r="D1034" s="474" t="s">
        <v>1679</v>
      </c>
      <c r="E1034" s="475">
        <v>12</v>
      </c>
    </row>
    <row r="1035" spans="2:5" x14ac:dyDescent="0.35">
      <c r="B1035" s="473" t="s">
        <v>2104</v>
      </c>
      <c r="C1035" s="473" t="s">
        <v>48</v>
      </c>
      <c r="D1035" s="473" t="s">
        <v>40</v>
      </c>
      <c r="E1035" s="475">
        <v>23</v>
      </c>
    </row>
    <row r="1036" spans="2:5" x14ac:dyDescent="0.35">
      <c r="B1036" s="473" t="s">
        <v>2630</v>
      </c>
      <c r="C1036" s="473" t="s">
        <v>543</v>
      </c>
      <c r="D1036" s="474" t="s">
        <v>332</v>
      </c>
      <c r="E1036" s="475">
        <v>24</v>
      </c>
    </row>
    <row r="1037" spans="2:5" x14ac:dyDescent="0.35">
      <c r="B1037" s="473" t="s">
        <v>3300</v>
      </c>
      <c r="C1037" s="473" t="s">
        <v>1120</v>
      </c>
      <c r="D1037" s="474" t="s">
        <v>879</v>
      </c>
      <c r="E1037" s="475">
        <v>33</v>
      </c>
    </row>
    <row r="1038" spans="2:5" x14ac:dyDescent="0.35">
      <c r="B1038" s="473" t="s">
        <v>3592</v>
      </c>
      <c r="C1038" s="473" t="s">
        <v>1380</v>
      </c>
      <c r="D1038" s="474" t="s">
        <v>1282</v>
      </c>
      <c r="E1038" s="475">
        <v>32</v>
      </c>
    </row>
    <row r="1039" spans="2:5" x14ac:dyDescent="0.35">
      <c r="B1039" s="473" t="s">
        <v>2332</v>
      </c>
      <c r="C1039" s="473" t="s">
        <v>267</v>
      </c>
      <c r="D1039" s="474" t="s">
        <v>212</v>
      </c>
      <c r="E1039" s="475">
        <v>22</v>
      </c>
    </row>
    <row r="1040" spans="2:5" x14ac:dyDescent="0.35">
      <c r="B1040" s="473" t="s">
        <v>3032</v>
      </c>
      <c r="C1040" s="473" t="s">
        <v>900</v>
      </c>
      <c r="D1040" s="474" t="s">
        <v>879</v>
      </c>
      <c r="E1040" s="475">
        <v>22</v>
      </c>
    </row>
    <row r="1041" spans="2:5" x14ac:dyDescent="0.35">
      <c r="B1041" s="473" t="s">
        <v>2651</v>
      </c>
      <c r="C1041" s="473" t="s">
        <v>565</v>
      </c>
      <c r="D1041" s="474" t="s">
        <v>332</v>
      </c>
      <c r="E1041" s="475">
        <v>24</v>
      </c>
    </row>
    <row r="1042" spans="2:5" x14ac:dyDescent="0.35">
      <c r="B1042" s="473" t="s">
        <v>3428</v>
      </c>
      <c r="C1042" s="473" t="s">
        <v>1220</v>
      </c>
      <c r="D1042" s="474" t="s">
        <v>879</v>
      </c>
      <c r="E1042" s="475">
        <v>12</v>
      </c>
    </row>
    <row r="1043" spans="2:5" x14ac:dyDescent="0.35">
      <c r="B1043" s="473" t="s">
        <v>3700</v>
      </c>
      <c r="C1043" s="473" t="s">
        <v>1484</v>
      </c>
      <c r="D1043" s="474" t="s">
        <v>1400</v>
      </c>
      <c r="E1043" s="475">
        <v>11</v>
      </c>
    </row>
    <row r="1044" spans="2:5" x14ac:dyDescent="0.35">
      <c r="B1044" s="473" t="s">
        <v>2631</v>
      </c>
      <c r="C1044" s="473" t="s">
        <v>544</v>
      </c>
      <c r="D1044" s="474" t="s">
        <v>332</v>
      </c>
      <c r="E1044" s="475">
        <v>12</v>
      </c>
    </row>
    <row r="1045" spans="2:5" x14ac:dyDescent="0.35">
      <c r="B1045" s="473" t="s">
        <v>2471</v>
      </c>
      <c r="C1045" s="473" t="s">
        <v>379</v>
      </c>
      <c r="D1045" s="474" t="s">
        <v>332</v>
      </c>
      <c r="E1045" s="475">
        <v>11</v>
      </c>
    </row>
    <row r="1046" spans="2:5" x14ac:dyDescent="0.35">
      <c r="B1046" s="473" t="s">
        <v>3593</v>
      </c>
      <c r="C1046" s="473" t="s">
        <v>1381</v>
      </c>
      <c r="D1046" s="474" t="s">
        <v>1282</v>
      </c>
      <c r="E1046" s="475">
        <v>33</v>
      </c>
    </row>
    <row r="1047" spans="2:5" x14ac:dyDescent="0.35">
      <c r="B1047" s="473" t="s">
        <v>3203</v>
      </c>
      <c r="C1047" s="473" t="s">
        <v>1041</v>
      </c>
      <c r="D1047" s="474" t="s">
        <v>879</v>
      </c>
      <c r="E1047" s="475">
        <v>11</v>
      </c>
    </row>
    <row r="1048" spans="2:5" x14ac:dyDescent="0.35">
      <c r="B1048" s="473" t="s">
        <v>3089</v>
      </c>
      <c r="C1048" s="473" t="s">
        <v>943</v>
      </c>
      <c r="D1048" s="474" t="s">
        <v>879</v>
      </c>
      <c r="E1048" s="475">
        <v>34</v>
      </c>
    </row>
    <row r="1049" spans="2:5" x14ac:dyDescent="0.35">
      <c r="B1049" s="473" t="s">
        <v>2976</v>
      </c>
      <c r="C1049" s="473" t="s">
        <v>420</v>
      </c>
      <c r="D1049" s="474" t="s">
        <v>332</v>
      </c>
      <c r="E1049" s="475">
        <v>12</v>
      </c>
    </row>
    <row r="1050" spans="2:5" x14ac:dyDescent="0.35">
      <c r="B1050" s="473" t="s">
        <v>2530</v>
      </c>
      <c r="C1050" s="473" t="s">
        <v>449</v>
      </c>
      <c r="D1050" s="474" t="s">
        <v>332</v>
      </c>
      <c r="E1050" s="475">
        <v>23</v>
      </c>
    </row>
    <row r="1051" spans="2:5" x14ac:dyDescent="0.35">
      <c r="B1051" s="473" t="s">
        <v>4141</v>
      </c>
      <c r="C1051" s="473" t="s">
        <v>1894</v>
      </c>
      <c r="D1051" s="474" t="s">
        <v>1679</v>
      </c>
      <c r="E1051" s="475">
        <v>22</v>
      </c>
    </row>
    <row r="1052" spans="2:5" x14ac:dyDescent="0.35">
      <c r="B1052" s="473" t="s">
        <v>2277</v>
      </c>
      <c r="C1052" s="473" t="s">
        <v>220</v>
      </c>
      <c r="D1052" s="474" t="s">
        <v>212</v>
      </c>
      <c r="E1052" s="475">
        <v>34</v>
      </c>
    </row>
    <row r="1053" spans="2:5" x14ac:dyDescent="0.35">
      <c r="B1053" s="473" t="s">
        <v>3571</v>
      </c>
      <c r="C1053" s="473" t="s">
        <v>1359</v>
      </c>
      <c r="D1053" s="474" t="s">
        <v>1282</v>
      </c>
      <c r="E1053" s="475">
        <v>34</v>
      </c>
    </row>
    <row r="1054" spans="2:5" x14ac:dyDescent="0.35">
      <c r="B1054" s="473" t="s">
        <v>3957</v>
      </c>
      <c r="C1054" s="473" t="s">
        <v>1726</v>
      </c>
      <c r="D1054" s="474" t="s">
        <v>1679</v>
      </c>
      <c r="E1054" s="475">
        <v>24</v>
      </c>
    </row>
    <row r="1055" spans="2:5" x14ac:dyDescent="0.35">
      <c r="B1055" s="473" t="s">
        <v>3689</v>
      </c>
      <c r="C1055" s="473" t="s">
        <v>1475</v>
      </c>
      <c r="D1055" s="474" t="s">
        <v>1400</v>
      </c>
      <c r="E1055" s="475">
        <v>24</v>
      </c>
    </row>
    <row r="1056" spans="2:5" x14ac:dyDescent="0.35">
      <c r="B1056" s="473" t="s">
        <v>3301</v>
      </c>
      <c r="C1056" s="473" t="s">
        <v>1121</v>
      </c>
      <c r="D1056" s="474" t="s">
        <v>879</v>
      </c>
      <c r="E1056" s="475">
        <v>34</v>
      </c>
    </row>
    <row r="1057" spans="2:5" x14ac:dyDescent="0.35">
      <c r="B1057" s="473" t="s">
        <v>2652</v>
      </c>
      <c r="C1057" s="473" t="s">
        <v>566</v>
      </c>
      <c r="D1057" s="474" t="s">
        <v>332</v>
      </c>
      <c r="E1057" s="475">
        <v>34</v>
      </c>
    </row>
    <row r="1058" spans="2:5" x14ac:dyDescent="0.35">
      <c r="B1058" s="473" t="s">
        <v>3401</v>
      </c>
      <c r="C1058" s="473" t="s">
        <v>1195</v>
      </c>
      <c r="D1058" s="474" t="s">
        <v>879</v>
      </c>
      <c r="E1058" s="475">
        <v>23</v>
      </c>
    </row>
    <row r="1059" spans="2:5" x14ac:dyDescent="0.35">
      <c r="B1059" s="473" t="s">
        <v>2947</v>
      </c>
      <c r="C1059" s="473" t="s">
        <v>835</v>
      </c>
      <c r="D1059" s="474" t="s">
        <v>332</v>
      </c>
      <c r="E1059" s="475">
        <v>24</v>
      </c>
    </row>
    <row r="1060" spans="2:5" x14ac:dyDescent="0.35">
      <c r="B1060" s="473" t="s">
        <v>2948</v>
      </c>
      <c r="C1060" s="473" t="s">
        <v>836</v>
      </c>
      <c r="D1060" s="474" t="s">
        <v>332</v>
      </c>
      <c r="E1060" s="475">
        <v>23</v>
      </c>
    </row>
    <row r="1061" spans="2:5" x14ac:dyDescent="0.35">
      <c r="B1061" s="473" t="s">
        <v>3090</v>
      </c>
      <c r="C1061" s="473" t="s">
        <v>944</v>
      </c>
      <c r="D1061" s="474" t="s">
        <v>879</v>
      </c>
      <c r="E1061" s="475">
        <v>34</v>
      </c>
    </row>
    <row r="1062" spans="2:5" x14ac:dyDescent="0.35">
      <c r="B1062" s="473" t="s">
        <v>2310</v>
      </c>
      <c r="C1062" s="473" t="s">
        <v>249</v>
      </c>
      <c r="D1062" s="474" t="s">
        <v>212</v>
      </c>
      <c r="E1062" s="475">
        <v>23</v>
      </c>
    </row>
    <row r="1063" spans="2:5" x14ac:dyDescent="0.35">
      <c r="B1063" s="473" t="s">
        <v>3639</v>
      </c>
      <c r="C1063" s="473" t="s">
        <v>1427</v>
      </c>
      <c r="D1063" s="474" t="s">
        <v>1400</v>
      </c>
      <c r="E1063" s="475">
        <v>22</v>
      </c>
    </row>
    <row r="1064" spans="2:5" x14ac:dyDescent="0.35">
      <c r="B1064" s="473" t="s">
        <v>4100</v>
      </c>
      <c r="C1064" s="473" t="s">
        <v>1859</v>
      </c>
      <c r="D1064" s="474" t="s">
        <v>1679</v>
      </c>
      <c r="E1064" s="475">
        <v>11</v>
      </c>
    </row>
    <row r="1065" spans="2:5" x14ac:dyDescent="0.35">
      <c r="B1065" s="473" t="s">
        <v>3733</v>
      </c>
      <c r="C1065" s="473" t="s">
        <v>1515</v>
      </c>
      <c r="D1065" s="474" t="s">
        <v>1400</v>
      </c>
      <c r="E1065" s="475">
        <v>32</v>
      </c>
    </row>
    <row r="1066" spans="2:5" x14ac:dyDescent="0.35">
      <c r="B1066" s="473" t="s">
        <v>3758</v>
      </c>
      <c r="C1066" s="473" t="s">
        <v>1538</v>
      </c>
      <c r="D1066" s="474" t="s">
        <v>1400</v>
      </c>
      <c r="E1066" s="475">
        <v>23</v>
      </c>
    </row>
    <row r="1067" spans="2:5" x14ac:dyDescent="0.35">
      <c r="B1067" s="473" t="s">
        <v>2676</v>
      </c>
      <c r="C1067" s="473" t="s">
        <v>587</v>
      </c>
      <c r="D1067" s="474" t="s">
        <v>332</v>
      </c>
      <c r="E1067" s="475">
        <v>22</v>
      </c>
    </row>
    <row r="1068" spans="2:5" x14ac:dyDescent="0.35">
      <c r="B1068" s="473" t="s">
        <v>4253</v>
      </c>
      <c r="C1068" s="473" t="s">
        <v>2000</v>
      </c>
      <c r="D1068" s="474" t="s">
        <v>1950</v>
      </c>
      <c r="E1068" s="475">
        <v>23</v>
      </c>
    </row>
    <row r="1069" spans="2:5" x14ac:dyDescent="0.35">
      <c r="B1069" s="473" t="s">
        <v>3012</v>
      </c>
      <c r="C1069" s="473" t="s">
        <v>880</v>
      </c>
      <c r="D1069" s="474" t="s">
        <v>879</v>
      </c>
      <c r="E1069" s="475">
        <v>11</v>
      </c>
    </row>
    <row r="1070" spans="2:5" x14ac:dyDescent="0.35">
      <c r="B1070" s="473" t="s">
        <v>2566</v>
      </c>
      <c r="C1070" s="473" t="s">
        <v>485</v>
      </c>
      <c r="D1070" s="474" t="s">
        <v>332</v>
      </c>
      <c r="E1070" s="475">
        <v>34</v>
      </c>
    </row>
    <row r="1071" spans="2:5" x14ac:dyDescent="0.35">
      <c r="B1071" s="473" t="s">
        <v>2244</v>
      </c>
      <c r="C1071" s="473" t="s">
        <v>188</v>
      </c>
      <c r="D1071" s="473" t="s">
        <v>40</v>
      </c>
      <c r="E1071" s="475">
        <v>34</v>
      </c>
    </row>
    <row r="1072" spans="2:5" x14ac:dyDescent="0.35">
      <c r="B1072" s="473" t="s">
        <v>3815</v>
      </c>
      <c r="C1072" s="473" t="s">
        <v>3816</v>
      </c>
      <c r="D1072" s="474" t="s">
        <v>1400</v>
      </c>
      <c r="E1072" s="475">
        <v>12</v>
      </c>
    </row>
    <row r="1073" spans="2:5" x14ac:dyDescent="0.35">
      <c r="B1073" s="473" t="s">
        <v>4254</v>
      </c>
      <c r="C1073" s="473" t="s">
        <v>2001</v>
      </c>
      <c r="D1073" s="474" t="s">
        <v>1950</v>
      </c>
      <c r="E1073" s="475">
        <v>11</v>
      </c>
    </row>
    <row r="1074" spans="2:5" x14ac:dyDescent="0.35">
      <c r="B1074" s="473" t="s">
        <v>3033</v>
      </c>
      <c r="C1074" s="473" t="s">
        <v>901</v>
      </c>
      <c r="D1074" s="474" t="s">
        <v>879</v>
      </c>
      <c r="E1074" s="475">
        <v>24</v>
      </c>
    </row>
    <row r="1075" spans="2:5" x14ac:dyDescent="0.35">
      <c r="B1075" s="473" t="s">
        <v>2216</v>
      </c>
      <c r="C1075" s="473" t="s">
        <v>160</v>
      </c>
      <c r="D1075" s="473" t="s">
        <v>40</v>
      </c>
      <c r="E1075" s="475">
        <v>34</v>
      </c>
    </row>
    <row r="1076" spans="2:5" x14ac:dyDescent="0.35">
      <c r="B1076" s="473" t="s">
        <v>3594</v>
      </c>
      <c r="C1076" s="473" t="s">
        <v>1382</v>
      </c>
      <c r="D1076" s="474" t="s">
        <v>1282</v>
      </c>
      <c r="E1076" s="475">
        <v>34</v>
      </c>
    </row>
    <row r="1077" spans="2:5" x14ac:dyDescent="0.35">
      <c r="B1077" s="473" t="s">
        <v>3258</v>
      </c>
      <c r="C1077" s="473" t="s">
        <v>1084</v>
      </c>
      <c r="D1077" s="474" t="s">
        <v>879</v>
      </c>
      <c r="E1077" s="475">
        <v>24</v>
      </c>
    </row>
    <row r="1078" spans="2:5" x14ac:dyDescent="0.35">
      <c r="B1078" s="473" t="s">
        <v>2850</v>
      </c>
      <c r="C1078" s="473" t="s">
        <v>743</v>
      </c>
      <c r="D1078" s="474" t="s">
        <v>332</v>
      </c>
      <c r="E1078" s="475">
        <v>33</v>
      </c>
    </row>
    <row r="1079" spans="2:5" x14ac:dyDescent="0.35">
      <c r="B1079" s="473" t="s">
        <v>2165</v>
      </c>
      <c r="C1079" s="473" t="s">
        <v>109</v>
      </c>
      <c r="D1079" s="473" t="s">
        <v>40</v>
      </c>
      <c r="E1079" s="475">
        <v>32</v>
      </c>
    </row>
    <row r="1080" spans="2:5" x14ac:dyDescent="0.35">
      <c r="B1080" s="473" t="s">
        <v>3875</v>
      </c>
      <c r="C1080" s="473" t="s">
        <v>1647</v>
      </c>
      <c r="D1080" s="474" t="s">
        <v>1400</v>
      </c>
      <c r="E1080" s="475">
        <v>34</v>
      </c>
    </row>
    <row r="1081" spans="2:5" x14ac:dyDescent="0.35">
      <c r="B1081" s="473" t="s">
        <v>2245</v>
      </c>
      <c r="C1081" s="473" t="s">
        <v>189</v>
      </c>
      <c r="D1081" s="473" t="s">
        <v>40</v>
      </c>
      <c r="E1081" s="475">
        <v>34</v>
      </c>
    </row>
    <row r="1082" spans="2:5" x14ac:dyDescent="0.35">
      <c r="B1082" s="473" t="s">
        <v>2701</v>
      </c>
      <c r="C1082" s="473" t="s">
        <v>608</v>
      </c>
      <c r="D1082" s="474" t="s">
        <v>332</v>
      </c>
      <c r="E1082" s="475">
        <v>22</v>
      </c>
    </row>
    <row r="1083" spans="2:5" x14ac:dyDescent="0.35">
      <c r="B1083" s="473" t="s">
        <v>2118</v>
      </c>
      <c r="C1083" s="473" t="s">
        <v>62</v>
      </c>
      <c r="D1083" s="473" t="s">
        <v>40</v>
      </c>
      <c r="E1083" s="475">
        <v>24</v>
      </c>
    </row>
    <row r="1084" spans="2:5" x14ac:dyDescent="0.35">
      <c r="B1084" s="473" t="s">
        <v>4210</v>
      </c>
      <c r="C1084" s="473" t="s">
        <v>1964</v>
      </c>
      <c r="D1084" s="474" t="s">
        <v>1950</v>
      </c>
      <c r="E1084" s="475">
        <v>22</v>
      </c>
    </row>
    <row r="1085" spans="2:5" x14ac:dyDescent="0.35">
      <c r="B1085" s="473" t="s">
        <v>3375</v>
      </c>
      <c r="C1085" s="473" t="s">
        <v>1171</v>
      </c>
      <c r="D1085" s="474" t="s">
        <v>879</v>
      </c>
      <c r="E1085" s="475">
        <v>23</v>
      </c>
    </row>
    <row r="1086" spans="2:5" x14ac:dyDescent="0.35">
      <c r="B1086" s="473" t="s">
        <v>3778</v>
      </c>
      <c r="C1086" s="473" t="s">
        <v>1558</v>
      </c>
      <c r="D1086" s="474" t="s">
        <v>1400</v>
      </c>
      <c r="E1086" s="475">
        <v>22</v>
      </c>
    </row>
    <row r="1087" spans="2:5" x14ac:dyDescent="0.35">
      <c r="B1087" s="473" t="s">
        <v>4211</v>
      </c>
      <c r="C1087" s="473" t="s">
        <v>1965</v>
      </c>
      <c r="D1087" s="474" t="s">
        <v>1950</v>
      </c>
      <c r="E1087" s="475">
        <v>11</v>
      </c>
    </row>
    <row r="1088" spans="2:5" x14ac:dyDescent="0.35">
      <c r="B1088" s="473" t="s">
        <v>2285</v>
      </c>
      <c r="C1088" s="473" t="s">
        <v>228</v>
      </c>
      <c r="D1088" s="474" t="s">
        <v>212</v>
      </c>
      <c r="E1088" s="475">
        <v>24</v>
      </c>
    </row>
    <row r="1089" spans="2:5" x14ac:dyDescent="0.35">
      <c r="B1089" s="473" t="s">
        <v>2922</v>
      </c>
      <c r="C1089" s="473" t="s">
        <v>812</v>
      </c>
      <c r="D1089" s="474" t="s">
        <v>332</v>
      </c>
      <c r="E1089" s="475">
        <v>34</v>
      </c>
    </row>
    <row r="1090" spans="2:5" x14ac:dyDescent="0.35">
      <c r="B1090" s="473" t="s">
        <v>3225</v>
      </c>
      <c r="C1090" s="473" t="s">
        <v>1059</v>
      </c>
      <c r="D1090" s="474" t="s">
        <v>879</v>
      </c>
      <c r="E1090" s="475">
        <v>22</v>
      </c>
    </row>
    <row r="1091" spans="2:5" x14ac:dyDescent="0.35">
      <c r="B1091" s="473" t="s">
        <v>2878</v>
      </c>
      <c r="C1091" s="473" t="s">
        <v>773</v>
      </c>
      <c r="D1091" s="474" t="s">
        <v>332</v>
      </c>
      <c r="E1091" s="475">
        <v>33</v>
      </c>
    </row>
    <row r="1092" spans="2:5" x14ac:dyDescent="0.35">
      <c r="B1092" s="473" t="s">
        <v>2352</v>
      </c>
      <c r="C1092" s="473" t="s">
        <v>287</v>
      </c>
      <c r="D1092" s="474" t="s">
        <v>212</v>
      </c>
      <c r="E1092" s="475">
        <v>22</v>
      </c>
    </row>
    <row r="1093" spans="2:5" x14ac:dyDescent="0.35">
      <c r="B1093" s="473" t="s">
        <v>4271</v>
      </c>
      <c r="C1093" s="473" t="s">
        <v>2017</v>
      </c>
      <c r="D1093" s="474" t="s">
        <v>1950</v>
      </c>
      <c r="E1093" s="475">
        <v>11</v>
      </c>
    </row>
    <row r="1094" spans="2:5" x14ac:dyDescent="0.35">
      <c r="B1094" s="473" t="s">
        <v>2217</v>
      </c>
      <c r="C1094" s="473" t="s">
        <v>161</v>
      </c>
      <c r="D1094" s="473" t="s">
        <v>40</v>
      </c>
      <c r="E1094" s="475">
        <v>34</v>
      </c>
    </row>
    <row r="1095" spans="2:5" x14ac:dyDescent="0.35">
      <c r="B1095" s="473" t="s">
        <v>4283</v>
      </c>
      <c r="C1095" s="473" t="s">
        <v>2029</v>
      </c>
      <c r="D1095" s="474" t="s">
        <v>1950</v>
      </c>
      <c r="E1095" s="475">
        <v>12</v>
      </c>
    </row>
    <row r="1096" spans="2:5" x14ac:dyDescent="0.35">
      <c r="B1096" s="473" t="s">
        <v>2297</v>
      </c>
      <c r="C1096" s="473" t="s">
        <v>238</v>
      </c>
      <c r="D1096" s="474" t="s">
        <v>212</v>
      </c>
      <c r="E1096" s="475">
        <v>24</v>
      </c>
    </row>
    <row r="1097" spans="2:5" x14ac:dyDescent="0.35">
      <c r="B1097" s="473" t="s">
        <v>2585</v>
      </c>
      <c r="C1097" s="473" t="s">
        <v>500</v>
      </c>
      <c r="D1097" s="474" t="s">
        <v>332</v>
      </c>
      <c r="E1097" s="475">
        <v>34</v>
      </c>
    </row>
    <row r="1098" spans="2:5" x14ac:dyDescent="0.35">
      <c r="B1098" s="473" t="s">
        <v>3595</v>
      </c>
      <c r="C1098" s="473" t="s">
        <v>1383</v>
      </c>
      <c r="D1098" s="474" t="s">
        <v>1282</v>
      </c>
      <c r="E1098" s="475">
        <v>33</v>
      </c>
    </row>
    <row r="1099" spans="2:5" x14ac:dyDescent="0.35">
      <c r="B1099" s="473" t="s">
        <v>2586</v>
      </c>
      <c r="C1099" s="473" t="s">
        <v>501</v>
      </c>
      <c r="D1099" s="474" t="s">
        <v>332</v>
      </c>
      <c r="E1099" s="475">
        <v>32</v>
      </c>
    </row>
    <row r="1100" spans="2:5" x14ac:dyDescent="0.35">
      <c r="B1100" s="473" t="s">
        <v>2333</v>
      </c>
      <c r="C1100" s="473" t="s">
        <v>268</v>
      </c>
      <c r="D1100" s="474" t="s">
        <v>212</v>
      </c>
      <c r="E1100" s="475">
        <v>32</v>
      </c>
    </row>
    <row r="1101" spans="2:5" x14ac:dyDescent="0.35">
      <c r="B1101" s="473" t="s">
        <v>2334</v>
      </c>
      <c r="C1101" s="473" t="s">
        <v>269</v>
      </c>
      <c r="D1101" s="474" t="s">
        <v>212</v>
      </c>
      <c r="E1101" s="475">
        <v>24</v>
      </c>
    </row>
    <row r="1102" spans="2:5" x14ac:dyDescent="0.35">
      <c r="B1102" s="473" t="s">
        <v>2702</v>
      </c>
      <c r="C1102" s="473" t="s">
        <v>609</v>
      </c>
      <c r="D1102" s="474" t="s">
        <v>332</v>
      </c>
      <c r="E1102" s="475">
        <v>24</v>
      </c>
    </row>
    <row r="1103" spans="2:5" x14ac:dyDescent="0.35">
      <c r="B1103" s="473" t="s">
        <v>2500</v>
      </c>
      <c r="C1103" s="473" t="s">
        <v>406</v>
      </c>
      <c r="D1103" s="474" t="s">
        <v>332</v>
      </c>
      <c r="E1103" s="475">
        <v>23</v>
      </c>
    </row>
    <row r="1104" spans="2:5" x14ac:dyDescent="0.35">
      <c r="B1104" s="473" t="s">
        <v>2218</v>
      </c>
      <c r="C1104" s="473" t="s">
        <v>162</v>
      </c>
      <c r="D1104" s="473" t="s">
        <v>40</v>
      </c>
      <c r="E1104" s="475">
        <v>34</v>
      </c>
    </row>
    <row r="1105" spans="2:5" x14ac:dyDescent="0.35">
      <c r="B1105" s="473" t="s">
        <v>3429</v>
      </c>
      <c r="C1105" s="473" t="s">
        <v>1221</v>
      </c>
      <c r="D1105" s="474" t="s">
        <v>879</v>
      </c>
      <c r="E1105" s="475">
        <v>23</v>
      </c>
    </row>
    <row r="1106" spans="2:5" x14ac:dyDescent="0.35">
      <c r="B1106" s="473" t="s">
        <v>2531</v>
      </c>
      <c r="C1106" s="473" t="s">
        <v>450</v>
      </c>
      <c r="D1106" s="474" t="s">
        <v>332</v>
      </c>
      <c r="E1106" s="475">
        <v>24</v>
      </c>
    </row>
    <row r="1107" spans="2:5" x14ac:dyDescent="0.35">
      <c r="B1107" s="473" t="s">
        <v>2703</v>
      </c>
      <c r="C1107" s="473" t="s">
        <v>610</v>
      </c>
      <c r="D1107" s="474" t="s">
        <v>332</v>
      </c>
      <c r="E1107" s="475">
        <v>34</v>
      </c>
    </row>
    <row r="1108" spans="2:5" x14ac:dyDescent="0.35">
      <c r="B1108" s="473" t="s">
        <v>2532</v>
      </c>
      <c r="C1108" s="473" t="s">
        <v>451</v>
      </c>
      <c r="D1108" s="474" t="s">
        <v>332</v>
      </c>
      <c r="E1108" s="475">
        <v>32</v>
      </c>
    </row>
    <row r="1109" spans="2:5" x14ac:dyDescent="0.35">
      <c r="B1109" s="473" t="s">
        <v>3481</v>
      </c>
      <c r="C1109" s="473" t="s">
        <v>1269</v>
      </c>
      <c r="D1109" s="474" t="s">
        <v>879</v>
      </c>
      <c r="E1109" s="475">
        <v>11</v>
      </c>
    </row>
    <row r="1110" spans="2:5" x14ac:dyDescent="0.35">
      <c r="B1110" s="473" t="s">
        <v>3596</v>
      </c>
      <c r="C1110" s="473" t="s">
        <v>1384</v>
      </c>
      <c r="D1110" s="474" t="s">
        <v>1282</v>
      </c>
      <c r="E1110" s="475">
        <v>33</v>
      </c>
    </row>
    <row r="1111" spans="2:5" x14ac:dyDescent="0.35">
      <c r="B1111" s="473" t="s">
        <v>2778</v>
      </c>
      <c r="C1111" s="473" t="s">
        <v>679</v>
      </c>
      <c r="D1111" s="474" t="s">
        <v>332</v>
      </c>
      <c r="E1111" s="475">
        <v>11</v>
      </c>
    </row>
    <row r="1112" spans="2:5" x14ac:dyDescent="0.35">
      <c r="B1112" s="473" t="s">
        <v>2653</v>
      </c>
      <c r="C1112" s="473" t="s">
        <v>567</v>
      </c>
      <c r="D1112" s="474" t="s">
        <v>332</v>
      </c>
      <c r="E1112" s="475">
        <v>24</v>
      </c>
    </row>
    <row r="1113" spans="2:5" x14ac:dyDescent="0.35">
      <c r="B1113" s="473" t="s">
        <v>3770</v>
      </c>
      <c r="C1113" s="473" t="s">
        <v>1550</v>
      </c>
      <c r="D1113" s="474" t="s">
        <v>1400</v>
      </c>
      <c r="E1113" s="475">
        <v>12</v>
      </c>
    </row>
    <row r="1114" spans="2:5" x14ac:dyDescent="0.35">
      <c r="B1114" s="473" t="s">
        <v>3376</v>
      </c>
      <c r="C1114" s="473" t="s">
        <v>1172</v>
      </c>
      <c r="D1114" s="474" t="s">
        <v>879</v>
      </c>
      <c r="E1114" s="475">
        <v>24</v>
      </c>
    </row>
    <row r="1115" spans="2:5" x14ac:dyDescent="0.35">
      <c r="B1115" s="473" t="s">
        <v>2286</v>
      </c>
      <c r="C1115" s="473" t="s">
        <v>229</v>
      </c>
      <c r="D1115" s="474" t="s">
        <v>212</v>
      </c>
      <c r="E1115" s="475">
        <v>12</v>
      </c>
    </row>
    <row r="1116" spans="2:5" x14ac:dyDescent="0.35">
      <c r="B1116" s="473" t="s">
        <v>2287</v>
      </c>
      <c r="C1116" s="473" t="s">
        <v>230</v>
      </c>
      <c r="D1116" s="474" t="s">
        <v>212</v>
      </c>
      <c r="E1116" s="475">
        <v>22</v>
      </c>
    </row>
    <row r="1117" spans="2:5" x14ac:dyDescent="0.35">
      <c r="B1117" s="473" t="s">
        <v>3034</v>
      </c>
      <c r="C1117" s="473" t="s">
        <v>902</v>
      </c>
      <c r="D1117" s="474" t="s">
        <v>879</v>
      </c>
      <c r="E1117" s="475">
        <v>24</v>
      </c>
    </row>
    <row r="1118" spans="2:5" x14ac:dyDescent="0.35">
      <c r="B1118" s="473" t="s">
        <v>2704</v>
      </c>
      <c r="C1118" s="473" t="s">
        <v>611</v>
      </c>
      <c r="D1118" s="474" t="s">
        <v>332</v>
      </c>
      <c r="E1118" s="475">
        <v>34</v>
      </c>
    </row>
    <row r="1119" spans="2:5" x14ac:dyDescent="0.35">
      <c r="B1119" s="473" t="s">
        <v>2288</v>
      </c>
      <c r="C1119" s="473" t="s">
        <v>231</v>
      </c>
      <c r="D1119" s="474" t="s">
        <v>212</v>
      </c>
      <c r="E1119" s="475">
        <v>24</v>
      </c>
    </row>
    <row r="1120" spans="2:5" x14ac:dyDescent="0.35">
      <c r="B1120" s="473" t="s">
        <v>2851</v>
      </c>
      <c r="C1120" s="473" t="s">
        <v>744</v>
      </c>
      <c r="D1120" s="474" t="s">
        <v>332</v>
      </c>
      <c r="E1120" s="475">
        <v>22</v>
      </c>
    </row>
    <row r="1121" spans="2:5" x14ac:dyDescent="0.35">
      <c r="B1121" s="473" t="s">
        <v>2977</v>
      </c>
      <c r="C1121" s="473" t="s">
        <v>421</v>
      </c>
      <c r="D1121" s="474" t="s">
        <v>332</v>
      </c>
      <c r="E1121" s="475">
        <v>12</v>
      </c>
    </row>
    <row r="1122" spans="2:5" x14ac:dyDescent="0.35">
      <c r="B1122" s="473" t="s">
        <v>3572</v>
      </c>
      <c r="C1122" s="473" t="s">
        <v>1360</v>
      </c>
      <c r="D1122" s="474" t="s">
        <v>1282</v>
      </c>
      <c r="E1122" s="475">
        <v>34</v>
      </c>
    </row>
    <row r="1123" spans="2:5" x14ac:dyDescent="0.35">
      <c r="B1123" s="473" t="s">
        <v>2246</v>
      </c>
      <c r="C1123" s="473" t="s">
        <v>190</v>
      </c>
      <c r="D1123" s="473" t="s">
        <v>40</v>
      </c>
      <c r="E1123" s="475">
        <v>34</v>
      </c>
    </row>
    <row r="1124" spans="2:5" x14ac:dyDescent="0.35">
      <c r="B1124" s="473" t="s">
        <v>4038</v>
      </c>
      <c r="C1124" s="473" t="s">
        <v>1799</v>
      </c>
      <c r="D1124" s="474" t="s">
        <v>1679</v>
      </c>
      <c r="E1124" s="475">
        <v>24</v>
      </c>
    </row>
    <row r="1125" spans="2:5" x14ac:dyDescent="0.35">
      <c r="B1125" s="473" t="s">
        <v>3838</v>
      </c>
      <c r="C1125" s="473" t="s">
        <v>1612</v>
      </c>
      <c r="D1125" s="474" t="s">
        <v>1400</v>
      </c>
      <c r="E1125" s="475">
        <v>33</v>
      </c>
    </row>
    <row r="1126" spans="2:5" x14ac:dyDescent="0.35">
      <c r="B1126" s="473" t="s">
        <v>2852</v>
      </c>
      <c r="C1126" s="473" t="s">
        <v>745</v>
      </c>
      <c r="D1126" s="474" t="s">
        <v>332</v>
      </c>
      <c r="E1126" s="475">
        <v>23</v>
      </c>
    </row>
    <row r="1127" spans="2:5" x14ac:dyDescent="0.35">
      <c r="B1127" s="473" t="s">
        <v>2533</v>
      </c>
      <c r="C1127" s="473" t="s">
        <v>452</v>
      </c>
      <c r="D1127" s="474" t="s">
        <v>332</v>
      </c>
      <c r="E1127" s="475">
        <v>24</v>
      </c>
    </row>
    <row r="1128" spans="2:5" x14ac:dyDescent="0.35">
      <c r="B1128" s="473" t="s">
        <v>2247</v>
      </c>
      <c r="C1128" s="473" t="s">
        <v>191</v>
      </c>
      <c r="D1128" s="473" t="s">
        <v>40</v>
      </c>
      <c r="E1128" s="475">
        <v>34</v>
      </c>
    </row>
    <row r="1129" spans="2:5" x14ac:dyDescent="0.35">
      <c r="B1129" s="473" t="s">
        <v>3776</v>
      </c>
      <c r="C1129" s="473" t="s">
        <v>1556</v>
      </c>
      <c r="D1129" s="474" t="s">
        <v>1400</v>
      </c>
      <c r="E1129" s="475">
        <v>24</v>
      </c>
    </row>
    <row r="1130" spans="2:5" x14ac:dyDescent="0.35">
      <c r="B1130" s="473" t="s">
        <v>2248</v>
      </c>
      <c r="C1130" s="473" t="s">
        <v>192</v>
      </c>
      <c r="D1130" s="473" t="s">
        <v>40</v>
      </c>
      <c r="E1130" s="475">
        <v>34</v>
      </c>
    </row>
    <row r="1131" spans="2:5" x14ac:dyDescent="0.35">
      <c r="B1131" s="473" t="s">
        <v>2949</v>
      </c>
      <c r="C1131" s="473" t="s">
        <v>837</v>
      </c>
      <c r="D1131" s="474" t="s">
        <v>332</v>
      </c>
      <c r="E1131" s="475">
        <v>23</v>
      </c>
    </row>
    <row r="1132" spans="2:5" x14ac:dyDescent="0.35">
      <c r="B1132" s="473" t="s">
        <v>2219</v>
      </c>
      <c r="C1132" s="473" t="s">
        <v>163</v>
      </c>
      <c r="D1132" s="473" t="s">
        <v>40</v>
      </c>
      <c r="E1132" s="475">
        <v>33</v>
      </c>
    </row>
    <row r="1133" spans="2:5" x14ac:dyDescent="0.35">
      <c r="B1133" s="473" t="s">
        <v>3000</v>
      </c>
      <c r="C1133" s="473" t="s">
        <v>867</v>
      </c>
      <c r="D1133" s="474" t="s">
        <v>332</v>
      </c>
      <c r="E1133" s="475">
        <v>34</v>
      </c>
    </row>
    <row r="1134" spans="2:5" x14ac:dyDescent="0.35">
      <c r="B1134" s="473" t="s">
        <v>2166</v>
      </c>
      <c r="C1134" s="473" t="s">
        <v>110</v>
      </c>
      <c r="D1134" s="473" t="s">
        <v>40</v>
      </c>
      <c r="E1134" s="475">
        <v>22</v>
      </c>
    </row>
    <row r="1135" spans="2:5" x14ac:dyDescent="0.35">
      <c r="B1135" s="473" t="s">
        <v>3958</v>
      </c>
      <c r="C1135" s="473" t="s">
        <v>1727</v>
      </c>
      <c r="D1135" s="474" t="s">
        <v>1679</v>
      </c>
      <c r="E1135" s="475">
        <v>22</v>
      </c>
    </row>
    <row r="1136" spans="2:5" x14ac:dyDescent="0.35">
      <c r="B1136" s="473" t="s">
        <v>4101</v>
      </c>
      <c r="C1136" s="473" t="s">
        <v>1860</v>
      </c>
      <c r="D1136" s="474" t="s">
        <v>1679</v>
      </c>
      <c r="E1136" s="475">
        <v>23</v>
      </c>
    </row>
    <row r="1137" spans="2:5" x14ac:dyDescent="0.35">
      <c r="B1137" s="473" t="s">
        <v>2167</v>
      </c>
      <c r="C1137" s="473" t="s">
        <v>111</v>
      </c>
      <c r="D1137" s="473" t="s">
        <v>40</v>
      </c>
      <c r="E1137" s="475">
        <v>22</v>
      </c>
    </row>
    <row r="1138" spans="2:5" x14ac:dyDescent="0.35">
      <c r="B1138" s="473" t="s">
        <v>3035</v>
      </c>
      <c r="C1138" s="473" t="s">
        <v>903</v>
      </c>
      <c r="D1138" s="474" t="s">
        <v>879</v>
      </c>
      <c r="E1138" s="475">
        <v>23</v>
      </c>
    </row>
    <row r="1139" spans="2:5" x14ac:dyDescent="0.35">
      <c r="B1139" s="473" t="s">
        <v>3530</v>
      </c>
      <c r="C1139" s="473" t="s">
        <v>1318</v>
      </c>
      <c r="D1139" s="474" t="s">
        <v>1282</v>
      </c>
      <c r="E1139" s="475">
        <v>23</v>
      </c>
    </row>
    <row r="1140" spans="2:5" x14ac:dyDescent="0.35">
      <c r="B1140" s="473" t="s">
        <v>2950</v>
      </c>
      <c r="C1140" s="473" t="s">
        <v>838</v>
      </c>
      <c r="D1140" s="474" t="s">
        <v>332</v>
      </c>
      <c r="E1140" s="475">
        <v>12</v>
      </c>
    </row>
    <row r="1141" spans="2:5" x14ac:dyDescent="0.35">
      <c r="B1141" s="473" t="s">
        <v>2534</v>
      </c>
      <c r="C1141" s="473" t="s">
        <v>453</v>
      </c>
      <c r="D1141" s="474" t="s">
        <v>332</v>
      </c>
      <c r="E1141" s="475">
        <v>32</v>
      </c>
    </row>
    <row r="1142" spans="2:5" x14ac:dyDescent="0.35">
      <c r="B1142" s="473" t="s">
        <v>2978</v>
      </c>
      <c r="C1142" s="473" t="s">
        <v>764</v>
      </c>
      <c r="D1142" s="474" t="s">
        <v>332</v>
      </c>
      <c r="E1142" s="475">
        <v>22</v>
      </c>
    </row>
    <row r="1143" spans="2:5" x14ac:dyDescent="0.35">
      <c r="B1143" s="473" t="s">
        <v>3036</v>
      </c>
      <c r="C1143" s="473" t="s">
        <v>904</v>
      </c>
      <c r="D1143" s="474" t="s">
        <v>879</v>
      </c>
      <c r="E1143" s="475">
        <v>22</v>
      </c>
    </row>
    <row r="1144" spans="2:5" x14ac:dyDescent="0.35">
      <c r="B1144" s="473" t="s">
        <v>2654</v>
      </c>
      <c r="C1144" s="473" t="s">
        <v>568</v>
      </c>
      <c r="D1144" s="474" t="s">
        <v>332</v>
      </c>
      <c r="E1144" s="475">
        <v>12</v>
      </c>
    </row>
    <row r="1145" spans="2:5" x14ac:dyDescent="0.35">
      <c r="B1145" s="473" t="s">
        <v>3701</v>
      </c>
      <c r="C1145" s="473" t="s">
        <v>1485</v>
      </c>
      <c r="D1145" s="474" t="s">
        <v>1400</v>
      </c>
      <c r="E1145" s="475">
        <v>23</v>
      </c>
    </row>
    <row r="1146" spans="2:5" x14ac:dyDescent="0.35">
      <c r="B1146" s="473" t="s">
        <v>3573</v>
      </c>
      <c r="C1146" s="473" t="s">
        <v>1361</v>
      </c>
      <c r="D1146" s="474" t="s">
        <v>1282</v>
      </c>
      <c r="E1146" s="475">
        <v>33</v>
      </c>
    </row>
    <row r="1147" spans="2:5" x14ac:dyDescent="0.35">
      <c r="B1147" s="473" t="s">
        <v>3226</v>
      </c>
      <c r="C1147" s="473" t="s">
        <v>1060</v>
      </c>
      <c r="D1147" s="474" t="s">
        <v>879</v>
      </c>
      <c r="E1147" s="475">
        <v>22</v>
      </c>
    </row>
    <row r="1148" spans="2:5" x14ac:dyDescent="0.35">
      <c r="B1148" s="473" t="s">
        <v>3343</v>
      </c>
      <c r="C1148" s="473" t="s">
        <v>1149</v>
      </c>
      <c r="D1148" s="474" t="s">
        <v>879</v>
      </c>
      <c r="E1148" s="475">
        <v>24</v>
      </c>
    </row>
    <row r="1149" spans="2:5" x14ac:dyDescent="0.35">
      <c r="B1149" s="473" t="s">
        <v>4175</v>
      </c>
      <c r="C1149" s="473" t="s">
        <v>1928</v>
      </c>
      <c r="D1149" s="474" t="s">
        <v>1679</v>
      </c>
      <c r="E1149" s="475">
        <v>32</v>
      </c>
    </row>
    <row r="1150" spans="2:5" x14ac:dyDescent="0.35">
      <c r="B1150" s="473" t="s">
        <v>3144</v>
      </c>
      <c r="C1150" s="473" t="s">
        <v>990</v>
      </c>
      <c r="D1150" s="474" t="s">
        <v>879</v>
      </c>
      <c r="E1150" s="475">
        <v>22</v>
      </c>
    </row>
    <row r="1151" spans="2:5" x14ac:dyDescent="0.35">
      <c r="B1151" s="473" t="s">
        <v>3259</v>
      </c>
      <c r="C1151" s="473" t="s">
        <v>1085</v>
      </c>
      <c r="D1151" s="474" t="s">
        <v>879</v>
      </c>
      <c r="E1151" s="475">
        <v>24</v>
      </c>
    </row>
    <row r="1152" spans="2:5" x14ac:dyDescent="0.35">
      <c r="B1152" s="473" t="s">
        <v>4284</v>
      </c>
      <c r="C1152" s="473" t="s">
        <v>2030</v>
      </c>
      <c r="D1152" s="474" t="s">
        <v>1950</v>
      </c>
      <c r="E1152" s="475">
        <v>23</v>
      </c>
    </row>
    <row r="1153" spans="2:5" x14ac:dyDescent="0.35">
      <c r="B1153" s="473" t="s">
        <v>2610</v>
      </c>
      <c r="C1153" s="473" t="s">
        <v>525</v>
      </c>
      <c r="D1153" s="474" t="s">
        <v>332</v>
      </c>
      <c r="E1153" s="475">
        <v>33</v>
      </c>
    </row>
    <row r="1154" spans="2:5" x14ac:dyDescent="0.35">
      <c r="B1154" s="473" t="s">
        <v>2705</v>
      </c>
      <c r="C1154" s="473" t="s">
        <v>612</v>
      </c>
      <c r="D1154" s="474" t="s">
        <v>332</v>
      </c>
      <c r="E1154" s="475">
        <v>22</v>
      </c>
    </row>
    <row r="1155" spans="2:5" x14ac:dyDescent="0.35">
      <c r="B1155" s="473" t="s">
        <v>4255</v>
      </c>
      <c r="C1155" s="473" t="s">
        <v>2002</v>
      </c>
      <c r="D1155" s="474" t="s">
        <v>1950</v>
      </c>
      <c r="E1155" s="475">
        <v>23</v>
      </c>
    </row>
    <row r="1156" spans="2:5" x14ac:dyDescent="0.35">
      <c r="B1156" s="473" t="s">
        <v>2311</v>
      </c>
      <c r="C1156" s="473" t="s">
        <v>250</v>
      </c>
      <c r="D1156" s="474" t="s">
        <v>212</v>
      </c>
      <c r="E1156" s="475">
        <v>34</v>
      </c>
    </row>
    <row r="1157" spans="2:5" x14ac:dyDescent="0.35">
      <c r="B1157" s="473" t="s">
        <v>3888</v>
      </c>
      <c r="C1157" s="473" t="s">
        <v>1660</v>
      </c>
      <c r="D1157" s="474" t="s">
        <v>1400</v>
      </c>
      <c r="E1157" s="475">
        <v>24</v>
      </c>
    </row>
    <row r="1158" spans="2:5" x14ac:dyDescent="0.35">
      <c r="B1158" s="473" t="s">
        <v>3260</v>
      </c>
      <c r="C1158" s="473" t="s">
        <v>1086</v>
      </c>
      <c r="D1158" s="474" t="s">
        <v>879</v>
      </c>
      <c r="E1158" s="475">
        <v>24</v>
      </c>
    </row>
    <row r="1159" spans="2:5" x14ac:dyDescent="0.35">
      <c r="B1159" s="473" t="s">
        <v>3734</v>
      </c>
      <c r="C1159" s="473" t="s">
        <v>1516</v>
      </c>
      <c r="D1159" s="474" t="s">
        <v>1400</v>
      </c>
      <c r="E1159" s="475">
        <v>33</v>
      </c>
    </row>
    <row r="1160" spans="2:5" x14ac:dyDescent="0.35">
      <c r="B1160" s="473" t="s">
        <v>3145</v>
      </c>
      <c r="C1160" s="473" t="s">
        <v>991</v>
      </c>
      <c r="D1160" s="474" t="s">
        <v>879</v>
      </c>
      <c r="E1160" s="475">
        <v>23</v>
      </c>
    </row>
    <row r="1161" spans="2:5" x14ac:dyDescent="0.35">
      <c r="B1161" s="473" t="s">
        <v>2853</v>
      </c>
      <c r="C1161" s="473" t="s">
        <v>746</v>
      </c>
      <c r="D1161" s="474" t="s">
        <v>332</v>
      </c>
      <c r="E1161" s="475">
        <v>34</v>
      </c>
    </row>
    <row r="1162" spans="2:5" x14ac:dyDescent="0.35">
      <c r="B1162" s="473" t="s">
        <v>2312</v>
      </c>
      <c r="C1162" s="473" t="s">
        <v>251</v>
      </c>
      <c r="D1162" s="474" t="s">
        <v>212</v>
      </c>
      <c r="E1162" s="475">
        <v>22</v>
      </c>
    </row>
    <row r="1163" spans="2:5" x14ac:dyDescent="0.35">
      <c r="B1163" s="473" t="s">
        <v>3175</v>
      </c>
      <c r="C1163" s="473" t="s">
        <v>1015</v>
      </c>
      <c r="D1163" s="474" t="s">
        <v>879</v>
      </c>
      <c r="E1163" s="475">
        <v>23</v>
      </c>
    </row>
    <row r="1164" spans="2:5" x14ac:dyDescent="0.35">
      <c r="B1164" s="473" t="s">
        <v>2905</v>
      </c>
      <c r="C1164" s="473" t="s">
        <v>796</v>
      </c>
      <c r="D1164" s="474" t="s">
        <v>332</v>
      </c>
      <c r="E1164" s="475">
        <v>22</v>
      </c>
    </row>
    <row r="1165" spans="2:5" x14ac:dyDescent="0.35">
      <c r="B1165" s="473" t="s">
        <v>3959</v>
      </c>
      <c r="C1165" s="473" t="s">
        <v>1728</v>
      </c>
      <c r="D1165" s="474" t="s">
        <v>1679</v>
      </c>
      <c r="E1165" s="475">
        <v>23</v>
      </c>
    </row>
    <row r="1166" spans="2:5" x14ac:dyDescent="0.35">
      <c r="B1166" s="473" t="s">
        <v>3918</v>
      </c>
      <c r="C1166" s="473" t="s">
        <v>1689</v>
      </c>
      <c r="D1166" s="474" t="s">
        <v>1679</v>
      </c>
      <c r="E1166" s="475">
        <v>23</v>
      </c>
    </row>
    <row r="1167" spans="2:5" x14ac:dyDescent="0.35">
      <c r="B1167" s="473" t="s">
        <v>2951</v>
      </c>
      <c r="C1167" s="473" t="s">
        <v>839</v>
      </c>
      <c r="D1167" s="474" t="s">
        <v>332</v>
      </c>
      <c r="E1167" s="475">
        <v>24</v>
      </c>
    </row>
    <row r="1168" spans="2:5" x14ac:dyDescent="0.35">
      <c r="B1168" s="473" t="s">
        <v>3779</v>
      </c>
      <c r="C1168" s="473" t="s">
        <v>1559</v>
      </c>
      <c r="D1168" s="474" t="s">
        <v>1400</v>
      </c>
      <c r="E1168" s="475">
        <v>34</v>
      </c>
    </row>
    <row r="1169" spans="2:5" x14ac:dyDescent="0.35">
      <c r="B1169" s="473" t="s">
        <v>2335</v>
      </c>
      <c r="C1169" s="473" t="s">
        <v>270</v>
      </c>
      <c r="D1169" s="474" t="s">
        <v>212</v>
      </c>
      <c r="E1169" s="475">
        <v>23</v>
      </c>
    </row>
    <row r="1170" spans="2:5" x14ac:dyDescent="0.35">
      <c r="B1170" s="473" t="s">
        <v>3960</v>
      </c>
      <c r="C1170" s="473" t="s">
        <v>1729</v>
      </c>
      <c r="D1170" s="474" t="s">
        <v>1679</v>
      </c>
      <c r="E1170" s="475">
        <v>12</v>
      </c>
    </row>
    <row r="1171" spans="2:5" x14ac:dyDescent="0.35">
      <c r="B1171" s="473" t="s">
        <v>3919</v>
      </c>
      <c r="C1171" s="473" t="s">
        <v>1690</v>
      </c>
      <c r="D1171" s="474" t="s">
        <v>1679</v>
      </c>
      <c r="E1171" s="475">
        <v>24</v>
      </c>
    </row>
    <row r="1172" spans="2:5" x14ac:dyDescent="0.35">
      <c r="B1172" s="473" t="s">
        <v>2154</v>
      </c>
      <c r="C1172" s="473" t="s">
        <v>98</v>
      </c>
      <c r="D1172" s="473" t="s">
        <v>40</v>
      </c>
      <c r="E1172" s="475">
        <v>34</v>
      </c>
    </row>
    <row r="1173" spans="2:5" x14ac:dyDescent="0.35">
      <c r="B1173" s="473" t="s">
        <v>3037</v>
      </c>
      <c r="C1173" s="473" t="s">
        <v>905</v>
      </c>
      <c r="D1173" s="474" t="s">
        <v>879</v>
      </c>
      <c r="E1173" s="475">
        <v>22</v>
      </c>
    </row>
    <row r="1174" spans="2:5" x14ac:dyDescent="0.35">
      <c r="B1174" s="473" t="s">
        <v>2249</v>
      </c>
      <c r="C1174" s="473" t="s">
        <v>193</v>
      </c>
      <c r="D1174" s="473" t="s">
        <v>40</v>
      </c>
      <c r="E1174" s="475">
        <v>34</v>
      </c>
    </row>
    <row r="1175" spans="2:5" x14ac:dyDescent="0.35">
      <c r="B1175" s="473" t="s">
        <v>2750</v>
      </c>
      <c r="C1175" s="473" t="s">
        <v>661</v>
      </c>
      <c r="D1175" s="474" t="s">
        <v>332</v>
      </c>
      <c r="E1175" s="475">
        <v>32</v>
      </c>
    </row>
    <row r="1176" spans="2:5" x14ac:dyDescent="0.35">
      <c r="B1176" s="473" t="s">
        <v>4256</v>
      </c>
      <c r="C1176" s="473" t="s">
        <v>2003</v>
      </c>
      <c r="D1176" s="474" t="s">
        <v>1950</v>
      </c>
      <c r="E1176" s="475">
        <v>32</v>
      </c>
    </row>
    <row r="1177" spans="2:5" x14ac:dyDescent="0.35">
      <c r="B1177" s="473" t="s">
        <v>2677</v>
      </c>
      <c r="C1177" s="473" t="s">
        <v>588</v>
      </c>
      <c r="D1177" s="474" t="s">
        <v>332</v>
      </c>
      <c r="E1177" s="475">
        <v>33</v>
      </c>
    </row>
    <row r="1178" spans="2:5" x14ac:dyDescent="0.35">
      <c r="B1178" s="473" t="s">
        <v>3735</v>
      </c>
      <c r="C1178" s="473" t="s">
        <v>1517</v>
      </c>
      <c r="D1178" s="474" t="s">
        <v>1400</v>
      </c>
      <c r="E1178" s="475">
        <v>34</v>
      </c>
    </row>
    <row r="1179" spans="2:5" x14ac:dyDescent="0.35">
      <c r="B1179" s="473" t="s">
        <v>3780</v>
      </c>
      <c r="C1179" s="473" t="s">
        <v>1560</v>
      </c>
      <c r="D1179" s="474" t="s">
        <v>1400</v>
      </c>
      <c r="E1179" s="475">
        <v>23</v>
      </c>
    </row>
    <row r="1180" spans="2:5" x14ac:dyDescent="0.35">
      <c r="B1180" s="473" t="s">
        <v>3227</v>
      </c>
      <c r="C1180" s="473" t="s">
        <v>1061</v>
      </c>
      <c r="D1180" s="474" t="s">
        <v>879</v>
      </c>
      <c r="E1180" s="475">
        <v>24</v>
      </c>
    </row>
    <row r="1181" spans="2:5" x14ac:dyDescent="0.35">
      <c r="B1181" s="473" t="s">
        <v>2472</v>
      </c>
      <c r="C1181" s="473" t="s">
        <v>380</v>
      </c>
      <c r="D1181" s="474" t="s">
        <v>332</v>
      </c>
      <c r="E1181" s="475">
        <v>23</v>
      </c>
    </row>
    <row r="1182" spans="2:5" x14ac:dyDescent="0.35">
      <c r="B1182" s="473" t="s">
        <v>3597</v>
      </c>
      <c r="C1182" s="473" t="s">
        <v>1385</v>
      </c>
      <c r="D1182" s="474" t="s">
        <v>1282</v>
      </c>
      <c r="E1182" s="475">
        <v>32</v>
      </c>
    </row>
    <row r="1183" spans="2:5" x14ac:dyDescent="0.35">
      <c r="B1183" s="473" t="s">
        <v>2779</v>
      </c>
      <c r="C1183" s="473" t="s">
        <v>680</v>
      </c>
      <c r="D1183" s="474" t="s">
        <v>332</v>
      </c>
      <c r="E1183" s="475">
        <v>11</v>
      </c>
    </row>
    <row r="1184" spans="2:5" x14ac:dyDescent="0.35">
      <c r="B1184" s="473" t="s">
        <v>2155</v>
      </c>
      <c r="C1184" s="473" t="s">
        <v>99</v>
      </c>
      <c r="D1184" s="473" t="s">
        <v>40</v>
      </c>
      <c r="E1184" s="475">
        <v>33</v>
      </c>
    </row>
    <row r="1185" spans="2:5" x14ac:dyDescent="0.35">
      <c r="B1185" s="473" t="s">
        <v>4257</v>
      </c>
      <c r="C1185" s="473" t="s">
        <v>2004</v>
      </c>
      <c r="D1185" s="474" t="s">
        <v>1950</v>
      </c>
      <c r="E1185" s="475">
        <v>23</v>
      </c>
    </row>
    <row r="1186" spans="2:5" x14ac:dyDescent="0.35">
      <c r="B1186" s="473" t="s">
        <v>2313</v>
      </c>
      <c r="C1186" s="473" t="s">
        <v>252</v>
      </c>
      <c r="D1186" s="474" t="s">
        <v>212</v>
      </c>
      <c r="E1186" s="475">
        <v>23</v>
      </c>
    </row>
    <row r="1187" spans="2:5" x14ac:dyDescent="0.35">
      <c r="B1187" s="473" t="s">
        <v>3176</v>
      </c>
      <c r="C1187" s="473" t="s">
        <v>1016</v>
      </c>
      <c r="D1187" s="474" t="s">
        <v>879</v>
      </c>
      <c r="E1187" s="475">
        <v>33</v>
      </c>
    </row>
    <row r="1188" spans="2:5" x14ac:dyDescent="0.35">
      <c r="B1188" s="473" t="s">
        <v>2192</v>
      </c>
      <c r="C1188" s="473" t="s">
        <v>136</v>
      </c>
      <c r="D1188" s="473" t="s">
        <v>40</v>
      </c>
      <c r="E1188" s="475">
        <v>32</v>
      </c>
    </row>
    <row r="1189" spans="2:5" x14ac:dyDescent="0.35">
      <c r="B1189" s="473" t="s">
        <v>3430</v>
      </c>
      <c r="C1189" s="473" t="s">
        <v>1222</v>
      </c>
      <c r="D1189" s="474" t="s">
        <v>879</v>
      </c>
      <c r="E1189" s="475">
        <v>23</v>
      </c>
    </row>
    <row r="1190" spans="2:5" x14ac:dyDescent="0.35">
      <c r="B1190" s="473" t="s">
        <v>2801</v>
      </c>
      <c r="C1190" s="473" t="s">
        <v>698</v>
      </c>
      <c r="D1190" s="474" t="s">
        <v>332</v>
      </c>
      <c r="E1190" s="475">
        <v>34</v>
      </c>
    </row>
    <row r="1191" spans="2:5" x14ac:dyDescent="0.35">
      <c r="B1191" s="473" t="s">
        <v>2560</v>
      </c>
      <c r="C1191" s="473" t="s">
        <v>479</v>
      </c>
      <c r="D1191" s="474" t="s">
        <v>332</v>
      </c>
      <c r="E1191" s="475">
        <v>34</v>
      </c>
    </row>
    <row r="1192" spans="2:5" x14ac:dyDescent="0.35">
      <c r="B1192" s="473" t="s">
        <v>3038</v>
      </c>
      <c r="C1192" s="473" t="s">
        <v>906</v>
      </c>
      <c r="D1192" s="474" t="s">
        <v>879</v>
      </c>
      <c r="E1192" s="475">
        <v>24</v>
      </c>
    </row>
    <row r="1193" spans="2:5" x14ac:dyDescent="0.35">
      <c r="B1193" s="473" t="s">
        <v>2979</v>
      </c>
      <c r="C1193" s="473" t="s">
        <v>422</v>
      </c>
      <c r="D1193" s="474" t="s">
        <v>332</v>
      </c>
      <c r="E1193" s="475">
        <v>23</v>
      </c>
    </row>
    <row r="1194" spans="2:5" x14ac:dyDescent="0.35">
      <c r="B1194" s="473" t="s">
        <v>2289</v>
      </c>
      <c r="C1194" s="473" t="s">
        <v>232</v>
      </c>
      <c r="D1194" s="474" t="s">
        <v>212</v>
      </c>
      <c r="E1194" s="475">
        <v>23</v>
      </c>
    </row>
    <row r="1195" spans="2:5" x14ac:dyDescent="0.35">
      <c r="B1195" s="473" t="s">
        <v>3039</v>
      </c>
      <c r="C1195" s="473" t="s">
        <v>907</v>
      </c>
      <c r="D1195" s="474" t="s">
        <v>879</v>
      </c>
      <c r="E1195" s="475">
        <v>24</v>
      </c>
    </row>
    <row r="1196" spans="2:5" x14ac:dyDescent="0.35">
      <c r="B1196" s="473" t="s">
        <v>3759</v>
      </c>
      <c r="C1196" s="473" t="s">
        <v>1539</v>
      </c>
      <c r="D1196" s="474" t="s">
        <v>1400</v>
      </c>
      <c r="E1196" s="475">
        <v>24</v>
      </c>
    </row>
    <row r="1197" spans="2:5" x14ac:dyDescent="0.35">
      <c r="B1197" s="473" t="s">
        <v>2105</v>
      </c>
      <c r="C1197" s="473" t="s">
        <v>49</v>
      </c>
      <c r="D1197" s="473" t="s">
        <v>40</v>
      </c>
      <c r="E1197" s="475">
        <v>24</v>
      </c>
    </row>
    <row r="1198" spans="2:5" x14ac:dyDescent="0.35">
      <c r="B1198" s="473" t="s">
        <v>3261</v>
      </c>
      <c r="C1198" s="473" t="s">
        <v>1087</v>
      </c>
      <c r="D1198" s="474" t="s">
        <v>879</v>
      </c>
      <c r="E1198" s="475">
        <v>24</v>
      </c>
    </row>
    <row r="1199" spans="2:5" x14ac:dyDescent="0.35">
      <c r="B1199" s="473" t="s">
        <v>3781</v>
      </c>
      <c r="C1199" s="473" t="s">
        <v>1561</v>
      </c>
      <c r="D1199" s="474" t="s">
        <v>1400</v>
      </c>
      <c r="E1199" s="475">
        <v>23</v>
      </c>
    </row>
    <row r="1200" spans="2:5" x14ac:dyDescent="0.35">
      <c r="B1200" s="473" t="s">
        <v>2336</v>
      </c>
      <c r="C1200" s="473" t="s">
        <v>271</v>
      </c>
      <c r="D1200" s="474" t="s">
        <v>212</v>
      </c>
      <c r="E1200" s="475">
        <v>24</v>
      </c>
    </row>
    <row r="1201" spans="2:5" x14ac:dyDescent="0.35">
      <c r="B1201" s="473" t="s">
        <v>2149</v>
      </c>
      <c r="C1201" s="473" t="s">
        <v>93</v>
      </c>
      <c r="D1201" s="473" t="s">
        <v>40</v>
      </c>
      <c r="E1201" s="475">
        <v>34</v>
      </c>
    </row>
    <row r="1202" spans="2:5" x14ac:dyDescent="0.35">
      <c r="B1202" s="473" t="s">
        <v>3920</v>
      </c>
      <c r="C1202" s="473" t="s">
        <v>1691</v>
      </c>
      <c r="D1202" s="474" t="s">
        <v>1679</v>
      </c>
      <c r="E1202" s="475">
        <v>23</v>
      </c>
    </row>
    <row r="1203" spans="2:5" x14ac:dyDescent="0.35">
      <c r="B1203" s="473" t="s">
        <v>2915</v>
      </c>
      <c r="C1203" s="473" t="s">
        <v>804</v>
      </c>
      <c r="D1203" s="474" t="s">
        <v>332</v>
      </c>
      <c r="E1203" s="475">
        <v>22</v>
      </c>
    </row>
    <row r="1204" spans="2:5" x14ac:dyDescent="0.35">
      <c r="B1204" s="473" t="s">
        <v>2952</v>
      </c>
      <c r="C1204" s="473" t="s">
        <v>840</v>
      </c>
      <c r="D1204" s="474" t="s">
        <v>332</v>
      </c>
      <c r="E1204" s="475">
        <v>24</v>
      </c>
    </row>
    <row r="1205" spans="2:5" x14ac:dyDescent="0.35">
      <c r="B1205" s="473" t="s">
        <v>3559</v>
      </c>
      <c r="C1205" s="473" t="s">
        <v>1347</v>
      </c>
      <c r="D1205" s="474" t="s">
        <v>1282</v>
      </c>
      <c r="E1205" s="475">
        <v>34</v>
      </c>
    </row>
    <row r="1206" spans="2:5" x14ac:dyDescent="0.35">
      <c r="B1206" s="473" t="s">
        <v>3961</v>
      </c>
      <c r="C1206" s="473" t="s">
        <v>1730</v>
      </c>
      <c r="D1206" s="474" t="s">
        <v>1679</v>
      </c>
      <c r="E1206" s="475">
        <v>22</v>
      </c>
    </row>
    <row r="1207" spans="2:5" x14ac:dyDescent="0.35">
      <c r="B1207" s="473" t="s">
        <v>2337</v>
      </c>
      <c r="C1207" s="473" t="s">
        <v>272</v>
      </c>
      <c r="D1207" s="474" t="s">
        <v>212</v>
      </c>
      <c r="E1207" s="475">
        <v>24</v>
      </c>
    </row>
    <row r="1208" spans="2:5" x14ac:dyDescent="0.35">
      <c r="B1208" s="473" t="s">
        <v>2655</v>
      </c>
      <c r="C1208" s="473" t="s">
        <v>272</v>
      </c>
      <c r="D1208" s="474" t="s">
        <v>332</v>
      </c>
      <c r="E1208" s="475">
        <v>24</v>
      </c>
    </row>
    <row r="1209" spans="2:5" x14ac:dyDescent="0.35">
      <c r="B1209" s="473" t="s">
        <v>3742</v>
      </c>
      <c r="C1209" s="473" t="s">
        <v>1524</v>
      </c>
      <c r="D1209" s="474" t="s">
        <v>1400</v>
      </c>
      <c r="E1209" s="475">
        <v>34</v>
      </c>
    </row>
    <row r="1210" spans="2:5" x14ac:dyDescent="0.35">
      <c r="B1210" s="473" t="s">
        <v>2161</v>
      </c>
      <c r="C1210" s="473" t="s">
        <v>105</v>
      </c>
      <c r="D1210" s="473" t="s">
        <v>40</v>
      </c>
      <c r="E1210" s="475">
        <v>34</v>
      </c>
    </row>
    <row r="1211" spans="2:5" x14ac:dyDescent="0.35">
      <c r="B1211" s="473" t="s">
        <v>3262</v>
      </c>
      <c r="C1211" s="473" t="s">
        <v>1088</v>
      </c>
      <c r="D1211" s="474" t="s">
        <v>879</v>
      </c>
      <c r="E1211" s="475">
        <v>23</v>
      </c>
    </row>
    <row r="1212" spans="2:5" x14ac:dyDescent="0.35">
      <c r="B1212" s="473" t="s">
        <v>3574</v>
      </c>
      <c r="C1212" s="473" t="s">
        <v>1362</v>
      </c>
      <c r="D1212" s="474" t="s">
        <v>1282</v>
      </c>
      <c r="E1212" s="475">
        <v>34</v>
      </c>
    </row>
    <row r="1213" spans="2:5" x14ac:dyDescent="0.35">
      <c r="B1213" s="473" t="s">
        <v>2106</v>
      </c>
      <c r="C1213" s="473" t="s">
        <v>50</v>
      </c>
      <c r="D1213" s="473" t="s">
        <v>40</v>
      </c>
      <c r="E1213" s="475">
        <v>12</v>
      </c>
    </row>
    <row r="1214" spans="2:5" x14ac:dyDescent="0.35">
      <c r="B1214" s="473" t="s">
        <v>2780</v>
      </c>
      <c r="C1214" s="473" t="s">
        <v>681</v>
      </c>
      <c r="D1214" s="474" t="s">
        <v>332</v>
      </c>
      <c r="E1214" s="475">
        <v>23</v>
      </c>
    </row>
    <row r="1215" spans="2:5" x14ac:dyDescent="0.35">
      <c r="B1215" s="473" t="s">
        <v>3040</v>
      </c>
      <c r="C1215" s="473" t="s">
        <v>908</v>
      </c>
      <c r="D1215" s="474" t="s">
        <v>879</v>
      </c>
      <c r="E1215" s="475">
        <v>32</v>
      </c>
    </row>
    <row r="1216" spans="2:5" x14ac:dyDescent="0.35">
      <c r="B1216" s="473" t="s">
        <v>2706</v>
      </c>
      <c r="C1216" s="473" t="s">
        <v>613</v>
      </c>
      <c r="D1216" s="474" t="s">
        <v>332</v>
      </c>
      <c r="E1216" s="475">
        <v>34</v>
      </c>
    </row>
    <row r="1217" spans="2:5" x14ac:dyDescent="0.35">
      <c r="B1217" s="473" t="s">
        <v>4039</v>
      </c>
      <c r="C1217" s="473" t="s">
        <v>1800</v>
      </c>
      <c r="D1217" s="474" t="s">
        <v>1679</v>
      </c>
      <c r="E1217" s="475">
        <v>23</v>
      </c>
    </row>
    <row r="1218" spans="2:5" x14ac:dyDescent="0.35">
      <c r="B1218" s="473" t="s">
        <v>3228</v>
      </c>
      <c r="C1218" s="473" t="s">
        <v>1062</v>
      </c>
      <c r="D1218" s="474" t="s">
        <v>879</v>
      </c>
      <c r="E1218" s="475">
        <v>24</v>
      </c>
    </row>
    <row r="1219" spans="2:5" x14ac:dyDescent="0.35">
      <c r="B1219" s="473" t="s">
        <v>3344</v>
      </c>
      <c r="C1219" s="473" t="s">
        <v>1150</v>
      </c>
      <c r="D1219" s="474" t="s">
        <v>879</v>
      </c>
      <c r="E1219" s="475">
        <v>34</v>
      </c>
    </row>
    <row r="1220" spans="2:5" x14ac:dyDescent="0.35">
      <c r="B1220" s="473" t="s">
        <v>3748</v>
      </c>
      <c r="C1220" s="473" t="s">
        <v>1528</v>
      </c>
      <c r="D1220" s="474" t="s">
        <v>1400</v>
      </c>
      <c r="E1220" s="475">
        <v>32</v>
      </c>
    </row>
    <row r="1221" spans="2:5" x14ac:dyDescent="0.35">
      <c r="B1221" s="473" t="s">
        <v>3901</v>
      </c>
      <c r="C1221" s="473" t="s">
        <v>1671</v>
      </c>
      <c r="D1221" s="474" t="s">
        <v>1400</v>
      </c>
      <c r="E1221" s="475">
        <v>23</v>
      </c>
    </row>
    <row r="1222" spans="2:5" x14ac:dyDescent="0.35">
      <c r="B1222" s="473" t="s">
        <v>3889</v>
      </c>
      <c r="C1222" s="473" t="s">
        <v>1661</v>
      </c>
      <c r="D1222" s="474" t="s">
        <v>1400</v>
      </c>
      <c r="E1222" s="475">
        <v>23</v>
      </c>
    </row>
    <row r="1223" spans="2:5" x14ac:dyDescent="0.35">
      <c r="B1223" s="473" t="s">
        <v>3839</v>
      </c>
      <c r="C1223" s="473" t="s">
        <v>1613</v>
      </c>
      <c r="D1223" s="474" t="s">
        <v>1400</v>
      </c>
      <c r="E1223" s="475">
        <v>22</v>
      </c>
    </row>
    <row r="1224" spans="2:5" x14ac:dyDescent="0.35">
      <c r="B1224" s="473" t="s">
        <v>4142</v>
      </c>
      <c r="C1224" s="473" t="s">
        <v>1895</v>
      </c>
      <c r="D1224" s="474" t="s">
        <v>1679</v>
      </c>
      <c r="E1224" s="475">
        <v>23</v>
      </c>
    </row>
    <row r="1225" spans="2:5" x14ac:dyDescent="0.35">
      <c r="B1225" s="473" t="s">
        <v>3962</v>
      </c>
      <c r="C1225" s="473" t="s">
        <v>1731</v>
      </c>
      <c r="D1225" s="474" t="s">
        <v>1679</v>
      </c>
      <c r="E1225" s="475">
        <v>23</v>
      </c>
    </row>
    <row r="1226" spans="2:5" x14ac:dyDescent="0.35">
      <c r="B1226" s="473" t="s">
        <v>3229</v>
      </c>
      <c r="C1226" s="473" t="s">
        <v>1063</v>
      </c>
      <c r="D1226" s="474" t="s">
        <v>879</v>
      </c>
      <c r="E1226" s="475">
        <v>22</v>
      </c>
    </row>
    <row r="1227" spans="2:5" x14ac:dyDescent="0.35">
      <c r="B1227" s="473" t="s">
        <v>3782</v>
      </c>
      <c r="C1227" s="473" t="s">
        <v>1562</v>
      </c>
      <c r="D1227" s="474" t="s">
        <v>1400</v>
      </c>
      <c r="E1227" s="475">
        <v>24</v>
      </c>
    </row>
    <row r="1228" spans="2:5" x14ac:dyDescent="0.35">
      <c r="B1228" s="473" t="s">
        <v>4143</v>
      </c>
      <c r="C1228" s="473" t="s">
        <v>1896</v>
      </c>
      <c r="D1228" s="474" t="s">
        <v>1679</v>
      </c>
      <c r="E1228" s="475">
        <v>24</v>
      </c>
    </row>
    <row r="1229" spans="2:5" x14ac:dyDescent="0.35">
      <c r="B1229" s="473" t="s">
        <v>2587</v>
      </c>
      <c r="C1229" s="473" t="s">
        <v>502</v>
      </c>
      <c r="D1229" s="474" t="s">
        <v>332</v>
      </c>
      <c r="E1229" s="475">
        <v>34</v>
      </c>
    </row>
    <row r="1230" spans="2:5" x14ac:dyDescent="0.35">
      <c r="B1230" s="473" t="s">
        <v>3921</v>
      </c>
      <c r="C1230" s="473" t="s">
        <v>1692</v>
      </c>
      <c r="D1230" s="474" t="s">
        <v>1679</v>
      </c>
      <c r="E1230" s="475">
        <v>23</v>
      </c>
    </row>
    <row r="1231" spans="2:5" x14ac:dyDescent="0.35">
      <c r="B1231" s="473" t="s">
        <v>2802</v>
      </c>
      <c r="C1231" s="473" t="s">
        <v>699</v>
      </c>
      <c r="D1231" s="474" t="s">
        <v>332</v>
      </c>
      <c r="E1231" s="475">
        <v>24</v>
      </c>
    </row>
    <row r="1232" spans="2:5" x14ac:dyDescent="0.35">
      <c r="B1232" s="473" t="s">
        <v>3146</v>
      </c>
      <c r="C1232" s="473" t="s">
        <v>992</v>
      </c>
      <c r="D1232" s="474" t="s">
        <v>879</v>
      </c>
      <c r="E1232" s="475">
        <v>34</v>
      </c>
    </row>
    <row r="1233" spans="2:5" x14ac:dyDescent="0.35">
      <c r="B1233" s="473" t="s">
        <v>3963</v>
      </c>
      <c r="C1233" s="473" t="s">
        <v>1732</v>
      </c>
      <c r="D1233" s="474" t="s">
        <v>1679</v>
      </c>
      <c r="E1233" s="475">
        <v>22</v>
      </c>
    </row>
    <row r="1234" spans="2:5" x14ac:dyDescent="0.35">
      <c r="B1234" s="473" t="s">
        <v>4068</v>
      </c>
      <c r="C1234" s="473" t="s">
        <v>1829</v>
      </c>
      <c r="D1234" s="474" t="s">
        <v>1679</v>
      </c>
      <c r="E1234" s="475">
        <v>34</v>
      </c>
    </row>
    <row r="1235" spans="2:5" x14ac:dyDescent="0.35">
      <c r="B1235" s="473" t="s">
        <v>3964</v>
      </c>
      <c r="C1235" s="473" t="s">
        <v>1733</v>
      </c>
      <c r="D1235" s="474" t="s">
        <v>1679</v>
      </c>
      <c r="E1235" s="475">
        <v>22</v>
      </c>
    </row>
    <row r="1236" spans="2:5" x14ac:dyDescent="0.35">
      <c r="B1236" s="473" t="s">
        <v>3302</v>
      </c>
      <c r="C1236" s="473" t="s">
        <v>1122</v>
      </c>
      <c r="D1236" s="474" t="s">
        <v>879</v>
      </c>
      <c r="E1236" s="475">
        <v>34</v>
      </c>
    </row>
    <row r="1237" spans="2:5" x14ac:dyDescent="0.35">
      <c r="B1237" s="473" t="s">
        <v>2220</v>
      </c>
      <c r="C1237" s="473" t="s">
        <v>164</v>
      </c>
      <c r="D1237" s="473" t="s">
        <v>40</v>
      </c>
      <c r="E1237" s="475">
        <v>33</v>
      </c>
    </row>
    <row r="1238" spans="2:5" x14ac:dyDescent="0.35">
      <c r="B1238" s="473" t="s">
        <v>2854</v>
      </c>
      <c r="C1238" s="473" t="s">
        <v>747</v>
      </c>
      <c r="D1238" s="474" t="s">
        <v>332</v>
      </c>
      <c r="E1238" s="475">
        <v>24</v>
      </c>
    </row>
    <row r="1239" spans="2:5" x14ac:dyDescent="0.35">
      <c r="B1239" s="473" t="s">
        <v>4212</v>
      </c>
      <c r="C1239" s="473" t="s">
        <v>1966</v>
      </c>
      <c r="D1239" s="474" t="s">
        <v>1950</v>
      </c>
      <c r="E1239" s="475">
        <v>22</v>
      </c>
    </row>
    <row r="1240" spans="2:5" x14ac:dyDescent="0.35">
      <c r="B1240" s="473" t="s">
        <v>4144</v>
      </c>
      <c r="C1240" s="473" t="s">
        <v>1897</v>
      </c>
      <c r="D1240" s="474" t="s">
        <v>1679</v>
      </c>
      <c r="E1240" s="475">
        <v>24</v>
      </c>
    </row>
    <row r="1241" spans="2:5" x14ac:dyDescent="0.35">
      <c r="B1241" s="473" t="s">
        <v>3660</v>
      </c>
      <c r="C1241" s="473" t="s">
        <v>1448</v>
      </c>
      <c r="D1241" s="474" t="s">
        <v>1400</v>
      </c>
      <c r="E1241" s="475">
        <v>23</v>
      </c>
    </row>
    <row r="1242" spans="2:5" x14ac:dyDescent="0.35">
      <c r="B1242" s="473" t="s">
        <v>3840</v>
      </c>
      <c r="C1242" s="473" t="s">
        <v>1614</v>
      </c>
      <c r="D1242" s="474" t="s">
        <v>1400</v>
      </c>
      <c r="E1242" s="475">
        <v>34</v>
      </c>
    </row>
    <row r="1243" spans="2:5" x14ac:dyDescent="0.35">
      <c r="B1243" s="473" t="s">
        <v>2130</v>
      </c>
      <c r="C1243" s="473" t="s">
        <v>74</v>
      </c>
      <c r="D1243" s="473" t="s">
        <v>40</v>
      </c>
      <c r="E1243" s="475">
        <v>34</v>
      </c>
    </row>
    <row r="1244" spans="2:5" x14ac:dyDescent="0.35">
      <c r="B1244" s="473" t="s">
        <v>3876</v>
      </c>
      <c r="C1244" s="473" t="s">
        <v>1648</v>
      </c>
      <c r="D1244" s="474" t="s">
        <v>1400</v>
      </c>
      <c r="E1244" s="475">
        <v>34</v>
      </c>
    </row>
    <row r="1245" spans="2:5" x14ac:dyDescent="0.35">
      <c r="B1245" s="473" t="s">
        <v>2205</v>
      </c>
      <c r="C1245" s="473" t="s">
        <v>149</v>
      </c>
      <c r="D1245" s="473" t="s">
        <v>40</v>
      </c>
      <c r="E1245" s="475">
        <v>22</v>
      </c>
    </row>
    <row r="1246" spans="2:5" x14ac:dyDescent="0.35">
      <c r="B1246" s="473" t="s">
        <v>2751</v>
      </c>
      <c r="C1246" s="473" t="s">
        <v>662</v>
      </c>
      <c r="D1246" s="474" t="s">
        <v>332</v>
      </c>
      <c r="E1246" s="475">
        <v>33</v>
      </c>
    </row>
    <row r="1247" spans="2:5" x14ac:dyDescent="0.35">
      <c r="B1247" s="473" t="s">
        <v>2168</v>
      </c>
      <c r="C1247" s="473" t="s">
        <v>112</v>
      </c>
      <c r="D1247" s="473" t="s">
        <v>40</v>
      </c>
      <c r="E1247" s="475">
        <v>12</v>
      </c>
    </row>
    <row r="1248" spans="2:5" x14ac:dyDescent="0.35">
      <c r="B1248" s="473" t="s">
        <v>2107</v>
      </c>
      <c r="C1248" s="473" t="s">
        <v>51</v>
      </c>
      <c r="D1248" s="473" t="s">
        <v>40</v>
      </c>
      <c r="E1248" s="475">
        <v>22</v>
      </c>
    </row>
    <row r="1249" spans="2:5" x14ac:dyDescent="0.35">
      <c r="B1249" s="473" t="s">
        <v>3303</v>
      </c>
      <c r="C1249" s="473" t="s">
        <v>1123</v>
      </c>
      <c r="D1249" s="474" t="s">
        <v>879</v>
      </c>
      <c r="E1249" s="475">
        <v>33</v>
      </c>
    </row>
    <row r="1250" spans="2:5" x14ac:dyDescent="0.35">
      <c r="B1250" s="473" t="s">
        <v>2382</v>
      </c>
      <c r="C1250" s="473" t="s">
        <v>315</v>
      </c>
      <c r="D1250" s="474" t="s">
        <v>212</v>
      </c>
      <c r="E1250" s="475">
        <v>24</v>
      </c>
    </row>
    <row r="1251" spans="2:5" x14ac:dyDescent="0.35">
      <c r="B1251" s="473" t="s">
        <v>2156</v>
      </c>
      <c r="C1251" s="473" t="s">
        <v>100</v>
      </c>
      <c r="D1251" s="473" t="s">
        <v>40</v>
      </c>
      <c r="E1251" s="475">
        <v>34</v>
      </c>
    </row>
    <row r="1252" spans="2:5" x14ac:dyDescent="0.35">
      <c r="B1252" s="473" t="s">
        <v>3206</v>
      </c>
      <c r="C1252" s="473" t="s">
        <v>1042</v>
      </c>
      <c r="D1252" s="474" t="s">
        <v>879</v>
      </c>
      <c r="E1252" s="475">
        <v>22</v>
      </c>
    </row>
    <row r="1253" spans="2:5" x14ac:dyDescent="0.35">
      <c r="B1253" s="473" t="s">
        <v>2433</v>
      </c>
      <c r="C1253" s="473" t="s">
        <v>351</v>
      </c>
      <c r="D1253" s="474" t="s">
        <v>332</v>
      </c>
      <c r="E1253" s="475">
        <v>24</v>
      </c>
    </row>
    <row r="1254" spans="2:5" x14ac:dyDescent="0.35">
      <c r="B1254" s="473" t="s">
        <v>3263</v>
      </c>
      <c r="C1254" s="473" t="s">
        <v>1089</v>
      </c>
      <c r="D1254" s="474" t="s">
        <v>879</v>
      </c>
      <c r="E1254" s="475">
        <v>12</v>
      </c>
    </row>
    <row r="1255" spans="2:5" x14ac:dyDescent="0.35">
      <c r="B1255" s="473" t="s">
        <v>3598</v>
      </c>
      <c r="C1255" s="473" t="s">
        <v>1386</v>
      </c>
      <c r="D1255" s="474" t="s">
        <v>1282</v>
      </c>
      <c r="E1255" s="475">
        <v>33</v>
      </c>
    </row>
    <row r="1256" spans="2:5" x14ac:dyDescent="0.35">
      <c r="B1256" s="473" t="s">
        <v>3147</v>
      </c>
      <c r="C1256" s="473" t="s">
        <v>993</v>
      </c>
      <c r="D1256" s="474" t="s">
        <v>879</v>
      </c>
      <c r="E1256" s="475">
        <v>34</v>
      </c>
    </row>
    <row r="1257" spans="2:5" x14ac:dyDescent="0.35">
      <c r="B1257" s="473" t="s">
        <v>3041</v>
      </c>
      <c r="C1257" s="473" t="s">
        <v>909</v>
      </c>
      <c r="D1257" s="474" t="s">
        <v>879</v>
      </c>
      <c r="E1257" s="475">
        <v>24</v>
      </c>
    </row>
    <row r="1258" spans="2:5" x14ac:dyDescent="0.35">
      <c r="B1258" s="473" t="s">
        <v>3431</v>
      </c>
      <c r="C1258" s="473" t="s">
        <v>1223</v>
      </c>
      <c r="D1258" s="474" t="s">
        <v>879</v>
      </c>
      <c r="E1258" s="475">
        <v>22</v>
      </c>
    </row>
    <row r="1259" spans="2:5" x14ac:dyDescent="0.35">
      <c r="B1259" s="473" t="s">
        <v>3482</v>
      </c>
      <c r="C1259" s="473" t="s">
        <v>1270</v>
      </c>
      <c r="D1259" s="474" t="s">
        <v>879</v>
      </c>
      <c r="E1259" s="475">
        <v>22</v>
      </c>
    </row>
    <row r="1260" spans="2:5" x14ac:dyDescent="0.35">
      <c r="B1260" s="473" t="s">
        <v>2855</v>
      </c>
      <c r="C1260" s="473" t="s">
        <v>748</v>
      </c>
      <c r="D1260" s="474" t="s">
        <v>332</v>
      </c>
      <c r="E1260" s="475">
        <v>22</v>
      </c>
    </row>
    <row r="1261" spans="2:5" x14ac:dyDescent="0.35">
      <c r="B1261" s="473" t="s">
        <v>3531</v>
      </c>
      <c r="C1261" s="473" t="s">
        <v>1319</v>
      </c>
      <c r="D1261" s="474" t="s">
        <v>1282</v>
      </c>
      <c r="E1261" s="475">
        <v>22</v>
      </c>
    </row>
    <row r="1262" spans="2:5" x14ac:dyDescent="0.35">
      <c r="B1262" s="473" t="s">
        <v>2707</v>
      </c>
      <c r="C1262" s="473" t="s">
        <v>614</v>
      </c>
      <c r="D1262" s="474" t="s">
        <v>332</v>
      </c>
      <c r="E1262" s="475">
        <v>22</v>
      </c>
    </row>
    <row r="1263" spans="2:5" x14ac:dyDescent="0.35">
      <c r="B1263" s="473" t="s">
        <v>3148</v>
      </c>
      <c r="C1263" s="473" t="s">
        <v>994</v>
      </c>
      <c r="D1263" s="474" t="s">
        <v>879</v>
      </c>
      <c r="E1263" s="475">
        <v>22</v>
      </c>
    </row>
    <row r="1264" spans="2:5" x14ac:dyDescent="0.35">
      <c r="B1264" s="473" t="s">
        <v>3091</v>
      </c>
      <c r="C1264" s="473" t="s">
        <v>945</v>
      </c>
      <c r="D1264" s="474" t="s">
        <v>879</v>
      </c>
      <c r="E1264" s="475">
        <v>23</v>
      </c>
    </row>
    <row r="1265" spans="2:5" x14ac:dyDescent="0.35">
      <c r="B1265" s="473" t="s">
        <v>3749</v>
      </c>
      <c r="C1265" s="473" t="s">
        <v>1529</v>
      </c>
      <c r="D1265" s="474" t="s">
        <v>1400</v>
      </c>
      <c r="E1265" s="475">
        <v>33</v>
      </c>
    </row>
    <row r="1266" spans="2:5" x14ac:dyDescent="0.35">
      <c r="B1266" s="473" t="s">
        <v>2803</v>
      </c>
      <c r="C1266" s="473" t="s">
        <v>700</v>
      </c>
      <c r="D1266" s="474" t="s">
        <v>332</v>
      </c>
      <c r="E1266" s="475">
        <v>11</v>
      </c>
    </row>
    <row r="1267" spans="2:5" x14ac:dyDescent="0.35">
      <c r="B1267" s="473" t="s">
        <v>2193</v>
      </c>
      <c r="C1267" s="473" t="s">
        <v>137</v>
      </c>
      <c r="D1267" s="473" t="s">
        <v>40</v>
      </c>
      <c r="E1267" s="475">
        <v>32</v>
      </c>
    </row>
    <row r="1268" spans="2:5" x14ac:dyDescent="0.35">
      <c r="B1268" s="473" t="s">
        <v>2535</v>
      </c>
      <c r="C1268" s="473" t="s">
        <v>454</v>
      </c>
      <c r="D1268" s="474" t="s">
        <v>332</v>
      </c>
      <c r="E1268" s="475">
        <v>34</v>
      </c>
    </row>
    <row r="1269" spans="2:5" x14ac:dyDescent="0.35">
      <c r="B1269" s="473" t="s">
        <v>2434</v>
      </c>
      <c r="C1269" s="473" t="s">
        <v>352</v>
      </c>
      <c r="D1269" s="474" t="s">
        <v>332</v>
      </c>
      <c r="E1269" s="475">
        <v>23</v>
      </c>
    </row>
    <row r="1270" spans="2:5" x14ac:dyDescent="0.35">
      <c r="B1270" s="473" t="s">
        <v>2264</v>
      </c>
      <c r="C1270" s="473" t="s">
        <v>208</v>
      </c>
      <c r="D1270" s="473" t="s">
        <v>40</v>
      </c>
      <c r="E1270" s="475">
        <v>34</v>
      </c>
    </row>
    <row r="1271" spans="2:5" x14ac:dyDescent="0.35">
      <c r="B1271" s="473" t="s">
        <v>2131</v>
      </c>
      <c r="C1271" s="473" t="s">
        <v>75</v>
      </c>
      <c r="D1271" s="473" t="s">
        <v>40</v>
      </c>
      <c r="E1271" s="475">
        <v>34</v>
      </c>
    </row>
    <row r="1272" spans="2:5" x14ac:dyDescent="0.35">
      <c r="B1272" s="473" t="s">
        <v>3311</v>
      </c>
      <c r="C1272" s="473" t="s">
        <v>1131</v>
      </c>
      <c r="D1272" s="474" t="s">
        <v>879</v>
      </c>
      <c r="E1272" s="475">
        <v>34</v>
      </c>
    </row>
    <row r="1273" spans="2:5" x14ac:dyDescent="0.35">
      <c r="B1273" s="473" t="s">
        <v>3965</v>
      </c>
      <c r="C1273" s="473" t="s">
        <v>1734</v>
      </c>
      <c r="D1273" s="474" t="s">
        <v>1679</v>
      </c>
      <c r="E1273" s="475">
        <v>33</v>
      </c>
    </row>
    <row r="1274" spans="2:5" x14ac:dyDescent="0.35">
      <c r="B1274" s="473" t="s">
        <v>2856</v>
      </c>
      <c r="C1274" s="473" t="s">
        <v>749</v>
      </c>
      <c r="D1274" s="474" t="s">
        <v>332</v>
      </c>
      <c r="E1274" s="475">
        <v>23</v>
      </c>
    </row>
    <row r="1275" spans="2:5" x14ac:dyDescent="0.35">
      <c r="B1275" s="473" t="s">
        <v>2221</v>
      </c>
      <c r="C1275" s="473" t="s">
        <v>165</v>
      </c>
      <c r="D1275" s="473" t="s">
        <v>40</v>
      </c>
      <c r="E1275" s="475">
        <v>33</v>
      </c>
    </row>
    <row r="1276" spans="2:5" x14ac:dyDescent="0.35">
      <c r="B1276" s="473" t="s">
        <v>2194</v>
      </c>
      <c r="C1276" s="473" t="s">
        <v>138</v>
      </c>
      <c r="D1276" s="473" t="s">
        <v>40</v>
      </c>
      <c r="E1276" s="475">
        <v>33</v>
      </c>
    </row>
    <row r="1277" spans="2:5" x14ac:dyDescent="0.35">
      <c r="B1277" s="473" t="s">
        <v>2638</v>
      </c>
      <c r="C1277" s="473" t="s">
        <v>551</v>
      </c>
      <c r="D1277" s="474" t="s">
        <v>332</v>
      </c>
      <c r="E1277" s="475">
        <v>24</v>
      </c>
    </row>
    <row r="1278" spans="2:5" x14ac:dyDescent="0.35">
      <c r="B1278" s="473" t="s">
        <v>3304</v>
      </c>
      <c r="C1278" s="473" t="s">
        <v>1124</v>
      </c>
      <c r="D1278" s="474" t="s">
        <v>879</v>
      </c>
      <c r="E1278" s="475">
        <v>34</v>
      </c>
    </row>
    <row r="1279" spans="2:5" x14ac:dyDescent="0.35">
      <c r="B1279" s="473" t="s">
        <v>2752</v>
      </c>
      <c r="C1279" s="473" t="s">
        <v>663</v>
      </c>
      <c r="D1279" s="474" t="s">
        <v>332</v>
      </c>
      <c r="E1279" s="475">
        <v>34</v>
      </c>
    </row>
    <row r="1280" spans="2:5" x14ac:dyDescent="0.35">
      <c r="B1280" s="473" t="s">
        <v>4040</v>
      </c>
      <c r="C1280" s="473" t="s">
        <v>1801</v>
      </c>
      <c r="D1280" s="474" t="s">
        <v>1679</v>
      </c>
      <c r="E1280" s="475">
        <v>23</v>
      </c>
    </row>
    <row r="1281" spans="2:5" x14ac:dyDescent="0.35">
      <c r="B1281" s="473" t="s">
        <v>4041</v>
      </c>
      <c r="C1281" s="473" t="s">
        <v>1802</v>
      </c>
      <c r="D1281" s="474" t="s">
        <v>1679</v>
      </c>
      <c r="E1281" s="475">
        <v>24</v>
      </c>
    </row>
    <row r="1282" spans="2:5" x14ac:dyDescent="0.35">
      <c r="B1282" s="473" t="s">
        <v>3207</v>
      </c>
      <c r="C1282" s="473" t="s">
        <v>1043</v>
      </c>
      <c r="D1282" s="474" t="s">
        <v>879</v>
      </c>
      <c r="E1282" s="475">
        <v>23</v>
      </c>
    </row>
    <row r="1283" spans="2:5" x14ac:dyDescent="0.35">
      <c r="B1283" s="473" t="s">
        <v>3599</v>
      </c>
      <c r="C1283" s="473" t="s">
        <v>1387</v>
      </c>
      <c r="D1283" s="474" t="s">
        <v>1282</v>
      </c>
      <c r="E1283" s="475">
        <v>33</v>
      </c>
    </row>
    <row r="1284" spans="2:5" x14ac:dyDescent="0.35">
      <c r="B1284" s="473" t="s">
        <v>3432</v>
      </c>
      <c r="C1284" s="473" t="s">
        <v>1224</v>
      </c>
      <c r="D1284" s="474" t="s">
        <v>879</v>
      </c>
      <c r="E1284" s="475">
        <v>24</v>
      </c>
    </row>
    <row r="1285" spans="2:5" x14ac:dyDescent="0.35">
      <c r="B1285" s="473" t="s">
        <v>3305</v>
      </c>
      <c r="C1285" s="473" t="s">
        <v>1125</v>
      </c>
      <c r="D1285" s="474" t="s">
        <v>879</v>
      </c>
      <c r="E1285" s="475">
        <v>22</v>
      </c>
    </row>
    <row r="1286" spans="2:5" x14ac:dyDescent="0.35">
      <c r="B1286" s="473" t="s">
        <v>3743</v>
      </c>
      <c r="C1286" s="473" t="s">
        <v>1525</v>
      </c>
      <c r="D1286" s="474" t="s">
        <v>1400</v>
      </c>
      <c r="E1286" s="475">
        <v>23</v>
      </c>
    </row>
    <row r="1287" spans="2:5" x14ac:dyDescent="0.35">
      <c r="B1287" s="473" t="s">
        <v>2222</v>
      </c>
      <c r="C1287" s="473" t="s">
        <v>166</v>
      </c>
      <c r="D1287" s="473" t="s">
        <v>40</v>
      </c>
      <c r="E1287" s="475">
        <v>34</v>
      </c>
    </row>
    <row r="1288" spans="2:5" x14ac:dyDescent="0.35">
      <c r="B1288" s="473" t="s">
        <v>3702</v>
      </c>
      <c r="C1288" s="473" t="s">
        <v>1486</v>
      </c>
      <c r="D1288" s="474" t="s">
        <v>1400</v>
      </c>
      <c r="E1288" s="475">
        <v>12</v>
      </c>
    </row>
    <row r="1289" spans="2:5" x14ac:dyDescent="0.35">
      <c r="B1289" s="473" t="s">
        <v>4102</v>
      </c>
      <c r="C1289" s="473" t="s">
        <v>1861</v>
      </c>
      <c r="D1289" s="474" t="s">
        <v>1679</v>
      </c>
      <c r="E1289" s="475">
        <v>22</v>
      </c>
    </row>
    <row r="1290" spans="2:5" x14ac:dyDescent="0.35">
      <c r="B1290" s="473" t="s">
        <v>2708</v>
      </c>
      <c r="C1290" s="473" t="s">
        <v>615</v>
      </c>
      <c r="D1290" s="474" t="s">
        <v>332</v>
      </c>
      <c r="E1290" s="475">
        <v>34</v>
      </c>
    </row>
    <row r="1291" spans="2:5" x14ac:dyDescent="0.35">
      <c r="B1291" s="473" t="s">
        <v>2364</v>
      </c>
      <c r="C1291" s="473" t="s">
        <v>299</v>
      </c>
      <c r="D1291" s="474" t="s">
        <v>212</v>
      </c>
      <c r="E1291" s="475">
        <v>23</v>
      </c>
    </row>
    <row r="1292" spans="2:5" x14ac:dyDescent="0.35">
      <c r="B1292" s="473" t="s">
        <v>3177</v>
      </c>
      <c r="C1292" s="473" t="s">
        <v>1017</v>
      </c>
      <c r="D1292" s="474" t="s">
        <v>879</v>
      </c>
      <c r="E1292" s="475">
        <v>23</v>
      </c>
    </row>
    <row r="1293" spans="2:5" x14ac:dyDescent="0.35">
      <c r="B1293" s="473" t="s">
        <v>3433</v>
      </c>
      <c r="C1293" s="473" t="s">
        <v>1225</v>
      </c>
      <c r="D1293" s="474" t="s">
        <v>879</v>
      </c>
      <c r="E1293" s="475">
        <v>24</v>
      </c>
    </row>
    <row r="1294" spans="2:5" x14ac:dyDescent="0.35">
      <c r="B1294" s="473" t="s">
        <v>3532</v>
      </c>
      <c r="C1294" s="473" t="s">
        <v>1320</v>
      </c>
      <c r="D1294" s="474" t="s">
        <v>1282</v>
      </c>
      <c r="E1294" s="475">
        <v>22</v>
      </c>
    </row>
    <row r="1295" spans="2:5" x14ac:dyDescent="0.35">
      <c r="B1295" s="473" t="s">
        <v>2857</v>
      </c>
      <c r="C1295" s="473" t="s">
        <v>750</v>
      </c>
      <c r="D1295" s="474" t="s">
        <v>332</v>
      </c>
      <c r="E1295" s="475">
        <v>24</v>
      </c>
    </row>
    <row r="1296" spans="2:5" x14ac:dyDescent="0.35">
      <c r="B1296" s="473" t="s">
        <v>4103</v>
      </c>
      <c r="C1296" s="473" t="s">
        <v>1862</v>
      </c>
      <c r="D1296" s="474" t="s">
        <v>1679</v>
      </c>
      <c r="E1296" s="475">
        <v>12</v>
      </c>
    </row>
    <row r="1297" spans="2:5" x14ac:dyDescent="0.35">
      <c r="B1297" s="473" t="s">
        <v>4213</v>
      </c>
      <c r="C1297" s="473" t="s">
        <v>1967</v>
      </c>
      <c r="D1297" s="474" t="s">
        <v>1950</v>
      </c>
      <c r="E1297" s="475">
        <v>11</v>
      </c>
    </row>
    <row r="1298" spans="2:5" x14ac:dyDescent="0.35">
      <c r="B1298" s="473" t="s">
        <v>3819</v>
      </c>
      <c r="C1298" s="473" t="s">
        <v>1593</v>
      </c>
      <c r="D1298" s="474" t="s">
        <v>1400</v>
      </c>
      <c r="E1298" s="475">
        <v>24</v>
      </c>
    </row>
    <row r="1299" spans="2:5" x14ac:dyDescent="0.35">
      <c r="B1299" s="473" t="s">
        <v>3502</v>
      </c>
      <c r="C1299" s="473" t="s">
        <v>1290</v>
      </c>
      <c r="D1299" s="474" t="s">
        <v>1282</v>
      </c>
      <c r="E1299" s="475">
        <v>12</v>
      </c>
    </row>
    <row r="1300" spans="2:5" x14ac:dyDescent="0.35">
      <c r="B1300" s="473" t="s">
        <v>2250</v>
      </c>
      <c r="C1300" s="473" t="s">
        <v>194</v>
      </c>
      <c r="D1300" s="473" t="s">
        <v>40</v>
      </c>
      <c r="E1300" s="475">
        <v>34</v>
      </c>
    </row>
    <row r="1301" spans="2:5" x14ac:dyDescent="0.35">
      <c r="B1301" s="473" t="s">
        <v>2338</v>
      </c>
      <c r="C1301" s="473" t="s">
        <v>273</v>
      </c>
      <c r="D1301" s="474" t="s">
        <v>212</v>
      </c>
      <c r="E1301" s="475">
        <v>22</v>
      </c>
    </row>
    <row r="1302" spans="2:5" x14ac:dyDescent="0.35">
      <c r="B1302" s="473" t="s">
        <v>2858</v>
      </c>
      <c r="C1302" s="473" t="s">
        <v>751</v>
      </c>
      <c r="D1302" s="474" t="s">
        <v>332</v>
      </c>
      <c r="E1302" s="475">
        <v>22</v>
      </c>
    </row>
    <row r="1303" spans="2:5" x14ac:dyDescent="0.35">
      <c r="B1303" s="473" t="s">
        <v>3677</v>
      </c>
      <c r="C1303" s="473" t="s">
        <v>1463</v>
      </c>
      <c r="D1303" s="474" t="s">
        <v>1400</v>
      </c>
      <c r="E1303" s="475">
        <v>34</v>
      </c>
    </row>
    <row r="1304" spans="2:5" x14ac:dyDescent="0.35">
      <c r="B1304" s="473" t="s">
        <v>3434</v>
      </c>
      <c r="C1304" s="473" t="s">
        <v>1226</v>
      </c>
      <c r="D1304" s="474" t="s">
        <v>879</v>
      </c>
      <c r="E1304" s="475">
        <v>22</v>
      </c>
    </row>
    <row r="1305" spans="2:5" x14ac:dyDescent="0.35">
      <c r="B1305" s="473" t="s">
        <v>3966</v>
      </c>
      <c r="C1305" s="473" t="s">
        <v>1735</v>
      </c>
      <c r="D1305" s="474" t="s">
        <v>1679</v>
      </c>
      <c r="E1305" s="475">
        <v>12</v>
      </c>
    </row>
    <row r="1306" spans="2:5" x14ac:dyDescent="0.35">
      <c r="B1306" s="473" t="s">
        <v>3306</v>
      </c>
      <c r="C1306" s="473" t="s">
        <v>1126</v>
      </c>
      <c r="D1306" s="474" t="s">
        <v>879</v>
      </c>
      <c r="E1306" s="475">
        <v>34</v>
      </c>
    </row>
    <row r="1307" spans="2:5" x14ac:dyDescent="0.35">
      <c r="B1307" s="473" t="s">
        <v>4104</v>
      </c>
      <c r="C1307" s="473" t="s">
        <v>1863</v>
      </c>
      <c r="D1307" s="474" t="s">
        <v>1679</v>
      </c>
      <c r="E1307" s="475">
        <v>23</v>
      </c>
    </row>
    <row r="1308" spans="2:5" x14ac:dyDescent="0.35">
      <c r="B1308" s="473" t="s">
        <v>2235</v>
      </c>
      <c r="C1308" s="473" t="s">
        <v>179</v>
      </c>
      <c r="D1308" s="473" t="s">
        <v>40</v>
      </c>
      <c r="E1308" s="475">
        <v>34</v>
      </c>
    </row>
    <row r="1309" spans="2:5" x14ac:dyDescent="0.35">
      <c r="B1309" s="473" t="s">
        <v>3967</v>
      </c>
      <c r="C1309" s="473" t="s">
        <v>1736</v>
      </c>
      <c r="D1309" s="474" t="s">
        <v>1679</v>
      </c>
      <c r="E1309" s="475">
        <v>34</v>
      </c>
    </row>
    <row r="1310" spans="2:5" x14ac:dyDescent="0.35">
      <c r="B1310" s="473" t="s">
        <v>3264</v>
      </c>
      <c r="C1310" s="473" t="s">
        <v>1090</v>
      </c>
      <c r="D1310" s="474" t="s">
        <v>879</v>
      </c>
      <c r="E1310" s="475">
        <v>24</v>
      </c>
    </row>
    <row r="1311" spans="2:5" x14ac:dyDescent="0.35">
      <c r="B1311" s="473" t="s">
        <v>2879</v>
      </c>
      <c r="C1311" s="473" t="s">
        <v>774</v>
      </c>
      <c r="D1311" s="474" t="s">
        <v>332</v>
      </c>
      <c r="E1311" s="475">
        <v>34</v>
      </c>
    </row>
    <row r="1312" spans="2:5" x14ac:dyDescent="0.35">
      <c r="B1312" s="473" t="s">
        <v>3533</v>
      </c>
      <c r="C1312" s="473" t="s">
        <v>1321</v>
      </c>
      <c r="D1312" s="474" t="s">
        <v>1282</v>
      </c>
      <c r="E1312" s="475">
        <v>22</v>
      </c>
    </row>
    <row r="1313" spans="2:5" x14ac:dyDescent="0.35">
      <c r="B1313" s="473" t="s">
        <v>3435</v>
      </c>
      <c r="C1313" s="473" t="s">
        <v>1227</v>
      </c>
      <c r="D1313" s="474" t="s">
        <v>879</v>
      </c>
      <c r="E1313" s="475">
        <v>22</v>
      </c>
    </row>
    <row r="1314" spans="2:5" x14ac:dyDescent="0.35">
      <c r="B1314" s="473" t="s">
        <v>4013</v>
      </c>
      <c r="C1314" s="473" t="s">
        <v>1780</v>
      </c>
      <c r="D1314" s="474" t="s">
        <v>1679</v>
      </c>
      <c r="E1314" s="475">
        <v>22</v>
      </c>
    </row>
    <row r="1315" spans="2:5" x14ac:dyDescent="0.35">
      <c r="B1315" s="473" t="s">
        <v>3402</v>
      </c>
      <c r="C1315" s="473" t="s">
        <v>1196</v>
      </c>
      <c r="D1315" s="474" t="s">
        <v>879</v>
      </c>
      <c r="E1315" s="475">
        <v>24</v>
      </c>
    </row>
    <row r="1316" spans="2:5" x14ac:dyDescent="0.35">
      <c r="B1316" s="473" t="s">
        <v>3968</v>
      </c>
      <c r="C1316" s="473" t="s">
        <v>1737</v>
      </c>
      <c r="D1316" s="474" t="s">
        <v>1679</v>
      </c>
      <c r="E1316" s="475">
        <v>12</v>
      </c>
    </row>
    <row r="1317" spans="2:5" x14ac:dyDescent="0.35">
      <c r="B1317" s="473" t="s">
        <v>2223</v>
      </c>
      <c r="C1317" s="473" t="s">
        <v>167</v>
      </c>
      <c r="D1317" s="473" t="s">
        <v>40</v>
      </c>
      <c r="E1317" s="475">
        <v>33</v>
      </c>
    </row>
    <row r="1318" spans="2:5" x14ac:dyDescent="0.35">
      <c r="B1318" s="473" t="s">
        <v>3178</v>
      </c>
      <c r="C1318" s="473" t="s">
        <v>1018</v>
      </c>
      <c r="D1318" s="474" t="s">
        <v>879</v>
      </c>
      <c r="E1318" s="475">
        <v>34</v>
      </c>
    </row>
    <row r="1319" spans="2:5" x14ac:dyDescent="0.35">
      <c r="B1319" s="473" t="s">
        <v>2251</v>
      </c>
      <c r="C1319" s="473" t="s">
        <v>195</v>
      </c>
      <c r="D1319" s="473" t="s">
        <v>40</v>
      </c>
      <c r="E1319" s="475">
        <v>34</v>
      </c>
    </row>
    <row r="1320" spans="2:5" x14ac:dyDescent="0.35">
      <c r="B1320" s="473" t="s">
        <v>2536</v>
      </c>
      <c r="C1320" s="473" t="s">
        <v>455</v>
      </c>
      <c r="D1320" s="474" t="s">
        <v>332</v>
      </c>
      <c r="E1320" s="475">
        <v>22</v>
      </c>
    </row>
    <row r="1321" spans="2:5" x14ac:dyDescent="0.35">
      <c r="B1321" s="473" t="s">
        <v>4105</v>
      </c>
      <c r="C1321" s="473" t="s">
        <v>1864</v>
      </c>
      <c r="D1321" s="474" t="s">
        <v>1679</v>
      </c>
      <c r="E1321" s="475">
        <v>34</v>
      </c>
    </row>
    <row r="1322" spans="2:5" x14ac:dyDescent="0.35">
      <c r="B1322" s="473" t="s">
        <v>3120</v>
      </c>
      <c r="C1322" s="473" t="s">
        <v>970</v>
      </c>
      <c r="D1322" s="474" t="s">
        <v>879</v>
      </c>
      <c r="E1322" s="475">
        <v>32</v>
      </c>
    </row>
    <row r="1323" spans="2:5" x14ac:dyDescent="0.35">
      <c r="B1323" s="473" t="s">
        <v>3534</v>
      </c>
      <c r="C1323" s="473" t="s">
        <v>1322</v>
      </c>
      <c r="D1323" s="474" t="s">
        <v>1282</v>
      </c>
      <c r="E1323" s="475">
        <v>23</v>
      </c>
    </row>
    <row r="1324" spans="2:5" x14ac:dyDescent="0.35">
      <c r="B1324" s="473" t="s">
        <v>2339</v>
      </c>
      <c r="C1324" s="473" t="s">
        <v>274</v>
      </c>
      <c r="D1324" s="474" t="s">
        <v>212</v>
      </c>
      <c r="E1324" s="475">
        <v>33</v>
      </c>
    </row>
    <row r="1325" spans="2:5" x14ac:dyDescent="0.35">
      <c r="B1325" s="473" t="s">
        <v>2473</v>
      </c>
      <c r="C1325" s="473" t="s">
        <v>381</v>
      </c>
      <c r="D1325" s="474" t="s">
        <v>332</v>
      </c>
      <c r="E1325" s="475">
        <v>23</v>
      </c>
    </row>
    <row r="1326" spans="2:5" x14ac:dyDescent="0.35">
      <c r="B1326" s="473" t="s">
        <v>3436</v>
      </c>
      <c r="C1326" s="473" t="s">
        <v>1228</v>
      </c>
      <c r="D1326" s="474" t="s">
        <v>879</v>
      </c>
      <c r="E1326" s="475">
        <v>24</v>
      </c>
    </row>
    <row r="1327" spans="2:5" x14ac:dyDescent="0.35">
      <c r="B1327" s="473" t="s">
        <v>2252</v>
      </c>
      <c r="C1327" s="473" t="s">
        <v>196</v>
      </c>
      <c r="D1327" s="473" t="s">
        <v>40</v>
      </c>
      <c r="E1327" s="475">
        <v>32</v>
      </c>
    </row>
    <row r="1328" spans="2:5" x14ac:dyDescent="0.35">
      <c r="B1328" s="473" t="s">
        <v>3750</v>
      </c>
      <c r="C1328" s="473" t="s">
        <v>1530</v>
      </c>
      <c r="D1328" s="474" t="s">
        <v>1400</v>
      </c>
      <c r="E1328" s="475">
        <v>34</v>
      </c>
    </row>
    <row r="1329" spans="2:5" x14ac:dyDescent="0.35">
      <c r="B1329" s="473" t="s">
        <v>3736</v>
      </c>
      <c r="C1329" s="473" t="s">
        <v>1518</v>
      </c>
      <c r="D1329" s="474" t="s">
        <v>1400</v>
      </c>
      <c r="E1329" s="475">
        <v>33</v>
      </c>
    </row>
    <row r="1330" spans="2:5" x14ac:dyDescent="0.35">
      <c r="B1330" s="473" t="s">
        <v>2859</v>
      </c>
      <c r="C1330" s="473" t="s">
        <v>752</v>
      </c>
      <c r="D1330" s="474" t="s">
        <v>332</v>
      </c>
      <c r="E1330" s="475">
        <v>24</v>
      </c>
    </row>
    <row r="1331" spans="2:5" x14ac:dyDescent="0.35">
      <c r="B1331" s="473" t="s">
        <v>3922</v>
      </c>
      <c r="C1331" s="473" t="s">
        <v>1693</v>
      </c>
      <c r="D1331" s="474" t="s">
        <v>1679</v>
      </c>
      <c r="E1331" s="475">
        <v>23</v>
      </c>
    </row>
    <row r="1332" spans="2:5" x14ac:dyDescent="0.35">
      <c r="B1332" s="473" t="s">
        <v>2435</v>
      </c>
      <c r="C1332" s="473" t="s">
        <v>353</v>
      </c>
      <c r="D1332" s="474" t="s">
        <v>332</v>
      </c>
      <c r="E1332" s="475">
        <v>23</v>
      </c>
    </row>
    <row r="1333" spans="2:5" x14ac:dyDescent="0.35">
      <c r="B1333" s="473" t="s">
        <v>3307</v>
      </c>
      <c r="C1333" s="473" t="s">
        <v>1127</v>
      </c>
      <c r="D1333" s="474" t="s">
        <v>879</v>
      </c>
      <c r="E1333" s="475">
        <v>32</v>
      </c>
    </row>
    <row r="1334" spans="2:5" x14ac:dyDescent="0.35">
      <c r="B1334" s="473" t="s">
        <v>3923</v>
      </c>
      <c r="C1334" s="473" t="s">
        <v>1694</v>
      </c>
      <c r="D1334" s="474" t="s">
        <v>1679</v>
      </c>
      <c r="E1334" s="475">
        <v>23</v>
      </c>
    </row>
    <row r="1335" spans="2:5" x14ac:dyDescent="0.35">
      <c r="B1335" s="473" t="s">
        <v>3483</v>
      </c>
      <c r="C1335" s="473" t="s">
        <v>1271</v>
      </c>
      <c r="D1335" s="474" t="s">
        <v>879</v>
      </c>
      <c r="E1335" s="475">
        <v>23</v>
      </c>
    </row>
    <row r="1336" spans="2:5" x14ac:dyDescent="0.35">
      <c r="B1336" s="473" t="s">
        <v>3208</v>
      </c>
      <c r="C1336" s="473" t="s">
        <v>1044</v>
      </c>
      <c r="D1336" s="474" t="s">
        <v>879</v>
      </c>
      <c r="E1336" s="475">
        <v>22</v>
      </c>
    </row>
    <row r="1337" spans="2:5" x14ac:dyDescent="0.35">
      <c r="B1337" s="473" t="s">
        <v>2108</v>
      </c>
      <c r="C1337" s="473" t="s">
        <v>52</v>
      </c>
      <c r="D1337" s="473" t="s">
        <v>40</v>
      </c>
      <c r="E1337" s="475">
        <v>24</v>
      </c>
    </row>
    <row r="1338" spans="2:5" x14ac:dyDescent="0.35">
      <c r="B1338" s="473" t="s">
        <v>3121</v>
      </c>
      <c r="C1338" s="473" t="s">
        <v>971</v>
      </c>
      <c r="D1338" s="474" t="s">
        <v>879</v>
      </c>
      <c r="E1338" s="475">
        <v>12</v>
      </c>
    </row>
    <row r="1339" spans="2:5" x14ac:dyDescent="0.35">
      <c r="B1339" s="473" t="s">
        <v>2132</v>
      </c>
      <c r="C1339" s="473" t="s">
        <v>76</v>
      </c>
      <c r="D1339" s="473" t="s">
        <v>40</v>
      </c>
      <c r="E1339" s="475">
        <v>34</v>
      </c>
    </row>
    <row r="1340" spans="2:5" x14ac:dyDescent="0.35">
      <c r="B1340" s="473" t="s">
        <v>2133</v>
      </c>
      <c r="C1340" s="473" t="s">
        <v>77</v>
      </c>
      <c r="D1340" s="473" t="s">
        <v>40</v>
      </c>
      <c r="E1340" s="475">
        <v>34</v>
      </c>
    </row>
    <row r="1341" spans="2:5" x14ac:dyDescent="0.35">
      <c r="B1341" s="473" t="s">
        <v>2436</v>
      </c>
      <c r="C1341" s="473" t="s">
        <v>354</v>
      </c>
      <c r="D1341" s="474" t="s">
        <v>332</v>
      </c>
      <c r="E1341" s="475">
        <v>34</v>
      </c>
    </row>
    <row r="1342" spans="2:5" x14ac:dyDescent="0.35">
      <c r="B1342" s="473" t="s">
        <v>3265</v>
      </c>
      <c r="C1342" s="473" t="s">
        <v>1091</v>
      </c>
      <c r="D1342" s="474" t="s">
        <v>879</v>
      </c>
      <c r="E1342" s="475">
        <v>24</v>
      </c>
    </row>
    <row r="1343" spans="2:5" x14ac:dyDescent="0.35">
      <c r="B1343" s="473" t="s">
        <v>2537</v>
      </c>
      <c r="C1343" s="473" t="s">
        <v>456</v>
      </c>
      <c r="D1343" s="474" t="s">
        <v>332</v>
      </c>
      <c r="E1343" s="475">
        <v>23</v>
      </c>
    </row>
    <row r="1344" spans="2:5" x14ac:dyDescent="0.35">
      <c r="B1344" s="473" t="s">
        <v>2109</v>
      </c>
      <c r="C1344" s="473" t="s">
        <v>53</v>
      </c>
      <c r="D1344" s="473" t="s">
        <v>40</v>
      </c>
      <c r="E1344" s="475">
        <v>23</v>
      </c>
    </row>
    <row r="1345" spans="2:5" x14ac:dyDescent="0.35">
      <c r="B1345" s="473" t="s">
        <v>2407</v>
      </c>
      <c r="C1345" s="473" t="s">
        <v>328</v>
      </c>
      <c r="D1345" s="474" t="s">
        <v>212</v>
      </c>
      <c r="E1345" s="475">
        <v>24</v>
      </c>
    </row>
    <row r="1346" spans="2:5" x14ac:dyDescent="0.35">
      <c r="B1346" s="473" t="s">
        <v>3042</v>
      </c>
      <c r="C1346" s="473" t="s">
        <v>910</v>
      </c>
      <c r="D1346" s="474" t="s">
        <v>879</v>
      </c>
      <c r="E1346" s="475">
        <v>32</v>
      </c>
    </row>
    <row r="1347" spans="2:5" x14ac:dyDescent="0.35">
      <c r="B1347" s="473" t="s">
        <v>3856</v>
      </c>
      <c r="C1347" s="473" t="s">
        <v>1628</v>
      </c>
      <c r="D1347" s="474" t="s">
        <v>1400</v>
      </c>
      <c r="E1347" s="475">
        <v>34</v>
      </c>
    </row>
    <row r="1348" spans="2:5" x14ac:dyDescent="0.35">
      <c r="B1348" s="473" t="s">
        <v>3001</v>
      </c>
      <c r="C1348" s="473" t="s">
        <v>868</v>
      </c>
      <c r="D1348" s="474" t="s">
        <v>332</v>
      </c>
      <c r="E1348" s="475">
        <v>34</v>
      </c>
    </row>
    <row r="1349" spans="2:5" x14ac:dyDescent="0.35">
      <c r="B1349" s="473" t="s">
        <v>3403</v>
      </c>
      <c r="C1349" s="473" t="s">
        <v>1197</v>
      </c>
      <c r="D1349" s="474" t="s">
        <v>879</v>
      </c>
      <c r="E1349" s="475">
        <v>24</v>
      </c>
    </row>
    <row r="1350" spans="2:5" x14ac:dyDescent="0.35">
      <c r="B1350" s="473" t="s">
        <v>3404</v>
      </c>
      <c r="C1350" s="473" t="s">
        <v>1198</v>
      </c>
      <c r="D1350" s="474" t="s">
        <v>879</v>
      </c>
      <c r="E1350" s="475">
        <v>22</v>
      </c>
    </row>
    <row r="1351" spans="2:5" x14ac:dyDescent="0.35">
      <c r="B1351" s="473" t="s">
        <v>2764</v>
      </c>
      <c r="C1351" s="473" t="s">
        <v>644</v>
      </c>
      <c r="D1351" s="474" t="s">
        <v>332</v>
      </c>
      <c r="E1351" s="475">
        <v>34</v>
      </c>
    </row>
    <row r="1352" spans="2:5" x14ac:dyDescent="0.35">
      <c r="B1352" s="473" t="s">
        <v>2804</v>
      </c>
      <c r="C1352" s="473" t="s">
        <v>701</v>
      </c>
      <c r="D1352" s="474" t="s">
        <v>332</v>
      </c>
      <c r="E1352" s="475">
        <v>24</v>
      </c>
    </row>
    <row r="1353" spans="2:5" x14ac:dyDescent="0.35">
      <c r="B1353" s="473" t="s">
        <v>3437</v>
      </c>
      <c r="C1353" s="473" t="s">
        <v>1229</v>
      </c>
      <c r="D1353" s="474" t="s">
        <v>879</v>
      </c>
      <c r="E1353" s="475">
        <v>23</v>
      </c>
    </row>
    <row r="1354" spans="2:5" x14ac:dyDescent="0.35">
      <c r="B1354" s="473" t="s">
        <v>3230</v>
      </c>
      <c r="C1354" s="473" t="s">
        <v>1064</v>
      </c>
      <c r="D1354" s="474" t="s">
        <v>879</v>
      </c>
      <c r="E1354" s="475">
        <v>34</v>
      </c>
    </row>
    <row r="1355" spans="2:5" x14ac:dyDescent="0.35">
      <c r="B1355" s="473" t="s">
        <v>3902</v>
      </c>
      <c r="C1355" s="473" t="s">
        <v>1672</v>
      </c>
      <c r="D1355" s="474" t="s">
        <v>1400</v>
      </c>
      <c r="E1355" s="475">
        <v>33</v>
      </c>
    </row>
    <row r="1356" spans="2:5" x14ac:dyDescent="0.35">
      <c r="B1356" s="473" t="s">
        <v>2538</v>
      </c>
      <c r="C1356" s="473" t="s">
        <v>457</v>
      </c>
      <c r="D1356" s="474" t="s">
        <v>332</v>
      </c>
      <c r="E1356" s="475">
        <v>34</v>
      </c>
    </row>
    <row r="1357" spans="2:5" x14ac:dyDescent="0.35">
      <c r="B1357" s="473" t="s">
        <v>3043</v>
      </c>
      <c r="C1357" s="473" t="s">
        <v>911</v>
      </c>
      <c r="D1357" s="474" t="s">
        <v>879</v>
      </c>
      <c r="E1357" s="475">
        <v>24</v>
      </c>
    </row>
    <row r="1358" spans="2:5" x14ac:dyDescent="0.35">
      <c r="B1358" s="473" t="s">
        <v>2195</v>
      </c>
      <c r="C1358" s="473" t="s">
        <v>139</v>
      </c>
      <c r="D1358" s="473" t="s">
        <v>40</v>
      </c>
      <c r="E1358" s="475">
        <v>32</v>
      </c>
    </row>
    <row r="1359" spans="2:5" x14ac:dyDescent="0.35">
      <c r="B1359" s="473" t="s">
        <v>2196</v>
      </c>
      <c r="C1359" s="473" t="s">
        <v>140</v>
      </c>
      <c r="D1359" s="473" t="s">
        <v>40</v>
      </c>
      <c r="E1359" s="475">
        <v>33</v>
      </c>
    </row>
    <row r="1360" spans="2:5" x14ac:dyDescent="0.35">
      <c r="B1360" s="473" t="s">
        <v>2539</v>
      </c>
      <c r="C1360" s="473" t="s">
        <v>458</v>
      </c>
      <c r="D1360" s="474" t="s">
        <v>332</v>
      </c>
      <c r="E1360" s="475">
        <v>24</v>
      </c>
    </row>
    <row r="1361" spans="2:5" x14ac:dyDescent="0.35">
      <c r="B1361" s="473" t="s">
        <v>2197</v>
      </c>
      <c r="C1361" s="473" t="s">
        <v>141</v>
      </c>
      <c r="D1361" s="473" t="s">
        <v>40</v>
      </c>
      <c r="E1361" s="475">
        <v>22</v>
      </c>
    </row>
    <row r="1362" spans="2:5" x14ac:dyDescent="0.35">
      <c r="B1362" s="473" t="s">
        <v>3209</v>
      </c>
      <c r="C1362" s="473" t="s">
        <v>1045</v>
      </c>
      <c r="D1362" s="474" t="s">
        <v>879</v>
      </c>
      <c r="E1362" s="475">
        <v>11</v>
      </c>
    </row>
    <row r="1363" spans="2:5" x14ac:dyDescent="0.35">
      <c r="B1363" s="473" t="s">
        <v>3801</v>
      </c>
      <c r="C1363" s="473" t="s">
        <v>1577</v>
      </c>
      <c r="D1363" s="474" t="s">
        <v>1400</v>
      </c>
      <c r="E1363" s="475">
        <v>24</v>
      </c>
    </row>
    <row r="1364" spans="2:5" x14ac:dyDescent="0.35">
      <c r="B1364" s="473" t="s">
        <v>2365</v>
      </c>
      <c r="C1364" s="473" t="s">
        <v>300</v>
      </c>
      <c r="D1364" s="474" t="s">
        <v>212</v>
      </c>
      <c r="E1364" s="475">
        <v>23</v>
      </c>
    </row>
    <row r="1365" spans="2:5" x14ac:dyDescent="0.35">
      <c r="B1365" s="473" t="s">
        <v>3969</v>
      </c>
      <c r="C1365" s="473" t="s">
        <v>1738</v>
      </c>
      <c r="D1365" s="474" t="s">
        <v>1679</v>
      </c>
      <c r="E1365" s="475">
        <v>23</v>
      </c>
    </row>
    <row r="1366" spans="2:5" x14ac:dyDescent="0.35">
      <c r="B1366" s="473" t="s">
        <v>3266</v>
      </c>
      <c r="C1366" s="473" t="s">
        <v>1092</v>
      </c>
      <c r="D1366" s="474" t="s">
        <v>879</v>
      </c>
      <c r="E1366" s="475">
        <v>23</v>
      </c>
    </row>
    <row r="1367" spans="2:5" x14ac:dyDescent="0.35">
      <c r="B1367" s="473" t="s">
        <v>2656</v>
      </c>
      <c r="C1367" s="473" t="s">
        <v>569</v>
      </c>
      <c r="D1367" s="474" t="s">
        <v>332</v>
      </c>
      <c r="E1367" s="475">
        <v>22</v>
      </c>
    </row>
    <row r="1368" spans="2:5" x14ac:dyDescent="0.35">
      <c r="B1368" s="473" t="s">
        <v>2805</v>
      </c>
      <c r="C1368" s="473" t="s">
        <v>702</v>
      </c>
      <c r="D1368" s="474" t="s">
        <v>332</v>
      </c>
      <c r="E1368" s="475">
        <v>22</v>
      </c>
    </row>
    <row r="1369" spans="2:5" x14ac:dyDescent="0.35">
      <c r="B1369" s="473" t="s">
        <v>3640</v>
      </c>
      <c r="C1369" s="473" t="s">
        <v>1428</v>
      </c>
      <c r="D1369" s="474" t="s">
        <v>1400</v>
      </c>
      <c r="E1369" s="475">
        <v>32</v>
      </c>
    </row>
    <row r="1370" spans="2:5" x14ac:dyDescent="0.35">
      <c r="B1370" s="473" t="s">
        <v>3308</v>
      </c>
      <c r="C1370" s="473" t="s">
        <v>1128</v>
      </c>
      <c r="D1370" s="474" t="s">
        <v>879</v>
      </c>
      <c r="E1370" s="475">
        <v>34</v>
      </c>
    </row>
    <row r="1371" spans="2:5" x14ac:dyDescent="0.35">
      <c r="B1371" s="473" t="s">
        <v>3484</v>
      </c>
      <c r="C1371" s="473" t="s">
        <v>1272</v>
      </c>
      <c r="D1371" s="474" t="s">
        <v>879</v>
      </c>
      <c r="E1371" s="475">
        <v>23</v>
      </c>
    </row>
    <row r="1372" spans="2:5" x14ac:dyDescent="0.35">
      <c r="B1372" s="473" t="s">
        <v>2781</v>
      </c>
      <c r="C1372" s="473" t="s">
        <v>682</v>
      </c>
      <c r="D1372" s="474" t="s">
        <v>332</v>
      </c>
      <c r="E1372" s="475">
        <v>11</v>
      </c>
    </row>
    <row r="1373" spans="2:5" x14ac:dyDescent="0.35">
      <c r="B1373" s="473" t="s">
        <v>3231</v>
      </c>
      <c r="C1373" s="473" t="s">
        <v>1065</v>
      </c>
      <c r="D1373" s="474" t="s">
        <v>879</v>
      </c>
      <c r="E1373" s="475">
        <v>22</v>
      </c>
    </row>
    <row r="1374" spans="2:5" x14ac:dyDescent="0.35">
      <c r="B1374" s="473" t="s">
        <v>2611</v>
      </c>
      <c r="C1374" s="473" t="s">
        <v>526</v>
      </c>
      <c r="D1374" s="474" t="s">
        <v>332</v>
      </c>
      <c r="E1374" s="475">
        <v>33</v>
      </c>
    </row>
    <row r="1375" spans="2:5" x14ac:dyDescent="0.35">
      <c r="B1375" s="473" t="s">
        <v>3829</v>
      </c>
      <c r="C1375" s="473" t="s">
        <v>1603</v>
      </c>
      <c r="D1375" s="474" t="s">
        <v>1400</v>
      </c>
      <c r="E1375" s="475">
        <v>22</v>
      </c>
    </row>
    <row r="1376" spans="2:5" x14ac:dyDescent="0.35">
      <c r="B1376" s="473" t="s">
        <v>2588</v>
      </c>
      <c r="C1376" s="473" t="s">
        <v>503</v>
      </c>
      <c r="D1376" s="474" t="s">
        <v>332</v>
      </c>
      <c r="E1376" s="475">
        <v>33</v>
      </c>
    </row>
    <row r="1377" spans="2:5" x14ac:dyDescent="0.35">
      <c r="B1377" s="473" t="s">
        <v>2953</v>
      </c>
      <c r="C1377" s="473" t="s">
        <v>841</v>
      </c>
      <c r="D1377" s="474" t="s">
        <v>332</v>
      </c>
      <c r="E1377" s="475">
        <v>22</v>
      </c>
    </row>
    <row r="1378" spans="2:5" x14ac:dyDescent="0.35">
      <c r="B1378" s="473" t="s">
        <v>2870</v>
      </c>
      <c r="C1378" s="473" t="s">
        <v>2871</v>
      </c>
      <c r="D1378" s="474" t="s">
        <v>332</v>
      </c>
      <c r="E1378" s="475">
        <v>24</v>
      </c>
    </row>
    <row r="1379" spans="2:5" x14ac:dyDescent="0.35">
      <c r="B1379" s="473" t="s">
        <v>2709</v>
      </c>
      <c r="C1379" s="473" t="s">
        <v>616</v>
      </c>
      <c r="D1379" s="474" t="s">
        <v>332</v>
      </c>
      <c r="E1379" s="475">
        <v>23</v>
      </c>
    </row>
    <row r="1380" spans="2:5" x14ac:dyDescent="0.35">
      <c r="B1380" s="473" t="s">
        <v>3044</v>
      </c>
      <c r="C1380" s="473" t="s">
        <v>912</v>
      </c>
      <c r="D1380" s="474" t="s">
        <v>879</v>
      </c>
      <c r="E1380" s="475">
        <v>24</v>
      </c>
    </row>
    <row r="1381" spans="2:5" x14ac:dyDescent="0.35">
      <c r="B1381" s="473" t="s">
        <v>3267</v>
      </c>
      <c r="C1381" s="473" t="s">
        <v>1093</v>
      </c>
      <c r="D1381" s="474" t="s">
        <v>879</v>
      </c>
      <c r="E1381" s="475">
        <v>22</v>
      </c>
    </row>
    <row r="1382" spans="2:5" x14ac:dyDescent="0.35">
      <c r="B1382" s="473" t="s">
        <v>2501</v>
      </c>
      <c r="C1382" s="473" t="s">
        <v>407</v>
      </c>
      <c r="D1382" s="474" t="s">
        <v>332</v>
      </c>
      <c r="E1382" s="475">
        <v>32</v>
      </c>
    </row>
    <row r="1383" spans="2:5" x14ac:dyDescent="0.35">
      <c r="B1383" s="473" t="s">
        <v>3179</v>
      </c>
      <c r="C1383" s="473" t="s">
        <v>1019</v>
      </c>
      <c r="D1383" s="474" t="s">
        <v>879</v>
      </c>
      <c r="E1383" s="475">
        <v>23</v>
      </c>
    </row>
    <row r="1384" spans="2:5" x14ac:dyDescent="0.35">
      <c r="B1384" s="473" t="s">
        <v>3970</v>
      </c>
      <c r="C1384" s="473" t="s">
        <v>1739</v>
      </c>
      <c r="D1384" s="474" t="s">
        <v>1679</v>
      </c>
      <c r="E1384" s="475">
        <v>23</v>
      </c>
    </row>
    <row r="1385" spans="2:5" x14ac:dyDescent="0.35">
      <c r="B1385" s="473" t="s">
        <v>4069</v>
      </c>
      <c r="C1385" s="473" t="s">
        <v>1830</v>
      </c>
      <c r="D1385" s="474" t="s">
        <v>1679</v>
      </c>
      <c r="E1385" s="475">
        <v>23</v>
      </c>
    </row>
    <row r="1386" spans="2:5" x14ac:dyDescent="0.35">
      <c r="B1386" s="473" t="s">
        <v>2710</v>
      </c>
      <c r="C1386" s="473" t="s">
        <v>617</v>
      </c>
      <c r="D1386" s="474" t="s">
        <v>332</v>
      </c>
      <c r="E1386" s="475">
        <v>23</v>
      </c>
    </row>
    <row r="1387" spans="2:5" x14ac:dyDescent="0.35">
      <c r="B1387" s="473" t="s">
        <v>3149</v>
      </c>
      <c r="C1387" s="473" t="s">
        <v>995</v>
      </c>
      <c r="D1387" s="474" t="s">
        <v>879</v>
      </c>
      <c r="E1387" s="475">
        <v>33</v>
      </c>
    </row>
    <row r="1388" spans="2:5" x14ac:dyDescent="0.35">
      <c r="B1388" s="473" t="s">
        <v>3971</v>
      </c>
      <c r="C1388" s="473" t="s">
        <v>1740</v>
      </c>
      <c r="D1388" s="474" t="s">
        <v>1679</v>
      </c>
      <c r="E1388" s="475">
        <v>11</v>
      </c>
    </row>
    <row r="1389" spans="2:5" x14ac:dyDescent="0.35">
      <c r="B1389" s="473" t="s">
        <v>2923</v>
      </c>
      <c r="C1389" s="473" t="s">
        <v>2924</v>
      </c>
      <c r="D1389" s="474" t="s">
        <v>332</v>
      </c>
      <c r="E1389" s="475">
        <v>33</v>
      </c>
    </row>
    <row r="1390" spans="2:5" x14ac:dyDescent="0.35">
      <c r="B1390" s="473" t="s">
        <v>3438</v>
      </c>
      <c r="C1390" s="473" t="s">
        <v>1230</v>
      </c>
      <c r="D1390" s="474" t="s">
        <v>879</v>
      </c>
      <c r="E1390" s="475">
        <v>24</v>
      </c>
    </row>
    <row r="1391" spans="2:5" x14ac:dyDescent="0.35">
      <c r="B1391" s="473" t="s">
        <v>4145</v>
      </c>
      <c r="C1391" s="473" t="s">
        <v>1898</v>
      </c>
      <c r="D1391" s="474" t="s">
        <v>1679</v>
      </c>
      <c r="E1391" s="475">
        <v>24</v>
      </c>
    </row>
    <row r="1392" spans="2:5" x14ac:dyDescent="0.35">
      <c r="B1392" s="473" t="s">
        <v>3045</v>
      </c>
      <c r="C1392" s="473" t="s">
        <v>913</v>
      </c>
      <c r="D1392" s="474" t="s">
        <v>879</v>
      </c>
      <c r="E1392" s="475">
        <v>24</v>
      </c>
    </row>
    <row r="1393" spans="2:5" x14ac:dyDescent="0.35">
      <c r="B1393" s="473" t="s">
        <v>2474</v>
      </c>
      <c r="C1393" s="473" t="s">
        <v>382</v>
      </c>
      <c r="D1393" s="474" t="s">
        <v>332</v>
      </c>
      <c r="E1393" s="475">
        <v>12</v>
      </c>
    </row>
    <row r="1394" spans="2:5" x14ac:dyDescent="0.35">
      <c r="B1394" s="473" t="s">
        <v>3377</v>
      </c>
      <c r="C1394" s="473" t="s">
        <v>1173</v>
      </c>
      <c r="D1394" s="474" t="s">
        <v>879</v>
      </c>
      <c r="E1394" s="475">
        <v>24</v>
      </c>
    </row>
    <row r="1395" spans="2:5" x14ac:dyDescent="0.35">
      <c r="B1395" s="473" t="s">
        <v>3309</v>
      </c>
      <c r="C1395" s="473" t="s">
        <v>1129</v>
      </c>
      <c r="D1395" s="474" t="s">
        <v>879</v>
      </c>
      <c r="E1395" s="475">
        <v>34</v>
      </c>
    </row>
    <row r="1396" spans="2:5" x14ac:dyDescent="0.35">
      <c r="B1396" s="473" t="s">
        <v>3560</v>
      </c>
      <c r="C1396" s="473" t="s">
        <v>1348</v>
      </c>
      <c r="D1396" s="474" t="s">
        <v>1282</v>
      </c>
      <c r="E1396" s="475">
        <v>22</v>
      </c>
    </row>
    <row r="1397" spans="2:5" x14ac:dyDescent="0.35">
      <c r="B1397" s="473" t="s">
        <v>4146</v>
      </c>
      <c r="C1397" s="473" t="s">
        <v>1899</v>
      </c>
      <c r="D1397" s="474" t="s">
        <v>1679</v>
      </c>
      <c r="E1397" s="475">
        <v>12</v>
      </c>
    </row>
    <row r="1398" spans="2:5" x14ac:dyDescent="0.35">
      <c r="B1398" s="473" t="s">
        <v>3972</v>
      </c>
      <c r="C1398" s="473" t="s">
        <v>1741</v>
      </c>
      <c r="D1398" s="474" t="s">
        <v>1679</v>
      </c>
      <c r="E1398" s="475">
        <v>22</v>
      </c>
    </row>
    <row r="1399" spans="2:5" x14ac:dyDescent="0.35">
      <c r="B1399" s="473" t="s">
        <v>4070</v>
      </c>
      <c r="C1399" s="473" t="s">
        <v>1831</v>
      </c>
      <c r="D1399" s="474" t="s">
        <v>1679</v>
      </c>
      <c r="E1399" s="475">
        <v>33</v>
      </c>
    </row>
    <row r="1400" spans="2:5" x14ac:dyDescent="0.35">
      <c r="B1400" s="473" t="s">
        <v>4071</v>
      </c>
      <c r="C1400" s="473" t="s">
        <v>1832</v>
      </c>
      <c r="D1400" s="474" t="s">
        <v>1679</v>
      </c>
      <c r="E1400" s="475">
        <v>23</v>
      </c>
    </row>
    <row r="1401" spans="2:5" x14ac:dyDescent="0.35">
      <c r="B1401" s="473" t="s">
        <v>3210</v>
      </c>
      <c r="C1401" s="473" t="s">
        <v>1046</v>
      </c>
      <c r="D1401" s="474" t="s">
        <v>879</v>
      </c>
      <c r="E1401" s="475">
        <v>22</v>
      </c>
    </row>
    <row r="1402" spans="2:5" x14ac:dyDescent="0.35">
      <c r="B1402" s="473" t="s">
        <v>3485</v>
      </c>
      <c r="C1402" s="473" t="s">
        <v>1273</v>
      </c>
      <c r="D1402" s="474" t="s">
        <v>879</v>
      </c>
      <c r="E1402" s="475">
        <v>23</v>
      </c>
    </row>
    <row r="1403" spans="2:5" x14ac:dyDescent="0.35">
      <c r="B1403" s="473" t="s">
        <v>3092</v>
      </c>
      <c r="C1403" s="473" t="s">
        <v>946</v>
      </c>
      <c r="D1403" s="474" t="s">
        <v>879</v>
      </c>
      <c r="E1403" s="475">
        <v>33</v>
      </c>
    </row>
    <row r="1404" spans="2:5" x14ac:dyDescent="0.35">
      <c r="B1404" s="473" t="s">
        <v>3600</v>
      </c>
      <c r="C1404" s="473" t="s">
        <v>1388</v>
      </c>
      <c r="D1404" s="474" t="s">
        <v>1282</v>
      </c>
      <c r="E1404" s="475">
        <v>32</v>
      </c>
    </row>
    <row r="1405" spans="2:5" x14ac:dyDescent="0.35">
      <c r="B1405" s="473" t="s">
        <v>2224</v>
      </c>
      <c r="C1405" s="473" t="s">
        <v>168</v>
      </c>
      <c r="D1405" s="473" t="s">
        <v>40</v>
      </c>
      <c r="E1405" s="475">
        <v>34</v>
      </c>
    </row>
    <row r="1406" spans="2:5" x14ac:dyDescent="0.35">
      <c r="B1406" s="473" t="s">
        <v>4176</v>
      </c>
      <c r="C1406" s="473" t="s">
        <v>1929</v>
      </c>
      <c r="D1406" s="474" t="s">
        <v>1679</v>
      </c>
      <c r="E1406" s="475">
        <v>12</v>
      </c>
    </row>
    <row r="1407" spans="2:5" x14ac:dyDescent="0.35">
      <c r="B1407" s="473" t="s">
        <v>2753</v>
      </c>
      <c r="C1407" s="473" t="s">
        <v>664</v>
      </c>
      <c r="D1407" s="474" t="s">
        <v>332</v>
      </c>
      <c r="E1407" s="475">
        <v>22</v>
      </c>
    </row>
    <row r="1408" spans="2:5" x14ac:dyDescent="0.35">
      <c r="B1408" s="473" t="s">
        <v>3439</v>
      </c>
      <c r="C1408" s="473" t="s">
        <v>1231</v>
      </c>
      <c r="D1408" s="474" t="s">
        <v>879</v>
      </c>
      <c r="E1408" s="475">
        <v>24</v>
      </c>
    </row>
    <row r="1409" spans="2:5" x14ac:dyDescent="0.35">
      <c r="B1409" s="473" t="s">
        <v>3857</v>
      </c>
      <c r="C1409" s="473" t="s">
        <v>1629</v>
      </c>
      <c r="D1409" s="474" t="s">
        <v>1400</v>
      </c>
      <c r="E1409" s="475">
        <v>32</v>
      </c>
    </row>
    <row r="1410" spans="2:5" x14ac:dyDescent="0.35">
      <c r="B1410" s="473" t="s">
        <v>2253</v>
      </c>
      <c r="C1410" s="473" t="s">
        <v>197</v>
      </c>
      <c r="D1410" s="473" t="s">
        <v>40</v>
      </c>
      <c r="E1410" s="475">
        <v>33</v>
      </c>
    </row>
    <row r="1411" spans="2:5" x14ac:dyDescent="0.35">
      <c r="B1411" s="473" t="s">
        <v>3122</v>
      </c>
      <c r="C1411" s="473" t="s">
        <v>972</v>
      </c>
      <c r="D1411" s="474" t="s">
        <v>879</v>
      </c>
      <c r="E1411" s="475">
        <v>12</v>
      </c>
    </row>
    <row r="1412" spans="2:5" x14ac:dyDescent="0.35">
      <c r="B1412" s="473" t="s">
        <v>4147</v>
      </c>
      <c r="C1412" s="473" t="s">
        <v>1900</v>
      </c>
      <c r="D1412" s="474" t="s">
        <v>1679</v>
      </c>
      <c r="E1412" s="475">
        <v>24</v>
      </c>
    </row>
    <row r="1413" spans="2:5" x14ac:dyDescent="0.35">
      <c r="B1413" s="473" t="s">
        <v>3903</v>
      </c>
      <c r="C1413" s="473" t="s">
        <v>1673</v>
      </c>
      <c r="D1413" s="474" t="s">
        <v>1400</v>
      </c>
      <c r="E1413" s="475">
        <v>23</v>
      </c>
    </row>
    <row r="1414" spans="2:5" x14ac:dyDescent="0.35">
      <c r="B1414" s="473" t="s">
        <v>2225</v>
      </c>
      <c r="C1414" s="473" t="s">
        <v>169</v>
      </c>
      <c r="D1414" s="473" t="s">
        <v>40</v>
      </c>
      <c r="E1414" s="475">
        <v>34</v>
      </c>
    </row>
    <row r="1415" spans="2:5" x14ac:dyDescent="0.35">
      <c r="B1415" s="473" t="s">
        <v>3046</v>
      </c>
      <c r="C1415" s="473" t="s">
        <v>914</v>
      </c>
      <c r="D1415" s="474" t="s">
        <v>879</v>
      </c>
      <c r="E1415" s="475">
        <v>24</v>
      </c>
    </row>
    <row r="1416" spans="2:5" x14ac:dyDescent="0.35">
      <c r="B1416" s="473" t="s">
        <v>3802</v>
      </c>
      <c r="C1416" s="473" t="s">
        <v>1578</v>
      </c>
      <c r="D1416" s="474" t="s">
        <v>1400</v>
      </c>
      <c r="E1416" s="475">
        <v>22</v>
      </c>
    </row>
    <row r="1417" spans="2:5" x14ac:dyDescent="0.35">
      <c r="B1417" s="473" t="s">
        <v>2806</v>
      </c>
      <c r="C1417" s="473" t="s">
        <v>703</v>
      </c>
      <c r="D1417" s="474" t="s">
        <v>332</v>
      </c>
      <c r="E1417" s="475">
        <v>22</v>
      </c>
    </row>
    <row r="1418" spans="2:5" x14ac:dyDescent="0.35">
      <c r="B1418" s="473" t="s">
        <v>3440</v>
      </c>
      <c r="C1418" s="473" t="s">
        <v>1232</v>
      </c>
      <c r="D1418" s="474" t="s">
        <v>879</v>
      </c>
      <c r="E1418" s="475">
        <v>24</v>
      </c>
    </row>
    <row r="1419" spans="2:5" x14ac:dyDescent="0.35">
      <c r="B1419" s="473" t="s">
        <v>3535</v>
      </c>
      <c r="C1419" s="473" t="s">
        <v>1323</v>
      </c>
      <c r="D1419" s="474" t="s">
        <v>1282</v>
      </c>
      <c r="E1419" s="475">
        <v>24</v>
      </c>
    </row>
    <row r="1420" spans="2:5" x14ac:dyDescent="0.35">
      <c r="B1420" s="473" t="s">
        <v>2711</v>
      </c>
      <c r="C1420" s="473" t="s">
        <v>618</v>
      </c>
      <c r="D1420" s="474" t="s">
        <v>332</v>
      </c>
      <c r="E1420" s="475">
        <v>22</v>
      </c>
    </row>
    <row r="1421" spans="2:5" x14ac:dyDescent="0.35">
      <c r="B1421" s="473" t="s">
        <v>2198</v>
      </c>
      <c r="C1421" s="473" t="s">
        <v>142</v>
      </c>
      <c r="D1421" s="473" t="s">
        <v>40</v>
      </c>
      <c r="E1421" s="475">
        <v>33</v>
      </c>
    </row>
    <row r="1422" spans="2:5" x14ac:dyDescent="0.35">
      <c r="B1422" s="473" t="s">
        <v>2291</v>
      </c>
      <c r="C1422" s="473" t="s">
        <v>234</v>
      </c>
      <c r="D1422" s="474" t="s">
        <v>212</v>
      </c>
      <c r="E1422" s="475">
        <v>23</v>
      </c>
    </row>
    <row r="1423" spans="2:5" x14ac:dyDescent="0.35">
      <c r="B1423" s="473" t="s">
        <v>2712</v>
      </c>
      <c r="C1423" s="473" t="s">
        <v>619</v>
      </c>
      <c r="D1423" s="474" t="s">
        <v>332</v>
      </c>
      <c r="E1423" s="475">
        <v>33</v>
      </c>
    </row>
    <row r="1424" spans="2:5" x14ac:dyDescent="0.35">
      <c r="B1424" s="473" t="s">
        <v>3616</v>
      </c>
      <c r="C1424" s="473" t="s">
        <v>1404</v>
      </c>
      <c r="D1424" s="474" t="s">
        <v>1400</v>
      </c>
      <c r="E1424" s="475">
        <v>33</v>
      </c>
    </row>
    <row r="1425" spans="2:5" x14ac:dyDescent="0.35">
      <c r="B1425" s="473" t="s">
        <v>3003</v>
      </c>
      <c r="C1425" s="473" t="s">
        <v>870</v>
      </c>
      <c r="D1425" s="474" t="s">
        <v>332</v>
      </c>
      <c r="E1425" s="475">
        <v>34</v>
      </c>
    </row>
    <row r="1426" spans="2:5" x14ac:dyDescent="0.35">
      <c r="B1426" s="473" t="s">
        <v>3877</v>
      </c>
      <c r="C1426" s="473" t="s">
        <v>1649</v>
      </c>
      <c r="D1426" s="474" t="s">
        <v>1400</v>
      </c>
      <c r="E1426" s="475">
        <v>34</v>
      </c>
    </row>
    <row r="1427" spans="2:5" x14ac:dyDescent="0.35">
      <c r="B1427" s="473" t="s">
        <v>3858</v>
      </c>
      <c r="C1427" s="473" t="s">
        <v>1630</v>
      </c>
      <c r="D1427" s="474" t="s">
        <v>1400</v>
      </c>
      <c r="E1427" s="475">
        <v>34</v>
      </c>
    </row>
    <row r="1428" spans="2:5" x14ac:dyDescent="0.35">
      <c r="B1428" s="473" t="s">
        <v>3151</v>
      </c>
      <c r="C1428" s="473" t="s">
        <v>997</v>
      </c>
      <c r="D1428" s="474" t="s">
        <v>879</v>
      </c>
      <c r="E1428" s="475">
        <v>24</v>
      </c>
    </row>
    <row r="1429" spans="2:5" x14ac:dyDescent="0.35">
      <c r="B1429" s="473" t="s">
        <v>3047</v>
      </c>
      <c r="C1429" s="473" t="s">
        <v>915</v>
      </c>
      <c r="D1429" s="474" t="s">
        <v>879</v>
      </c>
      <c r="E1429" s="475">
        <v>24</v>
      </c>
    </row>
    <row r="1430" spans="2:5" x14ac:dyDescent="0.35">
      <c r="B1430" s="473" t="s">
        <v>3973</v>
      </c>
      <c r="C1430" s="473" t="s">
        <v>1742</v>
      </c>
      <c r="D1430" s="474" t="s">
        <v>1679</v>
      </c>
      <c r="E1430" s="475">
        <v>23</v>
      </c>
    </row>
    <row r="1431" spans="2:5" x14ac:dyDescent="0.35">
      <c r="B1431" s="473" t="s">
        <v>3820</v>
      </c>
      <c r="C1431" s="473" t="s">
        <v>1594</v>
      </c>
      <c r="D1431" s="474" t="s">
        <v>1400</v>
      </c>
      <c r="E1431" s="475">
        <v>22</v>
      </c>
    </row>
    <row r="1432" spans="2:5" x14ac:dyDescent="0.35">
      <c r="B1432" s="473" t="s">
        <v>3821</v>
      </c>
      <c r="C1432" s="473" t="s">
        <v>1595</v>
      </c>
      <c r="D1432" s="474" t="s">
        <v>1400</v>
      </c>
      <c r="E1432" s="475">
        <v>23</v>
      </c>
    </row>
    <row r="1433" spans="2:5" x14ac:dyDescent="0.35">
      <c r="B1433" s="473" t="s">
        <v>3441</v>
      </c>
      <c r="C1433" s="473" t="s">
        <v>1233</v>
      </c>
      <c r="D1433" s="474" t="s">
        <v>879</v>
      </c>
      <c r="E1433" s="475">
        <v>22</v>
      </c>
    </row>
    <row r="1434" spans="2:5" x14ac:dyDescent="0.35">
      <c r="B1434" s="473" t="s">
        <v>2290</v>
      </c>
      <c r="C1434" s="473" t="s">
        <v>233</v>
      </c>
      <c r="D1434" s="474" t="s">
        <v>212</v>
      </c>
      <c r="E1434" s="475">
        <v>22</v>
      </c>
    </row>
    <row r="1435" spans="2:5" x14ac:dyDescent="0.35">
      <c r="B1435" s="473" t="s">
        <v>2169</v>
      </c>
      <c r="C1435" s="473" t="s">
        <v>113</v>
      </c>
      <c r="D1435" s="473" t="s">
        <v>40</v>
      </c>
      <c r="E1435" s="475">
        <v>23</v>
      </c>
    </row>
    <row r="1436" spans="2:5" x14ac:dyDescent="0.35">
      <c r="B1436" s="473" t="s">
        <v>2475</v>
      </c>
      <c r="C1436" s="473" t="s">
        <v>383</v>
      </c>
      <c r="D1436" s="474" t="s">
        <v>332</v>
      </c>
      <c r="E1436" s="475">
        <v>23</v>
      </c>
    </row>
    <row r="1437" spans="2:5" x14ac:dyDescent="0.35">
      <c r="B1437" s="473" t="s">
        <v>2476</v>
      </c>
      <c r="C1437" s="473" t="s">
        <v>384</v>
      </c>
      <c r="D1437" s="474" t="s">
        <v>332</v>
      </c>
      <c r="E1437" s="475">
        <v>12</v>
      </c>
    </row>
    <row r="1438" spans="2:5" x14ac:dyDescent="0.35">
      <c r="B1438" s="473" t="s">
        <v>3150</v>
      </c>
      <c r="C1438" s="473" t="s">
        <v>996</v>
      </c>
      <c r="D1438" s="474" t="s">
        <v>879</v>
      </c>
      <c r="E1438" s="475">
        <v>33</v>
      </c>
    </row>
    <row r="1439" spans="2:5" x14ac:dyDescent="0.35">
      <c r="B1439" s="473" t="s">
        <v>2170</v>
      </c>
      <c r="C1439" s="473" t="s">
        <v>114</v>
      </c>
      <c r="D1439" s="473" t="s">
        <v>40</v>
      </c>
      <c r="E1439" s="475">
        <v>22</v>
      </c>
    </row>
    <row r="1440" spans="2:5" x14ac:dyDescent="0.35">
      <c r="B1440" s="473" t="s">
        <v>2206</v>
      </c>
      <c r="C1440" s="473" t="s">
        <v>150</v>
      </c>
      <c r="D1440" s="473" t="s">
        <v>40</v>
      </c>
      <c r="E1440" s="475">
        <v>34</v>
      </c>
    </row>
    <row r="1441" spans="2:5" x14ac:dyDescent="0.35">
      <c r="B1441" s="473" t="s">
        <v>2754</v>
      </c>
      <c r="C1441" s="473" t="s">
        <v>665</v>
      </c>
      <c r="D1441" s="474" t="s">
        <v>332</v>
      </c>
      <c r="E1441" s="475">
        <v>33</v>
      </c>
    </row>
    <row r="1442" spans="2:5" x14ac:dyDescent="0.35">
      <c r="B1442" s="473" t="s">
        <v>4106</v>
      </c>
      <c r="C1442" s="473" t="s">
        <v>1865</v>
      </c>
      <c r="D1442" s="474" t="s">
        <v>1679</v>
      </c>
      <c r="E1442" s="475">
        <v>34</v>
      </c>
    </row>
    <row r="1443" spans="2:5" x14ac:dyDescent="0.35">
      <c r="B1443" s="473" t="s">
        <v>3152</v>
      </c>
      <c r="C1443" s="473" t="s">
        <v>998</v>
      </c>
      <c r="D1443" s="474" t="s">
        <v>879</v>
      </c>
      <c r="E1443" s="475">
        <v>22</v>
      </c>
    </row>
    <row r="1444" spans="2:5" x14ac:dyDescent="0.35">
      <c r="B1444" s="473" t="s">
        <v>3074</v>
      </c>
      <c r="C1444" s="473" t="s">
        <v>930</v>
      </c>
      <c r="D1444" s="474" t="s">
        <v>879</v>
      </c>
      <c r="E1444" s="475">
        <v>22</v>
      </c>
    </row>
    <row r="1445" spans="2:5" x14ac:dyDescent="0.35">
      <c r="B1445" s="473" t="s">
        <v>3268</v>
      </c>
      <c r="C1445" s="473" t="s">
        <v>1094</v>
      </c>
      <c r="D1445" s="474" t="s">
        <v>879</v>
      </c>
      <c r="E1445" s="475">
        <v>24</v>
      </c>
    </row>
    <row r="1446" spans="2:5" x14ac:dyDescent="0.35">
      <c r="B1446" s="473" t="s">
        <v>3617</v>
      </c>
      <c r="C1446" s="473" t="s">
        <v>1405</v>
      </c>
      <c r="D1446" s="474" t="s">
        <v>1400</v>
      </c>
      <c r="E1446" s="475">
        <v>23</v>
      </c>
    </row>
    <row r="1447" spans="2:5" x14ac:dyDescent="0.35">
      <c r="B1447" s="473" t="s">
        <v>3093</v>
      </c>
      <c r="C1447" s="473" t="s">
        <v>947</v>
      </c>
      <c r="D1447" s="474" t="s">
        <v>879</v>
      </c>
      <c r="E1447" s="475">
        <v>22</v>
      </c>
    </row>
    <row r="1448" spans="2:5" x14ac:dyDescent="0.35">
      <c r="B1448" s="473" t="s">
        <v>2393</v>
      </c>
      <c r="C1448" s="473" t="s">
        <v>320</v>
      </c>
      <c r="D1448" s="474" t="s">
        <v>212</v>
      </c>
      <c r="E1448" s="475">
        <v>24</v>
      </c>
    </row>
    <row r="1449" spans="2:5" x14ac:dyDescent="0.35">
      <c r="B1449" s="473" t="s">
        <v>2502</v>
      </c>
      <c r="C1449" s="473" t="s">
        <v>408</v>
      </c>
      <c r="D1449" s="474" t="s">
        <v>332</v>
      </c>
      <c r="E1449" s="475">
        <v>34</v>
      </c>
    </row>
    <row r="1450" spans="2:5" x14ac:dyDescent="0.35">
      <c r="B1450" s="473" t="s">
        <v>3664</v>
      </c>
      <c r="C1450" s="473" t="s">
        <v>3665</v>
      </c>
      <c r="D1450" s="474" t="s">
        <v>1400</v>
      </c>
      <c r="E1450" s="475">
        <v>12</v>
      </c>
    </row>
    <row r="1451" spans="2:5" x14ac:dyDescent="0.35">
      <c r="B1451" s="473" t="s">
        <v>2980</v>
      </c>
      <c r="C1451" s="473" t="s">
        <v>765</v>
      </c>
      <c r="D1451" s="474" t="s">
        <v>332</v>
      </c>
      <c r="E1451" s="475">
        <v>22</v>
      </c>
    </row>
    <row r="1452" spans="2:5" x14ac:dyDescent="0.35">
      <c r="B1452" s="473" t="s">
        <v>2807</v>
      </c>
      <c r="C1452" s="473" t="s">
        <v>704</v>
      </c>
      <c r="D1452" s="474" t="s">
        <v>332</v>
      </c>
      <c r="E1452" s="475">
        <v>22</v>
      </c>
    </row>
    <row r="1453" spans="2:5" x14ac:dyDescent="0.35">
      <c r="B1453" s="473" t="s">
        <v>2860</v>
      </c>
      <c r="C1453" s="473" t="s">
        <v>753</v>
      </c>
      <c r="D1453" s="474" t="s">
        <v>332</v>
      </c>
      <c r="E1453" s="475">
        <v>22</v>
      </c>
    </row>
    <row r="1454" spans="2:5" x14ac:dyDescent="0.35">
      <c r="B1454" s="473" t="s">
        <v>3703</v>
      </c>
      <c r="C1454" s="473" t="s">
        <v>1487</v>
      </c>
      <c r="D1454" s="474" t="s">
        <v>1400</v>
      </c>
      <c r="E1454" s="475">
        <v>12</v>
      </c>
    </row>
    <row r="1455" spans="2:5" x14ac:dyDescent="0.35">
      <c r="B1455" s="473" t="s">
        <v>2540</v>
      </c>
      <c r="C1455" s="473" t="s">
        <v>459</v>
      </c>
      <c r="D1455" s="474" t="s">
        <v>332</v>
      </c>
      <c r="E1455" s="475">
        <v>33</v>
      </c>
    </row>
    <row r="1456" spans="2:5" x14ac:dyDescent="0.35">
      <c r="B1456" s="473" t="s">
        <v>4072</v>
      </c>
      <c r="C1456" s="473" t="s">
        <v>1833</v>
      </c>
      <c r="D1456" s="474" t="s">
        <v>1679</v>
      </c>
      <c r="E1456" s="475">
        <v>23</v>
      </c>
    </row>
    <row r="1457" spans="2:5" x14ac:dyDescent="0.35">
      <c r="B1457" s="473" t="s">
        <v>3503</v>
      </c>
      <c r="C1457" s="473" t="s">
        <v>1291</v>
      </c>
      <c r="D1457" s="474" t="s">
        <v>1282</v>
      </c>
      <c r="E1457" s="475">
        <v>11</v>
      </c>
    </row>
    <row r="1458" spans="2:5" x14ac:dyDescent="0.35">
      <c r="B1458" s="473" t="s">
        <v>3783</v>
      </c>
      <c r="C1458" s="473" t="s">
        <v>1563</v>
      </c>
      <c r="D1458" s="474" t="s">
        <v>1400</v>
      </c>
      <c r="E1458" s="475">
        <v>24</v>
      </c>
    </row>
    <row r="1459" spans="2:5" x14ac:dyDescent="0.35">
      <c r="B1459" s="473" t="s">
        <v>2808</v>
      </c>
      <c r="C1459" s="473" t="s">
        <v>705</v>
      </c>
      <c r="D1459" s="474" t="s">
        <v>332</v>
      </c>
      <c r="E1459" s="475">
        <v>23</v>
      </c>
    </row>
    <row r="1460" spans="2:5" x14ac:dyDescent="0.35">
      <c r="B1460" s="473" t="s">
        <v>3405</v>
      </c>
      <c r="C1460" s="473" t="s">
        <v>1199</v>
      </c>
      <c r="D1460" s="474" t="s">
        <v>879</v>
      </c>
      <c r="E1460" s="475">
        <v>11</v>
      </c>
    </row>
    <row r="1461" spans="2:5" x14ac:dyDescent="0.35">
      <c r="B1461" s="473" t="s">
        <v>2880</v>
      </c>
      <c r="C1461" s="473" t="s">
        <v>775</v>
      </c>
      <c r="D1461" s="474" t="s">
        <v>332</v>
      </c>
      <c r="E1461" s="475">
        <v>33</v>
      </c>
    </row>
    <row r="1462" spans="2:5" x14ac:dyDescent="0.35">
      <c r="B1462" s="473" t="s">
        <v>3442</v>
      </c>
      <c r="C1462" s="473" t="s">
        <v>1234</v>
      </c>
      <c r="D1462" s="474" t="s">
        <v>879</v>
      </c>
      <c r="E1462" s="475">
        <v>24</v>
      </c>
    </row>
    <row r="1463" spans="2:5" x14ac:dyDescent="0.35">
      <c r="B1463" s="473" t="s">
        <v>3211</v>
      </c>
      <c r="C1463" s="473" t="s">
        <v>1047</v>
      </c>
      <c r="D1463" s="474" t="s">
        <v>879</v>
      </c>
      <c r="E1463" s="475">
        <v>24</v>
      </c>
    </row>
    <row r="1464" spans="2:5" x14ac:dyDescent="0.35">
      <c r="B1464" s="473" t="s">
        <v>3443</v>
      </c>
      <c r="C1464" s="473" t="s">
        <v>1235</v>
      </c>
      <c r="D1464" s="474" t="s">
        <v>879</v>
      </c>
      <c r="E1464" s="475">
        <v>23</v>
      </c>
    </row>
    <row r="1465" spans="2:5" x14ac:dyDescent="0.35">
      <c r="B1465" s="473" t="s">
        <v>2589</v>
      </c>
      <c r="C1465" s="473" t="s">
        <v>504</v>
      </c>
      <c r="D1465" s="474" t="s">
        <v>332</v>
      </c>
      <c r="E1465" s="475">
        <v>34</v>
      </c>
    </row>
    <row r="1466" spans="2:5" x14ac:dyDescent="0.35">
      <c r="B1466" s="473" t="s">
        <v>3075</v>
      </c>
      <c r="C1466" s="473" t="s">
        <v>931</v>
      </c>
      <c r="D1466" s="474" t="s">
        <v>879</v>
      </c>
      <c r="E1466" s="475">
        <v>23</v>
      </c>
    </row>
    <row r="1467" spans="2:5" x14ac:dyDescent="0.35">
      <c r="B1467" s="473" t="s">
        <v>2110</v>
      </c>
      <c r="C1467" s="473" t="s">
        <v>54</v>
      </c>
      <c r="D1467" s="473" t="s">
        <v>40</v>
      </c>
      <c r="E1467" s="475">
        <v>22</v>
      </c>
    </row>
    <row r="1468" spans="2:5" x14ac:dyDescent="0.35">
      <c r="B1468" s="473" t="s">
        <v>2881</v>
      </c>
      <c r="C1468" s="473" t="s">
        <v>776</v>
      </c>
      <c r="D1468" s="474" t="s">
        <v>332</v>
      </c>
      <c r="E1468" s="475">
        <v>23</v>
      </c>
    </row>
    <row r="1469" spans="2:5" x14ac:dyDescent="0.35">
      <c r="B1469" s="473" t="s">
        <v>2981</v>
      </c>
      <c r="C1469" s="473" t="s">
        <v>766</v>
      </c>
      <c r="D1469" s="474" t="s">
        <v>332</v>
      </c>
      <c r="E1469" s="475">
        <v>11</v>
      </c>
    </row>
    <row r="1470" spans="2:5" x14ac:dyDescent="0.35">
      <c r="B1470" s="473" t="s">
        <v>3809</v>
      </c>
      <c r="C1470" s="473" t="s">
        <v>1585</v>
      </c>
      <c r="D1470" s="474" t="s">
        <v>1400</v>
      </c>
      <c r="E1470" s="475">
        <v>34</v>
      </c>
    </row>
    <row r="1471" spans="2:5" x14ac:dyDescent="0.35">
      <c r="B1471" s="473" t="s">
        <v>3310</v>
      </c>
      <c r="C1471" s="473" t="s">
        <v>1130</v>
      </c>
      <c r="D1471" s="474" t="s">
        <v>879</v>
      </c>
      <c r="E1471" s="475">
        <v>33</v>
      </c>
    </row>
    <row r="1472" spans="2:5" x14ac:dyDescent="0.35">
      <c r="B1472" s="473" t="s">
        <v>2861</v>
      </c>
      <c r="C1472" s="473" t="s">
        <v>754</v>
      </c>
      <c r="D1472" s="474" t="s">
        <v>332</v>
      </c>
      <c r="E1472" s="475">
        <v>23</v>
      </c>
    </row>
    <row r="1473" spans="2:5" x14ac:dyDescent="0.35">
      <c r="B1473" s="473" t="s">
        <v>3345</v>
      </c>
      <c r="C1473" s="473" t="s">
        <v>1151</v>
      </c>
      <c r="D1473" s="474" t="s">
        <v>879</v>
      </c>
      <c r="E1473" s="475">
        <v>34</v>
      </c>
    </row>
    <row r="1474" spans="2:5" x14ac:dyDescent="0.35">
      <c r="B1474" s="473" t="s">
        <v>3661</v>
      </c>
      <c r="C1474" s="473" t="s">
        <v>1449</v>
      </c>
      <c r="D1474" s="474" t="s">
        <v>1400</v>
      </c>
      <c r="E1474" s="475">
        <v>11</v>
      </c>
    </row>
    <row r="1475" spans="2:5" x14ac:dyDescent="0.35">
      <c r="B1475" s="473" t="s">
        <v>2925</v>
      </c>
      <c r="C1475" s="473" t="s">
        <v>813</v>
      </c>
      <c r="D1475" s="474" t="s">
        <v>332</v>
      </c>
      <c r="E1475" s="475">
        <v>34</v>
      </c>
    </row>
    <row r="1476" spans="2:5" x14ac:dyDescent="0.35">
      <c r="B1476" s="473" t="s">
        <v>2809</v>
      </c>
      <c r="C1476" s="473" t="s">
        <v>706</v>
      </c>
      <c r="D1476" s="474" t="s">
        <v>332</v>
      </c>
      <c r="E1476" s="475">
        <v>24</v>
      </c>
    </row>
    <row r="1477" spans="2:5" x14ac:dyDescent="0.35">
      <c r="B1477" s="473" t="s">
        <v>2541</v>
      </c>
      <c r="C1477" s="473" t="s">
        <v>460</v>
      </c>
      <c r="D1477" s="474" t="s">
        <v>332</v>
      </c>
      <c r="E1477" s="475">
        <v>23</v>
      </c>
    </row>
    <row r="1478" spans="2:5" x14ac:dyDescent="0.35">
      <c r="B1478" s="473" t="s">
        <v>2755</v>
      </c>
      <c r="C1478" s="473" t="s">
        <v>635</v>
      </c>
      <c r="D1478" s="474" t="s">
        <v>332</v>
      </c>
      <c r="E1478" s="475">
        <v>33</v>
      </c>
    </row>
    <row r="1479" spans="2:5" x14ac:dyDescent="0.35">
      <c r="B1479" s="473" t="s">
        <v>2862</v>
      </c>
      <c r="C1479" s="473" t="s">
        <v>755</v>
      </c>
      <c r="D1479" s="474" t="s">
        <v>332</v>
      </c>
      <c r="E1479" s="475">
        <v>23</v>
      </c>
    </row>
    <row r="1480" spans="2:5" x14ac:dyDescent="0.35">
      <c r="B1480" s="473" t="s">
        <v>2340</v>
      </c>
      <c r="C1480" s="473" t="s">
        <v>275</v>
      </c>
      <c r="D1480" s="474" t="s">
        <v>212</v>
      </c>
      <c r="E1480" s="475">
        <v>23</v>
      </c>
    </row>
    <row r="1481" spans="2:5" x14ac:dyDescent="0.35">
      <c r="B1481" s="473" t="s">
        <v>4042</v>
      </c>
      <c r="C1481" s="473" t="s">
        <v>1803</v>
      </c>
      <c r="D1481" s="474" t="s">
        <v>1679</v>
      </c>
      <c r="E1481" s="475">
        <v>22</v>
      </c>
    </row>
    <row r="1482" spans="2:5" x14ac:dyDescent="0.35">
      <c r="B1482" s="473" t="s">
        <v>3704</v>
      </c>
      <c r="C1482" s="473" t="s">
        <v>1488</v>
      </c>
      <c r="D1482" s="474" t="s">
        <v>1400</v>
      </c>
      <c r="E1482" s="475">
        <v>34</v>
      </c>
    </row>
    <row r="1483" spans="2:5" x14ac:dyDescent="0.35">
      <c r="B1483" s="473" t="s">
        <v>3561</v>
      </c>
      <c r="C1483" s="473" t="s">
        <v>1349</v>
      </c>
      <c r="D1483" s="474" t="s">
        <v>1282</v>
      </c>
      <c r="E1483" s="475">
        <v>32</v>
      </c>
    </row>
    <row r="1484" spans="2:5" x14ac:dyDescent="0.35">
      <c r="B1484" s="473" t="s">
        <v>4214</v>
      </c>
      <c r="C1484" s="473" t="s">
        <v>1968</v>
      </c>
      <c r="D1484" s="474" t="s">
        <v>1950</v>
      </c>
      <c r="E1484" s="475">
        <v>24</v>
      </c>
    </row>
    <row r="1485" spans="2:5" x14ac:dyDescent="0.35">
      <c r="B1485" s="473" t="s">
        <v>3678</v>
      </c>
      <c r="C1485" s="473" t="s">
        <v>1464</v>
      </c>
      <c r="D1485" s="474" t="s">
        <v>1400</v>
      </c>
      <c r="E1485" s="475">
        <v>24</v>
      </c>
    </row>
    <row r="1486" spans="2:5" x14ac:dyDescent="0.35">
      <c r="B1486" s="473" t="s">
        <v>2226</v>
      </c>
      <c r="C1486" s="473" t="s">
        <v>170</v>
      </c>
      <c r="D1486" s="473" t="s">
        <v>40</v>
      </c>
      <c r="E1486" s="475">
        <v>34</v>
      </c>
    </row>
    <row r="1487" spans="2:5" x14ac:dyDescent="0.35">
      <c r="B1487" s="473" t="s">
        <v>3346</v>
      </c>
      <c r="C1487" s="473" t="s">
        <v>1152</v>
      </c>
      <c r="D1487" s="474" t="s">
        <v>879</v>
      </c>
      <c r="E1487" s="475">
        <v>34</v>
      </c>
    </row>
    <row r="1488" spans="2:5" x14ac:dyDescent="0.35">
      <c r="B1488" s="473" t="s">
        <v>3094</v>
      </c>
      <c r="C1488" s="473" t="s">
        <v>948</v>
      </c>
      <c r="D1488" s="474" t="s">
        <v>879</v>
      </c>
      <c r="E1488" s="475">
        <v>33</v>
      </c>
    </row>
    <row r="1489" spans="2:5" x14ac:dyDescent="0.35">
      <c r="B1489" s="473" t="s">
        <v>3575</v>
      </c>
      <c r="C1489" s="473" t="s">
        <v>1363</v>
      </c>
      <c r="D1489" s="474" t="s">
        <v>1282</v>
      </c>
      <c r="E1489" s="475">
        <v>34</v>
      </c>
    </row>
    <row r="1490" spans="2:5" x14ac:dyDescent="0.35">
      <c r="B1490" s="473" t="s">
        <v>2678</v>
      </c>
      <c r="C1490" s="473" t="s">
        <v>589</v>
      </c>
      <c r="D1490" s="474" t="s">
        <v>332</v>
      </c>
      <c r="E1490" s="475">
        <v>34</v>
      </c>
    </row>
    <row r="1491" spans="2:5" x14ac:dyDescent="0.35">
      <c r="B1491" s="473" t="s">
        <v>3721</v>
      </c>
      <c r="C1491" s="473" t="s">
        <v>1505</v>
      </c>
      <c r="D1491" s="474" t="s">
        <v>1400</v>
      </c>
      <c r="E1491" s="475">
        <v>34</v>
      </c>
    </row>
    <row r="1492" spans="2:5" x14ac:dyDescent="0.35">
      <c r="B1492" s="473" t="s">
        <v>4177</v>
      </c>
      <c r="C1492" s="473" t="s">
        <v>1930</v>
      </c>
      <c r="D1492" s="474" t="s">
        <v>1679</v>
      </c>
      <c r="E1492" s="475">
        <v>32</v>
      </c>
    </row>
    <row r="1493" spans="2:5" x14ac:dyDescent="0.35">
      <c r="B1493" s="473" t="s">
        <v>2882</v>
      </c>
      <c r="C1493" s="473" t="s">
        <v>777</v>
      </c>
      <c r="D1493" s="474" t="s">
        <v>332</v>
      </c>
      <c r="E1493" s="475">
        <v>24</v>
      </c>
    </row>
    <row r="1494" spans="2:5" x14ac:dyDescent="0.35">
      <c r="B1494" s="473" t="s">
        <v>2341</v>
      </c>
      <c r="C1494" s="473" t="s">
        <v>276</v>
      </c>
      <c r="D1494" s="474" t="s">
        <v>212</v>
      </c>
      <c r="E1494" s="475">
        <v>24</v>
      </c>
    </row>
    <row r="1495" spans="2:5" x14ac:dyDescent="0.35">
      <c r="B1495" s="473" t="s">
        <v>3974</v>
      </c>
      <c r="C1495" s="473" t="s">
        <v>1743</v>
      </c>
      <c r="D1495" s="474" t="s">
        <v>1679</v>
      </c>
      <c r="E1495" s="475">
        <v>23</v>
      </c>
    </row>
    <row r="1496" spans="2:5" x14ac:dyDescent="0.35">
      <c r="B1496" s="473" t="s">
        <v>4285</v>
      </c>
      <c r="C1496" s="473" t="s">
        <v>2031</v>
      </c>
      <c r="D1496" s="474" t="s">
        <v>1950</v>
      </c>
      <c r="E1496" s="475">
        <v>11</v>
      </c>
    </row>
    <row r="1497" spans="2:5" x14ac:dyDescent="0.35">
      <c r="B1497" s="473" t="s">
        <v>3751</v>
      </c>
      <c r="C1497" s="473" t="s">
        <v>1531</v>
      </c>
      <c r="D1497" s="474" t="s">
        <v>1400</v>
      </c>
      <c r="E1497" s="475">
        <v>34</v>
      </c>
    </row>
    <row r="1498" spans="2:5" x14ac:dyDescent="0.35">
      <c r="B1498" s="473" t="s">
        <v>3004</v>
      </c>
      <c r="C1498" s="473" t="s">
        <v>871</v>
      </c>
      <c r="D1498" s="474" t="s">
        <v>332</v>
      </c>
      <c r="E1498" s="475">
        <v>34</v>
      </c>
    </row>
    <row r="1499" spans="2:5" x14ac:dyDescent="0.35">
      <c r="B1499" s="473" t="s">
        <v>2657</v>
      </c>
      <c r="C1499" s="473" t="s">
        <v>570</v>
      </c>
      <c r="D1499" s="474" t="s">
        <v>332</v>
      </c>
      <c r="E1499" s="475">
        <v>33</v>
      </c>
    </row>
    <row r="1500" spans="2:5" x14ac:dyDescent="0.35">
      <c r="B1500" s="473" t="s">
        <v>3784</v>
      </c>
      <c r="C1500" s="473" t="s">
        <v>1564</v>
      </c>
      <c r="D1500" s="474" t="s">
        <v>1400</v>
      </c>
      <c r="E1500" s="475">
        <v>33</v>
      </c>
    </row>
    <row r="1501" spans="2:5" x14ac:dyDescent="0.35">
      <c r="B1501" s="473" t="s">
        <v>4043</v>
      </c>
      <c r="C1501" s="473" t="s">
        <v>1804</v>
      </c>
      <c r="D1501" s="474" t="s">
        <v>1679</v>
      </c>
      <c r="E1501" s="475">
        <v>22</v>
      </c>
    </row>
    <row r="1502" spans="2:5" x14ac:dyDescent="0.35">
      <c r="B1502" s="473" t="s">
        <v>2982</v>
      </c>
      <c r="C1502" s="473" t="s">
        <v>423</v>
      </c>
      <c r="D1502" s="474" t="s">
        <v>332</v>
      </c>
      <c r="E1502" s="475">
        <v>24</v>
      </c>
    </row>
    <row r="1503" spans="2:5" x14ac:dyDescent="0.35">
      <c r="B1503" s="473" t="s">
        <v>2148</v>
      </c>
      <c r="C1503" s="473" t="s">
        <v>92</v>
      </c>
      <c r="D1503" s="473" t="s">
        <v>40</v>
      </c>
      <c r="E1503" s="475">
        <v>34</v>
      </c>
    </row>
    <row r="1504" spans="2:5" x14ac:dyDescent="0.35">
      <c r="B1504" s="473" t="s">
        <v>3601</v>
      </c>
      <c r="C1504" s="473" t="s">
        <v>1389</v>
      </c>
      <c r="D1504" s="474" t="s">
        <v>1282</v>
      </c>
      <c r="E1504" s="475">
        <v>34</v>
      </c>
    </row>
    <row r="1505" spans="2:5" x14ac:dyDescent="0.35">
      <c r="B1505" s="473" t="s">
        <v>2590</v>
      </c>
      <c r="C1505" s="473" t="s">
        <v>505</v>
      </c>
      <c r="D1505" s="474" t="s">
        <v>332</v>
      </c>
      <c r="E1505" s="475">
        <v>34</v>
      </c>
    </row>
    <row r="1506" spans="2:5" x14ac:dyDescent="0.35">
      <c r="B1506" s="473" t="s">
        <v>2713</v>
      </c>
      <c r="C1506" s="473" t="s">
        <v>620</v>
      </c>
      <c r="D1506" s="474" t="s">
        <v>332</v>
      </c>
      <c r="E1506" s="475">
        <v>34</v>
      </c>
    </row>
    <row r="1507" spans="2:5" x14ac:dyDescent="0.35">
      <c r="B1507" s="473" t="s">
        <v>3232</v>
      </c>
      <c r="C1507" s="473" t="s">
        <v>1066</v>
      </c>
      <c r="D1507" s="474" t="s">
        <v>879</v>
      </c>
      <c r="E1507" s="475">
        <v>34</v>
      </c>
    </row>
    <row r="1508" spans="2:5" x14ac:dyDescent="0.35">
      <c r="B1508" s="473" t="s">
        <v>2254</v>
      </c>
      <c r="C1508" s="473" t="s">
        <v>198</v>
      </c>
      <c r="D1508" s="473" t="s">
        <v>40</v>
      </c>
      <c r="E1508" s="475">
        <v>34</v>
      </c>
    </row>
    <row r="1509" spans="2:5" x14ac:dyDescent="0.35">
      <c r="B1509" s="473" t="s">
        <v>3444</v>
      </c>
      <c r="C1509" s="473" t="s">
        <v>1236</v>
      </c>
      <c r="D1509" s="474" t="s">
        <v>879</v>
      </c>
      <c r="E1509" s="475">
        <v>24</v>
      </c>
    </row>
    <row r="1510" spans="2:5" x14ac:dyDescent="0.35">
      <c r="B1510" s="473" t="s">
        <v>3445</v>
      </c>
      <c r="C1510" s="473" t="s">
        <v>1237</v>
      </c>
      <c r="D1510" s="474" t="s">
        <v>879</v>
      </c>
      <c r="E1510" s="475">
        <v>12</v>
      </c>
    </row>
    <row r="1511" spans="2:5" x14ac:dyDescent="0.35">
      <c r="B1511" s="473" t="s">
        <v>3446</v>
      </c>
      <c r="C1511" s="473" t="s">
        <v>1238</v>
      </c>
      <c r="D1511" s="474" t="s">
        <v>879</v>
      </c>
      <c r="E1511" s="475">
        <v>12</v>
      </c>
    </row>
    <row r="1512" spans="2:5" x14ac:dyDescent="0.35">
      <c r="B1512" s="473" t="s">
        <v>2408</v>
      </c>
      <c r="C1512" s="473" t="s">
        <v>329</v>
      </c>
      <c r="D1512" s="474" t="s">
        <v>212</v>
      </c>
      <c r="E1512" s="475">
        <v>34</v>
      </c>
    </row>
    <row r="1513" spans="2:5" x14ac:dyDescent="0.35">
      <c r="B1513" s="473" t="s">
        <v>2810</v>
      </c>
      <c r="C1513" s="473" t="s">
        <v>707</v>
      </c>
      <c r="D1513" s="474" t="s">
        <v>332</v>
      </c>
      <c r="E1513" s="475">
        <v>23</v>
      </c>
    </row>
    <row r="1514" spans="2:5" x14ac:dyDescent="0.35">
      <c r="B1514" s="473" t="s">
        <v>3406</v>
      </c>
      <c r="C1514" s="473" t="s">
        <v>1200</v>
      </c>
      <c r="D1514" s="474" t="s">
        <v>879</v>
      </c>
      <c r="E1514" s="475">
        <v>23</v>
      </c>
    </row>
    <row r="1515" spans="2:5" x14ac:dyDescent="0.35">
      <c r="B1515" s="473" t="s">
        <v>2394</v>
      </c>
      <c r="C1515" s="473" t="s">
        <v>321</v>
      </c>
      <c r="D1515" s="474" t="s">
        <v>212</v>
      </c>
      <c r="E1515" s="475">
        <v>24</v>
      </c>
    </row>
    <row r="1516" spans="2:5" x14ac:dyDescent="0.35">
      <c r="B1516" s="473" t="s">
        <v>3407</v>
      </c>
      <c r="C1516" s="473" t="s">
        <v>1201</v>
      </c>
      <c r="D1516" s="474" t="s">
        <v>879</v>
      </c>
      <c r="E1516" s="475">
        <v>34</v>
      </c>
    </row>
    <row r="1517" spans="2:5" x14ac:dyDescent="0.35">
      <c r="B1517" s="473" t="s">
        <v>3269</v>
      </c>
      <c r="C1517" s="473" t="s">
        <v>1095</v>
      </c>
      <c r="D1517" s="474" t="s">
        <v>879</v>
      </c>
      <c r="E1517" s="475">
        <v>23</v>
      </c>
    </row>
    <row r="1518" spans="2:5" x14ac:dyDescent="0.35">
      <c r="B1518" s="473" t="s">
        <v>3378</v>
      </c>
      <c r="C1518" s="473" t="s">
        <v>1174</v>
      </c>
      <c r="D1518" s="474" t="s">
        <v>879</v>
      </c>
      <c r="E1518" s="475">
        <v>23</v>
      </c>
    </row>
    <row r="1519" spans="2:5" x14ac:dyDescent="0.35">
      <c r="B1519" s="473" t="s">
        <v>2567</v>
      </c>
      <c r="C1519" s="473" t="s">
        <v>486</v>
      </c>
      <c r="D1519" s="474" t="s">
        <v>332</v>
      </c>
      <c r="E1519" s="475">
        <v>34</v>
      </c>
    </row>
    <row r="1520" spans="2:5" x14ac:dyDescent="0.35">
      <c r="B1520" s="473" t="s">
        <v>2883</v>
      </c>
      <c r="C1520" s="473" t="s">
        <v>778</v>
      </c>
      <c r="D1520" s="474" t="s">
        <v>332</v>
      </c>
      <c r="E1520" s="475">
        <v>33</v>
      </c>
    </row>
    <row r="1521" spans="2:5" x14ac:dyDescent="0.35">
      <c r="B1521" s="473" t="s">
        <v>2477</v>
      </c>
      <c r="C1521" s="473" t="s">
        <v>385</v>
      </c>
      <c r="D1521" s="474" t="s">
        <v>332</v>
      </c>
      <c r="E1521" s="475">
        <v>23</v>
      </c>
    </row>
    <row r="1522" spans="2:5" x14ac:dyDescent="0.35">
      <c r="B1522" s="473" t="s">
        <v>2353</v>
      </c>
      <c r="C1522" s="473" t="s">
        <v>288</v>
      </c>
      <c r="D1522" s="474" t="s">
        <v>212</v>
      </c>
      <c r="E1522" s="475">
        <v>24</v>
      </c>
    </row>
    <row r="1523" spans="2:5" x14ac:dyDescent="0.35">
      <c r="B1523" s="473" t="s">
        <v>4014</v>
      </c>
      <c r="C1523" s="473" t="s">
        <v>1781</v>
      </c>
      <c r="D1523" s="474" t="s">
        <v>1679</v>
      </c>
      <c r="E1523" s="475">
        <v>24</v>
      </c>
    </row>
    <row r="1524" spans="2:5" x14ac:dyDescent="0.35">
      <c r="B1524" s="473" t="s">
        <v>3975</v>
      </c>
      <c r="C1524" s="473" t="s">
        <v>1744</v>
      </c>
      <c r="D1524" s="474" t="s">
        <v>1679</v>
      </c>
      <c r="E1524" s="475">
        <v>22</v>
      </c>
    </row>
    <row r="1525" spans="2:5" x14ac:dyDescent="0.35">
      <c r="B1525" s="473" t="s">
        <v>4044</v>
      </c>
      <c r="C1525" s="473" t="s">
        <v>1805</v>
      </c>
      <c r="D1525" s="474" t="s">
        <v>1679</v>
      </c>
      <c r="E1525" s="475">
        <v>22</v>
      </c>
    </row>
    <row r="1526" spans="2:5" x14ac:dyDescent="0.35">
      <c r="B1526" s="473" t="s">
        <v>2342</v>
      </c>
      <c r="C1526" s="473" t="s">
        <v>277</v>
      </c>
      <c r="D1526" s="474" t="s">
        <v>212</v>
      </c>
      <c r="E1526" s="475">
        <v>24</v>
      </c>
    </row>
    <row r="1527" spans="2:5" x14ac:dyDescent="0.35">
      <c r="B1527" s="473" t="s">
        <v>3785</v>
      </c>
      <c r="C1527" s="473" t="s">
        <v>1565</v>
      </c>
      <c r="D1527" s="474" t="s">
        <v>1400</v>
      </c>
      <c r="E1527" s="475">
        <v>34</v>
      </c>
    </row>
    <row r="1528" spans="2:5" x14ac:dyDescent="0.35">
      <c r="B1528" s="473" t="s">
        <v>4045</v>
      </c>
      <c r="C1528" s="473" t="s">
        <v>1806</v>
      </c>
      <c r="D1528" s="474" t="s">
        <v>1679</v>
      </c>
      <c r="E1528" s="475">
        <v>24</v>
      </c>
    </row>
    <row r="1529" spans="2:5" x14ac:dyDescent="0.35">
      <c r="B1529" s="473" t="s">
        <v>2591</v>
      </c>
      <c r="C1529" s="473" t="s">
        <v>506</v>
      </c>
      <c r="D1529" s="474" t="s">
        <v>332</v>
      </c>
      <c r="E1529" s="475">
        <v>32</v>
      </c>
    </row>
    <row r="1530" spans="2:5" x14ac:dyDescent="0.35">
      <c r="B1530" s="473" t="s">
        <v>2592</v>
      </c>
      <c r="C1530" s="473" t="s">
        <v>507</v>
      </c>
      <c r="D1530" s="474" t="s">
        <v>332</v>
      </c>
      <c r="E1530" s="475">
        <v>34</v>
      </c>
    </row>
    <row r="1531" spans="2:5" x14ac:dyDescent="0.35">
      <c r="B1531" s="473" t="s">
        <v>4258</v>
      </c>
      <c r="C1531" s="473" t="s">
        <v>2005</v>
      </c>
      <c r="D1531" s="474" t="s">
        <v>1950</v>
      </c>
      <c r="E1531" s="475">
        <v>22</v>
      </c>
    </row>
    <row r="1532" spans="2:5" x14ac:dyDescent="0.35">
      <c r="B1532" s="473" t="s">
        <v>4148</v>
      </c>
      <c r="C1532" s="473" t="s">
        <v>1901</v>
      </c>
      <c r="D1532" s="474" t="s">
        <v>1679</v>
      </c>
      <c r="E1532" s="475">
        <v>12</v>
      </c>
    </row>
    <row r="1533" spans="2:5" x14ac:dyDescent="0.35">
      <c r="B1533" s="473" t="s">
        <v>3270</v>
      </c>
      <c r="C1533" s="473" t="s">
        <v>1096</v>
      </c>
      <c r="D1533" s="474" t="s">
        <v>879</v>
      </c>
      <c r="E1533" s="475">
        <v>11</v>
      </c>
    </row>
    <row r="1534" spans="2:5" x14ac:dyDescent="0.35">
      <c r="B1534" s="473" t="s">
        <v>4073</v>
      </c>
      <c r="C1534" s="473" t="s">
        <v>1834</v>
      </c>
      <c r="D1534" s="474" t="s">
        <v>1679</v>
      </c>
      <c r="E1534" s="475">
        <v>23</v>
      </c>
    </row>
    <row r="1535" spans="2:5" x14ac:dyDescent="0.35">
      <c r="B1535" s="473" t="s">
        <v>3180</v>
      </c>
      <c r="C1535" s="473" t="s">
        <v>1020</v>
      </c>
      <c r="D1535" s="474" t="s">
        <v>879</v>
      </c>
      <c r="E1535" s="475">
        <v>23</v>
      </c>
    </row>
    <row r="1536" spans="2:5" x14ac:dyDescent="0.35">
      <c r="B1536" s="473" t="s">
        <v>4178</v>
      </c>
      <c r="C1536" s="473" t="s">
        <v>1931</v>
      </c>
      <c r="D1536" s="474" t="s">
        <v>1679</v>
      </c>
      <c r="E1536" s="475">
        <v>22</v>
      </c>
    </row>
    <row r="1537" spans="2:5" x14ac:dyDescent="0.35">
      <c r="B1537" s="473" t="s">
        <v>3233</v>
      </c>
      <c r="C1537" s="473" t="s">
        <v>1067</v>
      </c>
      <c r="D1537" s="474" t="s">
        <v>879</v>
      </c>
      <c r="E1537" s="475">
        <v>23</v>
      </c>
    </row>
    <row r="1538" spans="2:5" x14ac:dyDescent="0.35">
      <c r="B1538" s="473" t="s">
        <v>3347</v>
      </c>
      <c r="C1538" s="473" t="s">
        <v>1153</v>
      </c>
      <c r="D1538" s="474" t="s">
        <v>879</v>
      </c>
      <c r="E1538" s="475">
        <v>22</v>
      </c>
    </row>
    <row r="1539" spans="2:5" x14ac:dyDescent="0.35">
      <c r="B1539" s="473" t="s">
        <v>2255</v>
      </c>
      <c r="C1539" s="473" t="s">
        <v>199</v>
      </c>
      <c r="D1539" s="473" t="s">
        <v>40</v>
      </c>
      <c r="E1539" s="475">
        <v>33</v>
      </c>
    </row>
    <row r="1540" spans="2:5" x14ac:dyDescent="0.35">
      <c r="B1540" s="473" t="s">
        <v>4259</v>
      </c>
      <c r="C1540" s="473" t="s">
        <v>2006</v>
      </c>
      <c r="D1540" s="474" t="s">
        <v>1950</v>
      </c>
      <c r="E1540" s="475">
        <v>23</v>
      </c>
    </row>
    <row r="1541" spans="2:5" x14ac:dyDescent="0.35">
      <c r="B1541" s="473" t="s">
        <v>3904</v>
      </c>
      <c r="C1541" s="473" t="s">
        <v>1674</v>
      </c>
      <c r="D1541" s="474" t="s">
        <v>1400</v>
      </c>
      <c r="E1541" s="475">
        <v>33</v>
      </c>
    </row>
    <row r="1542" spans="2:5" x14ac:dyDescent="0.35">
      <c r="B1542" s="473" t="s">
        <v>3924</v>
      </c>
      <c r="C1542" s="473" t="s">
        <v>1695</v>
      </c>
      <c r="D1542" s="474" t="s">
        <v>1679</v>
      </c>
      <c r="E1542" s="475">
        <v>22</v>
      </c>
    </row>
    <row r="1543" spans="2:5" x14ac:dyDescent="0.35">
      <c r="B1543" s="473" t="s">
        <v>2542</v>
      </c>
      <c r="C1543" s="473" t="s">
        <v>461</v>
      </c>
      <c r="D1543" s="474" t="s">
        <v>332</v>
      </c>
      <c r="E1543" s="475">
        <v>34</v>
      </c>
    </row>
    <row r="1544" spans="2:5" x14ac:dyDescent="0.35">
      <c r="B1544" s="473" t="s">
        <v>3976</v>
      </c>
      <c r="C1544" s="473" t="s">
        <v>1745</v>
      </c>
      <c r="D1544" s="474" t="s">
        <v>1679</v>
      </c>
      <c r="E1544" s="475">
        <v>23</v>
      </c>
    </row>
    <row r="1545" spans="2:5" x14ac:dyDescent="0.35">
      <c r="B1545" s="473" t="s">
        <v>2227</v>
      </c>
      <c r="C1545" s="473" t="s">
        <v>171</v>
      </c>
      <c r="D1545" s="473" t="s">
        <v>40</v>
      </c>
      <c r="E1545" s="475">
        <v>34</v>
      </c>
    </row>
    <row r="1546" spans="2:5" x14ac:dyDescent="0.35">
      <c r="B1546" s="473" t="s">
        <v>3878</v>
      </c>
      <c r="C1546" s="473" t="s">
        <v>1650</v>
      </c>
      <c r="D1546" s="474" t="s">
        <v>1400</v>
      </c>
      <c r="E1546" s="475">
        <v>34</v>
      </c>
    </row>
    <row r="1547" spans="2:5" x14ac:dyDescent="0.35">
      <c r="B1547" s="473" t="s">
        <v>2146</v>
      </c>
      <c r="C1547" s="473" t="s">
        <v>90</v>
      </c>
      <c r="D1547" s="473" t="s">
        <v>40</v>
      </c>
      <c r="E1547" s="475">
        <v>34</v>
      </c>
    </row>
    <row r="1548" spans="2:5" x14ac:dyDescent="0.35">
      <c r="B1548" s="473" t="s">
        <v>2954</v>
      </c>
      <c r="C1548" s="473" t="s">
        <v>842</v>
      </c>
      <c r="D1548" s="474" t="s">
        <v>332</v>
      </c>
      <c r="E1548" s="475">
        <v>34</v>
      </c>
    </row>
    <row r="1549" spans="2:5" x14ac:dyDescent="0.35">
      <c r="B1549" s="473" t="s">
        <v>3379</v>
      </c>
      <c r="C1549" s="473" t="s">
        <v>1175</v>
      </c>
      <c r="D1549" s="474" t="s">
        <v>879</v>
      </c>
      <c r="E1549" s="475">
        <v>22</v>
      </c>
    </row>
    <row r="1550" spans="2:5" x14ac:dyDescent="0.35">
      <c r="B1550" s="473" t="s">
        <v>2503</v>
      </c>
      <c r="C1550" s="473" t="s">
        <v>409</v>
      </c>
      <c r="D1550" s="474" t="s">
        <v>332</v>
      </c>
      <c r="E1550" s="475">
        <v>24</v>
      </c>
    </row>
    <row r="1551" spans="2:5" x14ac:dyDescent="0.35">
      <c r="B1551" s="473" t="s">
        <v>2679</v>
      </c>
      <c r="C1551" s="473" t="s">
        <v>590</v>
      </c>
      <c r="D1551" s="474" t="s">
        <v>332</v>
      </c>
      <c r="E1551" s="475">
        <v>33</v>
      </c>
    </row>
    <row r="1552" spans="2:5" x14ac:dyDescent="0.35">
      <c r="B1552" s="473" t="s">
        <v>3879</v>
      </c>
      <c r="C1552" s="473" t="s">
        <v>1651</v>
      </c>
      <c r="D1552" s="474" t="s">
        <v>1400</v>
      </c>
      <c r="E1552" s="475">
        <v>33</v>
      </c>
    </row>
    <row r="1553" spans="2:5" x14ac:dyDescent="0.35">
      <c r="B1553" s="473" t="s">
        <v>2171</v>
      </c>
      <c r="C1553" s="473" t="s">
        <v>115</v>
      </c>
      <c r="D1553" s="473" t="s">
        <v>40</v>
      </c>
      <c r="E1553" s="475">
        <v>22</v>
      </c>
    </row>
    <row r="1554" spans="2:5" x14ac:dyDescent="0.35">
      <c r="B1554" s="473" t="s">
        <v>3331</v>
      </c>
      <c r="C1554" s="473" t="s">
        <v>1137</v>
      </c>
      <c r="D1554" s="474" t="s">
        <v>879</v>
      </c>
      <c r="E1554" s="475">
        <v>32</v>
      </c>
    </row>
    <row r="1555" spans="2:5" x14ac:dyDescent="0.35">
      <c r="B1555" s="473" t="s">
        <v>4179</v>
      </c>
      <c r="C1555" s="473" t="s">
        <v>1932</v>
      </c>
      <c r="D1555" s="474" t="s">
        <v>1679</v>
      </c>
      <c r="E1555" s="475">
        <v>34</v>
      </c>
    </row>
    <row r="1556" spans="2:5" x14ac:dyDescent="0.35">
      <c r="B1556" s="473" t="s">
        <v>2612</v>
      </c>
      <c r="C1556" s="473" t="s">
        <v>527</v>
      </c>
      <c r="D1556" s="474" t="s">
        <v>332</v>
      </c>
      <c r="E1556" s="475">
        <v>34</v>
      </c>
    </row>
    <row r="1557" spans="2:5" x14ac:dyDescent="0.35">
      <c r="B1557" s="473" t="s">
        <v>2658</v>
      </c>
      <c r="C1557" s="473" t="s">
        <v>571</v>
      </c>
      <c r="D1557" s="474" t="s">
        <v>332</v>
      </c>
      <c r="E1557" s="475">
        <v>12</v>
      </c>
    </row>
    <row r="1558" spans="2:5" x14ac:dyDescent="0.35">
      <c r="B1558" s="473" t="s">
        <v>3123</v>
      </c>
      <c r="C1558" s="473" t="s">
        <v>973</v>
      </c>
      <c r="D1558" s="474" t="s">
        <v>879</v>
      </c>
      <c r="E1558" s="475">
        <v>24</v>
      </c>
    </row>
    <row r="1559" spans="2:5" x14ac:dyDescent="0.35">
      <c r="B1559" s="473" t="s">
        <v>4286</v>
      </c>
      <c r="C1559" s="473" t="s">
        <v>2032</v>
      </c>
      <c r="D1559" s="474" t="s">
        <v>1950</v>
      </c>
      <c r="E1559" s="475">
        <v>23</v>
      </c>
    </row>
    <row r="1560" spans="2:5" x14ac:dyDescent="0.35">
      <c r="B1560" s="473" t="s">
        <v>3925</v>
      </c>
      <c r="C1560" s="473" t="s">
        <v>1696</v>
      </c>
      <c r="D1560" s="474" t="s">
        <v>1679</v>
      </c>
      <c r="E1560" s="475">
        <v>23</v>
      </c>
    </row>
    <row r="1561" spans="2:5" x14ac:dyDescent="0.35">
      <c r="B1561" s="473" t="s">
        <v>2613</v>
      </c>
      <c r="C1561" s="473" t="s">
        <v>528</v>
      </c>
      <c r="D1561" s="474" t="s">
        <v>332</v>
      </c>
      <c r="E1561" s="475">
        <v>34</v>
      </c>
    </row>
    <row r="1562" spans="2:5" x14ac:dyDescent="0.35">
      <c r="B1562" s="473" t="s">
        <v>2366</v>
      </c>
      <c r="C1562" s="473" t="s">
        <v>301</v>
      </c>
      <c r="D1562" s="474" t="s">
        <v>212</v>
      </c>
      <c r="E1562" s="475">
        <v>23</v>
      </c>
    </row>
    <row r="1563" spans="2:5" x14ac:dyDescent="0.35">
      <c r="B1563" s="473" t="s">
        <v>3181</v>
      </c>
      <c r="C1563" s="473" t="s">
        <v>1021</v>
      </c>
      <c r="D1563" s="474" t="s">
        <v>879</v>
      </c>
      <c r="E1563" s="475">
        <v>34</v>
      </c>
    </row>
    <row r="1564" spans="2:5" x14ac:dyDescent="0.35">
      <c r="B1564" s="473" t="s">
        <v>2614</v>
      </c>
      <c r="C1564" s="473" t="s">
        <v>529</v>
      </c>
      <c r="D1564" s="474" t="s">
        <v>332</v>
      </c>
      <c r="E1564" s="475">
        <v>33</v>
      </c>
    </row>
    <row r="1565" spans="2:5" x14ac:dyDescent="0.35">
      <c r="B1565" s="473" t="s">
        <v>3760</v>
      </c>
      <c r="C1565" s="473" t="s">
        <v>1540</v>
      </c>
      <c r="D1565" s="474" t="s">
        <v>1400</v>
      </c>
      <c r="E1565" s="475">
        <v>12</v>
      </c>
    </row>
    <row r="1566" spans="2:5" x14ac:dyDescent="0.35">
      <c r="B1566" s="473" t="s">
        <v>2659</v>
      </c>
      <c r="C1566" s="473" t="s">
        <v>572</v>
      </c>
      <c r="D1566" s="474" t="s">
        <v>332</v>
      </c>
      <c r="E1566" s="475">
        <v>23</v>
      </c>
    </row>
    <row r="1567" spans="2:5" x14ac:dyDescent="0.35">
      <c r="B1567" s="473" t="s">
        <v>3048</v>
      </c>
      <c r="C1567" s="473" t="s">
        <v>916</v>
      </c>
      <c r="D1567" s="474" t="s">
        <v>879</v>
      </c>
      <c r="E1567" s="475">
        <v>24</v>
      </c>
    </row>
    <row r="1568" spans="2:5" x14ac:dyDescent="0.35">
      <c r="B1568" s="473" t="s">
        <v>3182</v>
      </c>
      <c r="C1568" s="473" t="s">
        <v>1022</v>
      </c>
      <c r="D1568" s="474" t="s">
        <v>879</v>
      </c>
      <c r="E1568" s="475">
        <v>32</v>
      </c>
    </row>
    <row r="1569" spans="2:5" x14ac:dyDescent="0.35">
      <c r="B1569" s="473" t="s">
        <v>2256</v>
      </c>
      <c r="C1569" s="473" t="s">
        <v>200</v>
      </c>
      <c r="D1569" s="473" t="s">
        <v>40</v>
      </c>
      <c r="E1569" s="475">
        <v>34</v>
      </c>
    </row>
    <row r="1570" spans="2:5" x14ac:dyDescent="0.35">
      <c r="B1570" s="473" t="s">
        <v>4287</v>
      </c>
      <c r="C1570" s="473" t="s">
        <v>2033</v>
      </c>
      <c r="D1570" s="474" t="s">
        <v>1950</v>
      </c>
      <c r="E1570" s="475">
        <v>11</v>
      </c>
    </row>
    <row r="1571" spans="2:5" x14ac:dyDescent="0.35">
      <c r="B1571" s="473" t="s">
        <v>3153</v>
      </c>
      <c r="C1571" s="473" t="s">
        <v>999</v>
      </c>
      <c r="D1571" s="474" t="s">
        <v>879</v>
      </c>
      <c r="E1571" s="475">
        <v>24</v>
      </c>
    </row>
    <row r="1572" spans="2:5" x14ac:dyDescent="0.35">
      <c r="B1572" s="473" t="s">
        <v>3737</v>
      </c>
      <c r="C1572" s="473" t="s">
        <v>1519</v>
      </c>
      <c r="D1572" s="474" t="s">
        <v>1400</v>
      </c>
      <c r="E1572" s="475">
        <v>33</v>
      </c>
    </row>
    <row r="1573" spans="2:5" x14ac:dyDescent="0.35">
      <c r="B1573" s="473" t="s">
        <v>2383</v>
      </c>
      <c r="C1573" s="473" t="s">
        <v>316</v>
      </c>
      <c r="D1573" s="474" t="s">
        <v>212</v>
      </c>
      <c r="E1573" s="475">
        <v>22</v>
      </c>
    </row>
    <row r="1574" spans="2:5" x14ac:dyDescent="0.35">
      <c r="B1574" s="473" t="s">
        <v>2157</v>
      </c>
      <c r="C1574" s="473" t="s">
        <v>101</v>
      </c>
      <c r="D1574" s="473" t="s">
        <v>40</v>
      </c>
      <c r="E1574" s="475">
        <v>34</v>
      </c>
    </row>
    <row r="1575" spans="2:5" x14ac:dyDescent="0.35">
      <c r="B1575" s="473" t="s">
        <v>3977</v>
      </c>
      <c r="C1575" s="473" t="s">
        <v>1746</v>
      </c>
      <c r="D1575" s="474" t="s">
        <v>1679</v>
      </c>
      <c r="E1575" s="475">
        <v>11</v>
      </c>
    </row>
    <row r="1576" spans="2:5" x14ac:dyDescent="0.35">
      <c r="B1576" s="473" t="s">
        <v>2714</v>
      </c>
      <c r="C1576" s="473" t="s">
        <v>621</v>
      </c>
      <c r="D1576" s="474" t="s">
        <v>332</v>
      </c>
      <c r="E1576" s="475">
        <v>34</v>
      </c>
    </row>
    <row r="1577" spans="2:5" x14ac:dyDescent="0.35">
      <c r="B1577" s="473" t="s">
        <v>2632</v>
      </c>
      <c r="C1577" s="473" t="s">
        <v>545</v>
      </c>
      <c r="D1577" s="474" t="s">
        <v>332</v>
      </c>
      <c r="E1577" s="475">
        <v>24</v>
      </c>
    </row>
    <row r="1578" spans="2:5" x14ac:dyDescent="0.35">
      <c r="B1578" s="473" t="s">
        <v>3504</v>
      </c>
      <c r="C1578" s="473" t="s">
        <v>1292</v>
      </c>
      <c r="D1578" s="474" t="s">
        <v>1282</v>
      </c>
      <c r="E1578" s="475">
        <v>34</v>
      </c>
    </row>
    <row r="1579" spans="2:5" x14ac:dyDescent="0.35">
      <c r="B1579" s="473" t="s">
        <v>2098</v>
      </c>
      <c r="C1579" s="473" t="s">
        <v>42</v>
      </c>
      <c r="D1579" s="473" t="s">
        <v>40</v>
      </c>
      <c r="E1579" s="475">
        <v>23</v>
      </c>
    </row>
    <row r="1580" spans="2:5" x14ac:dyDescent="0.35">
      <c r="B1580" s="473" t="s">
        <v>3447</v>
      </c>
      <c r="C1580" s="473" t="s">
        <v>1239</v>
      </c>
      <c r="D1580" s="474" t="s">
        <v>879</v>
      </c>
      <c r="E1580" s="475">
        <v>24</v>
      </c>
    </row>
    <row r="1581" spans="2:5" x14ac:dyDescent="0.35">
      <c r="B1581" s="473" t="s">
        <v>3448</v>
      </c>
      <c r="C1581" s="473" t="s">
        <v>1240</v>
      </c>
      <c r="D1581" s="474" t="s">
        <v>879</v>
      </c>
      <c r="E1581" s="475">
        <v>24</v>
      </c>
    </row>
    <row r="1582" spans="2:5" x14ac:dyDescent="0.35">
      <c r="B1582" s="473" t="s">
        <v>3602</v>
      </c>
      <c r="C1582" s="473" t="s">
        <v>1390</v>
      </c>
      <c r="D1582" s="474" t="s">
        <v>1282</v>
      </c>
      <c r="E1582" s="475">
        <v>33</v>
      </c>
    </row>
    <row r="1583" spans="2:5" x14ac:dyDescent="0.35">
      <c r="B1583" s="473" t="s">
        <v>3603</v>
      </c>
      <c r="C1583" s="473" t="s">
        <v>1391</v>
      </c>
      <c r="D1583" s="474" t="s">
        <v>1282</v>
      </c>
      <c r="E1583" s="475">
        <v>32</v>
      </c>
    </row>
    <row r="1584" spans="2:5" x14ac:dyDescent="0.35">
      <c r="B1584" s="473" t="s">
        <v>2343</v>
      </c>
      <c r="C1584" s="473" t="s">
        <v>278</v>
      </c>
      <c r="D1584" s="474" t="s">
        <v>212</v>
      </c>
      <c r="E1584" s="475">
        <v>22</v>
      </c>
    </row>
    <row r="1585" spans="2:5" x14ac:dyDescent="0.35">
      <c r="B1585" s="473" t="s">
        <v>3005</v>
      </c>
      <c r="C1585" s="473" t="s">
        <v>872</v>
      </c>
      <c r="D1585" s="474" t="s">
        <v>332</v>
      </c>
      <c r="E1585" s="475">
        <v>34</v>
      </c>
    </row>
    <row r="1586" spans="2:5" x14ac:dyDescent="0.35">
      <c r="B1586" s="473" t="s">
        <v>3494</v>
      </c>
      <c r="C1586" s="473" t="s">
        <v>1282</v>
      </c>
      <c r="D1586" s="474" t="s">
        <v>1282</v>
      </c>
      <c r="E1586" s="475">
        <v>11</v>
      </c>
    </row>
    <row r="1587" spans="2:5" x14ac:dyDescent="0.35">
      <c r="B1587" s="473" t="s">
        <v>3095</v>
      </c>
      <c r="C1587" s="473" t="s">
        <v>949</v>
      </c>
      <c r="D1587" s="474" t="s">
        <v>879</v>
      </c>
      <c r="E1587" s="475">
        <v>34</v>
      </c>
    </row>
    <row r="1588" spans="2:5" x14ac:dyDescent="0.35">
      <c r="B1588" s="473" t="s">
        <v>2199</v>
      </c>
      <c r="C1588" s="473" t="s">
        <v>143</v>
      </c>
      <c r="D1588" s="473" t="s">
        <v>40</v>
      </c>
      <c r="E1588" s="475">
        <v>33</v>
      </c>
    </row>
    <row r="1589" spans="2:5" x14ac:dyDescent="0.35">
      <c r="B1589" s="473" t="s">
        <v>3576</v>
      </c>
      <c r="C1589" s="473" t="s">
        <v>1364</v>
      </c>
      <c r="D1589" s="474" t="s">
        <v>1282</v>
      </c>
      <c r="E1589" s="475">
        <v>34</v>
      </c>
    </row>
    <row r="1590" spans="2:5" x14ac:dyDescent="0.35">
      <c r="B1590" s="473" t="s">
        <v>3679</v>
      </c>
      <c r="C1590" s="473" t="s">
        <v>1465</v>
      </c>
      <c r="D1590" s="474" t="s">
        <v>1400</v>
      </c>
      <c r="E1590" s="475">
        <v>24</v>
      </c>
    </row>
    <row r="1591" spans="2:5" x14ac:dyDescent="0.35">
      <c r="B1591" s="473" t="s">
        <v>3905</v>
      </c>
      <c r="C1591" s="473" t="s">
        <v>1675</v>
      </c>
      <c r="D1591" s="474" t="s">
        <v>1400</v>
      </c>
      <c r="E1591" s="475">
        <v>34</v>
      </c>
    </row>
    <row r="1592" spans="2:5" x14ac:dyDescent="0.35">
      <c r="B1592" s="473" t="s">
        <v>3841</v>
      </c>
      <c r="C1592" s="473" t="s">
        <v>1615</v>
      </c>
      <c r="D1592" s="474" t="s">
        <v>1400</v>
      </c>
      <c r="E1592" s="475">
        <v>22</v>
      </c>
    </row>
    <row r="1593" spans="2:5" x14ac:dyDescent="0.35">
      <c r="B1593" s="473" t="s">
        <v>3641</v>
      </c>
      <c r="C1593" s="473" t="s">
        <v>1429</v>
      </c>
      <c r="D1593" s="474" t="s">
        <v>1400</v>
      </c>
      <c r="E1593" s="475">
        <v>24</v>
      </c>
    </row>
    <row r="1594" spans="2:5" x14ac:dyDescent="0.35">
      <c r="B1594" s="473" t="s">
        <v>3738</v>
      </c>
      <c r="C1594" s="473" t="s">
        <v>1520</v>
      </c>
      <c r="D1594" s="474" t="s">
        <v>1400</v>
      </c>
      <c r="E1594" s="475">
        <v>33</v>
      </c>
    </row>
    <row r="1595" spans="2:5" x14ac:dyDescent="0.35">
      <c r="B1595" s="473" t="s">
        <v>3752</v>
      </c>
      <c r="C1595" s="473" t="s">
        <v>1532</v>
      </c>
      <c r="D1595" s="474" t="s">
        <v>1400</v>
      </c>
      <c r="E1595" s="475">
        <v>33</v>
      </c>
    </row>
    <row r="1596" spans="2:5" x14ac:dyDescent="0.35">
      <c r="B1596" s="473" t="s">
        <v>3690</v>
      </c>
      <c r="C1596" s="473" t="s">
        <v>1476</v>
      </c>
      <c r="D1596" s="474" t="s">
        <v>1400</v>
      </c>
      <c r="E1596" s="475">
        <v>24</v>
      </c>
    </row>
    <row r="1597" spans="2:5" x14ac:dyDescent="0.35">
      <c r="B1597" s="473" t="s">
        <v>3536</v>
      </c>
      <c r="C1597" s="473" t="s">
        <v>1324</v>
      </c>
      <c r="D1597" s="474" t="s">
        <v>1282</v>
      </c>
      <c r="E1597" s="475">
        <v>22</v>
      </c>
    </row>
    <row r="1598" spans="2:5" x14ac:dyDescent="0.35">
      <c r="B1598" s="473" t="s">
        <v>3810</v>
      </c>
      <c r="C1598" s="473" t="s">
        <v>1586</v>
      </c>
      <c r="D1598" s="474" t="s">
        <v>1400</v>
      </c>
      <c r="E1598" s="475">
        <v>23</v>
      </c>
    </row>
    <row r="1599" spans="2:5" x14ac:dyDescent="0.35">
      <c r="B1599" s="473" t="s">
        <v>3537</v>
      </c>
      <c r="C1599" s="473" t="s">
        <v>1325</v>
      </c>
      <c r="D1599" s="474" t="s">
        <v>1282</v>
      </c>
      <c r="E1599" s="475">
        <v>23</v>
      </c>
    </row>
    <row r="1600" spans="2:5" x14ac:dyDescent="0.35">
      <c r="B1600" s="473" t="s">
        <v>3859</v>
      </c>
      <c r="C1600" s="473" t="s">
        <v>1631</v>
      </c>
      <c r="D1600" s="474" t="s">
        <v>1400</v>
      </c>
      <c r="E1600" s="475">
        <v>33</v>
      </c>
    </row>
    <row r="1601" spans="2:5" x14ac:dyDescent="0.35">
      <c r="B1601" s="473" t="s">
        <v>3562</v>
      </c>
      <c r="C1601" s="473" t="s">
        <v>1350</v>
      </c>
      <c r="D1601" s="474" t="s">
        <v>1282</v>
      </c>
      <c r="E1601" s="475">
        <v>32</v>
      </c>
    </row>
    <row r="1602" spans="2:5" x14ac:dyDescent="0.35">
      <c r="B1602" s="473" t="s">
        <v>3680</v>
      </c>
      <c r="C1602" s="473" t="s">
        <v>1466</v>
      </c>
      <c r="D1602" s="474" t="s">
        <v>1400</v>
      </c>
      <c r="E1602" s="475">
        <v>24</v>
      </c>
    </row>
    <row r="1603" spans="2:5" x14ac:dyDescent="0.35">
      <c r="B1603" s="473" t="s">
        <v>3860</v>
      </c>
      <c r="C1603" s="473" t="s">
        <v>1632</v>
      </c>
      <c r="D1603" s="474" t="s">
        <v>1400</v>
      </c>
      <c r="E1603" s="475">
        <v>33</v>
      </c>
    </row>
    <row r="1604" spans="2:5" x14ac:dyDescent="0.35">
      <c r="B1604" s="473" t="s">
        <v>3618</v>
      </c>
      <c r="C1604" s="473" t="s">
        <v>1406</v>
      </c>
      <c r="D1604" s="474" t="s">
        <v>1400</v>
      </c>
      <c r="E1604" s="475">
        <v>23</v>
      </c>
    </row>
    <row r="1605" spans="2:5" x14ac:dyDescent="0.35">
      <c r="B1605" s="473" t="s">
        <v>3788</v>
      </c>
      <c r="C1605" s="473" t="s">
        <v>1566</v>
      </c>
      <c r="D1605" s="474" t="s">
        <v>1400</v>
      </c>
      <c r="E1605" s="475">
        <v>24</v>
      </c>
    </row>
    <row r="1606" spans="2:5" x14ac:dyDescent="0.35">
      <c r="B1606" s="473" t="s">
        <v>3505</v>
      </c>
      <c r="C1606" s="473" t="s">
        <v>1293</v>
      </c>
      <c r="D1606" s="474" t="s">
        <v>1282</v>
      </c>
      <c r="E1606" s="475">
        <v>24</v>
      </c>
    </row>
    <row r="1607" spans="2:5" x14ac:dyDescent="0.35">
      <c r="B1607" s="473" t="s">
        <v>3753</v>
      </c>
      <c r="C1607" s="473" t="s">
        <v>1533</v>
      </c>
      <c r="D1607" s="474" t="s">
        <v>1400</v>
      </c>
      <c r="E1607" s="475">
        <v>34</v>
      </c>
    </row>
    <row r="1608" spans="2:5" x14ac:dyDescent="0.35">
      <c r="B1608" s="473" t="s">
        <v>3861</v>
      </c>
      <c r="C1608" s="473" t="s">
        <v>1633</v>
      </c>
      <c r="D1608" s="474" t="s">
        <v>1400</v>
      </c>
      <c r="E1608" s="475">
        <v>34</v>
      </c>
    </row>
    <row r="1609" spans="2:5" x14ac:dyDescent="0.35">
      <c r="B1609" s="473" t="s">
        <v>3830</v>
      </c>
      <c r="C1609" s="473" t="s">
        <v>1604</v>
      </c>
      <c r="D1609" s="474" t="s">
        <v>1400</v>
      </c>
      <c r="E1609" s="475">
        <v>23</v>
      </c>
    </row>
    <row r="1610" spans="2:5" x14ac:dyDescent="0.35">
      <c r="B1610" s="473" t="s">
        <v>3662</v>
      </c>
      <c r="C1610" s="473" t="s">
        <v>1450</v>
      </c>
      <c r="D1610" s="474" t="s">
        <v>1400</v>
      </c>
      <c r="E1610" s="475">
        <v>23</v>
      </c>
    </row>
    <row r="1611" spans="2:5" x14ac:dyDescent="0.35">
      <c r="B1611" s="473" t="s">
        <v>3842</v>
      </c>
      <c r="C1611" s="473" t="s">
        <v>1616</v>
      </c>
      <c r="D1611" s="474" t="s">
        <v>1400</v>
      </c>
      <c r="E1611" s="475">
        <v>23</v>
      </c>
    </row>
    <row r="1612" spans="2:5" x14ac:dyDescent="0.35">
      <c r="B1612" s="473" t="s">
        <v>3822</v>
      </c>
      <c r="C1612" s="473" t="s">
        <v>1596</v>
      </c>
      <c r="D1612" s="474" t="s">
        <v>1400</v>
      </c>
      <c r="E1612" s="475">
        <v>24</v>
      </c>
    </row>
    <row r="1613" spans="2:5" x14ac:dyDescent="0.35">
      <c r="B1613" s="473" t="s">
        <v>3823</v>
      </c>
      <c r="C1613" s="473" t="s">
        <v>1597</v>
      </c>
      <c r="D1613" s="474" t="s">
        <v>1400</v>
      </c>
      <c r="E1613" s="475">
        <v>22</v>
      </c>
    </row>
    <row r="1614" spans="2:5" x14ac:dyDescent="0.35">
      <c r="B1614" s="473" t="s">
        <v>2111</v>
      </c>
      <c r="C1614" s="473" t="s">
        <v>55</v>
      </c>
      <c r="D1614" s="473" t="s">
        <v>40</v>
      </c>
      <c r="E1614" s="475">
        <v>24</v>
      </c>
    </row>
    <row r="1615" spans="2:5" x14ac:dyDescent="0.35">
      <c r="B1615" s="473" t="s">
        <v>3577</v>
      </c>
      <c r="C1615" s="473" t="s">
        <v>1365</v>
      </c>
      <c r="D1615" s="474" t="s">
        <v>1282</v>
      </c>
      <c r="E1615" s="475">
        <v>33</v>
      </c>
    </row>
    <row r="1616" spans="2:5" x14ac:dyDescent="0.35">
      <c r="B1616" s="473" t="s">
        <v>3563</v>
      </c>
      <c r="C1616" s="473" t="s">
        <v>1351</v>
      </c>
      <c r="D1616" s="474" t="s">
        <v>1282</v>
      </c>
      <c r="E1616" s="475">
        <v>34</v>
      </c>
    </row>
    <row r="1617" spans="2:5" x14ac:dyDescent="0.35">
      <c r="B1617" s="473" t="s">
        <v>3761</v>
      </c>
      <c r="C1617" s="473" t="s">
        <v>1541</v>
      </c>
      <c r="D1617" s="474" t="s">
        <v>1400</v>
      </c>
      <c r="E1617" s="475">
        <v>24</v>
      </c>
    </row>
    <row r="1618" spans="2:5" x14ac:dyDescent="0.35">
      <c r="B1618" s="473" t="s">
        <v>2158</v>
      </c>
      <c r="C1618" s="473" t="s">
        <v>102</v>
      </c>
      <c r="D1618" s="473" t="s">
        <v>40</v>
      </c>
      <c r="E1618" s="475">
        <v>34</v>
      </c>
    </row>
    <row r="1619" spans="2:5" x14ac:dyDescent="0.35">
      <c r="B1619" s="473" t="s">
        <v>3604</v>
      </c>
      <c r="C1619" s="473" t="s">
        <v>1392</v>
      </c>
      <c r="D1619" s="474" t="s">
        <v>1282</v>
      </c>
      <c r="E1619" s="475">
        <v>34</v>
      </c>
    </row>
    <row r="1620" spans="2:5" x14ac:dyDescent="0.35">
      <c r="B1620" s="473" t="s">
        <v>3624</v>
      </c>
      <c r="C1620" s="473" t="s">
        <v>1412</v>
      </c>
      <c r="D1620" s="474" t="s">
        <v>1400</v>
      </c>
      <c r="E1620" s="475">
        <v>23</v>
      </c>
    </row>
    <row r="1621" spans="2:5" x14ac:dyDescent="0.35">
      <c r="B1621" s="473" t="s">
        <v>2134</v>
      </c>
      <c r="C1621" s="473" t="s">
        <v>78</v>
      </c>
      <c r="D1621" s="473" t="s">
        <v>40</v>
      </c>
      <c r="E1621" s="475">
        <v>34</v>
      </c>
    </row>
    <row r="1622" spans="2:5" x14ac:dyDescent="0.35">
      <c r="B1622" s="473" t="s">
        <v>3578</v>
      </c>
      <c r="C1622" s="473" t="s">
        <v>1366</v>
      </c>
      <c r="D1622" s="474" t="s">
        <v>1282</v>
      </c>
      <c r="E1622" s="475">
        <v>23</v>
      </c>
    </row>
    <row r="1623" spans="2:5" x14ac:dyDescent="0.35">
      <c r="B1623" s="473" t="s">
        <v>3705</v>
      </c>
      <c r="C1623" s="473" t="s">
        <v>1489</v>
      </c>
      <c r="D1623" s="474" t="s">
        <v>1400</v>
      </c>
      <c r="E1623" s="475">
        <v>22</v>
      </c>
    </row>
    <row r="1624" spans="2:5" x14ac:dyDescent="0.35">
      <c r="B1624" s="473" t="s">
        <v>3681</v>
      </c>
      <c r="C1624" s="473" t="s">
        <v>1467</v>
      </c>
      <c r="D1624" s="474" t="s">
        <v>1400</v>
      </c>
      <c r="E1624" s="475">
        <v>24</v>
      </c>
    </row>
    <row r="1625" spans="2:5" x14ac:dyDescent="0.35">
      <c r="B1625" s="473" t="s">
        <v>3642</v>
      </c>
      <c r="C1625" s="473" t="s">
        <v>1430</v>
      </c>
      <c r="D1625" s="474" t="s">
        <v>1400</v>
      </c>
      <c r="E1625" s="475">
        <v>24</v>
      </c>
    </row>
    <row r="1626" spans="2:5" x14ac:dyDescent="0.35">
      <c r="B1626" s="473" t="s">
        <v>3906</v>
      </c>
      <c r="C1626" s="473" t="s">
        <v>1676</v>
      </c>
      <c r="D1626" s="474" t="s">
        <v>1400</v>
      </c>
      <c r="E1626" s="475">
        <v>34</v>
      </c>
    </row>
    <row r="1627" spans="2:5" x14ac:dyDescent="0.35">
      <c r="B1627" s="473" t="s">
        <v>3619</v>
      </c>
      <c r="C1627" s="473" t="s">
        <v>1407</v>
      </c>
      <c r="D1627" s="474" t="s">
        <v>1400</v>
      </c>
      <c r="E1627" s="475">
        <v>33</v>
      </c>
    </row>
    <row r="1628" spans="2:5" x14ac:dyDescent="0.35">
      <c r="B1628" s="473" t="s">
        <v>3811</v>
      </c>
      <c r="C1628" s="473" t="s">
        <v>1587</v>
      </c>
      <c r="D1628" s="474" t="s">
        <v>1400</v>
      </c>
      <c r="E1628" s="475">
        <v>24</v>
      </c>
    </row>
    <row r="1629" spans="2:5" x14ac:dyDescent="0.35">
      <c r="B1629" s="473" t="s">
        <v>3706</v>
      </c>
      <c r="C1629" s="473" t="s">
        <v>1490</v>
      </c>
      <c r="D1629" s="474" t="s">
        <v>1400</v>
      </c>
      <c r="E1629" s="475">
        <v>12</v>
      </c>
    </row>
    <row r="1630" spans="2:5" x14ac:dyDescent="0.35">
      <c r="B1630" s="473" t="s">
        <v>3643</v>
      </c>
      <c r="C1630" s="473" t="s">
        <v>1431</v>
      </c>
      <c r="D1630" s="474" t="s">
        <v>1400</v>
      </c>
      <c r="E1630" s="475">
        <v>23</v>
      </c>
    </row>
    <row r="1631" spans="2:5" x14ac:dyDescent="0.35">
      <c r="B1631" s="473" t="s">
        <v>3803</v>
      </c>
      <c r="C1631" s="473" t="s">
        <v>1579</v>
      </c>
      <c r="D1631" s="474" t="s">
        <v>1400</v>
      </c>
      <c r="E1631" s="475">
        <v>23</v>
      </c>
    </row>
    <row r="1632" spans="2:5" x14ac:dyDescent="0.35">
      <c r="B1632" s="473" t="s">
        <v>3907</v>
      </c>
      <c r="C1632" s="473" t="s">
        <v>1677</v>
      </c>
      <c r="D1632" s="474" t="s">
        <v>1400</v>
      </c>
      <c r="E1632" s="475">
        <v>24</v>
      </c>
    </row>
    <row r="1633" spans="2:5" x14ac:dyDescent="0.35">
      <c r="B1633" s="473" t="s">
        <v>3707</v>
      </c>
      <c r="C1633" s="473" t="s">
        <v>1491</v>
      </c>
      <c r="D1633" s="474" t="s">
        <v>1400</v>
      </c>
      <c r="E1633" s="475">
        <v>23</v>
      </c>
    </row>
    <row r="1634" spans="2:5" x14ac:dyDescent="0.35">
      <c r="B1634" s="473" t="s">
        <v>3625</v>
      </c>
      <c r="C1634" s="473" t="s">
        <v>1413</v>
      </c>
      <c r="D1634" s="474" t="s">
        <v>1400</v>
      </c>
      <c r="E1634" s="475">
        <v>24</v>
      </c>
    </row>
    <row r="1635" spans="2:5" x14ac:dyDescent="0.35">
      <c r="B1635" s="473" t="s">
        <v>3564</v>
      </c>
      <c r="C1635" s="473" t="s">
        <v>1352</v>
      </c>
      <c r="D1635" s="474" t="s">
        <v>1282</v>
      </c>
      <c r="E1635" s="475">
        <v>32</v>
      </c>
    </row>
    <row r="1636" spans="2:5" x14ac:dyDescent="0.35">
      <c r="B1636" s="473" t="s">
        <v>3691</v>
      </c>
      <c r="C1636" s="473" t="s">
        <v>1477</v>
      </c>
      <c r="D1636" s="474" t="s">
        <v>1400</v>
      </c>
      <c r="E1636" s="475">
        <v>24</v>
      </c>
    </row>
    <row r="1637" spans="2:5" x14ac:dyDescent="0.35">
      <c r="B1637" s="473" t="s">
        <v>3326</v>
      </c>
      <c r="C1637" s="473" t="s">
        <v>1132</v>
      </c>
      <c r="D1637" s="474" t="s">
        <v>879</v>
      </c>
      <c r="E1637" s="475">
        <v>34</v>
      </c>
    </row>
    <row r="1638" spans="2:5" x14ac:dyDescent="0.35">
      <c r="B1638" s="473" t="s">
        <v>4288</v>
      </c>
      <c r="C1638" s="473" t="s">
        <v>2034</v>
      </c>
      <c r="D1638" s="474" t="s">
        <v>1950</v>
      </c>
      <c r="E1638" s="475">
        <v>22</v>
      </c>
    </row>
    <row r="1639" spans="2:5" x14ac:dyDescent="0.35">
      <c r="B1639" s="473" t="s">
        <v>3486</v>
      </c>
      <c r="C1639" s="473" t="s">
        <v>1274</v>
      </c>
      <c r="D1639" s="474" t="s">
        <v>879</v>
      </c>
      <c r="E1639" s="475">
        <v>22</v>
      </c>
    </row>
    <row r="1640" spans="2:5" x14ac:dyDescent="0.35">
      <c r="B1640" s="473" t="s">
        <v>3928</v>
      </c>
      <c r="C1640" s="473" t="s">
        <v>1697</v>
      </c>
      <c r="D1640" s="474" t="s">
        <v>1679</v>
      </c>
      <c r="E1640" s="475">
        <v>23</v>
      </c>
    </row>
    <row r="1641" spans="2:5" x14ac:dyDescent="0.35">
      <c r="B1641" s="473" t="s">
        <v>3242</v>
      </c>
      <c r="C1641" s="473" t="s">
        <v>1068</v>
      </c>
      <c r="D1641" s="474" t="s">
        <v>879</v>
      </c>
      <c r="E1641" s="475">
        <v>22</v>
      </c>
    </row>
    <row r="1642" spans="2:5" x14ac:dyDescent="0.35">
      <c r="B1642" s="473" t="s">
        <v>2257</v>
      </c>
      <c r="C1642" s="473" t="s">
        <v>201</v>
      </c>
      <c r="D1642" s="473" t="s">
        <v>40</v>
      </c>
      <c r="E1642" s="475">
        <v>34</v>
      </c>
    </row>
    <row r="1643" spans="2:5" x14ac:dyDescent="0.35">
      <c r="B1643" s="473" t="s">
        <v>3862</v>
      </c>
      <c r="C1643" s="473" t="s">
        <v>1634</v>
      </c>
      <c r="D1643" s="474" t="s">
        <v>1400</v>
      </c>
      <c r="E1643" s="475">
        <v>23</v>
      </c>
    </row>
    <row r="1644" spans="2:5" x14ac:dyDescent="0.35">
      <c r="B1644" s="473" t="s">
        <v>3061</v>
      </c>
      <c r="C1644" s="473" t="s">
        <v>917</v>
      </c>
      <c r="D1644" s="474" t="s">
        <v>879</v>
      </c>
      <c r="E1644" s="475">
        <v>23</v>
      </c>
    </row>
    <row r="1645" spans="2:5" x14ac:dyDescent="0.35">
      <c r="B1645" s="473" t="s">
        <v>2267</v>
      </c>
      <c r="C1645" s="473" t="s">
        <v>211</v>
      </c>
      <c r="D1645" s="473" t="s">
        <v>40</v>
      </c>
      <c r="E1645" s="475">
        <v>34</v>
      </c>
    </row>
    <row r="1646" spans="2:5" x14ac:dyDescent="0.35">
      <c r="B1646" s="473" t="s">
        <v>3359</v>
      </c>
      <c r="C1646" s="473" t="s">
        <v>1155</v>
      </c>
      <c r="D1646" s="474" t="s">
        <v>879</v>
      </c>
      <c r="E1646" s="475">
        <v>34</v>
      </c>
    </row>
    <row r="1647" spans="2:5" x14ac:dyDescent="0.35">
      <c r="B1647" s="473" t="s">
        <v>3358</v>
      </c>
      <c r="C1647" s="473" t="s">
        <v>1154</v>
      </c>
      <c r="D1647" s="474" t="s">
        <v>879</v>
      </c>
      <c r="E1647" s="475">
        <v>32</v>
      </c>
    </row>
    <row r="1648" spans="2:5" x14ac:dyDescent="0.35">
      <c r="B1648" s="473" t="s">
        <v>2504</v>
      </c>
      <c r="C1648" s="473" t="s">
        <v>410</v>
      </c>
      <c r="D1648" s="474" t="s">
        <v>332</v>
      </c>
      <c r="E1648" s="475">
        <v>22</v>
      </c>
    </row>
    <row r="1649" spans="2:5" x14ac:dyDescent="0.35">
      <c r="B1649" s="473" t="s">
        <v>3980</v>
      </c>
      <c r="C1649" s="473" t="s">
        <v>1747</v>
      </c>
      <c r="D1649" s="474" t="s">
        <v>1679</v>
      </c>
      <c r="E1649" s="475">
        <v>22</v>
      </c>
    </row>
    <row r="1650" spans="2:5" x14ac:dyDescent="0.35">
      <c r="B1650" s="473" t="s">
        <v>3129</v>
      </c>
      <c r="C1650" s="473" t="s">
        <v>975</v>
      </c>
      <c r="D1650" s="474" t="s">
        <v>879</v>
      </c>
      <c r="E1650" s="475">
        <v>23</v>
      </c>
    </row>
    <row r="1651" spans="2:5" x14ac:dyDescent="0.35">
      <c r="B1651" s="473" t="s">
        <v>3078</v>
      </c>
      <c r="C1651" s="473" t="s">
        <v>932</v>
      </c>
      <c r="D1651" s="474" t="s">
        <v>879</v>
      </c>
      <c r="E1651" s="475">
        <v>23</v>
      </c>
    </row>
    <row r="1652" spans="2:5" x14ac:dyDescent="0.35">
      <c r="B1652" s="473" t="s">
        <v>2173</v>
      </c>
      <c r="C1652" s="473" t="s">
        <v>117</v>
      </c>
      <c r="D1652" s="473" t="s">
        <v>40</v>
      </c>
      <c r="E1652" s="475">
        <v>33</v>
      </c>
    </row>
    <row r="1653" spans="2:5" x14ac:dyDescent="0.35">
      <c r="B1653" s="473" t="s">
        <v>4149</v>
      </c>
      <c r="C1653" s="473" t="s">
        <v>1902</v>
      </c>
      <c r="D1653" s="474" t="s">
        <v>1679</v>
      </c>
      <c r="E1653" s="475">
        <v>24</v>
      </c>
    </row>
    <row r="1654" spans="2:5" x14ac:dyDescent="0.35">
      <c r="B1654" s="473" t="s">
        <v>3506</v>
      </c>
      <c r="C1654" s="473" t="s">
        <v>1294</v>
      </c>
      <c r="D1654" s="474" t="s">
        <v>1282</v>
      </c>
      <c r="E1654" s="475">
        <v>24</v>
      </c>
    </row>
    <row r="1655" spans="2:5" x14ac:dyDescent="0.35">
      <c r="B1655" s="473" t="s">
        <v>4046</v>
      </c>
      <c r="C1655" s="473" t="s">
        <v>1807</v>
      </c>
      <c r="D1655" s="474" t="s">
        <v>1679</v>
      </c>
      <c r="E1655" s="475">
        <v>24</v>
      </c>
    </row>
    <row r="1656" spans="2:5" x14ac:dyDescent="0.35">
      <c r="B1656" s="473" t="s">
        <v>2888</v>
      </c>
      <c r="C1656" s="473" t="s">
        <v>779</v>
      </c>
      <c r="D1656" s="474" t="s">
        <v>332</v>
      </c>
      <c r="E1656" s="475">
        <v>32</v>
      </c>
    </row>
    <row r="1657" spans="2:5" x14ac:dyDescent="0.35">
      <c r="B1657" s="473" t="s">
        <v>2815</v>
      </c>
      <c r="C1657" s="473" t="s">
        <v>708</v>
      </c>
      <c r="D1657" s="474" t="s">
        <v>332</v>
      </c>
      <c r="E1657" s="475">
        <v>22</v>
      </c>
    </row>
    <row r="1658" spans="2:5" x14ac:dyDescent="0.35">
      <c r="B1658" s="473" t="s">
        <v>3754</v>
      </c>
      <c r="C1658" s="473" t="s">
        <v>1534</v>
      </c>
      <c r="D1658" s="474" t="s">
        <v>1400</v>
      </c>
      <c r="E1658" s="475">
        <v>23</v>
      </c>
    </row>
    <row r="1659" spans="2:5" x14ac:dyDescent="0.35">
      <c r="B1659" s="473" t="s">
        <v>3410</v>
      </c>
      <c r="C1659" s="473" t="s">
        <v>1202</v>
      </c>
      <c r="D1659" s="474" t="s">
        <v>879</v>
      </c>
      <c r="E1659" s="475">
        <v>23</v>
      </c>
    </row>
    <row r="1660" spans="2:5" x14ac:dyDescent="0.35">
      <c r="B1660" s="473" t="s">
        <v>3382</v>
      </c>
      <c r="C1660" s="473" t="s">
        <v>1176</v>
      </c>
      <c r="D1660" s="474" t="s">
        <v>879</v>
      </c>
      <c r="E1660" s="475">
        <v>24</v>
      </c>
    </row>
    <row r="1661" spans="2:5" x14ac:dyDescent="0.35">
      <c r="B1661" s="473" t="s">
        <v>2294</v>
      </c>
      <c r="C1661" s="473" t="s">
        <v>235</v>
      </c>
      <c r="D1661" s="474" t="s">
        <v>212</v>
      </c>
      <c r="E1661" s="475">
        <v>24</v>
      </c>
    </row>
    <row r="1662" spans="2:5" x14ac:dyDescent="0.35">
      <c r="B1662" s="473" t="s">
        <v>3277</v>
      </c>
      <c r="C1662" s="473" t="s">
        <v>1097</v>
      </c>
      <c r="D1662" s="474" t="s">
        <v>879</v>
      </c>
      <c r="E1662" s="475">
        <v>24</v>
      </c>
    </row>
    <row r="1663" spans="2:5" x14ac:dyDescent="0.35">
      <c r="B1663" s="473" t="s">
        <v>3739</v>
      </c>
      <c r="C1663" s="473" t="s">
        <v>1521</v>
      </c>
      <c r="D1663" s="474" t="s">
        <v>1400</v>
      </c>
      <c r="E1663" s="475">
        <v>32</v>
      </c>
    </row>
    <row r="1664" spans="2:5" x14ac:dyDescent="0.35">
      <c r="B1664" s="473" t="s">
        <v>4113</v>
      </c>
      <c r="C1664" s="473" t="s">
        <v>1866</v>
      </c>
      <c r="D1664" s="474" t="s">
        <v>1679</v>
      </c>
      <c r="E1664" s="475">
        <v>24</v>
      </c>
    </row>
    <row r="1665" spans="2:5" x14ac:dyDescent="0.35">
      <c r="B1665" s="473" t="s">
        <v>3453</v>
      </c>
      <c r="C1665" s="473" t="s">
        <v>1241</v>
      </c>
      <c r="D1665" s="474" t="s">
        <v>879</v>
      </c>
      <c r="E1665" s="475">
        <v>23</v>
      </c>
    </row>
    <row r="1666" spans="2:5" x14ac:dyDescent="0.35">
      <c r="B1666" s="473" t="s">
        <v>3538</v>
      </c>
      <c r="C1666" s="473" t="s">
        <v>1326</v>
      </c>
      <c r="D1666" s="474" t="s">
        <v>1282</v>
      </c>
      <c r="E1666" s="475">
        <v>24</v>
      </c>
    </row>
    <row r="1667" spans="2:5" x14ac:dyDescent="0.35">
      <c r="B1667" s="473" t="s">
        <v>3487</v>
      </c>
      <c r="C1667" s="473" t="s">
        <v>1275</v>
      </c>
      <c r="D1667" s="474" t="s">
        <v>879</v>
      </c>
      <c r="E1667" s="475">
        <v>24</v>
      </c>
    </row>
    <row r="1668" spans="2:5" x14ac:dyDescent="0.35">
      <c r="B1668" s="473" t="s">
        <v>3185</v>
      </c>
      <c r="C1668" s="473" t="s">
        <v>1023</v>
      </c>
      <c r="D1668" s="474" t="s">
        <v>879</v>
      </c>
      <c r="E1668" s="475">
        <v>22</v>
      </c>
    </row>
    <row r="1669" spans="2:5" x14ac:dyDescent="0.35">
      <c r="B1669" s="473" t="s">
        <v>4289</v>
      </c>
      <c r="C1669" s="473" t="s">
        <v>2035</v>
      </c>
      <c r="D1669" s="474" t="s">
        <v>1950</v>
      </c>
      <c r="E1669" s="475">
        <v>22</v>
      </c>
    </row>
    <row r="1670" spans="2:5" x14ac:dyDescent="0.35">
      <c r="B1670" s="473" t="s">
        <v>4180</v>
      </c>
      <c r="C1670" s="473" t="s">
        <v>1933</v>
      </c>
      <c r="D1670" s="474" t="s">
        <v>1679</v>
      </c>
      <c r="E1670" s="475">
        <v>22</v>
      </c>
    </row>
    <row r="1671" spans="2:5" x14ac:dyDescent="0.35">
      <c r="B1671" s="473" t="s">
        <v>3160</v>
      </c>
      <c r="C1671" s="473" t="s">
        <v>1000</v>
      </c>
      <c r="D1671" s="474" t="s">
        <v>879</v>
      </c>
      <c r="E1671" s="475">
        <v>22</v>
      </c>
    </row>
    <row r="1672" spans="2:5" x14ac:dyDescent="0.35">
      <c r="B1672" s="473" t="s">
        <v>3981</v>
      </c>
      <c r="C1672" s="473" t="s">
        <v>1748</v>
      </c>
      <c r="D1672" s="474" t="s">
        <v>1679</v>
      </c>
      <c r="E1672" s="475">
        <v>33</v>
      </c>
    </row>
    <row r="1673" spans="2:5" x14ac:dyDescent="0.35">
      <c r="B1673" s="473" t="s">
        <v>4260</v>
      </c>
      <c r="C1673" s="473" t="s">
        <v>2007</v>
      </c>
      <c r="D1673" s="474" t="s">
        <v>1950</v>
      </c>
      <c r="E1673" s="475">
        <v>33</v>
      </c>
    </row>
    <row r="1674" spans="2:5" x14ac:dyDescent="0.35">
      <c r="B1674" s="473" t="s">
        <v>4290</v>
      </c>
      <c r="C1674" s="473" t="s">
        <v>2036</v>
      </c>
      <c r="D1674" s="474" t="s">
        <v>1950</v>
      </c>
      <c r="E1674" s="475">
        <v>23</v>
      </c>
    </row>
    <row r="1675" spans="2:5" x14ac:dyDescent="0.35">
      <c r="B1675" s="473" t="s">
        <v>3746</v>
      </c>
      <c r="C1675" s="473" t="s">
        <v>1526</v>
      </c>
      <c r="D1675" s="474" t="s">
        <v>1400</v>
      </c>
      <c r="E1675" s="475">
        <v>34</v>
      </c>
    </row>
    <row r="1676" spans="2:5" x14ac:dyDescent="0.35">
      <c r="B1676" s="473" t="s">
        <v>2722</v>
      </c>
      <c r="C1676" s="473" t="s">
        <v>623</v>
      </c>
      <c r="D1676" s="474" t="s">
        <v>332</v>
      </c>
      <c r="E1676" s="475">
        <v>24</v>
      </c>
    </row>
    <row r="1677" spans="2:5" x14ac:dyDescent="0.35">
      <c r="B1677" s="473" t="s">
        <v>2478</v>
      </c>
      <c r="C1677" s="473" t="s">
        <v>386</v>
      </c>
      <c r="D1677" s="474" t="s">
        <v>332</v>
      </c>
      <c r="E1677" s="475">
        <v>22</v>
      </c>
    </row>
    <row r="1678" spans="2:5" x14ac:dyDescent="0.35">
      <c r="B1678" s="473" t="s">
        <v>3100</v>
      </c>
      <c r="C1678" s="473" t="s">
        <v>950</v>
      </c>
      <c r="D1678" s="474" t="s">
        <v>879</v>
      </c>
      <c r="E1678" s="475">
        <v>33</v>
      </c>
    </row>
    <row r="1679" spans="2:5" x14ac:dyDescent="0.35">
      <c r="B1679" s="473" t="s">
        <v>3006</v>
      </c>
      <c r="C1679" s="473" t="s">
        <v>873</v>
      </c>
      <c r="D1679" s="474" t="s">
        <v>332</v>
      </c>
      <c r="E1679" s="475">
        <v>34</v>
      </c>
    </row>
    <row r="1680" spans="2:5" x14ac:dyDescent="0.35">
      <c r="B1680" s="473" t="s">
        <v>2668</v>
      </c>
      <c r="C1680" s="473" t="s">
        <v>579</v>
      </c>
      <c r="D1680" s="474" t="s">
        <v>332</v>
      </c>
      <c r="E1680" s="475">
        <v>22</v>
      </c>
    </row>
    <row r="1681" spans="2:5" x14ac:dyDescent="0.35">
      <c r="B1681" s="473" t="s">
        <v>3982</v>
      </c>
      <c r="C1681" s="473" t="s">
        <v>1749</v>
      </c>
      <c r="D1681" s="474" t="s">
        <v>1679</v>
      </c>
      <c r="E1681" s="475">
        <v>22</v>
      </c>
    </row>
    <row r="1682" spans="2:5" x14ac:dyDescent="0.35">
      <c r="B1682" s="473" t="s">
        <v>2721</v>
      </c>
      <c r="C1682" s="473" t="s">
        <v>622</v>
      </c>
      <c r="D1682" s="474" t="s">
        <v>332</v>
      </c>
      <c r="E1682" s="475">
        <v>24</v>
      </c>
    </row>
    <row r="1683" spans="2:5" x14ac:dyDescent="0.35">
      <c r="B1683" s="473" t="s">
        <v>3327</v>
      </c>
      <c r="C1683" s="473" t="s">
        <v>1133</v>
      </c>
      <c r="D1683" s="474" t="s">
        <v>879</v>
      </c>
      <c r="E1683" s="475">
        <v>34</v>
      </c>
    </row>
    <row r="1684" spans="2:5" x14ac:dyDescent="0.35">
      <c r="B1684" s="473" t="s">
        <v>2543</v>
      </c>
      <c r="C1684" s="473" t="s">
        <v>462</v>
      </c>
      <c r="D1684" s="474" t="s">
        <v>332</v>
      </c>
      <c r="E1684" s="475">
        <v>32</v>
      </c>
    </row>
    <row r="1685" spans="2:5" x14ac:dyDescent="0.35">
      <c r="B1685" s="473" t="s">
        <v>4076</v>
      </c>
      <c r="C1685" s="473" t="s">
        <v>1835</v>
      </c>
      <c r="D1685" s="474" t="s">
        <v>1679</v>
      </c>
      <c r="E1685" s="475">
        <v>23</v>
      </c>
    </row>
    <row r="1686" spans="2:5" x14ac:dyDescent="0.35">
      <c r="B1686" s="473" t="s">
        <v>4261</v>
      </c>
      <c r="C1686" s="473" t="s">
        <v>2008</v>
      </c>
      <c r="D1686" s="474" t="s">
        <v>1950</v>
      </c>
      <c r="E1686" s="475">
        <v>33</v>
      </c>
    </row>
    <row r="1687" spans="2:5" x14ac:dyDescent="0.35">
      <c r="B1687" s="473" t="s">
        <v>3454</v>
      </c>
      <c r="C1687" s="473" t="s">
        <v>1242</v>
      </c>
      <c r="D1687" s="474" t="s">
        <v>879</v>
      </c>
      <c r="E1687" s="475">
        <v>12</v>
      </c>
    </row>
    <row r="1688" spans="2:5" x14ac:dyDescent="0.35">
      <c r="B1688" s="473" t="s">
        <v>2816</v>
      </c>
      <c r="C1688" s="473" t="s">
        <v>709</v>
      </c>
      <c r="D1688" s="474" t="s">
        <v>332</v>
      </c>
      <c r="E1688" s="475">
        <v>24</v>
      </c>
    </row>
    <row r="1689" spans="2:5" x14ac:dyDescent="0.35">
      <c r="B1689" s="473" t="s">
        <v>2817</v>
      </c>
      <c r="C1689" s="473" t="s">
        <v>710</v>
      </c>
      <c r="D1689" s="474" t="s">
        <v>332</v>
      </c>
      <c r="E1689" s="475">
        <v>24</v>
      </c>
    </row>
    <row r="1690" spans="2:5" x14ac:dyDescent="0.35">
      <c r="B1690" s="473" t="s">
        <v>2756</v>
      </c>
      <c r="C1690" s="473" t="s">
        <v>636</v>
      </c>
      <c r="D1690" s="474" t="s">
        <v>332</v>
      </c>
      <c r="E1690" s="475">
        <v>34</v>
      </c>
    </row>
    <row r="1691" spans="2:5" x14ac:dyDescent="0.35">
      <c r="B1691" s="473" t="s">
        <v>2593</v>
      </c>
      <c r="C1691" s="473" t="s">
        <v>508</v>
      </c>
      <c r="D1691" s="474" t="s">
        <v>332</v>
      </c>
      <c r="E1691" s="475">
        <v>34</v>
      </c>
    </row>
    <row r="1692" spans="2:5" x14ac:dyDescent="0.35">
      <c r="B1692" s="473" t="s">
        <v>2570</v>
      </c>
      <c r="C1692" s="473" t="s">
        <v>487</v>
      </c>
      <c r="D1692" s="474" t="s">
        <v>332</v>
      </c>
      <c r="E1692" s="475">
        <v>33</v>
      </c>
    </row>
    <row r="1693" spans="2:5" x14ac:dyDescent="0.35">
      <c r="B1693" s="473" t="s">
        <v>4262</v>
      </c>
      <c r="C1693" s="473" t="s">
        <v>2009</v>
      </c>
      <c r="D1693" s="474" t="s">
        <v>1950</v>
      </c>
      <c r="E1693" s="475">
        <v>34</v>
      </c>
    </row>
    <row r="1694" spans="2:5" x14ac:dyDescent="0.35">
      <c r="B1694" s="473" t="s">
        <v>4221</v>
      </c>
      <c r="C1694" s="473" t="s">
        <v>1969</v>
      </c>
      <c r="D1694" s="474" t="s">
        <v>1950</v>
      </c>
      <c r="E1694" s="475">
        <v>22</v>
      </c>
    </row>
    <row r="1695" spans="2:5" x14ac:dyDescent="0.35">
      <c r="B1695" s="473" t="s">
        <v>2112</v>
      </c>
      <c r="C1695" s="473" t="s">
        <v>56</v>
      </c>
      <c r="D1695" s="473" t="s">
        <v>40</v>
      </c>
      <c r="E1695" s="475">
        <v>22</v>
      </c>
    </row>
    <row r="1696" spans="2:5" x14ac:dyDescent="0.35">
      <c r="B1696" s="473" t="s">
        <v>2983</v>
      </c>
      <c r="C1696" s="473" t="s">
        <v>424</v>
      </c>
      <c r="D1696" s="474" t="s">
        <v>332</v>
      </c>
      <c r="E1696" s="475">
        <v>23</v>
      </c>
    </row>
    <row r="1697" spans="2:5" x14ac:dyDescent="0.35">
      <c r="B1697" s="473" t="s">
        <v>3626</v>
      </c>
      <c r="C1697" s="473" t="s">
        <v>1414</v>
      </c>
      <c r="D1697" s="474" t="s">
        <v>1400</v>
      </c>
      <c r="E1697" s="475">
        <v>33</v>
      </c>
    </row>
    <row r="1698" spans="2:5" x14ac:dyDescent="0.35">
      <c r="B1698" s="473" t="s">
        <v>3062</v>
      </c>
      <c r="C1698" s="473" t="s">
        <v>918</v>
      </c>
      <c r="D1698" s="474" t="s">
        <v>879</v>
      </c>
      <c r="E1698" s="475">
        <v>24</v>
      </c>
    </row>
    <row r="1699" spans="2:5" x14ac:dyDescent="0.35">
      <c r="B1699" s="473" t="s">
        <v>3455</v>
      </c>
      <c r="C1699" s="473" t="s">
        <v>1243</v>
      </c>
      <c r="D1699" s="474" t="s">
        <v>879</v>
      </c>
      <c r="E1699" s="475">
        <v>22</v>
      </c>
    </row>
    <row r="1700" spans="2:5" x14ac:dyDescent="0.35">
      <c r="B1700" s="473" t="s">
        <v>4263</v>
      </c>
      <c r="C1700" s="473" t="s">
        <v>2010</v>
      </c>
      <c r="D1700" s="474" t="s">
        <v>1950</v>
      </c>
      <c r="E1700" s="475">
        <v>11</v>
      </c>
    </row>
    <row r="1701" spans="2:5" x14ac:dyDescent="0.35">
      <c r="B1701" s="473" t="s">
        <v>3565</v>
      </c>
      <c r="C1701" s="473" t="s">
        <v>1353</v>
      </c>
      <c r="D1701" s="474" t="s">
        <v>1282</v>
      </c>
      <c r="E1701" s="475">
        <v>32</v>
      </c>
    </row>
    <row r="1702" spans="2:5" x14ac:dyDescent="0.35">
      <c r="B1702" s="473" t="s">
        <v>2818</v>
      </c>
      <c r="C1702" s="473" t="s">
        <v>711</v>
      </c>
      <c r="D1702" s="474" t="s">
        <v>332</v>
      </c>
      <c r="E1702" s="475">
        <v>23</v>
      </c>
    </row>
    <row r="1703" spans="2:5" x14ac:dyDescent="0.35">
      <c r="B1703" s="473" t="s">
        <v>2819</v>
      </c>
      <c r="C1703" s="473" t="s">
        <v>712</v>
      </c>
      <c r="D1703" s="474" t="s">
        <v>332</v>
      </c>
      <c r="E1703" s="475">
        <v>34</v>
      </c>
    </row>
    <row r="1704" spans="2:5" x14ac:dyDescent="0.35">
      <c r="B1704" s="473" t="s">
        <v>3692</v>
      </c>
      <c r="C1704" s="473" t="s">
        <v>1478</v>
      </c>
      <c r="D1704" s="474" t="s">
        <v>1400</v>
      </c>
      <c r="E1704" s="475">
        <v>24</v>
      </c>
    </row>
    <row r="1705" spans="2:5" x14ac:dyDescent="0.35">
      <c r="B1705" s="473" t="s">
        <v>3007</v>
      </c>
      <c r="C1705" s="473" t="s">
        <v>874</v>
      </c>
      <c r="D1705" s="474" t="s">
        <v>332</v>
      </c>
      <c r="E1705" s="475">
        <v>32</v>
      </c>
    </row>
    <row r="1706" spans="2:5" x14ac:dyDescent="0.35">
      <c r="B1706" s="473" t="s">
        <v>2956</v>
      </c>
      <c r="C1706" s="473" t="s">
        <v>844</v>
      </c>
      <c r="D1706" s="474" t="s">
        <v>332</v>
      </c>
      <c r="E1706" s="475">
        <v>34</v>
      </c>
    </row>
    <row r="1707" spans="2:5" x14ac:dyDescent="0.35">
      <c r="B1707" s="473" t="s">
        <v>2865</v>
      </c>
      <c r="C1707" s="473" t="s">
        <v>756</v>
      </c>
      <c r="D1707" s="474" t="s">
        <v>332</v>
      </c>
      <c r="E1707" s="475">
        <v>34</v>
      </c>
    </row>
    <row r="1708" spans="2:5" x14ac:dyDescent="0.35">
      <c r="B1708" s="473" t="s">
        <v>4264</v>
      </c>
      <c r="C1708" s="473" t="s">
        <v>2011</v>
      </c>
      <c r="D1708" s="474" t="s">
        <v>1950</v>
      </c>
      <c r="E1708" s="475">
        <v>22</v>
      </c>
    </row>
    <row r="1709" spans="2:5" x14ac:dyDescent="0.35">
      <c r="B1709" s="473" t="s">
        <v>3328</v>
      </c>
      <c r="C1709" s="473" t="s">
        <v>1134</v>
      </c>
      <c r="D1709" s="474" t="s">
        <v>879</v>
      </c>
      <c r="E1709" s="475">
        <v>34</v>
      </c>
    </row>
    <row r="1710" spans="2:5" x14ac:dyDescent="0.35">
      <c r="B1710" s="473" t="s">
        <v>4181</v>
      </c>
      <c r="C1710" s="473" t="s">
        <v>1934</v>
      </c>
      <c r="D1710" s="474" t="s">
        <v>1679</v>
      </c>
      <c r="E1710" s="475">
        <v>11</v>
      </c>
    </row>
    <row r="1711" spans="2:5" x14ac:dyDescent="0.35">
      <c r="B1711" s="473" t="s">
        <v>2984</v>
      </c>
      <c r="C1711" s="473" t="s">
        <v>425</v>
      </c>
      <c r="D1711" s="474" t="s">
        <v>332</v>
      </c>
      <c r="E1711" s="475">
        <v>11</v>
      </c>
    </row>
    <row r="1712" spans="2:5" x14ac:dyDescent="0.35">
      <c r="B1712" s="473" t="s">
        <v>3008</v>
      </c>
      <c r="C1712" s="473" t="s">
        <v>875</v>
      </c>
      <c r="D1712" s="474" t="s">
        <v>332</v>
      </c>
      <c r="E1712" s="475">
        <v>34</v>
      </c>
    </row>
    <row r="1713" spans="2:5" x14ac:dyDescent="0.35">
      <c r="B1713" s="473" t="s">
        <v>4182</v>
      </c>
      <c r="C1713" s="473" t="s">
        <v>1935</v>
      </c>
      <c r="D1713" s="474" t="s">
        <v>1679</v>
      </c>
      <c r="E1713" s="475">
        <v>32</v>
      </c>
    </row>
    <row r="1714" spans="2:5" x14ac:dyDescent="0.35">
      <c r="B1714" s="473" t="s">
        <v>4021</v>
      </c>
      <c r="C1714" s="473" t="s">
        <v>1782</v>
      </c>
      <c r="D1714" s="474" t="s">
        <v>1679</v>
      </c>
      <c r="E1714" s="475">
        <v>34</v>
      </c>
    </row>
    <row r="1715" spans="2:5" x14ac:dyDescent="0.35">
      <c r="B1715" s="473" t="s">
        <v>3243</v>
      </c>
      <c r="C1715" s="473" t="s">
        <v>1069</v>
      </c>
      <c r="D1715" s="474" t="s">
        <v>879</v>
      </c>
      <c r="E1715" s="475">
        <v>22</v>
      </c>
    </row>
    <row r="1716" spans="2:5" x14ac:dyDescent="0.35">
      <c r="B1716" s="473" t="s">
        <v>4047</v>
      </c>
      <c r="C1716" s="473" t="s">
        <v>1808</v>
      </c>
      <c r="D1716" s="474" t="s">
        <v>1679</v>
      </c>
      <c r="E1716" s="475">
        <v>23</v>
      </c>
    </row>
    <row r="1717" spans="2:5" x14ac:dyDescent="0.35">
      <c r="B1717" s="473" t="s">
        <v>3812</v>
      </c>
      <c r="C1717" s="473" t="s">
        <v>1588</v>
      </c>
      <c r="D1717" s="474" t="s">
        <v>1400</v>
      </c>
      <c r="E1717" s="475">
        <v>24</v>
      </c>
    </row>
    <row r="1718" spans="2:5" x14ac:dyDescent="0.35">
      <c r="B1718" s="473" t="s">
        <v>4077</v>
      </c>
      <c r="C1718" s="473" t="s">
        <v>1836</v>
      </c>
      <c r="D1718" s="474" t="s">
        <v>1679</v>
      </c>
      <c r="E1718" s="475">
        <v>24</v>
      </c>
    </row>
    <row r="1719" spans="2:5" x14ac:dyDescent="0.35">
      <c r="B1719" s="473" t="s">
        <v>2820</v>
      </c>
      <c r="C1719" s="473" t="s">
        <v>713</v>
      </c>
      <c r="D1719" s="474" t="s">
        <v>332</v>
      </c>
      <c r="E1719" s="475">
        <v>22</v>
      </c>
    </row>
    <row r="1720" spans="2:5" x14ac:dyDescent="0.35">
      <c r="B1720" s="473" t="s">
        <v>2344</v>
      </c>
      <c r="C1720" s="473" t="s">
        <v>279</v>
      </c>
      <c r="D1720" s="474" t="s">
        <v>212</v>
      </c>
      <c r="E1720" s="475">
        <v>23</v>
      </c>
    </row>
    <row r="1721" spans="2:5" x14ac:dyDescent="0.35">
      <c r="B1721" s="473" t="s">
        <v>3983</v>
      </c>
      <c r="C1721" s="473" t="s">
        <v>1750</v>
      </c>
      <c r="D1721" s="474" t="s">
        <v>1679</v>
      </c>
      <c r="E1721" s="475">
        <v>22</v>
      </c>
    </row>
    <row r="1722" spans="2:5" x14ac:dyDescent="0.35">
      <c r="B1722" s="473" t="s">
        <v>2594</v>
      </c>
      <c r="C1722" s="473" t="s">
        <v>509</v>
      </c>
      <c r="D1722" s="474" t="s">
        <v>332</v>
      </c>
      <c r="E1722" s="475">
        <v>34</v>
      </c>
    </row>
    <row r="1723" spans="2:5" x14ac:dyDescent="0.35">
      <c r="B1723" s="473" t="s">
        <v>3539</v>
      </c>
      <c r="C1723" s="473" t="s">
        <v>1327</v>
      </c>
      <c r="D1723" s="474" t="s">
        <v>1282</v>
      </c>
      <c r="E1723" s="475">
        <v>23</v>
      </c>
    </row>
    <row r="1724" spans="2:5" x14ac:dyDescent="0.35">
      <c r="B1724" s="473" t="s">
        <v>3544</v>
      </c>
      <c r="C1724" s="473" t="s">
        <v>1332</v>
      </c>
      <c r="D1724" s="474" t="s">
        <v>1282</v>
      </c>
      <c r="E1724" s="475">
        <v>22</v>
      </c>
    </row>
    <row r="1725" spans="2:5" x14ac:dyDescent="0.35">
      <c r="B1725" s="473" t="s">
        <v>3456</v>
      </c>
      <c r="C1725" s="473" t="s">
        <v>1244</v>
      </c>
      <c r="D1725" s="474" t="s">
        <v>879</v>
      </c>
      <c r="E1725" s="475">
        <v>12</v>
      </c>
    </row>
    <row r="1726" spans="2:5" x14ac:dyDescent="0.35">
      <c r="B1726" s="473" t="s">
        <v>2479</v>
      </c>
      <c r="C1726" s="473" t="s">
        <v>387</v>
      </c>
      <c r="D1726" s="474" t="s">
        <v>332</v>
      </c>
      <c r="E1726" s="475">
        <v>23</v>
      </c>
    </row>
    <row r="1727" spans="2:5" x14ac:dyDescent="0.35">
      <c r="B1727" s="473" t="s">
        <v>3663</v>
      </c>
      <c r="C1727" s="473" t="s">
        <v>1451</v>
      </c>
      <c r="D1727" s="474" t="s">
        <v>1400</v>
      </c>
      <c r="E1727" s="475">
        <v>12</v>
      </c>
    </row>
    <row r="1728" spans="2:5" x14ac:dyDescent="0.35">
      <c r="B1728" s="473" t="s">
        <v>2447</v>
      </c>
      <c r="C1728" s="473" t="s">
        <v>355</v>
      </c>
      <c r="D1728" s="474" t="s">
        <v>332</v>
      </c>
      <c r="E1728" s="475">
        <v>22</v>
      </c>
    </row>
    <row r="1729" spans="2:5" x14ac:dyDescent="0.35">
      <c r="B1729" s="473" t="s">
        <v>3984</v>
      </c>
      <c r="C1729" s="473" t="s">
        <v>1751</v>
      </c>
      <c r="D1729" s="474" t="s">
        <v>1679</v>
      </c>
      <c r="E1729" s="475">
        <v>24</v>
      </c>
    </row>
    <row r="1730" spans="2:5" x14ac:dyDescent="0.35">
      <c r="B1730" s="473" t="s">
        <v>3722</v>
      </c>
      <c r="C1730" s="473" t="s">
        <v>1506</v>
      </c>
      <c r="D1730" s="474" t="s">
        <v>1400</v>
      </c>
      <c r="E1730" s="475">
        <v>32</v>
      </c>
    </row>
    <row r="1731" spans="2:5" x14ac:dyDescent="0.35">
      <c r="B1731" s="473" t="s">
        <v>2821</v>
      </c>
      <c r="C1731" s="473" t="s">
        <v>714</v>
      </c>
      <c r="D1731" s="474" t="s">
        <v>332</v>
      </c>
      <c r="E1731" s="475">
        <v>23</v>
      </c>
    </row>
    <row r="1732" spans="2:5" x14ac:dyDescent="0.35">
      <c r="B1732" s="473" t="s">
        <v>3644</v>
      </c>
      <c r="C1732" s="473" t="s">
        <v>1432</v>
      </c>
      <c r="D1732" s="474" t="s">
        <v>1400</v>
      </c>
      <c r="E1732" s="475">
        <v>24</v>
      </c>
    </row>
    <row r="1733" spans="2:5" x14ac:dyDescent="0.35">
      <c r="B1733" s="473" t="s">
        <v>3278</v>
      </c>
      <c r="C1733" s="473" t="s">
        <v>1098</v>
      </c>
      <c r="D1733" s="474" t="s">
        <v>879</v>
      </c>
      <c r="E1733" s="475">
        <v>23</v>
      </c>
    </row>
    <row r="1734" spans="2:5" x14ac:dyDescent="0.35">
      <c r="B1734" s="473" t="s">
        <v>2662</v>
      </c>
      <c r="C1734" s="473" t="s">
        <v>573</v>
      </c>
      <c r="D1734" s="474" t="s">
        <v>332</v>
      </c>
      <c r="E1734" s="475">
        <v>23</v>
      </c>
    </row>
    <row r="1735" spans="2:5" x14ac:dyDescent="0.35">
      <c r="B1735" s="473" t="s">
        <v>4078</v>
      </c>
      <c r="C1735" s="473" t="s">
        <v>1837</v>
      </c>
      <c r="D1735" s="474" t="s">
        <v>1679</v>
      </c>
      <c r="E1735" s="475">
        <v>34</v>
      </c>
    </row>
    <row r="1736" spans="2:5" x14ac:dyDescent="0.35">
      <c r="B1736" s="473" t="s">
        <v>4265</v>
      </c>
      <c r="C1736" s="473" t="s">
        <v>2012</v>
      </c>
      <c r="D1736" s="474" t="s">
        <v>1950</v>
      </c>
      <c r="E1736" s="475">
        <v>23</v>
      </c>
    </row>
    <row r="1737" spans="2:5" x14ac:dyDescent="0.35">
      <c r="B1737" s="473" t="s">
        <v>2113</v>
      </c>
      <c r="C1737" s="473" t="s">
        <v>57</v>
      </c>
      <c r="D1737" s="473" t="s">
        <v>40</v>
      </c>
      <c r="E1737" s="475">
        <v>23</v>
      </c>
    </row>
    <row r="1738" spans="2:5" x14ac:dyDescent="0.35">
      <c r="B1738" s="473" t="s">
        <v>2174</v>
      </c>
      <c r="C1738" s="473" t="s">
        <v>118</v>
      </c>
      <c r="D1738" s="473" t="s">
        <v>40</v>
      </c>
      <c r="E1738" s="475">
        <v>23</v>
      </c>
    </row>
    <row r="1739" spans="2:5" x14ac:dyDescent="0.35">
      <c r="B1739" s="473" t="s">
        <v>2906</v>
      </c>
      <c r="C1739" s="473" t="s">
        <v>797</v>
      </c>
      <c r="D1739" s="474" t="s">
        <v>332</v>
      </c>
      <c r="E1739" s="475">
        <v>23</v>
      </c>
    </row>
    <row r="1740" spans="2:5" x14ac:dyDescent="0.35">
      <c r="B1740" s="473" t="s">
        <v>2633</v>
      </c>
      <c r="C1740" s="473" t="s">
        <v>546</v>
      </c>
      <c r="D1740" s="474" t="s">
        <v>332</v>
      </c>
      <c r="E1740" s="475">
        <v>23</v>
      </c>
    </row>
    <row r="1741" spans="2:5" x14ac:dyDescent="0.35">
      <c r="B1741" s="473" t="s">
        <v>3383</v>
      </c>
      <c r="C1741" s="473" t="s">
        <v>1177</v>
      </c>
      <c r="D1741" s="474" t="s">
        <v>879</v>
      </c>
      <c r="E1741" s="475">
        <v>23</v>
      </c>
    </row>
    <row r="1742" spans="2:5" x14ac:dyDescent="0.35">
      <c r="B1742" s="473" t="s">
        <v>3360</v>
      </c>
      <c r="C1742" s="473" t="s">
        <v>1156</v>
      </c>
      <c r="D1742" s="474" t="s">
        <v>879</v>
      </c>
      <c r="E1742" s="475">
        <v>24</v>
      </c>
    </row>
    <row r="1743" spans="2:5" x14ac:dyDescent="0.35">
      <c r="B1743" s="473" t="s">
        <v>2175</v>
      </c>
      <c r="C1743" s="473" t="s">
        <v>119</v>
      </c>
      <c r="D1743" s="473" t="s">
        <v>40</v>
      </c>
      <c r="E1743" s="475">
        <v>22</v>
      </c>
    </row>
    <row r="1744" spans="2:5" x14ac:dyDescent="0.35">
      <c r="B1744" s="473" t="s">
        <v>2617</v>
      </c>
      <c r="C1744" s="473" t="s">
        <v>530</v>
      </c>
      <c r="D1744" s="474" t="s">
        <v>332</v>
      </c>
      <c r="E1744" s="475">
        <v>32</v>
      </c>
    </row>
    <row r="1745" spans="2:5" x14ac:dyDescent="0.35">
      <c r="B1745" s="473" t="s">
        <v>4222</v>
      </c>
      <c r="C1745" s="473" t="s">
        <v>1970</v>
      </c>
      <c r="D1745" s="474" t="s">
        <v>1950</v>
      </c>
      <c r="E1745" s="475">
        <v>23</v>
      </c>
    </row>
    <row r="1746" spans="2:5" x14ac:dyDescent="0.35">
      <c r="B1746" s="473" t="s">
        <v>4114</v>
      </c>
      <c r="C1746" s="473" t="s">
        <v>1867</v>
      </c>
      <c r="D1746" s="474" t="s">
        <v>1679</v>
      </c>
      <c r="E1746" s="475">
        <v>32</v>
      </c>
    </row>
    <row r="1747" spans="2:5" x14ac:dyDescent="0.35">
      <c r="B1747" s="473" t="s">
        <v>3929</v>
      </c>
      <c r="C1747" s="473" t="s">
        <v>1698</v>
      </c>
      <c r="D1747" s="474" t="s">
        <v>1679</v>
      </c>
      <c r="E1747" s="475">
        <v>22</v>
      </c>
    </row>
    <row r="1748" spans="2:5" x14ac:dyDescent="0.35">
      <c r="B1748" s="473" t="s">
        <v>3791</v>
      </c>
      <c r="C1748" s="473" t="s">
        <v>1567</v>
      </c>
      <c r="D1748" s="474" t="s">
        <v>1400</v>
      </c>
      <c r="E1748" s="475">
        <v>22</v>
      </c>
    </row>
    <row r="1749" spans="2:5" x14ac:dyDescent="0.35">
      <c r="B1749" s="473" t="s">
        <v>3488</v>
      </c>
      <c r="C1749" s="473" t="s">
        <v>1276</v>
      </c>
      <c r="D1749" s="474" t="s">
        <v>879</v>
      </c>
      <c r="E1749" s="475">
        <v>24</v>
      </c>
    </row>
    <row r="1750" spans="2:5" x14ac:dyDescent="0.35">
      <c r="B1750" s="473" t="s">
        <v>3985</v>
      </c>
      <c r="C1750" s="473" t="s">
        <v>1752</v>
      </c>
      <c r="D1750" s="474" t="s">
        <v>1679</v>
      </c>
      <c r="E1750" s="475">
        <v>12</v>
      </c>
    </row>
    <row r="1751" spans="2:5" x14ac:dyDescent="0.35">
      <c r="B1751" s="473" t="s">
        <v>2386</v>
      </c>
      <c r="C1751" s="473" t="s">
        <v>317</v>
      </c>
      <c r="D1751" s="474" t="s">
        <v>212</v>
      </c>
      <c r="E1751" s="475">
        <v>33</v>
      </c>
    </row>
    <row r="1752" spans="2:5" x14ac:dyDescent="0.35">
      <c r="B1752" s="473" t="s">
        <v>2907</v>
      </c>
      <c r="C1752" s="473" t="s">
        <v>798</v>
      </c>
      <c r="D1752" s="474" t="s">
        <v>332</v>
      </c>
      <c r="E1752" s="475">
        <v>23</v>
      </c>
    </row>
    <row r="1753" spans="2:5" x14ac:dyDescent="0.35">
      <c r="B1753" s="473" t="s">
        <v>2595</v>
      </c>
      <c r="C1753" s="473" t="s">
        <v>510</v>
      </c>
      <c r="D1753" s="474" t="s">
        <v>332</v>
      </c>
      <c r="E1753" s="475">
        <v>34</v>
      </c>
    </row>
    <row r="1754" spans="2:5" x14ac:dyDescent="0.35">
      <c r="B1754" s="473" t="s">
        <v>3863</v>
      </c>
      <c r="C1754" s="473" t="s">
        <v>1635</v>
      </c>
      <c r="D1754" s="474" t="s">
        <v>1400</v>
      </c>
      <c r="E1754" s="475">
        <v>33</v>
      </c>
    </row>
    <row r="1755" spans="2:5" x14ac:dyDescent="0.35">
      <c r="B1755" s="473" t="s">
        <v>3771</v>
      </c>
      <c r="C1755" s="473" t="s">
        <v>1551</v>
      </c>
      <c r="D1755" s="474" t="s">
        <v>1400</v>
      </c>
      <c r="E1755" s="475">
        <v>23</v>
      </c>
    </row>
    <row r="1756" spans="2:5" x14ac:dyDescent="0.35">
      <c r="B1756" s="473" t="s">
        <v>3930</v>
      </c>
      <c r="C1756" s="473" t="s">
        <v>1699</v>
      </c>
      <c r="D1756" s="474" t="s">
        <v>1679</v>
      </c>
      <c r="E1756" s="475">
        <v>33</v>
      </c>
    </row>
    <row r="1757" spans="2:5" x14ac:dyDescent="0.35">
      <c r="B1757" s="473" t="s">
        <v>3740</v>
      </c>
      <c r="C1757" s="473" t="s">
        <v>1522</v>
      </c>
      <c r="D1757" s="474" t="s">
        <v>1400</v>
      </c>
      <c r="E1757" s="475">
        <v>33</v>
      </c>
    </row>
    <row r="1758" spans="2:5" x14ac:dyDescent="0.35">
      <c r="B1758" s="473" t="s">
        <v>4048</v>
      </c>
      <c r="C1758" s="473" t="s">
        <v>1809</v>
      </c>
      <c r="D1758" s="474" t="s">
        <v>1679</v>
      </c>
      <c r="E1758" s="475">
        <v>23</v>
      </c>
    </row>
    <row r="1759" spans="2:5" x14ac:dyDescent="0.35">
      <c r="B1759" s="473" t="s">
        <v>2957</v>
      </c>
      <c r="C1759" s="473" t="s">
        <v>845</v>
      </c>
      <c r="D1759" s="474" t="s">
        <v>332</v>
      </c>
      <c r="E1759" s="475">
        <v>12</v>
      </c>
    </row>
    <row r="1760" spans="2:5" x14ac:dyDescent="0.35">
      <c r="B1760" s="473" t="s">
        <v>2505</v>
      </c>
      <c r="C1760" s="473" t="s">
        <v>411</v>
      </c>
      <c r="D1760" s="474" t="s">
        <v>332</v>
      </c>
      <c r="E1760" s="475">
        <v>23</v>
      </c>
    </row>
    <row r="1761" spans="2:5" x14ac:dyDescent="0.35">
      <c r="B1761" s="473" t="s">
        <v>3411</v>
      </c>
      <c r="C1761" s="473" t="s">
        <v>1203</v>
      </c>
      <c r="D1761" s="474" t="s">
        <v>879</v>
      </c>
      <c r="E1761" s="475">
        <v>23</v>
      </c>
    </row>
    <row r="1762" spans="2:5" x14ac:dyDescent="0.35">
      <c r="B1762" s="473" t="s">
        <v>4223</v>
      </c>
      <c r="C1762" s="473" t="s">
        <v>1971</v>
      </c>
      <c r="D1762" s="474" t="s">
        <v>1950</v>
      </c>
      <c r="E1762" s="475">
        <v>23</v>
      </c>
    </row>
    <row r="1763" spans="2:5" x14ac:dyDescent="0.35">
      <c r="B1763" s="473" t="s">
        <v>2448</v>
      </c>
      <c r="C1763" s="473" t="s">
        <v>356</v>
      </c>
      <c r="D1763" s="474" t="s">
        <v>332</v>
      </c>
      <c r="E1763" s="475">
        <v>22</v>
      </c>
    </row>
    <row r="1764" spans="2:5" x14ac:dyDescent="0.35">
      <c r="B1764" s="473" t="s">
        <v>2480</v>
      </c>
      <c r="C1764" s="473" t="s">
        <v>388</v>
      </c>
      <c r="D1764" s="474" t="s">
        <v>332</v>
      </c>
      <c r="E1764" s="475">
        <v>12</v>
      </c>
    </row>
    <row r="1765" spans="2:5" x14ac:dyDescent="0.35">
      <c r="B1765" s="473" t="s">
        <v>2544</v>
      </c>
      <c r="C1765" s="473" t="s">
        <v>463</v>
      </c>
      <c r="D1765" s="474" t="s">
        <v>332</v>
      </c>
      <c r="E1765" s="475">
        <v>34</v>
      </c>
    </row>
    <row r="1766" spans="2:5" x14ac:dyDescent="0.35">
      <c r="B1766" s="473" t="s">
        <v>3824</v>
      </c>
      <c r="C1766" s="473" t="s">
        <v>1598</v>
      </c>
      <c r="D1766" s="474" t="s">
        <v>1400</v>
      </c>
      <c r="E1766" s="475">
        <v>12</v>
      </c>
    </row>
    <row r="1767" spans="2:5" x14ac:dyDescent="0.35">
      <c r="B1767" s="473" t="s">
        <v>2634</v>
      </c>
      <c r="C1767" s="473" t="s">
        <v>547</v>
      </c>
      <c r="D1767" s="474" t="s">
        <v>332</v>
      </c>
      <c r="E1767" s="475">
        <v>12</v>
      </c>
    </row>
    <row r="1768" spans="2:5" x14ac:dyDescent="0.35">
      <c r="B1768" s="473" t="s">
        <v>4079</v>
      </c>
      <c r="C1768" s="473" t="s">
        <v>1838</v>
      </c>
      <c r="D1768" s="474" t="s">
        <v>1679</v>
      </c>
      <c r="E1768" s="475">
        <v>34</v>
      </c>
    </row>
    <row r="1769" spans="2:5" x14ac:dyDescent="0.35">
      <c r="B1769" s="473" t="s">
        <v>3186</v>
      </c>
      <c r="C1769" s="473" t="s">
        <v>1024</v>
      </c>
      <c r="D1769" s="474" t="s">
        <v>879</v>
      </c>
      <c r="E1769" s="475">
        <v>33</v>
      </c>
    </row>
    <row r="1770" spans="2:5" x14ac:dyDescent="0.35">
      <c r="B1770" s="473" t="s">
        <v>3831</v>
      </c>
      <c r="C1770" s="473" t="s">
        <v>1605</v>
      </c>
      <c r="D1770" s="474" t="s">
        <v>1400</v>
      </c>
      <c r="E1770" s="475">
        <v>24</v>
      </c>
    </row>
    <row r="1771" spans="2:5" x14ac:dyDescent="0.35">
      <c r="B1771" s="473" t="s">
        <v>2345</v>
      </c>
      <c r="C1771" s="473" t="s">
        <v>280</v>
      </c>
      <c r="D1771" s="474" t="s">
        <v>212</v>
      </c>
      <c r="E1771" s="475">
        <v>11</v>
      </c>
    </row>
    <row r="1772" spans="2:5" x14ac:dyDescent="0.35">
      <c r="B1772" s="473" t="s">
        <v>2663</v>
      </c>
      <c r="C1772" s="473" t="s">
        <v>574</v>
      </c>
      <c r="D1772" s="474" t="s">
        <v>332</v>
      </c>
      <c r="E1772" s="475">
        <v>23</v>
      </c>
    </row>
    <row r="1773" spans="2:5" x14ac:dyDescent="0.35">
      <c r="B1773" s="473" t="s">
        <v>3348</v>
      </c>
      <c r="C1773" s="473" t="s">
        <v>3349</v>
      </c>
      <c r="D1773" s="474" t="s">
        <v>879</v>
      </c>
      <c r="E1773" s="475">
        <v>34</v>
      </c>
    </row>
    <row r="1774" spans="2:5" x14ac:dyDescent="0.35">
      <c r="B1774" s="473" t="s">
        <v>2680</v>
      </c>
      <c r="C1774" s="473" t="s">
        <v>2681</v>
      </c>
      <c r="D1774" s="474" t="s">
        <v>332</v>
      </c>
      <c r="E1774" s="475">
        <v>34</v>
      </c>
    </row>
    <row r="1775" spans="2:5" x14ac:dyDescent="0.35">
      <c r="B1775" s="473" t="s">
        <v>3154</v>
      </c>
      <c r="C1775" s="473" t="s">
        <v>3155</v>
      </c>
      <c r="D1775" s="474" t="s">
        <v>879</v>
      </c>
      <c r="E1775" s="475">
        <v>34</v>
      </c>
    </row>
    <row r="1776" spans="2:5" x14ac:dyDescent="0.35">
      <c r="B1776" s="473" t="s">
        <v>2395</v>
      </c>
      <c r="C1776" s="473" t="s">
        <v>2396</v>
      </c>
      <c r="D1776" s="474" t="s">
        <v>212</v>
      </c>
      <c r="E1776" s="475">
        <v>22</v>
      </c>
    </row>
    <row r="1777" spans="2:5" x14ac:dyDescent="0.35">
      <c r="B1777" s="473" t="s">
        <v>2913</v>
      </c>
      <c r="C1777" s="473" t="s">
        <v>2914</v>
      </c>
      <c r="D1777" s="474" t="s">
        <v>332</v>
      </c>
      <c r="E1777" s="475">
        <v>22</v>
      </c>
    </row>
    <row r="1778" spans="2:5" x14ac:dyDescent="0.35">
      <c r="B1778" s="473" t="s">
        <v>4074</v>
      </c>
      <c r="C1778" s="473" t="s">
        <v>4075</v>
      </c>
      <c r="D1778" s="474" t="s">
        <v>1679</v>
      </c>
      <c r="E1778" s="475">
        <v>32</v>
      </c>
    </row>
    <row r="1779" spans="2:5" x14ac:dyDescent="0.35">
      <c r="B1779" s="473" t="s">
        <v>2884</v>
      </c>
      <c r="C1779" s="473" t="s">
        <v>2885</v>
      </c>
      <c r="D1779" s="474" t="s">
        <v>332</v>
      </c>
      <c r="E1779" s="475">
        <v>33</v>
      </c>
    </row>
    <row r="1780" spans="2:5" x14ac:dyDescent="0.35">
      <c r="B1780" s="473" t="s">
        <v>4215</v>
      </c>
      <c r="C1780" s="473" t="s">
        <v>4216</v>
      </c>
      <c r="D1780" s="474" t="s">
        <v>1950</v>
      </c>
      <c r="E1780" s="475">
        <v>22</v>
      </c>
    </row>
    <row r="1781" spans="2:5" x14ac:dyDescent="0.35">
      <c r="B1781" s="473" t="s">
        <v>2615</v>
      </c>
      <c r="C1781" s="473" t="s">
        <v>2616</v>
      </c>
      <c r="D1781" s="474" t="s">
        <v>332</v>
      </c>
      <c r="E1781" s="475">
        <v>32</v>
      </c>
    </row>
    <row r="1782" spans="2:5" x14ac:dyDescent="0.35">
      <c r="B1782" s="473" t="s">
        <v>2811</v>
      </c>
      <c r="C1782" s="473" t="s">
        <v>2812</v>
      </c>
      <c r="D1782" s="474" t="s">
        <v>332</v>
      </c>
      <c r="E1782" s="475">
        <v>24</v>
      </c>
    </row>
    <row r="1783" spans="2:5" x14ac:dyDescent="0.35">
      <c r="B1783" s="473" t="s">
        <v>2813</v>
      </c>
      <c r="C1783" s="473" t="s">
        <v>2814</v>
      </c>
      <c r="D1783" s="474" t="s">
        <v>332</v>
      </c>
      <c r="E1783" s="475">
        <v>22</v>
      </c>
    </row>
    <row r="1784" spans="2:5" x14ac:dyDescent="0.35">
      <c r="B1784" s="473" t="s">
        <v>3204</v>
      </c>
      <c r="C1784" s="473" t="s">
        <v>3205</v>
      </c>
      <c r="D1784" s="474" t="s">
        <v>879</v>
      </c>
      <c r="E1784" s="475">
        <v>23</v>
      </c>
    </row>
    <row r="1785" spans="2:5" x14ac:dyDescent="0.35">
      <c r="B1785" s="473" t="s">
        <v>3350</v>
      </c>
      <c r="C1785" s="473" t="s">
        <v>3351</v>
      </c>
      <c r="D1785" s="474" t="s">
        <v>879</v>
      </c>
      <c r="E1785" s="475">
        <v>23</v>
      </c>
    </row>
    <row r="1786" spans="2:5" x14ac:dyDescent="0.35">
      <c r="B1786" s="473" t="s">
        <v>4217</v>
      </c>
      <c r="C1786" s="473" t="s">
        <v>4218</v>
      </c>
      <c r="D1786" s="474" t="s">
        <v>1950</v>
      </c>
      <c r="E1786" s="475">
        <v>23</v>
      </c>
    </row>
    <row r="1787" spans="2:5" x14ac:dyDescent="0.35">
      <c r="B1787" s="473" t="s">
        <v>3049</v>
      </c>
      <c r="C1787" s="473" t="s">
        <v>3050</v>
      </c>
      <c r="D1787" s="474" t="s">
        <v>879</v>
      </c>
      <c r="E1787" s="475">
        <v>24</v>
      </c>
    </row>
    <row r="1788" spans="2:5" x14ac:dyDescent="0.35">
      <c r="B1788" s="473" t="s">
        <v>2314</v>
      </c>
      <c r="C1788" s="473" t="s">
        <v>2315</v>
      </c>
      <c r="D1788" s="474" t="s">
        <v>212</v>
      </c>
      <c r="E1788" s="475">
        <v>22</v>
      </c>
    </row>
    <row r="1789" spans="2:5" x14ac:dyDescent="0.35">
      <c r="B1789" s="473" t="s">
        <v>2437</v>
      </c>
      <c r="C1789" s="473" t="s">
        <v>2438</v>
      </c>
      <c r="D1789" s="474" t="s">
        <v>332</v>
      </c>
      <c r="E1789" s="475">
        <v>34</v>
      </c>
    </row>
    <row r="1790" spans="2:5" x14ac:dyDescent="0.35">
      <c r="B1790" s="473" t="s">
        <v>3234</v>
      </c>
      <c r="C1790" s="473" t="s">
        <v>3235</v>
      </c>
      <c r="D1790" s="474" t="s">
        <v>879</v>
      </c>
      <c r="E1790" s="475">
        <v>34</v>
      </c>
    </row>
    <row r="1791" spans="2:5" x14ac:dyDescent="0.35">
      <c r="B1791" s="473" t="s">
        <v>2439</v>
      </c>
      <c r="C1791" s="473" t="s">
        <v>2440</v>
      </c>
      <c r="D1791" s="474" t="s">
        <v>332</v>
      </c>
      <c r="E1791" s="475">
        <v>23</v>
      </c>
    </row>
    <row r="1792" spans="2:5" x14ac:dyDescent="0.35">
      <c r="B1792" s="473" t="s">
        <v>3236</v>
      </c>
      <c r="C1792" s="473" t="s">
        <v>3237</v>
      </c>
      <c r="D1792" s="474" t="s">
        <v>879</v>
      </c>
      <c r="E1792" s="475">
        <v>22</v>
      </c>
    </row>
    <row r="1793" spans="2:5" x14ac:dyDescent="0.35">
      <c r="B1793" s="473" t="s">
        <v>2886</v>
      </c>
      <c r="C1793" s="473" t="s">
        <v>2887</v>
      </c>
      <c r="D1793" s="474" t="s">
        <v>332</v>
      </c>
      <c r="E1793" s="475">
        <v>34</v>
      </c>
    </row>
    <row r="1794" spans="2:5" x14ac:dyDescent="0.35">
      <c r="B1794" s="473" t="s">
        <v>3156</v>
      </c>
      <c r="C1794" s="473" t="s">
        <v>3157</v>
      </c>
      <c r="D1794" s="474" t="s">
        <v>879</v>
      </c>
      <c r="E1794" s="475">
        <v>24</v>
      </c>
    </row>
    <row r="1795" spans="2:5" x14ac:dyDescent="0.35">
      <c r="B1795" s="473" t="s">
        <v>3271</v>
      </c>
      <c r="C1795" s="473" t="s">
        <v>3272</v>
      </c>
      <c r="D1795" s="474" t="s">
        <v>879</v>
      </c>
      <c r="E1795" s="475">
        <v>24</v>
      </c>
    </row>
    <row r="1796" spans="2:5" x14ac:dyDescent="0.35">
      <c r="B1796" s="473" t="s">
        <v>3449</v>
      </c>
      <c r="C1796" s="473" t="s">
        <v>3450</v>
      </c>
      <c r="D1796" s="474" t="s">
        <v>879</v>
      </c>
      <c r="E1796" s="475">
        <v>23</v>
      </c>
    </row>
    <row r="1797" spans="2:5" x14ac:dyDescent="0.35">
      <c r="B1797" s="473" t="s">
        <v>2397</v>
      </c>
      <c r="C1797" s="473" t="s">
        <v>2398</v>
      </c>
      <c r="D1797" s="474" t="s">
        <v>212</v>
      </c>
      <c r="E1797" s="475">
        <v>24</v>
      </c>
    </row>
    <row r="1798" spans="2:5" x14ac:dyDescent="0.35">
      <c r="B1798" s="473" t="s">
        <v>4219</v>
      </c>
      <c r="C1798" s="473" t="s">
        <v>4220</v>
      </c>
      <c r="D1798" s="474" t="s">
        <v>1950</v>
      </c>
      <c r="E1798" s="475">
        <v>24</v>
      </c>
    </row>
    <row r="1799" spans="2:5" x14ac:dyDescent="0.35">
      <c r="B1799" s="473" t="s">
        <v>3408</v>
      </c>
      <c r="C1799" s="473" t="s">
        <v>3409</v>
      </c>
      <c r="D1799" s="474" t="s">
        <v>879</v>
      </c>
      <c r="E1799" s="475">
        <v>22</v>
      </c>
    </row>
    <row r="1800" spans="2:5" x14ac:dyDescent="0.35">
      <c r="B1800" s="473" t="s">
        <v>2367</v>
      </c>
      <c r="C1800" s="473" t="s">
        <v>2368</v>
      </c>
      <c r="D1800" s="474" t="s">
        <v>212</v>
      </c>
      <c r="E1800" s="475">
        <v>23</v>
      </c>
    </row>
    <row r="1801" spans="2:5" x14ac:dyDescent="0.35">
      <c r="B1801" s="473" t="s">
        <v>4107</v>
      </c>
      <c r="C1801" s="473" t="s">
        <v>4108</v>
      </c>
      <c r="D1801" s="474" t="s">
        <v>1679</v>
      </c>
      <c r="E1801" s="475">
        <v>34</v>
      </c>
    </row>
    <row r="1802" spans="2:5" x14ac:dyDescent="0.35">
      <c r="B1802" s="473" t="s">
        <v>4015</v>
      </c>
      <c r="C1802" s="473" t="s">
        <v>4016</v>
      </c>
      <c r="D1802" s="474" t="s">
        <v>1679</v>
      </c>
      <c r="E1802" s="475">
        <v>34</v>
      </c>
    </row>
    <row r="1803" spans="2:5" x14ac:dyDescent="0.35">
      <c r="B1803" s="473" t="s">
        <v>3051</v>
      </c>
      <c r="C1803" s="473" t="s">
        <v>3052</v>
      </c>
      <c r="D1803" s="474" t="s">
        <v>879</v>
      </c>
      <c r="E1803" s="475">
        <v>24</v>
      </c>
    </row>
    <row r="1804" spans="2:5" x14ac:dyDescent="0.35">
      <c r="B1804" s="473" t="s">
        <v>3312</v>
      </c>
      <c r="C1804" s="473" t="s">
        <v>3313</v>
      </c>
      <c r="D1804" s="474" t="s">
        <v>879</v>
      </c>
      <c r="E1804" s="475">
        <v>33</v>
      </c>
    </row>
    <row r="1805" spans="2:5" x14ac:dyDescent="0.35">
      <c r="B1805" s="473" t="s">
        <v>4109</v>
      </c>
      <c r="C1805" s="473" t="s">
        <v>4110</v>
      </c>
      <c r="D1805" s="474" t="s">
        <v>1679</v>
      </c>
      <c r="E1805" s="475">
        <v>24</v>
      </c>
    </row>
    <row r="1806" spans="2:5" x14ac:dyDescent="0.35">
      <c r="B1806" s="473" t="s">
        <v>4017</v>
      </c>
      <c r="C1806" s="473" t="s">
        <v>4018</v>
      </c>
      <c r="D1806" s="474" t="s">
        <v>1679</v>
      </c>
      <c r="E1806" s="475">
        <v>22</v>
      </c>
    </row>
    <row r="1807" spans="2:5" x14ac:dyDescent="0.35">
      <c r="B1807" s="473" t="s">
        <v>2384</v>
      </c>
      <c r="C1807" s="473" t="s">
        <v>2385</v>
      </c>
      <c r="D1807" s="474" t="s">
        <v>212</v>
      </c>
      <c r="E1807" s="475">
        <v>23</v>
      </c>
    </row>
    <row r="1808" spans="2:5" x14ac:dyDescent="0.35">
      <c r="B1808" s="473" t="s">
        <v>3786</v>
      </c>
      <c r="C1808" s="473" t="s">
        <v>3787</v>
      </c>
      <c r="D1808" s="474" t="s">
        <v>1400</v>
      </c>
      <c r="E1808" s="475">
        <v>33</v>
      </c>
    </row>
    <row r="1809" spans="2:5" x14ac:dyDescent="0.35">
      <c r="B1809" s="473" t="s">
        <v>3124</v>
      </c>
      <c r="C1809" s="473" t="s">
        <v>3125</v>
      </c>
      <c r="D1809" s="474" t="s">
        <v>879</v>
      </c>
      <c r="E1809" s="475">
        <v>24</v>
      </c>
    </row>
    <row r="1810" spans="2:5" x14ac:dyDescent="0.35">
      <c r="B1810" s="473" t="s">
        <v>2715</v>
      </c>
      <c r="C1810" s="473" t="s">
        <v>2716</v>
      </c>
      <c r="D1810" s="474" t="s">
        <v>332</v>
      </c>
      <c r="E1810" s="475">
        <v>24</v>
      </c>
    </row>
    <row r="1811" spans="2:5" x14ac:dyDescent="0.35">
      <c r="B1811" s="473" t="s">
        <v>2660</v>
      </c>
      <c r="C1811" s="473" t="s">
        <v>2661</v>
      </c>
      <c r="D1811" s="474" t="s">
        <v>332</v>
      </c>
      <c r="E1811" s="475">
        <v>34</v>
      </c>
    </row>
    <row r="1812" spans="2:5" x14ac:dyDescent="0.35">
      <c r="B1812" s="473" t="s">
        <v>3096</v>
      </c>
      <c r="C1812" s="473" t="s">
        <v>3097</v>
      </c>
      <c r="D1812" s="474" t="s">
        <v>879</v>
      </c>
      <c r="E1812" s="475">
        <v>34</v>
      </c>
    </row>
    <row r="1813" spans="2:5" x14ac:dyDescent="0.35">
      <c r="B1813" s="473" t="s">
        <v>3926</v>
      </c>
      <c r="C1813" s="473" t="s">
        <v>3927</v>
      </c>
      <c r="D1813" s="474" t="s">
        <v>1679</v>
      </c>
      <c r="E1813" s="475">
        <v>34</v>
      </c>
    </row>
    <row r="1814" spans="2:5" x14ac:dyDescent="0.35">
      <c r="B1814" s="473" t="s">
        <v>3451</v>
      </c>
      <c r="C1814" s="473" t="s">
        <v>3452</v>
      </c>
      <c r="D1814" s="474" t="s">
        <v>879</v>
      </c>
      <c r="E1814" s="475">
        <v>23</v>
      </c>
    </row>
    <row r="1815" spans="2:5" x14ac:dyDescent="0.35">
      <c r="B1815" s="473" t="s">
        <v>2292</v>
      </c>
      <c r="C1815" s="473" t="s">
        <v>2293</v>
      </c>
      <c r="D1815" s="474" t="s">
        <v>212</v>
      </c>
      <c r="E1815" s="475">
        <v>24</v>
      </c>
    </row>
    <row r="1816" spans="2:5" x14ac:dyDescent="0.35">
      <c r="B1816" s="473" t="s">
        <v>3789</v>
      </c>
      <c r="C1816" s="473" t="s">
        <v>3790</v>
      </c>
      <c r="D1816" s="474" t="s">
        <v>1400</v>
      </c>
      <c r="E1816" s="475">
        <v>23</v>
      </c>
    </row>
    <row r="1817" spans="2:5" x14ac:dyDescent="0.35">
      <c r="B1817" s="473" t="s">
        <v>2863</v>
      </c>
      <c r="C1817" s="473" t="s">
        <v>2864</v>
      </c>
      <c r="D1817" s="474" t="s">
        <v>332</v>
      </c>
      <c r="E1817" s="475">
        <v>24</v>
      </c>
    </row>
    <row r="1818" spans="2:5" x14ac:dyDescent="0.35">
      <c r="B1818" s="473" t="s">
        <v>3212</v>
      </c>
      <c r="C1818" s="473" t="s">
        <v>3213</v>
      </c>
      <c r="D1818" s="474" t="s">
        <v>879</v>
      </c>
      <c r="E1818" s="475">
        <v>23</v>
      </c>
    </row>
    <row r="1819" spans="2:5" x14ac:dyDescent="0.35">
      <c r="B1819" s="473" t="s">
        <v>3273</v>
      </c>
      <c r="C1819" s="473" t="s">
        <v>3274</v>
      </c>
      <c r="D1819" s="474" t="s">
        <v>879</v>
      </c>
      <c r="E1819" s="475">
        <v>24</v>
      </c>
    </row>
    <row r="1820" spans="2:5" x14ac:dyDescent="0.35">
      <c r="B1820" s="473" t="s">
        <v>3076</v>
      </c>
      <c r="C1820" s="473" t="s">
        <v>3077</v>
      </c>
      <c r="D1820" s="474" t="s">
        <v>879</v>
      </c>
      <c r="E1820" s="475">
        <v>23</v>
      </c>
    </row>
    <row r="1821" spans="2:5" x14ac:dyDescent="0.35">
      <c r="B1821" s="473" t="s">
        <v>3352</v>
      </c>
      <c r="C1821" s="473" t="s">
        <v>3353</v>
      </c>
      <c r="D1821" s="474" t="s">
        <v>879</v>
      </c>
      <c r="E1821" s="475">
        <v>23</v>
      </c>
    </row>
    <row r="1822" spans="2:5" x14ac:dyDescent="0.35">
      <c r="B1822" s="473" t="s">
        <v>2568</v>
      </c>
      <c r="C1822" s="473" t="s">
        <v>2569</v>
      </c>
      <c r="D1822" s="474" t="s">
        <v>332</v>
      </c>
      <c r="E1822" s="475">
        <v>34</v>
      </c>
    </row>
    <row r="1823" spans="2:5" x14ac:dyDescent="0.35">
      <c r="B1823" s="473" t="s">
        <v>3275</v>
      </c>
      <c r="C1823" s="473" t="s">
        <v>3276</v>
      </c>
      <c r="D1823" s="474" t="s">
        <v>879</v>
      </c>
      <c r="E1823" s="475">
        <v>23</v>
      </c>
    </row>
    <row r="1824" spans="2:5" x14ac:dyDescent="0.35">
      <c r="B1824" s="473" t="s">
        <v>3314</v>
      </c>
      <c r="C1824" s="473" t="s">
        <v>3315</v>
      </c>
      <c r="D1824" s="474" t="s">
        <v>879</v>
      </c>
      <c r="E1824" s="475">
        <v>22</v>
      </c>
    </row>
    <row r="1825" spans="2:5" x14ac:dyDescent="0.35">
      <c r="B1825" s="473" t="s">
        <v>2717</v>
      </c>
      <c r="C1825" s="473" t="s">
        <v>2718</v>
      </c>
      <c r="D1825" s="474" t="s">
        <v>332</v>
      </c>
      <c r="E1825" s="475">
        <v>22</v>
      </c>
    </row>
    <row r="1826" spans="2:5" x14ac:dyDescent="0.35">
      <c r="B1826" s="473" t="s">
        <v>3238</v>
      </c>
      <c r="C1826" s="473" t="s">
        <v>3239</v>
      </c>
      <c r="D1826" s="474" t="s">
        <v>879</v>
      </c>
      <c r="E1826" s="475">
        <v>23</v>
      </c>
    </row>
    <row r="1827" spans="2:5" x14ac:dyDescent="0.35">
      <c r="B1827" s="473" t="s">
        <v>2719</v>
      </c>
      <c r="C1827" s="473" t="s">
        <v>2720</v>
      </c>
      <c r="D1827" s="474" t="s">
        <v>332</v>
      </c>
      <c r="E1827" s="475">
        <v>34</v>
      </c>
    </row>
    <row r="1828" spans="2:5" x14ac:dyDescent="0.35">
      <c r="B1828" s="473" t="s">
        <v>3098</v>
      </c>
      <c r="C1828" s="473" t="s">
        <v>3099</v>
      </c>
      <c r="D1828" s="474" t="s">
        <v>879</v>
      </c>
      <c r="E1828" s="475">
        <v>34</v>
      </c>
    </row>
    <row r="1829" spans="2:5" x14ac:dyDescent="0.35">
      <c r="B1829" s="473" t="s">
        <v>3316</v>
      </c>
      <c r="C1829" s="473" t="s">
        <v>3317</v>
      </c>
      <c r="D1829" s="474" t="s">
        <v>879</v>
      </c>
      <c r="E1829" s="475">
        <v>34</v>
      </c>
    </row>
    <row r="1830" spans="2:5" x14ac:dyDescent="0.35">
      <c r="B1830" s="473" t="s">
        <v>3183</v>
      </c>
      <c r="C1830" s="473" t="s">
        <v>3184</v>
      </c>
      <c r="D1830" s="474" t="s">
        <v>879</v>
      </c>
      <c r="E1830" s="475">
        <v>32</v>
      </c>
    </row>
    <row r="1831" spans="2:5" x14ac:dyDescent="0.35">
      <c r="B1831" s="473" t="s">
        <v>3053</v>
      </c>
      <c r="C1831" s="473" t="s">
        <v>3054</v>
      </c>
      <c r="D1831" s="474" t="s">
        <v>879</v>
      </c>
      <c r="E1831" s="475">
        <v>22</v>
      </c>
    </row>
    <row r="1832" spans="2:5" x14ac:dyDescent="0.35">
      <c r="B1832" s="473" t="s">
        <v>2441</v>
      </c>
      <c r="C1832" s="473" t="s">
        <v>2442</v>
      </c>
      <c r="D1832" s="474" t="s">
        <v>332</v>
      </c>
      <c r="E1832" s="475">
        <v>22</v>
      </c>
    </row>
    <row r="1833" spans="2:5" x14ac:dyDescent="0.35">
      <c r="B1833" s="473" t="s">
        <v>2399</v>
      </c>
      <c r="C1833" s="473" t="s">
        <v>2400</v>
      </c>
      <c r="D1833" s="474" t="s">
        <v>212</v>
      </c>
      <c r="E1833" s="475">
        <v>22</v>
      </c>
    </row>
    <row r="1834" spans="2:5" x14ac:dyDescent="0.35">
      <c r="B1834" s="473" t="s">
        <v>3055</v>
      </c>
      <c r="C1834" s="473" t="s">
        <v>3056</v>
      </c>
      <c r="D1834" s="474" t="s">
        <v>879</v>
      </c>
      <c r="E1834" s="475">
        <v>24</v>
      </c>
    </row>
    <row r="1835" spans="2:5" x14ac:dyDescent="0.35">
      <c r="B1835" s="473" t="s">
        <v>3744</v>
      </c>
      <c r="C1835" s="473" t="s">
        <v>3745</v>
      </c>
      <c r="D1835" s="474" t="s">
        <v>1400</v>
      </c>
      <c r="E1835" s="475">
        <v>34</v>
      </c>
    </row>
    <row r="1836" spans="2:5" x14ac:dyDescent="0.35">
      <c r="B1836" s="473" t="s">
        <v>3318</v>
      </c>
      <c r="C1836" s="473" t="s">
        <v>3319</v>
      </c>
      <c r="D1836" s="474" t="s">
        <v>879</v>
      </c>
      <c r="E1836" s="475">
        <v>33</v>
      </c>
    </row>
    <row r="1837" spans="2:5" x14ac:dyDescent="0.35">
      <c r="B1837" s="473" t="s">
        <v>2443</v>
      </c>
      <c r="C1837" s="473" t="s">
        <v>2444</v>
      </c>
      <c r="D1837" s="474" t="s">
        <v>332</v>
      </c>
      <c r="E1837" s="475">
        <v>22</v>
      </c>
    </row>
    <row r="1838" spans="2:5" x14ac:dyDescent="0.35">
      <c r="B1838" s="473" t="s">
        <v>2414</v>
      </c>
      <c r="C1838" s="473" t="s">
        <v>2415</v>
      </c>
      <c r="D1838" s="474" t="s">
        <v>332</v>
      </c>
      <c r="E1838" s="475">
        <v>11</v>
      </c>
    </row>
    <row r="1839" spans="2:5" x14ac:dyDescent="0.35">
      <c r="B1839" s="473" t="s">
        <v>3057</v>
      </c>
      <c r="C1839" s="473" t="s">
        <v>3058</v>
      </c>
      <c r="D1839" s="474" t="s">
        <v>879</v>
      </c>
      <c r="E1839" s="475">
        <v>34</v>
      </c>
    </row>
    <row r="1840" spans="2:5" x14ac:dyDescent="0.35">
      <c r="B1840" s="473" t="s">
        <v>3354</v>
      </c>
      <c r="C1840" s="473" t="s">
        <v>3355</v>
      </c>
      <c r="D1840" s="474" t="s">
        <v>879</v>
      </c>
      <c r="E1840" s="475">
        <v>34</v>
      </c>
    </row>
    <row r="1841" spans="2:5" x14ac:dyDescent="0.35">
      <c r="B1841" s="473" t="s">
        <v>3978</v>
      </c>
      <c r="C1841" s="473" t="s">
        <v>3979</v>
      </c>
      <c r="D1841" s="474" t="s">
        <v>1679</v>
      </c>
      <c r="E1841" s="475">
        <v>24</v>
      </c>
    </row>
    <row r="1842" spans="2:5" x14ac:dyDescent="0.35">
      <c r="B1842" s="473" t="s">
        <v>3320</v>
      </c>
      <c r="C1842" s="473" t="s">
        <v>3321</v>
      </c>
      <c r="D1842" s="474" t="s">
        <v>879</v>
      </c>
      <c r="E1842" s="475">
        <v>34</v>
      </c>
    </row>
    <row r="1843" spans="2:5" x14ac:dyDescent="0.35">
      <c r="B1843" s="473" t="s">
        <v>2274</v>
      </c>
      <c r="C1843" s="473" t="s">
        <v>2275</v>
      </c>
      <c r="D1843" s="474" t="s">
        <v>212</v>
      </c>
      <c r="E1843" s="475">
        <v>23</v>
      </c>
    </row>
    <row r="1844" spans="2:5" x14ac:dyDescent="0.35">
      <c r="B1844" s="473" t="s">
        <v>3158</v>
      </c>
      <c r="C1844" s="473" t="s">
        <v>3159</v>
      </c>
      <c r="D1844" s="474" t="s">
        <v>879</v>
      </c>
      <c r="E1844" s="475">
        <v>24</v>
      </c>
    </row>
    <row r="1845" spans="2:5" x14ac:dyDescent="0.35">
      <c r="B1845" s="473" t="s">
        <v>3240</v>
      </c>
      <c r="C1845" s="473" t="s">
        <v>3241</v>
      </c>
      <c r="D1845" s="474" t="s">
        <v>879</v>
      </c>
      <c r="E1845" s="475">
        <v>33</v>
      </c>
    </row>
    <row r="1846" spans="2:5" x14ac:dyDescent="0.35">
      <c r="B1846" s="473" t="s">
        <v>4019</v>
      </c>
      <c r="C1846" s="473" t="s">
        <v>4020</v>
      </c>
      <c r="D1846" s="474" t="s">
        <v>1679</v>
      </c>
      <c r="E1846" s="475">
        <v>34</v>
      </c>
    </row>
    <row r="1847" spans="2:5" x14ac:dyDescent="0.35">
      <c r="B1847" s="473" t="s">
        <v>3380</v>
      </c>
      <c r="C1847" s="473" t="s">
        <v>3381</v>
      </c>
      <c r="D1847" s="474" t="s">
        <v>879</v>
      </c>
      <c r="E1847" s="475">
        <v>22</v>
      </c>
    </row>
    <row r="1848" spans="2:5" x14ac:dyDescent="0.35">
      <c r="B1848" s="473" t="s">
        <v>3322</v>
      </c>
      <c r="C1848" s="473" t="s">
        <v>3323</v>
      </c>
      <c r="D1848" s="474" t="s">
        <v>879</v>
      </c>
      <c r="E1848" s="475">
        <v>23</v>
      </c>
    </row>
    <row r="1849" spans="2:5" x14ac:dyDescent="0.35">
      <c r="B1849" s="473" t="s">
        <v>2409</v>
      </c>
      <c r="C1849" s="473" t="s">
        <v>2410</v>
      </c>
      <c r="D1849" s="474" t="s">
        <v>212</v>
      </c>
      <c r="E1849" s="475">
        <v>23</v>
      </c>
    </row>
    <row r="1850" spans="2:5" x14ac:dyDescent="0.35">
      <c r="B1850" s="473" t="s">
        <v>2445</v>
      </c>
      <c r="C1850" s="473" t="s">
        <v>2446</v>
      </c>
      <c r="D1850" s="474" t="s">
        <v>332</v>
      </c>
      <c r="E1850" s="475">
        <v>22</v>
      </c>
    </row>
    <row r="1851" spans="2:5" x14ac:dyDescent="0.35">
      <c r="B1851" s="473" t="s">
        <v>2316</v>
      </c>
      <c r="C1851" s="473" t="s">
        <v>2317</v>
      </c>
      <c r="D1851" s="474" t="s">
        <v>212</v>
      </c>
      <c r="E1851" s="475">
        <v>11</v>
      </c>
    </row>
    <row r="1852" spans="2:5" x14ac:dyDescent="0.35">
      <c r="B1852" s="473" t="s">
        <v>2682</v>
      </c>
      <c r="C1852" s="473" t="s">
        <v>2683</v>
      </c>
      <c r="D1852" s="474" t="s">
        <v>332</v>
      </c>
      <c r="E1852" s="475">
        <v>23</v>
      </c>
    </row>
    <row r="1853" spans="2:5" x14ac:dyDescent="0.35">
      <c r="B1853" s="473" t="s">
        <v>3059</v>
      </c>
      <c r="C1853" s="473" t="s">
        <v>3060</v>
      </c>
      <c r="D1853" s="474" t="s">
        <v>879</v>
      </c>
      <c r="E1853" s="475">
        <v>24</v>
      </c>
    </row>
    <row r="1854" spans="2:5" x14ac:dyDescent="0.35">
      <c r="B1854" s="473" t="s">
        <v>3324</v>
      </c>
      <c r="C1854" s="473" t="s">
        <v>3325</v>
      </c>
      <c r="D1854" s="474" t="s">
        <v>879</v>
      </c>
      <c r="E1854" s="475">
        <v>33</v>
      </c>
    </row>
    <row r="1855" spans="2:5" x14ac:dyDescent="0.35">
      <c r="B1855" s="473" t="s">
        <v>4111</v>
      </c>
      <c r="C1855" s="473" t="s">
        <v>4112</v>
      </c>
      <c r="D1855" s="474" t="s">
        <v>1679</v>
      </c>
      <c r="E1855" s="475">
        <v>34</v>
      </c>
    </row>
    <row r="1856" spans="2:5" x14ac:dyDescent="0.35">
      <c r="B1856" s="473" t="s">
        <v>3356</v>
      </c>
      <c r="C1856" s="473" t="s">
        <v>3357</v>
      </c>
      <c r="D1856" s="474" t="s">
        <v>879</v>
      </c>
      <c r="E1856" s="475">
        <v>34</v>
      </c>
    </row>
    <row r="1857" spans="2:5" x14ac:dyDescent="0.35">
      <c r="B1857" s="473" t="s">
        <v>3126</v>
      </c>
      <c r="C1857" s="473" t="s">
        <v>3127</v>
      </c>
      <c r="D1857" s="474" t="s">
        <v>879</v>
      </c>
      <c r="E1857" s="475">
        <v>33</v>
      </c>
    </row>
    <row r="1858" spans="2:5" x14ac:dyDescent="0.35">
      <c r="B1858" s="473" t="s">
        <v>2757</v>
      </c>
      <c r="C1858" s="473" t="s">
        <v>637</v>
      </c>
      <c r="D1858" s="474" t="s">
        <v>332</v>
      </c>
      <c r="E1858" s="475">
        <v>33</v>
      </c>
    </row>
    <row r="1859" spans="2:5" x14ac:dyDescent="0.35">
      <c r="B1859" s="473" t="s">
        <v>3489</v>
      </c>
      <c r="C1859" s="473" t="s">
        <v>1277</v>
      </c>
      <c r="D1859" s="474" t="s">
        <v>879</v>
      </c>
      <c r="E1859" s="475">
        <v>22</v>
      </c>
    </row>
    <row r="1860" spans="2:5" x14ac:dyDescent="0.35">
      <c r="B1860" s="473" t="s">
        <v>3755</v>
      </c>
      <c r="C1860" s="473" t="s">
        <v>1535</v>
      </c>
      <c r="D1860" s="474" t="s">
        <v>1400</v>
      </c>
      <c r="E1860" s="475">
        <v>33</v>
      </c>
    </row>
    <row r="1861" spans="2:5" x14ac:dyDescent="0.35">
      <c r="B1861" s="473" t="s">
        <v>2258</v>
      </c>
      <c r="C1861" s="473" t="s">
        <v>202</v>
      </c>
      <c r="D1861" s="473" t="s">
        <v>40</v>
      </c>
      <c r="E1861" s="475">
        <v>34</v>
      </c>
    </row>
    <row r="1862" spans="2:5" x14ac:dyDescent="0.35">
      <c r="B1862" s="473" t="s">
        <v>3741</v>
      </c>
      <c r="C1862" s="473" t="s">
        <v>1523</v>
      </c>
      <c r="D1862" s="474" t="s">
        <v>1400</v>
      </c>
      <c r="E1862" s="475">
        <v>32</v>
      </c>
    </row>
    <row r="1863" spans="2:5" x14ac:dyDescent="0.35">
      <c r="B1863" s="473" t="s">
        <v>3627</v>
      </c>
      <c r="C1863" s="473" t="s">
        <v>1415</v>
      </c>
      <c r="D1863" s="474" t="s">
        <v>1400</v>
      </c>
      <c r="E1863" s="475">
        <v>23</v>
      </c>
    </row>
    <row r="1864" spans="2:5" x14ac:dyDescent="0.35">
      <c r="B1864" s="473" t="s">
        <v>2346</v>
      </c>
      <c r="C1864" s="473" t="s">
        <v>281</v>
      </c>
      <c r="D1864" s="474" t="s">
        <v>212</v>
      </c>
      <c r="E1864" s="475">
        <v>34</v>
      </c>
    </row>
    <row r="1865" spans="2:5" x14ac:dyDescent="0.35">
      <c r="B1865" s="473" t="s">
        <v>4224</v>
      </c>
      <c r="C1865" s="473" t="s">
        <v>1972</v>
      </c>
      <c r="D1865" s="474" t="s">
        <v>1950</v>
      </c>
      <c r="E1865" s="475">
        <v>22</v>
      </c>
    </row>
    <row r="1866" spans="2:5" x14ac:dyDescent="0.35">
      <c r="B1866" s="473" t="s">
        <v>3762</v>
      </c>
      <c r="C1866" s="473" t="s">
        <v>1542</v>
      </c>
      <c r="D1866" s="474" t="s">
        <v>1400</v>
      </c>
      <c r="E1866" s="475">
        <v>24</v>
      </c>
    </row>
    <row r="1867" spans="2:5" x14ac:dyDescent="0.35">
      <c r="B1867" s="473" t="s">
        <v>3931</v>
      </c>
      <c r="C1867" s="473" t="s">
        <v>1700</v>
      </c>
      <c r="D1867" s="474" t="s">
        <v>1679</v>
      </c>
      <c r="E1867" s="475">
        <v>22</v>
      </c>
    </row>
    <row r="1868" spans="2:5" x14ac:dyDescent="0.35">
      <c r="B1868" s="473" t="s">
        <v>4183</v>
      </c>
      <c r="C1868" s="473" t="s">
        <v>1936</v>
      </c>
      <c r="D1868" s="474" t="s">
        <v>1679</v>
      </c>
      <c r="E1868" s="475">
        <v>12</v>
      </c>
    </row>
    <row r="1869" spans="2:5" x14ac:dyDescent="0.35">
      <c r="B1869" s="473" t="s">
        <v>4080</v>
      </c>
      <c r="C1869" s="473" t="s">
        <v>1839</v>
      </c>
      <c r="D1869" s="474" t="s">
        <v>1679</v>
      </c>
      <c r="E1869" s="475">
        <v>22</v>
      </c>
    </row>
    <row r="1870" spans="2:5" x14ac:dyDescent="0.35">
      <c r="B1870" s="473" t="s">
        <v>3832</v>
      </c>
      <c r="C1870" s="473" t="s">
        <v>1606</v>
      </c>
      <c r="D1870" s="474" t="s">
        <v>1400</v>
      </c>
      <c r="E1870" s="475">
        <v>24</v>
      </c>
    </row>
    <row r="1871" spans="2:5" x14ac:dyDescent="0.35">
      <c r="B1871" s="473" t="s">
        <v>4150</v>
      </c>
      <c r="C1871" s="473" t="s">
        <v>1903</v>
      </c>
      <c r="D1871" s="474" t="s">
        <v>1679</v>
      </c>
      <c r="E1871" s="475">
        <v>24</v>
      </c>
    </row>
    <row r="1872" spans="2:5" x14ac:dyDescent="0.35">
      <c r="B1872" s="473" t="s">
        <v>3645</v>
      </c>
      <c r="C1872" s="473" t="s">
        <v>1433</v>
      </c>
      <c r="D1872" s="474" t="s">
        <v>1400</v>
      </c>
      <c r="E1872" s="475">
        <v>12</v>
      </c>
    </row>
    <row r="1873" spans="2:5" x14ac:dyDescent="0.35">
      <c r="B1873" s="473" t="s">
        <v>2866</v>
      </c>
      <c r="C1873" s="473" t="s">
        <v>757</v>
      </c>
      <c r="D1873" s="474" t="s">
        <v>332</v>
      </c>
      <c r="E1873" s="475">
        <v>22</v>
      </c>
    </row>
    <row r="1874" spans="2:5" x14ac:dyDescent="0.35">
      <c r="B1874" s="473" t="s">
        <v>4151</v>
      </c>
      <c r="C1874" s="473" t="s">
        <v>1904</v>
      </c>
      <c r="D1874" s="474" t="s">
        <v>1679</v>
      </c>
      <c r="E1874" s="475">
        <v>34</v>
      </c>
    </row>
    <row r="1875" spans="2:5" x14ac:dyDescent="0.35">
      <c r="B1875" s="473" t="s">
        <v>3161</v>
      </c>
      <c r="C1875" s="473" t="s">
        <v>1001</v>
      </c>
      <c r="D1875" s="474" t="s">
        <v>879</v>
      </c>
      <c r="E1875" s="475">
        <v>33</v>
      </c>
    </row>
    <row r="1876" spans="2:5" x14ac:dyDescent="0.35">
      <c r="B1876" s="473" t="s">
        <v>2135</v>
      </c>
      <c r="C1876" s="473" t="s">
        <v>79</v>
      </c>
      <c r="D1876" s="473" t="s">
        <v>40</v>
      </c>
      <c r="E1876" s="475">
        <v>33</v>
      </c>
    </row>
    <row r="1877" spans="2:5" x14ac:dyDescent="0.35">
      <c r="B1877" s="473" t="s">
        <v>3987</v>
      </c>
      <c r="C1877" s="473" t="s">
        <v>1754</v>
      </c>
      <c r="D1877" s="474" t="s">
        <v>1679</v>
      </c>
      <c r="E1877" s="475">
        <v>22</v>
      </c>
    </row>
    <row r="1878" spans="2:5" x14ac:dyDescent="0.35">
      <c r="B1878" s="473" t="s">
        <v>2889</v>
      </c>
      <c r="C1878" s="473" t="s">
        <v>780</v>
      </c>
      <c r="D1878" s="474" t="s">
        <v>332</v>
      </c>
      <c r="E1878" s="475">
        <v>24</v>
      </c>
    </row>
    <row r="1879" spans="2:5" x14ac:dyDescent="0.35">
      <c r="B1879" s="473" t="s">
        <v>3457</v>
      </c>
      <c r="C1879" s="473" t="s">
        <v>1245</v>
      </c>
      <c r="D1879" s="474" t="s">
        <v>879</v>
      </c>
      <c r="E1879" s="475">
        <v>24</v>
      </c>
    </row>
    <row r="1880" spans="2:5" x14ac:dyDescent="0.35">
      <c r="B1880" s="473" t="s">
        <v>3187</v>
      </c>
      <c r="C1880" s="473" t="s">
        <v>1025</v>
      </c>
      <c r="D1880" s="474" t="s">
        <v>879</v>
      </c>
      <c r="E1880" s="475">
        <v>24</v>
      </c>
    </row>
    <row r="1881" spans="2:5" x14ac:dyDescent="0.35">
      <c r="B1881" s="473" t="s">
        <v>3188</v>
      </c>
      <c r="C1881" s="473" t="s">
        <v>1026</v>
      </c>
      <c r="D1881" s="474" t="s">
        <v>879</v>
      </c>
      <c r="E1881" s="475">
        <v>23</v>
      </c>
    </row>
    <row r="1882" spans="2:5" x14ac:dyDescent="0.35">
      <c r="B1882" s="473" t="s">
        <v>4184</v>
      </c>
      <c r="C1882" s="473" t="s">
        <v>1937</v>
      </c>
      <c r="D1882" s="474" t="s">
        <v>1679</v>
      </c>
      <c r="E1882" s="475">
        <v>34</v>
      </c>
    </row>
    <row r="1883" spans="2:5" x14ac:dyDescent="0.35">
      <c r="B1883" s="473" t="s">
        <v>2228</v>
      </c>
      <c r="C1883" s="473" t="s">
        <v>172</v>
      </c>
      <c r="D1883" s="473" t="s">
        <v>40</v>
      </c>
      <c r="E1883" s="475">
        <v>34</v>
      </c>
    </row>
    <row r="1884" spans="2:5" x14ac:dyDescent="0.35">
      <c r="B1884" s="473" t="s">
        <v>2114</v>
      </c>
      <c r="C1884" s="473" t="s">
        <v>58</v>
      </c>
      <c r="D1884" s="473" t="s">
        <v>40</v>
      </c>
      <c r="E1884" s="475">
        <v>23</v>
      </c>
    </row>
    <row r="1885" spans="2:5" x14ac:dyDescent="0.35">
      <c r="B1885" s="473" t="s">
        <v>2411</v>
      </c>
      <c r="C1885" s="473" t="s">
        <v>330</v>
      </c>
      <c r="D1885" s="474" t="s">
        <v>212</v>
      </c>
      <c r="E1885" s="475">
        <v>23</v>
      </c>
    </row>
    <row r="1886" spans="2:5" x14ac:dyDescent="0.35">
      <c r="B1886" s="473" t="s">
        <v>3490</v>
      </c>
      <c r="C1886" s="473" t="s">
        <v>1278</v>
      </c>
      <c r="D1886" s="474" t="s">
        <v>879</v>
      </c>
      <c r="E1886" s="475">
        <v>23</v>
      </c>
    </row>
    <row r="1887" spans="2:5" x14ac:dyDescent="0.35">
      <c r="B1887" s="473" t="s">
        <v>2347</v>
      </c>
      <c r="C1887" s="473" t="s">
        <v>282</v>
      </c>
      <c r="D1887" s="474" t="s">
        <v>212</v>
      </c>
      <c r="E1887" s="475">
        <v>22</v>
      </c>
    </row>
    <row r="1888" spans="2:5" x14ac:dyDescent="0.35">
      <c r="B1888" s="473" t="s">
        <v>3491</v>
      </c>
      <c r="C1888" s="473" t="s">
        <v>1279</v>
      </c>
      <c r="D1888" s="474" t="s">
        <v>879</v>
      </c>
      <c r="E1888" s="475">
        <v>23</v>
      </c>
    </row>
    <row r="1889" spans="2:5" x14ac:dyDescent="0.35">
      <c r="B1889" s="473" t="s">
        <v>2635</v>
      </c>
      <c r="C1889" s="473" t="s">
        <v>548</v>
      </c>
      <c r="D1889" s="474" t="s">
        <v>332</v>
      </c>
      <c r="E1889" s="475">
        <v>23</v>
      </c>
    </row>
    <row r="1890" spans="2:5" x14ac:dyDescent="0.35">
      <c r="B1890" s="473" t="s">
        <v>2636</v>
      </c>
      <c r="C1890" s="473" t="s">
        <v>549</v>
      </c>
      <c r="D1890" s="474" t="s">
        <v>332</v>
      </c>
      <c r="E1890" s="475">
        <v>24</v>
      </c>
    </row>
    <row r="1891" spans="2:5" x14ac:dyDescent="0.35">
      <c r="B1891" s="473" t="s">
        <v>2412</v>
      </c>
      <c r="C1891" s="473" t="s">
        <v>331</v>
      </c>
      <c r="D1891" s="474" t="s">
        <v>212</v>
      </c>
      <c r="E1891" s="475">
        <v>34</v>
      </c>
    </row>
    <row r="1892" spans="2:5" x14ac:dyDescent="0.35">
      <c r="B1892" s="473" t="s">
        <v>3013</v>
      </c>
      <c r="C1892" s="473" t="s">
        <v>881</v>
      </c>
      <c r="D1892" s="474" t="s">
        <v>879</v>
      </c>
      <c r="E1892" s="475">
        <v>12</v>
      </c>
    </row>
    <row r="1893" spans="2:5" x14ac:dyDescent="0.35">
      <c r="B1893" s="473" t="s">
        <v>3412</v>
      </c>
      <c r="C1893" s="473" t="s">
        <v>1204</v>
      </c>
      <c r="D1893" s="474" t="s">
        <v>879</v>
      </c>
      <c r="E1893" s="475">
        <v>12</v>
      </c>
    </row>
    <row r="1894" spans="2:5" x14ac:dyDescent="0.35">
      <c r="B1894" s="473" t="s">
        <v>2136</v>
      </c>
      <c r="C1894" s="473" t="s">
        <v>80</v>
      </c>
      <c r="D1894" s="473" t="s">
        <v>40</v>
      </c>
      <c r="E1894" s="475">
        <v>34</v>
      </c>
    </row>
    <row r="1895" spans="2:5" x14ac:dyDescent="0.35">
      <c r="B1895" s="473" t="s">
        <v>3646</v>
      </c>
      <c r="C1895" s="473" t="s">
        <v>1434</v>
      </c>
      <c r="D1895" s="474" t="s">
        <v>1400</v>
      </c>
      <c r="E1895" s="475">
        <v>24</v>
      </c>
    </row>
    <row r="1896" spans="2:5" x14ac:dyDescent="0.35">
      <c r="B1896" s="473" t="s">
        <v>2369</v>
      </c>
      <c r="C1896" s="473" t="s">
        <v>302</v>
      </c>
      <c r="D1896" s="474" t="s">
        <v>212</v>
      </c>
      <c r="E1896" s="475">
        <v>24</v>
      </c>
    </row>
    <row r="1897" spans="2:5" x14ac:dyDescent="0.35">
      <c r="B1897" s="473" t="s">
        <v>2637</v>
      </c>
      <c r="C1897" s="473" t="s">
        <v>550</v>
      </c>
      <c r="D1897" s="474" t="s">
        <v>332</v>
      </c>
      <c r="E1897" s="475">
        <v>12</v>
      </c>
    </row>
    <row r="1898" spans="2:5" x14ac:dyDescent="0.35">
      <c r="B1898" s="473" t="s">
        <v>2229</v>
      </c>
      <c r="C1898" s="473" t="s">
        <v>173</v>
      </c>
      <c r="D1898" s="473" t="s">
        <v>40</v>
      </c>
      <c r="E1898" s="475">
        <v>33</v>
      </c>
    </row>
    <row r="1899" spans="2:5" x14ac:dyDescent="0.35">
      <c r="B1899" s="473" t="s">
        <v>2867</v>
      </c>
      <c r="C1899" s="473" t="s">
        <v>758</v>
      </c>
      <c r="D1899" s="474" t="s">
        <v>332</v>
      </c>
      <c r="E1899" s="475">
        <v>24</v>
      </c>
    </row>
    <row r="1900" spans="2:5" x14ac:dyDescent="0.35">
      <c r="B1900" s="473" t="s">
        <v>2119</v>
      </c>
      <c r="C1900" s="473" t="s">
        <v>63</v>
      </c>
      <c r="D1900" s="473" t="s">
        <v>40</v>
      </c>
      <c r="E1900" s="475">
        <v>24</v>
      </c>
    </row>
    <row r="1901" spans="2:5" x14ac:dyDescent="0.35">
      <c r="B1901" s="473" t="s">
        <v>3908</v>
      </c>
      <c r="C1901" s="473" t="s">
        <v>1678</v>
      </c>
      <c r="D1901" s="474" t="s">
        <v>1400</v>
      </c>
      <c r="E1901" s="475">
        <v>34</v>
      </c>
    </row>
    <row r="1902" spans="2:5" x14ac:dyDescent="0.35">
      <c r="B1902" s="473" t="s">
        <v>3792</v>
      </c>
      <c r="C1902" s="473" t="s">
        <v>1568</v>
      </c>
      <c r="D1902" s="474" t="s">
        <v>1400</v>
      </c>
      <c r="E1902" s="475">
        <v>33</v>
      </c>
    </row>
    <row r="1903" spans="2:5" x14ac:dyDescent="0.35">
      <c r="B1903" s="473" t="s">
        <v>2619</v>
      </c>
      <c r="C1903" s="473" t="s">
        <v>532</v>
      </c>
      <c r="D1903" s="474" t="s">
        <v>332</v>
      </c>
      <c r="E1903" s="475">
        <v>34</v>
      </c>
    </row>
    <row r="1904" spans="2:5" x14ac:dyDescent="0.35">
      <c r="B1904" s="473" t="s">
        <v>3458</v>
      </c>
      <c r="C1904" s="473" t="s">
        <v>1246</v>
      </c>
      <c r="D1904" s="474" t="s">
        <v>879</v>
      </c>
      <c r="E1904" s="475">
        <v>23</v>
      </c>
    </row>
    <row r="1905" spans="2:5" x14ac:dyDescent="0.35">
      <c r="B1905" s="473" t="s">
        <v>2664</v>
      </c>
      <c r="C1905" s="473" t="s">
        <v>575</v>
      </c>
      <c r="D1905" s="474" t="s">
        <v>332</v>
      </c>
      <c r="E1905" s="475">
        <v>24</v>
      </c>
    </row>
    <row r="1906" spans="2:5" x14ac:dyDescent="0.35">
      <c r="B1906" s="473" t="s">
        <v>4185</v>
      </c>
      <c r="C1906" s="473" t="s">
        <v>1938</v>
      </c>
      <c r="D1906" s="474" t="s">
        <v>1679</v>
      </c>
      <c r="E1906" s="475">
        <v>22</v>
      </c>
    </row>
    <row r="1907" spans="2:5" x14ac:dyDescent="0.35">
      <c r="B1907" s="473" t="s">
        <v>3693</v>
      </c>
      <c r="C1907" s="473" t="s">
        <v>3694</v>
      </c>
      <c r="D1907" s="474" t="s">
        <v>1400</v>
      </c>
      <c r="E1907" s="475">
        <v>22</v>
      </c>
    </row>
    <row r="1908" spans="2:5" x14ac:dyDescent="0.35">
      <c r="B1908" s="473" t="s">
        <v>2318</v>
      </c>
      <c r="C1908" s="473" t="s">
        <v>253</v>
      </c>
      <c r="D1908" s="474" t="s">
        <v>212</v>
      </c>
      <c r="E1908" s="475">
        <v>24</v>
      </c>
    </row>
    <row r="1909" spans="2:5" x14ac:dyDescent="0.35">
      <c r="B1909" s="473" t="s">
        <v>4115</v>
      </c>
      <c r="C1909" s="473" t="s">
        <v>1868</v>
      </c>
      <c r="D1909" s="474" t="s">
        <v>1679</v>
      </c>
      <c r="E1909" s="475">
        <v>22</v>
      </c>
    </row>
    <row r="1910" spans="2:5" x14ac:dyDescent="0.35">
      <c r="B1910" s="473" t="s">
        <v>2545</v>
      </c>
      <c r="C1910" s="473" t="s">
        <v>464</v>
      </c>
      <c r="D1910" s="474" t="s">
        <v>332</v>
      </c>
      <c r="E1910" s="475">
        <v>22</v>
      </c>
    </row>
    <row r="1911" spans="2:5" x14ac:dyDescent="0.35">
      <c r="B1911" s="473" t="s">
        <v>3540</v>
      </c>
      <c r="C1911" s="473" t="s">
        <v>1328</v>
      </c>
      <c r="D1911" s="474" t="s">
        <v>1282</v>
      </c>
      <c r="E1911" s="475">
        <v>22</v>
      </c>
    </row>
    <row r="1912" spans="2:5" x14ac:dyDescent="0.35">
      <c r="B1912" s="473" t="s">
        <v>2665</v>
      </c>
      <c r="C1912" s="473" t="s">
        <v>576</v>
      </c>
      <c r="D1912" s="474" t="s">
        <v>332</v>
      </c>
      <c r="E1912" s="475">
        <v>24</v>
      </c>
    </row>
    <row r="1913" spans="2:5" x14ac:dyDescent="0.35">
      <c r="B1913" s="473" t="s">
        <v>2137</v>
      </c>
      <c r="C1913" s="473" t="s">
        <v>81</v>
      </c>
      <c r="D1913" s="473" t="s">
        <v>40</v>
      </c>
      <c r="E1913" s="475">
        <v>34</v>
      </c>
    </row>
    <row r="1914" spans="2:5" x14ac:dyDescent="0.35">
      <c r="B1914" s="473" t="s">
        <v>2449</v>
      </c>
      <c r="C1914" s="473" t="s">
        <v>357</v>
      </c>
      <c r="D1914" s="474" t="s">
        <v>332</v>
      </c>
      <c r="E1914" s="475">
        <v>24</v>
      </c>
    </row>
    <row r="1915" spans="2:5" x14ac:dyDescent="0.35">
      <c r="B1915" s="473" t="s">
        <v>4081</v>
      </c>
      <c r="C1915" s="473" t="s">
        <v>1840</v>
      </c>
      <c r="D1915" s="474" t="s">
        <v>1679</v>
      </c>
      <c r="E1915" s="475">
        <v>23</v>
      </c>
    </row>
    <row r="1916" spans="2:5" x14ac:dyDescent="0.35">
      <c r="B1916" s="473" t="s">
        <v>3541</v>
      </c>
      <c r="C1916" s="473" t="s">
        <v>1329</v>
      </c>
      <c r="D1916" s="474" t="s">
        <v>1282</v>
      </c>
      <c r="E1916" s="475">
        <v>33</v>
      </c>
    </row>
    <row r="1917" spans="2:5" x14ac:dyDescent="0.35">
      <c r="B1917" s="473" t="s">
        <v>3079</v>
      </c>
      <c r="C1917" s="473" t="s">
        <v>933</v>
      </c>
      <c r="D1917" s="474" t="s">
        <v>879</v>
      </c>
      <c r="E1917" s="475">
        <v>33</v>
      </c>
    </row>
    <row r="1918" spans="2:5" x14ac:dyDescent="0.35">
      <c r="B1918" s="473" t="s">
        <v>2758</v>
      </c>
      <c r="C1918" s="473" t="s">
        <v>638</v>
      </c>
      <c r="D1918" s="474" t="s">
        <v>332</v>
      </c>
      <c r="E1918" s="475">
        <v>34</v>
      </c>
    </row>
    <row r="1919" spans="2:5" x14ac:dyDescent="0.35">
      <c r="B1919" s="473" t="s">
        <v>3864</v>
      </c>
      <c r="C1919" s="473" t="s">
        <v>1636</v>
      </c>
      <c r="D1919" s="474" t="s">
        <v>1400</v>
      </c>
      <c r="E1919" s="475">
        <v>24</v>
      </c>
    </row>
    <row r="1920" spans="2:5" x14ac:dyDescent="0.35">
      <c r="B1920" s="473" t="s">
        <v>3605</v>
      </c>
      <c r="C1920" s="473" t="s">
        <v>1393</v>
      </c>
      <c r="D1920" s="474" t="s">
        <v>1282</v>
      </c>
      <c r="E1920" s="475">
        <v>32</v>
      </c>
    </row>
    <row r="1921" spans="2:5" x14ac:dyDescent="0.35">
      <c r="B1921" s="473" t="s">
        <v>4186</v>
      </c>
      <c r="C1921" s="473" t="s">
        <v>1939</v>
      </c>
      <c r="D1921" s="474" t="s">
        <v>1679</v>
      </c>
      <c r="E1921" s="475">
        <v>23</v>
      </c>
    </row>
    <row r="1922" spans="2:5" x14ac:dyDescent="0.35">
      <c r="B1922" s="473" t="s">
        <v>4187</v>
      </c>
      <c r="C1922" s="473" t="s">
        <v>1940</v>
      </c>
      <c r="D1922" s="474" t="s">
        <v>1679</v>
      </c>
      <c r="E1922" s="475">
        <v>34</v>
      </c>
    </row>
    <row r="1923" spans="2:5" x14ac:dyDescent="0.35">
      <c r="B1923" s="473" t="s">
        <v>3361</v>
      </c>
      <c r="C1923" s="473" t="s">
        <v>1157</v>
      </c>
      <c r="D1923" s="474" t="s">
        <v>879</v>
      </c>
      <c r="E1923" s="475">
        <v>24</v>
      </c>
    </row>
    <row r="1924" spans="2:5" x14ac:dyDescent="0.35">
      <c r="B1924" s="473" t="s">
        <v>4291</v>
      </c>
      <c r="C1924" s="473" t="s">
        <v>2037</v>
      </c>
      <c r="D1924" s="474" t="s">
        <v>1950</v>
      </c>
      <c r="E1924" s="475">
        <v>12</v>
      </c>
    </row>
    <row r="1925" spans="2:5" x14ac:dyDescent="0.35">
      <c r="B1925" s="473" t="s">
        <v>2546</v>
      </c>
      <c r="C1925" s="473" t="s">
        <v>465</v>
      </c>
      <c r="D1925" s="474" t="s">
        <v>332</v>
      </c>
      <c r="E1925" s="475">
        <v>34</v>
      </c>
    </row>
    <row r="1926" spans="2:5" x14ac:dyDescent="0.35">
      <c r="B1926" s="473" t="s">
        <v>4266</v>
      </c>
      <c r="C1926" s="473" t="s">
        <v>2013</v>
      </c>
      <c r="D1926" s="474" t="s">
        <v>1950</v>
      </c>
      <c r="E1926" s="475">
        <v>23</v>
      </c>
    </row>
    <row r="1927" spans="2:5" x14ac:dyDescent="0.35">
      <c r="B1927" s="473" t="s">
        <v>2200</v>
      </c>
      <c r="C1927" s="473" t="s">
        <v>144</v>
      </c>
      <c r="D1927" s="473" t="s">
        <v>40</v>
      </c>
      <c r="E1927" s="475">
        <v>34</v>
      </c>
    </row>
    <row r="1928" spans="2:5" x14ac:dyDescent="0.35">
      <c r="B1928" s="473" t="s">
        <v>3279</v>
      </c>
      <c r="C1928" s="473" t="s">
        <v>1099</v>
      </c>
      <c r="D1928" s="474" t="s">
        <v>879</v>
      </c>
      <c r="E1928" s="475">
        <v>23</v>
      </c>
    </row>
    <row r="1929" spans="2:5" x14ac:dyDescent="0.35">
      <c r="B1929" s="473" t="s">
        <v>3579</v>
      </c>
      <c r="C1929" s="473" t="s">
        <v>1367</v>
      </c>
      <c r="D1929" s="474" t="s">
        <v>1282</v>
      </c>
      <c r="E1929" s="475">
        <v>33</v>
      </c>
    </row>
    <row r="1930" spans="2:5" x14ac:dyDescent="0.35">
      <c r="B1930" s="473" t="s">
        <v>4152</v>
      </c>
      <c r="C1930" s="473" t="s">
        <v>1905</v>
      </c>
      <c r="D1930" s="474" t="s">
        <v>1679</v>
      </c>
      <c r="E1930" s="475">
        <v>23</v>
      </c>
    </row>
    <row r="1931" spans="2:5" x14ac:dyDescent="0.35">
      <c r="B1931" s="473" t="s">
        <v>3932</v>
      </c>
      <c r="C1931" s="473" t="s">
        <v>1701</v>
      </c>
      <c r="D1931" s="474" t="s">
        <v>1679</v>
      </c>
      <c r="E1931" s="475">
        <v>23</v>
      </c>
    </row>
    <row r="1932" spans="2:5" x14ac:dyDescent="0.35">
      <c r="B1932" s="473" t="s">
        <v>3063</v>
      </c>
      <c r="C1932" s="473" t="s">
        <v>919</v>
      </c>
      <c r="D1932" s="474" t="s">
        <v>879</v>
      </c>
      <c r="E1932" s="475">
        <v>34</v>
      </c>
    </row>
    <row r="1933" spans="2:5" x14ac:dyDescent="0.35">
      <c r="B1933" s="473" t="s">
        <v>2481</v>
      </c>
      <c r="C1933" s="473" t="s">
        <v>389</v>
      </c>
      <c r="D1933" s="474" t="s">
        <v>332</v>
      </c>
      <c r="E1933" s="475">
        <v>24</v>
      </c>
    </row>
    <row r="1934" spans="2:5" x14ac:dyDescent="0.35">
      <c r="B1934" s="473" t="s">
        <v>3362</v>
      </c>
      <c r="C1934" s="473" t="s">
        <v>1158</v>
      </c>
      <c r="D1934" s="474" t="s">
        <v>879</v>
      </c>
      <c r="E1934" s="475">
        <v>22</v>
      </c>
    </row>
    <row r="1935" spans="2:5" x14ac:dyDescent="0.35">
      <c r="B1935" s="473" t="s">
        <v>3162</v>
      </c>
      <c r="C1935" s="473" t="s">
        <v>1002</v>
      </c>
      <c r="D1935" s="474" t="s">
        <v>879</v>
      </c>
      <c r="E1935" s="475">
        <v>22</v>
      </c>
    </row>
    <row r="1936" spans="2:5" x14ac:dyDescent="0.35">
      <c r="B1936" s="473" t="s">
        <v>3606</v>
      </c>
      <c r="C1936" s="473" t="s">
        <v>1394</v>
      </c>
      <c r="D1936" s="474" t="s">
        <v>1282</v>
      </c>
      <c r="E1936" s="475">
        <v>32</v>
      </c>
    </row>
    <row r="1937" spans="2:5" x14ac:dyDescent="0.35">
      <c r="B1937" s="473" t="s">
        <v>2295</v>
      </c>
      <c r="C1937" s="473" t="s">
        <v>236</v>
      </c>
      <c r="D1937" s="474" t="s">
        <v>212</v>
      </c>
      <c r="E1937" s="475">
        <v>22</v>
      </c>
    </row>
    <row r="1938" spans="2:5" x14ac:dyDescent="0.35">
      <c r="B1938" s="473" t="s">
        <v>2482</v>
      </c>
      <c r="C1938" s="473" t="s">
        <v>390</v>
      </c>
      <c r="D1938" s="474" t="s">
        <v>332</v>
      </c>
      <c r="E1938" s="475">
        <v>23</v>
      </c>
    </row>
    <row r="1939" spans="2:5" x14ac:dyDescent="0.35">
      <c r="B1939" s="473" t="s">
        <v>3988</v>
      </c>
      <c r="C1939" s="473" t="s">
        <v>1755</v>
      </c>
      <c r="D1939" s="474" t="s">
        <v>1679</v>
      </c>
      <c r="E1939" s="475">
        <v>23</v>
      </c>
    </row>
    <row r="1940" spans="2:5" x14ac:dyDescent="0.35">
      <c r="B1940" s="473" t="s">
        <v>3989</v>
      </c>
      <c r="C1940" s="473" t="s">
        <v>1756</v>
      </c>
      <c r="D1940" s="474" t="s">
        <v>1679</v>
      </c>
      <c r="E1940" s="475">
        <v>12</v>
      </c>
    </row>
    <row r="1941" spans="2:5" x14ac:dyDescent="0.35">
      <c r="B1941" s="473" t="s">
        <v>4188</v>
      </c>
      <c r="C1941" s="473" t="s">
        <v>1941</v>
      </c>
      <c r="D1941" s="474" t="s">
        <v>1679</v>
      </c>
      <c r="E1941" s="475">
        <v>22</v>
      </c>
    </row>
    <row r="1942" spans="2:5" x14ac:dyDescent="0.35">
      <c r="B1942" s="473" t="s">
        <v>3384</v>
      </c>
      <c r="C1942" s="473" t="s">
        <v>1178</v>
      </c>
      <c r="D1942" s="474" t="s">
        <v>879</v>
      </c>
      <c r="E1942" s="475">
        <v>23</v>
      </c>
    </row>
    <row r="1943" spans="2:5" x14ac:dyDescent="0.35">
      <c r="B1943" s="473" t="s">
        <v>2822</v>
      </c>
      <c r="C1943" s="473" t="s">
        <v>715</v>
      </c>
      <c r="D1943" s="474" t="s">
        <v>332</v>
      </c>
      <c r="E1943" s="475">
        <v>11</v>
      </c>
    </row>
    <row r="1944" spans="2:5" x14ac:dyDescent="0.35">
      <c r="B1944" s="473" t="s">
        <v>3756</v>
      </c>
      <c r="C1944" s="473" t="s">
        <v>1536</v>
      </c>
      <c r="D1944" s="474" t="s">
        <v>1400</v>
      </c>
      <c r="E1944" s="475">
        <v>33</v>
      </c>
    </row>
    <row r="1945" spans="2:5" x14ac:dyDescent="0.35">
      <c r="B1945" s="473" t="s">
        <v>2726</v>
      </c>
      <c r="C1945" s="473" t="s">
        <v>627</v>
      </c>
      <c r="D1945" s="474" t="s">
        <v>332</v>
      </c>
      <c r="E1945" s="475">
        <v>34</v>
      </c>
    </row>
    <row r="1946" spans="2:5" x14ac:dyDescent="0.35">
      <c r="B1946" s="473" t="s">
        <v>3647</v>
      </c>
      <c r="C1946" s="473" t="s">
        <v>1435</v>
      </c>
      <c r="D1946" s="474" t="s">
        <v>1400</v>
      </c>
      <c r="E1946" s="475">
        <v>23</v>
      </c>
    </row>
    <row r="1947" spans="2:5" x14ac:dyDescent="0.35">
      <c r="B1947" s="473" t="s">
        <v>3542</v>
      </c>
      <c r="C1947" s="473" t="s">
        <v>1330</v>
      </c>
      <c r="D1947" s="474" t="s">
        <v>1282</v>
      </c>
      <c r="E1947" s="475">
        <v>23</v>
      </c>
    </row>
    <row r="1948" spans="2:5" x14ac:dyDescent="0.35">
      <c r="B1948" s="473" t="s">
        <v>3492</v>
      </c>
      <c r="C1948" s="473" t="s">
        <v>1280</v>
      </c>
      <c r="D1948" s="474" t="s">
        <v>879</v>
      </c>
      <c r="E1948" s="475">
        <v>12</v>
      </c>
    </row>
    <row r="1949" spans="2:5" x14ac:dyDescent="0.35">
      <c r="B1949" s="473" t="s">
        <v>3793</v>
      </c>
      <c r="C1949" s="473" t="s">
        <v>1569</v>
      </c>
      <c r="D1949" s="474" t="s">
        <v>1400</v>
      </c>
      <c r="E1949" s="475">
        <v>23</v>
      </c>
    </row>
    <row r="1950" spans="2:5" x14ac:dyDescent="0.35">
      <c r="B1950" s="473" t="s">
        <v>3990</v>
      </c>
      <c r="C1950" s="473" t="s">
        <v>1757</v>
      </c>
      <c r="D1950" s="474" t="s">
        <v>1679</v>
      </c>
      <c r="E1950" s="475">
        <v>11</v>
      </c>
    </row>
    <row r="1951" spans="2:5" x14ac:dyDescent="0.35">
      <c r="B1951" s="473" t="s">
        <v>2926</v>
      </c>
      <c r="C1951" s="473" t="s">
        <v>814</v>
      </c>
      <c r="D1951" s="474" t="s">
        <v>332</v>
      </c>
      <c r="E1951" s="475">
        <v>34</v>
      </c>
    </row>
    <row r="1952" spans="2:5" x14ac:dyDescent="0.35">
      <c r="B1952" s="473" t="s">
        <v>2958</v>
      </c>
      <c r="C1952" s="473" t="s">
        <v>846</v>
      </c>
      <c r="D1952" s="474" t="s">
        <v>332</v>
      </c>
      <c r="E1952" s="475">
        <v>12</v>
      </c>
    </row>
    <row r="1953" spans="2:5" x14ac:dyDescent="0.35">
      <c r="B1953" s="473" t="s">
        <v>4049</v>
      </c>
      <c r="C1953" s="473" t="s">
        <v>1810</v>
      </c>
      <c r="D1953" s="474" t="s">
        <v>1679</v>
      </c>
      <c r="E1953" s="475">
        <v>24</v>
      </c>
    </row>
    <row r="1954" spans="2:5" x14ac:dyDescent="0.35">
      <c r="B1954" s="473" t="s">
        <v>2823</v>
      </c>
      <c r="C1954" s="473" t="s">
        <v>716</v>
      </c>
      <c r="D1954" s="474" t="s">
        <v>332</v>
      </c>
      <c r="E1954" s="475">
        <v>22</v>
      </c>
    </row>
    <row r="1955" spans="2:5" x14ac:dyDescent="0.35">
      <c r="B1955" s="473" t="s">
        <v>3580</v>
      </c>
      <c r="C1955" s="473" t="s">
        <v>1368</v>
      </c>
      <c r="D1955" s="474" t="s">
        <v>1282</v>
      </c>
      <c r="E1955" s="475">
        <v>34</v>
      </c>
    </row>
    <row r="1956" spans="2:5" x14ac:dyDescent="0.35">
      <c r="B1956" s="473" t="s">
        <v>3843</v>
      </c>
      <c r="C1956" s="473" t="s">
        <v>1617</v>
      </c>
      <c r="D1956" s="474" t="s">
        <v>1400</v>
      </c>
      <c r="E1956" s="475">
        <v>24</v>
      </c>
    </row>
    <row r="1957" spans="2:5" x14ac:dyDescent="0.35">
      <c r="B1957" s="473" t="s">
        <v>4225</v>
      </c>
      <c r="C1957" s="473" t="s">
        <v>1973</v>
      </c>
      <c r="D1957" s="474" t="s">
        <v>1950</v>
      </c>
      <c r="E1957" s="475">
        <v>12</v>
      </c>
    </row>
    <row r="1958" spans="2:5" x14ac:dyDescent="0.35">
      <c r="B1958" s="473" t="s">
        <v>4226</v>
      </c>
      <c r="C1958" s="473" t="s">
        <v>1974</v>
      </c>
      <c r="D1958" s="474" t="s">
        <v>1950</v>
      </c>
      <c r="E1958" s="475">
        <v>23</v>
      </c>
    </row>
    <row r="1959" spans="2:5" x14ac:dyDescent="0.35">
      <c r="B1959" s="473" t="s">
        <v>4116</v>
      </c>
      <c r="C1959" s="473" t="s">
        <v>1869</v>
      </c>
      <c r="D1959" s="474" t="s">
        <v>1679</v>
      </c>
      <c r="E1959" s="475">
        <v>24</v>
      </c>
    </row>
    <row r="1960" spans="2:5" x14ac:dyDescent="0.35">
      <c r="B1960" s="473" t="s">
        <v>3459</v>
      </c>
      <c r="C1960" s="473" t="s">
        <v>1247</v>
      </c>
      <c r="D1960" s="474" t="s">
        <v>879</v>
      </c>
      <c r="E1960" s="475">
        <v>23</v>
      </c>
    </row>
    <row r="1961" spans="2:5" x14ac:dyDescent="0.35">
      <c r="B1961" s="473" t="s">
        <v>3890</v>
      </c>
      <c r="C1961" s="473" t="s">
        <v>1662</v>
      </c>
      <c r="D1961" s="474" t="s">
        <v>1400</v>
      </c>
      <c r="E1961" s="475">
        <v>34</v>
      </c>
    </row>
    <row r="1962" spans="2:5" x14ac:dyDescent="0.35">
      <c r="B1962" s="473" t="s">
        <v>3682</v>
      </c>
      <c r="C1962" s="473" t="s">
        <v>1468</v>
      </c>
      <c r="D1962" s="474" t="s">
        <v>1400</v>
      </c>
      <c r="E1962" s="475">
        <v>12</v>
      </c>
    </row>
    <row r="1963" spans="2:5" x14ac:dyDescent="0.35">
      <c r="B1963" s="473" t="s">
        <v>3460</v>
      </c>
      <c r="C1963" s="473" t="s">
        <v>1248</v>
      </c>
      <c r="D1963" s="474" t="s">
        <v>879</v>
      </c>
      <c r="E1963" s="475">
        <v>12</v>
      </c>
    </row>
    <row r="1964" spans="2:5" x14ac:dyDescent="0.35">
      <c r="B1964" s="473" t="s">
        <v>4082</v>
      </c>
      <c r="C1964" s="473" t="s">
        <v>1841</v>
      </c>
      <c r="D1964" s="474" t="s">
        <v>1679</v>
      </c>
      <c r="E1964" s="475">
        <v>24</v>
      </c>
    </row>
    <row r="1965" spans="2:5" x14ac:dyDescent="0.35">
      <c r="B1965" s="473" t="s">
        <v>2138</v>
      </c>
      <c r="C1965" s="473" t="s">
        <v>82</v>
      </c>
      <c r="D1965" s="473" t="s">
        <v>40</v>
      </c>
      <c r="E1965" s="475">
        <v>34</v>
      </c>
    </row>
    <row r="1966" spans="2:5" x14ac:dyDescent="0.35">
      <c r="B1966" s="473" t="s">
        <v>3163</v>
      </c>
      <c r="C1966" s="473" t="s">
        <v>1003</v>
      </c>
      <c r="D1966" s="474" t="s">
        <v>879</v>
      </c>
      <c r="E1966" s="475">
        <v>24</v>
      </c>
    </row>
    <row r="1967" spans="2:5" x14ac:dyDescent="0.35">
      <c r="B1967" s="473" t="s">
        <v>4083</v>
      </c>
      <c r="C1967" s="473" t="s">
        <v>1842</v>
      </c>
      <c r="D1967" s="474" t="s">
        <v>1679</v>
      </c>
      <c r="E1967" s="475">
        <v>24</v>
      </c>
    </row>
    <row r="1968" spans="2:5" x14ac:dyDescent="0.35">
      <c r="B1968" s="473" t="s">
        <v>3708</v>
      </c>
      <c r="C1968" s="473" t="s">
        <v>1492</v>
      </c>
      <c r="D1968" s="474" t="s">
        <v>1400</v>
      </c>
      <c r="E1968" s="475">
        <v>22</v>
      </c>
    </row>
    <row r="1969" spans="2:5" x14ac:dyDescent="0.35">
      <c r="B1969" s="473" t="s">
        <v>3844</v>
      </c>
      <c r="C1969" s="473" t="s">
        <v>1618</v>
      </c>
      <c r="D1969" s="474" t="s">
        <v>1400</v>
      </c>
      <c r="E1969" s="475">
        <v>34</v>
      </c>
    </row>
    <row r="1970" spans="2:5" x14ac:dyDescent="0.35">
      <c r="B1970" s="473" t="s">
        <v>3101</v>
      </c>
      <c r="C1970" s="473" t="s">
        <v>951</v>
      </c>
      <c r="D1970" s="474" t="s">
        <v>879</v>
      </c>
      <c r="E1970" s="475">
        <v>23</v>
      </c>
    </row>
    <row r="1971" spans="2:5" x14ac:dyDescent="0.35">
      <c r="B1971" s="473" t="s">
        <v>2684</v>
      </c>
      <c r="C1971" s="473" t="s">
        <v>591</v>
      </c>
      <c r="D1971" s="474" t="s">
        <v>332</v>
      </c>
      <c r="E1971" s="475">
        <v>22</v>
      </c>
    </row>
    <row r="1972" spans="2:5" x14ac:dyDescent="0.35">
      <c r="B1972" s="473" t="s">
        <v>2483</v>
      </c>
      <c r="C1972" s="473" t="s">
        <v>391</v>
      </c>
      <c r="D1972" s="474" t="s">
        <v>332</v>
      </c>
      <c r="E1972" s="475">
        <v>11</v>
      </c>
    </row>
    <row r="1973" spans="2:5" x14ac:dyDescent="0.35">
      <c r="B1973" s="473" t="s">
        <v>2868</v>
      </c>
      <c r="C1973" s="473" t="s">
        <v>759</v>
      </c>
      <c r="D1973" s="474" t="s">
        <v>332</v>
      </c>
      <c r="E1973" s="475">
        <v>22</v>
      </c>
    </row>
    <row r="1974" spans="2:5" x14ac:dyDescent="0.35">
      <c r="B1974" s="473" t="s">
        <v>2824</v>
      </c>
      <c r="C1974" s="473" t="s">
        <v>717</v>
      </c>
      <c r="D1974" s="474" t="s">
        <v>332</v>
      </c>
      <c r="E1974" s="475">
        <v>24</v>
      </c>
    </row>
    <row r="1975" spans="2:5" x14ac:dyDescent="0.35">
      <c r="B1975" s="473" t="s">
        <v>3214</v>
      </c>
      <c r="C1975" s="473" t="s">
        <v>1048</v>
      </c>
      <c r="D1975" s="474" t="s">
        <v>879</v>
      </c>
      <c r="E1975" s="475">
        <v>11</v>
      </c>
    </row>
    <row r="1976" spans="2:5" x14ac:dyDescent="0.35">
      <c r="B1976" s="473" t="s">
        <v>3128</v>
      </c>
      <c r="C1976" s="473" t="s">
        <v>974</v>
      </c>
      <c r="D1976" s="474" t="s">
        <v>879</v>
      </c>
      <c r="E1976" s="475">
        <v>22</v>
      </c>
    </row>
    <row r="1977" spans="2:5" x14ac:dyDescent="0.35">
      <c r="B1977" s="473" t="s">
        <v>2115</v>
      </c>
      <c r="C1977" s="473" t="s">
        <v>59</v>
      </c>
      <c r="D1977" s="473" t="s">
        <v>40</v>
      </c>
      <c r="E1977" s="475">
        <v>24</v>
      </c>
    </row>
    <row r="1978" spans="2:5" x14ac:dyDescent="0.35">
      <c r="B1978" s="473" t="s">
        <v>2506</v>
      </c>
      <c r="C1978" s="473" t="s">
        <v>412</v>
      </c>
      <c r="D1978" s="474" t="s">
        <v>332</v>
      </c>
      <c r="E1978" s="475">
        <v>23</v>
      </c>
    </row>
    <row r="1979" spans="2:5" x14ac:dyDescent="0.35">
      <c r="B1979" s="473" t="s">
        <v>2348</v>
      </c>
      <c r="C1979" s="473" t="s">
        <v>283</v>
      </c>
      <c r="D1979" s="474" t="s">
        <v>212</v>
      </c>
      <c r="E1979" s="475">
        <v>23</v>
      </c>
    </row>
    <row r="1980" spans="2:5" x14ac:dyDescent="0.35">
      <c r="B1980" s="473" t="s">
        <v>2370</v>
      </c>
      <c r="C1980" s="473" t="s">
        <v>303</v>
      </c>
      <c r="D1980" s="474" t="s">
        <v>212</v>
      </c>
      <c r="E1980" s="475">
        <v>23</v>
      </c>
    </row>
    <row r="1981" spans="2:5" x14ac:dyDescent="0.35">
      <c r="B1981" s="473" t="s">
        <v>3064</v>
      </c>
      <c r="C1981" s="473" t="s">
        <v>920</v>
      </c>
      <c r="D1981" s="474" t="s">
        <v>879</v>
      </c>
      <c r="E1981" s="475">
        <v>24</v>
      </c>
    </row>
    <row r="1982" spans="2:5" x14ac:dyDescent="0.35">
      <c r="B1982" s="473" t="s">
        <v>3723</v>
      </c>
      <c r="C1982" s="473" t="s">
        <v>1507</v>
      </c>
      <c r="D1982" s="474" t="s">
        <v>1400</v>
      </c>
      <c r="E1982" s="475">
        <v>33</v>
      </c>
    </row>
    <row r="1983" spans="2:5" x14ac:dyDescent="0.35">
      <c r="B1983" s="473" t="s">
        <v>3991</v>
      </c>
      <c r="C1983" s="473" t="s">
        <v>1758</v>
      </c>
      <c r="D1983" s="474" t="s">
        <v>1679</v>
      </c>
      <c r="E1983" s="475">
        <v>24</v>
      </c>
    </row>
    <row r="1984" spans="2:5" x14ac:dyDescent="0.35">
      <c r="B1984" s="473" t="s">
        <v>4117</v>
      </c>
      <c r="C1984" s="473" t="s">
        <v>1870</v>
      </c>
      <c r="D1984" s="474" t="s">
        <v>1679</v>
      </c>
      <c r="E1984" s="475">
        <v>12</v>
      </c>
    </row>
    <row r="1985" spans="2:5" x14ac:dyDescent="0.35">
      <c r="B1985" s="473" t="s">
        <v>3711</v>
      </c>
      <c r="C1985" s="473" t="s">
        <v>1495</v>
      </c>
      <c r="D1985" s="474" t="s">
        <v>1400</v>
      </c>
      <c r="E1985" s="475">
        <v>22</v>
      </c>
    </row>
    <row r="1986" spans="2:5" x14ac:dyDescent="0.35">
      <c r="B1986" s="473" t="s">
        <v>2484</v>
      </c>
      <c r="C1986" s="473" t="s">
        <v>392</v>
      </c>
      <c r="D1986" s="474" t="s">
        <v>332</v>
      </c>
      <c r="E1986" s="475">
        <v>24</v>
      </c>
    </row>
    <row r="1987" spans="2:5" x14ac:dyDescent="0.35">
      <c r="B1987" s="473" t="s">
        <v>4227</v>
      </c>
      <c r="C1987" s="473" t="s">
        <v>1975</v>
      </c>
      <c r="D1987" s="474" t="s">
        <v>1950</v>
      </c>
      <c r="E1987" s="475">
        <v>22</v>
      </c>
    </row>
    <row r="1988" spans="2:5" x14ac:dyDescent="0.35">
      <c r="B1988" s="473" t="s">
        <v>2144</v>
      </c>
      <c r="C1988" s="473" t="s">
        <v>88</v>
      </c>
      <c r="D1988" s="473" t="s">
        <v>40</v>
      </c>
      <c r="E1988" s="475">
        <v>34</v>
      </c>
    </row>
    <row r="1989" spans="2:5" x14ac:dyDescent="0.35">
      <c r="B1989" s="473" t="s">
        <v>2908</v>
      </c>
      <c r="C1989" s="473" t="s">
        <v>799</v>
      </c>
      <c r="D1989" s="474" t="s">
        <v>332</v>
      </c>
      <c r="E1989" s="475">
        <v>23</v>
      </c>
    </row>
    <row r="1990" spans="2:5" x14ac:dyDescent="0.35">
      <c r="B1990" s="473" t="s">
        <v>3992</v>
      </c>
      <c r="C1990" s="473" t="s">
        <v>1759</v>
      </c>
      <c r="D1990" s="474" t="s">
        <v>1679</v>
      </c>
      <c r="E1990" s="475">
        <v>23</v>
      </c>
    </row>
    <row r="1991" spans="2:5" x14ac:dyDescent="0.35">
      <c r="B1991" s="473" t="s">
        <v>2909</v>
      </c>
      <c r="C1991" s="473" t="s">
        <v>800</v>
      </c>
      <c r="D1991" s="474" t="s">
        <v>332</v>
      </c>
      <c r="E1991" s="475">
        <v>11</v>
      </c>
    </row>
    <row r="1992" spans="2:5" x14ac:dyDescent="0.35">
      <c r="B1992" s="473" t="s">
        <v>2985</v>
      </c>
      <c r="C1992" s="473" t="s">
        <v>767</v>
      </c>
      <c r="D1992" s="474" t="s">
        <v>332</v>
      </c>
      <c r="E1992" s="475">
        <v>22</v>
      </c>
    </row>
    <row r="1993" spans="2:5" x14ac:dyDescent="0.35">
      <c r="B1993" s="473" t="s">
        <v>3280</v>
      </c>
      <c r="C1993" s="473" t="s">
        <v>1100</v>
      </c>
      <c r="D1993" s="474" t="s">
        <v>879</v>
      </c>
      <c r="E1993" s="475">
        <v>12</v>
      </c>
    </row>
    <row r="1994" spans="2:5" x14ac:dyDescent="0.35">
      <c r="B1994" s="473" t="s">
        <v>3833</v>
      </c>
      <c r="C1994" s="473" t="s">
        <v>1607</v>
      </c>
      <c r="D1994" s="474" t="s">
        <v>1400</v>
      </c>
      <c r="E1994" s="475">
        <v>23</v>
      </c>
    </row>
    <row r="1995" spans="2:5" x14ac:dyDescent="0.35">
      <c r="B1995" s="473" t="s">
        <v>2685</v>
      </c>
      <c r="C1995" s="473" t="s">
        <v>592</v>
      </c>
      <c r="D1995" s="474" t="s">
        <v>332</v>
      </c>
      <c r="E1995" s="475">
        <v>33</v>
      </c>
    </row>
    <row r="1996" spans="2:5" x14ac:dyDescent="0.35">
      <c r="B1996" s="473" t="s">
        <v>4189</v>
      </c>
      <c r="C1996" s="473" t="s">
        <v>1942</v>
      </c>
      <c r="D1996" s="474" t="s">
        <v>1679</v>
      </c>
      <c r="E1996" s="475">
        <v>34</v>
      </c>
    </row>
    <row r="1997" spans="2:5" x14ac:dyDescent="0.35">
      <c r="B1997" s="473" t="s">
        <v>3581</v>
      </c>
      <c r="C1997" s="473" t="s">
        <v>1369</v>
      </c>
      <c r="D1997" s="474" t="s">
        <v>1282</v>
      </c>
      <c r="E1997" s="475">
        <v>34</v>
      </c>
    </row>
    <row r="1998" spans="2:5" x14ac:dyDescent="0.35">
      <c r="B1998" s="473" t="s">
        <v>3648</v>
      </c>
      <c r="C1998" s="473" t="s">
        <v>1436</v>
      </c>
      <c r="D1998" s="474" t="s">
        <v>1400</v>
      </c>
      <c r="E1998" s="475">
        <v>23</v>
      </c>
    </row>
    <row r="1999" spans="2:5" x14ac:dyDescent="0.35">
      <c r="B1999" s="473" t="s">
        <v>3065</v>
      </c>
      <c r="C1999" s="473" t="s">
        <v>921</v>
      </c>
      <c r="D1999" s="474" t="s">
        <v>879</v>
      </c>
      <c r="E1999" s="475">
        <v>24</v>
      </c>
    </row>
    <row r="2000" spans="2:5" x14ac:dyDescent="0.35">
      <c r="B2000" s="473" t="s">
        <v>4292</v>
      </c>
      <c r="C2000" s="473" t="s">
        <v>2038</v>
      </c>
      <c r="D2000" s="474" t="s">
        <v>1950</v>
      </c>
      <c r="E2000" s="475">
        <v>23</v>
      </c>
    </row>
    <row r="2001" spans="2:5" x14ac:dyDescent="0.35">
      <c r="B2001" s="473" t="s">
        <v>4190</v>
      </c>
      <c r="C2001" s="473" t="s">
        <v>1943</v>
      </c>
      <c r="D2001" s="474" t="s">
        <v>1679</v>
      </c>
      <c r="E2001" s="475">
        <v>22</v>
      </c>
    </row>
    <row r="2002" spans="2:5" x14ac:dyDescent="0.35">
      <c r="B2002" s="473" t="s">
        <v>3329</v>
      </c>
      <c r="C2002" s="473" t="s">
        <v>1135</v>
      </c>
      <c r="D2002" s="474" t="s">
        <v>879</v>
      </c>
      <c r="E2002" s="475">
        <v>34</v>
      </c>
    </row>
    <row r="2003" spans="2:5" x14ac:dyDescent="0.35">
      <c r="B2003" s="473" t="s">
        <v>2759</v>
      </c>
      <c r="C2003" s="473" t="s">
        <v>639</v>
      </c>
      <c r="D2003" s="474" t="s">
        <v>332</v>
      </c>
      <c r="E2003" s="475">
        <v>22</v>
      </c>
    </row>
    <row r="2004" spans="2:5" x14ac:dyDescent="0.35">
      <c r="B2004" s="473" t="s">
        <v>3933</v>
      </c>
      <c r="C2004" s="473" t="s">
        <v>1702</v>
      </c>
      <c r="D2004" s="474" t="s">
        <v>1679</v>
      </c>
      <c r="E2004" s="475">
        <v>23</v>
      </c>
    </row>
    <row r="2005" spans="2:5" x14ac:dyDescent="0.35">
      <c r="B2005" s="473" t="s">
        <v>3461</v>
      </c>
      <c r="C2005" s="473" t="s">
        <v>1249</v>
      </c>
      <c r="D2005" s="474" t="s">
        <v>879</v>
      </c>
      <c r="E2005" s="475">
        <v>24</v>
      </c>
    </row>
    <row r="2006" spans="2:5" x14ac:dyDescent="0.35">
      <c r="B2006" s="473" t="s">
        <v>3607</v>
      </c>
      <c r="C2006" s="473" t="s">
        <v>1395</v>
      </c>
      <c r="D2006" s="474" t="s">
        <v>1282</v>
      </c>
      <c r="E2006" s="475">
        <v>34</v>
      </c>
    </row>
    <row r="2007" spans="2:5" x14ac:dyDescent="0.35">
      <c r="B2007" s="473" t="s">
        <v>2571</v>
      </c>
      <c r="C2007" s="473" t="s">
        <v>488</v>
      </c>
      <c r="D2007" s="474" t="s">
        <v>332</v>
      </c>
      <c r="E2007" s="475">
        <v>34</v>
      </c>
    </row>
    <row r="2008" spans="2:5" x14ac:dyDescent="0.35">
      <c r="B2008" s="473" t="s">
        <v>3462</v>
      </c>
      <c r="C2008" s="473" t="s">
        <v>1250</v>
      </c>
      <c r="D2008" s="474" t="s">
        <v>879</v>
      </c>
      <c r="E2008" s="475">
        <v>23</v>
      </c>
    </row>
    <row r="2009" spans="2:5" x14ac:dyDescent="0.35">
      <c r="B2009" s="473" t="s">
        <v>2232</v>
      </c>
      <c r="C2009" s="473" t="s">
        <v>176</v>
      </c>
      <c r="D2009" s="473" t="s">
        <v>40</v>
      </c>
      <c r="E2009" s="475">
        <v>34</v>
      </c>
    </row>
    <row r="2010" spans="2:5" x14ac:dyDescent="0.35">
      <c r="B2010" s="473" t="s">
        <v>2259</v>
      </c>
      <c r="C2010" s="473" t="s">
        <v>203</v>
      </c>
      <c r="D2010" s="473" t="s">
        <v>40</v>
      </c>
      <c r="E2010" s="475">
        <v>34</v>
      </c>
    </row>
    <row r="2011" spans="2:5" x14ac:dyDescent="0.35">
      <c r="B2011" s="473" t="s">
        <v>3891</v>
      </c>
      <c r="C2011" s="473" t="s">
        <v>1663</v>
      </c>
      <c r="D2011" s="474" t="s">
        <v>1400</v>
      </c>
      <c r="E2011" s="475">
        <v>34</v>
      </c>
    </row>
    <row r="2012" spans="2:5" x14ac:dyDescent="0.35">
      <c r="B2012" s="473" t="s">
        <v>3582</v>
      </c>
      <c r="C2012" s="473" t="s">
        <v>1370</v>
      </c>
      <c r="D2012" s="474" t="s">
        <v>1282</v>
      </c>
      <c r="E2012" s="475">
        <v>33</v>
      </c>
    </row>
    <row r="2013" spans="2:5" x14ac:dyDescent="0.35">
      <c r="B2013" s="473" t="s">
        <v>3993</v>
      </c>
      <c r="C2013" s="473" t="s">
        <v>1760</v>
      </c>
      <c r="D2013" s="474" t="s">
        <v>1679</v>
      </c>
      <c r="E2013" s="475">
        <v>12</v>
      </c>
    </row>
    <row r="2014" spans="2:5" x14ac:dyDescent="0.35">
      <c r="B2014" s="473" t="s">
        <v>2233</v>
      </c>
      <c r="C2014" s="473" t="s">
        <v>177</v>
      </c>
      <c r="D2014" s="473" t="s">
        <v>40</v>
      </c>
      <c r="E2014" s="475">
        <v>34</v>
      </c>
    </row>
    <row r="2015" spans="2:5" x14ac:dyDescent="0.35">
      <c r="B2015" s="473" t="s">
        <v>2547</v>
      </c>
      <c r="C2015" s="473" t="s">
        <v>466</v>
      </c>
      <c r="D2015" s="474" t="s">
        <v>332</v>
      </c>
      <c r="E2015" s="475">
        <v>23</v>
      </c>
    </row>
    <row r="2016" spans="2:5" x14ac:dyDescent="0.35">
      <c r="B2016" s="473" t="s">
        <v>2760</v>
      </c>
      <c r="C2016" s="473" t="s">
        <v>640</v>
      </c>
      <c r="D2016" s="474" t="s">
        <v>332</v>
      </c>
      <c r="E2016" s="475">
        <v>34</v>
      </c>
    </row>
    <row r="2017" spans="2:5" x14ac:dyDescent="0.35">
      <c r="B2017" s="473" t="s">
        <v>3566</v>
      </c>
      <c r="C2017" s="473" t="s">
        <v>1354</v>
      </c>
      <c r="D2017" s="474" t="s">
        <v>1282</v>
      </c>
      <c r="E2017" s="475">
        <v>34</v>
      </c>
    </row>
    <row r="2018" spans="2:5" x14ac:dyDescent="0.35">
      <c r="B2018" s="473" t="s">
        <v>4118</v>
      </c>
      <c r="C2018" s="473" t="s">
        <v>1871</v>
      </c>
      <c r="D2018" s="474" t="s">
        <v>1679</v>
      </c>
      <c r="E2018" s="475">
        <v>34</v>
      </c>
    </row>
    <row r="2019" spans="2:5" x14ac:dyDescent="0.35">
      <c r="B2019" s="473" t="s">
        <v>2260</v>
      </c>
      <c r="C2019" s="473" t="s">
        <v>204</v>
      </c>
      <c r="D2019" s="473" t="s">
        <v>40</v>
      </c>
      <c r="E2019" s="475">
        <v>33</v>
      </c>
    </row>
    <row r="2020" spans="2:5" x14ac:dyDescent="0.35">
      <c r="B2020" s="473" t="s">
        <v>3102</v>
      </c>
      <c r="C2020" s="473" t="s">
        <v>952</v>
      </c>
      <c r="D2020" s="474" t="s">
        <v>879</v>
      </c>
      <c r="E2020" s="475">
        <v>33</v>
      </c>
    </row>
    <row r="2021" spans="2:5" x14ac:dyDescent="0.35">
      <c r="B2021" s="473" t="s">
        <v>3103</v>
      </c>
      <c r="C2021" s="473" t="s">
        <v>953</v>
      </c>
      <c r="D2021" s="474" t="s">
        <v>879</v>
      </c>
      <c r="E2021" s="475">
        <v>22</v>
      </c>
    </row>
    <row r="2022" spans="2:5" x14ac:dyDescent="0.35">
      <c r="B2022" s="473" t="s">
        <v>3813</v>
      </c>
      <c r="C2022" s="473" t="s">
        <v>1589</v>
      </c>
      <c r="D2022" s="474" t="s">
        <v>1400</v>
      </c>
      <c r="E2022" s="475">
        <v>22</v>
      </c>
    </row>
    <row r="2023" spans="2:5" x14ac:dyDescent="0.35">
      <c r="B2023" s="473" t="s">
        <v>3608</v>
      </c>
      <c r="C2023" s="473" t="s">
        <v>1396</v>
      </c>
      <c r="D2023" s="474" t="s">
        <v>1282</v>
      </c>
      <c r="E2023" s="475">
        <v>32</v>
      </c>
    </row>
    <row r="2024" spans="2:5" x14ac:dyDescent="0.35">
      <c r="B2024" s="473" t="s">
        <v>3281</v>
      </c>
      <c r="C2024" s="473" t="s">
        <v>1101</v>
      </c>
      <c r="D2024" s="474" t="s">
        <v>879</v>
      </c>
      <c r="E2024" s="475">
        <v>24</v>
      </c>
    </row>
    <row r="2025" spans="2:5" x14ac:dyDescent="0.35">
      <c r="B2025" s="473" t="s">
        <v>3994</v>
      </c>
      <c r="C2025" s="473" t="s">
        <v>1761</v>
      </c>
      <c r="D2025" s="474" t="s">
        <v>1679</v>
      </c>
      <c r="E2025" s="475">
        <v>23</v>
      </c>
    </row>
    <row r="2026" spans="2:5" x14ac:dyDescent="0.35">
      <c r="B2026" s="473" t="s">
        <v>4228</v>
      </c>
      <c r="C2026" s="473" t="s">
        <v>1976</v>
      </c>
      <c r="D2026" s="474" t="s">
        <v>1950</v>
      </c>
      <c r="E2026" s="475">
        <v>22</v>
      </c>
    </row>
    <row r="2027" spans="2:5" x14ac:dyDescent="0.35">
      <c r="B2027" s="473" t="s">
        <v>3649</v>
      </c>
      <c r="C2027" s="473" t="s">
        <v>1437</v>
      </c>
      <c r="D2027" s="474" t="s">
        <v>1400</v>
      </c>
      <c r="E2027" s="475">
        <v>12</v>
      </c>
    </row>
    <row r="2028" spans="2:5" x14ac:dyDescent="0.35">
      <c r="B2028" s="473" t="s">
        <v>2371</v>
      </c>
      <c r="C2028" s="473" t="s">
        <v>304</v>
      </c>
      <c r="D2028" s="474" t="s">
        <v>212</v>
      </c>
      <c r="E2028" s="475">
        <v>22</v>
      </c>
    </row>
    <row r="2029" spans="2:5" x14ac:dyDescent="0.35">
      <c r="B2029" s="473" t="s">
        <v>2548</v>
      </c>
      <c r="C2029" s="473" t="s">
        <v>467</v>
      </c>
      <c r="D2029" s="474" t="s">
        <v>332</v>
      </c>
      <c r="E2029" s="475">
        <v>34</v>
      </c>
    </row>
    <row r="2030" spans="2:5" x14ac:dyDescent="0.35">
      <c r="B2030" s="473" t="s">
        <v>3363</v>
      </c>
      <c r="C2030" s="473" t="s">
        <v>1159</v>
      </c>
      <c r="D2030" s="474" t="s">
        <v>879</v>
      </c>
      <c r="E2030" s="475">
        <v>34</v>
      </c>
    </row>
    <row r="2031" spans="2:5" x14ac:dyDescent="0.35">
      <c r="B2031" s="473" t="s">
        <v>2450</v>
      </c>
      <c r="C2031" s="473" t="s">
        <v>358</v>
      </c>
      <c r="D2031" s="474" t="s">
        <v>332</v>
      </c>
      <c r="E2031" s="475">
        <v>24</v>
      </c>
    </row>
    <row r="2032" spans="2:5" x14ac:dyDescent="0.35">
      <c r="B2032" s="473" t="s">
        <v>3609</v>
      </c>
      <c r="C2032" s="473" t="s">
        <v>1397</v>
      </c>
      <c r="D2032" s="474" t="s">
        <v>1282</v>
      </c>
      <c r="E2032" s="475">
        <v>33</v>
      </c>
    </row>
    <row r="2033" spans="2:5" x14ac:dyDescent="0.35">
      <c r="B2033" s="473" t="s">
        <v>4293</v>
      </c>
      <c r="C2033" s="473" t="s">
        <v>2039</v>
      </c>
      <c r="D2033" s="474" t="s">
        <v>1950</v>
      </c>
      <c r="E2033" s="475">
        <v>24</v>
      </c>
    </row>
    <row r="2034" spans="2:5" x14ac:dyDescent="0.35">
      <c r="B2034" s="473" t="s">
        <v>2269</v>
      </c>
      <c r="C2034" s="473" t="s">
        <v>214</v>
      </c>
      <c r="D2034" s="474" t="s">
        <v>212</v>
      </c>
      <c r="E2034" s="475">
        <v>11</v>
      </c>
    </row>
    <row r="2035" spans="2:5" x14ac:dyDescent="0.35">
      <c r="B2035" s="473" t="s">
        <v>4153</v>
      </c>
      <c r="C2035" s="473" t="s">
        <v>1906</v>
      </c>
      <c r="D2035" s="474" t="s">
        <v>1679</v>
      </c>
      <c r="E2035" s="475">
        <v>23</v>
      </c>
    </row>
    <row r="2036" spans="2:5" x14ac:dyDescent="0.35">
      <c r="B2036" s="473" t="s">
        <v>4119</v>
      </c>
      <c r="C2036" s="473" t="s">
        <v>1872</v>
      </c>
      <c r="D2036" s="474" t="s">
        <v>1679</v>
      </c>
      <c r="E2036" s="475">
        <v>34</v>
      </c>
    </row>
    <row r="2037" spans="2:5" x14ac:dyDescent="0.35">
      <c r="B2037" s="473" t="s">
        <v>2927</v>
      </c>
      <c r="C2037" s="473" t="s">
        <v>815</v>
      </c>
      <c r="D2037" s="474" t="s">
        <v>332</v>
      </c>
      <c r="E2037" s="475">
        <v>33</v>
      </c>
    </row>
    <row r="2038" spans="2:5" x14ac:dyDescent="0.35">
      <c r="B2038" s="473" t="s">
        <v>3463</v>
      </c>
      <c r="C2038" s="473" t="s">
        <v>1251</v>
      </c>
      <c r="D2038" s="474" t="s">
        <v>879</v>
      </c>
      <c r="E2038" s="475">
        <v>11</v>
      </c>
    </row>
    <row r="2039" spans="2:5" x14ac:dyDescent="0.35">
      <c r="B2039" s="473" t="s">
        <v>3464</v>
      </c>
      <c r="C2039" s="473" t="s">
        <v>1252</v>
      </c>
      <c r="D2039" s="474" t="s">
        <v>879</v>
      </c>
      <c r="E2039" s="475">
        <v>22</v>
      </c>
    </row>
    <row r="2040" spans="2:5" x14ac:dyDescent="0.35">
      <c r="B2040" s="473" t="s">
        <v>3763</v>
      </c>
      <c r="C2040" s="473" t="s">
        <v>1543</v>
      </c>
      <c r="D2040" s="474" t="s">
        <v>1400</v>
      </c>
      <c r="E2040" s="475">
        <v>12</v>
      </c>
    </row>
    <row r="2041" spans="2:5" x14ac:dyDescent="0.35">
      <c r="B2041" s="473" t="s">
        <v>3996</v>
      </c>
      <c r="C2041" s="473" t="s">
        <v>1763</v>
      </c>
      <c r="D2041" s="474" t="s">
        <v>1679</v>
      </c>
      <c r="E2041" s="475">
        <v>12</v>
      </c>
    </row>
    <row r="2042" spans="2:5" x14ac:dyDescent="0.35">
      <c r="B2042" s="473" t="s">
        <v>2387</v>
      </c>
      <c r="C2042" s="473" t="s">
        <v>318</v>
      </c>
      <c r="D2042" s="474" t="s">
        <v>212</v>
      </c>
      <c r="E2042" s="475">
        <v>23</v>
      </c>
    </row>
    <row r="2043" spans="2:5" x14ac:dyDescent="0.35">
      <c r="B2043" s="473" t="s">
        <v>3995</v>
      </c>
      <c r="C2043" s="473" t="s">
        <v>1762</v>
      </c>
      <c r="D2043" s="474" t="s">
        <v>1679</v>
      </c>
      <c r="E2043" s="475">
        <v>12</v>
      </c>
    </row>
    <row r="2044" spans="2:5" x14ac:dyDescent="0.35">
      <c r="B2044" s="473" t="s">
        <v>4191</v>
      </c>
      <c r="C2044" s="473" t="s">
        <v>1944</v>
      </c>
      <c r="D2044" s="474" t="s">
        <v>1679</v>
      </c>
      <c r="E2044" s="475">
        <v>11</v>
      </c>
    </row>
    <row r="2045" spans="2:5" x14ac:dyDescent="0.35">
      <c r="B2045" s="473" t="s">
        <v>3880</v>
      </c>
      <c r="C2045" s="473" t="s">
        <v>1652</v>
      </c>
      <c r="D2045" s="474" t="s">
        <v>1400</v>
      </c>
      <c r="E2045" s="475">
        <v>34</v>
      </c>
    </row>
    <row r="2046" spans="2:5" x14ac:dyDescent="0.35">
      <c r="B2046" s="473" t="s">
        <v>3130</v>
      </c>
      <c r="C2046" s="473" t="s">
        <v>976</v>
      </c>
      <c r="D2046" s="474" t="s">
        <v>879</v>
      </c>
      <c r="E2046" s="475">
        <v>22</v>
      </c>
    </row>
    <row r="2047" spans="2:5" x14ac:dyDescent="0.35">
      <c r="B2047" s="473" t="s">
        <v>4154</v>
      </c>
      <c r="C2047" s="473" t="s">
        <v>1907</v>
      </c>
      <c r="D2047" s="474" t="s">
        <v>1679</v>
      </c>
      <c r="E2047" s="475">
        <v>24</v>
      </c>
    </row>
    <row r="2048" spans="2:5" x14ac:dyDescent="0.35">
      <c r="B2048" s="473" t="s">
        <v>3709</v>
      </c>
      <c r="C2048" s="473" t="s">
        <v>1493</v>
      </c>
      <c r="D2048" s="474" t="s">
        <v>1400</v>
      </c>
      <c r="E2048" s="475">
        <v>23</v>
      </c>
    </row>
    <row r="2049" spans="2:5" x14ac:dyDescent="0.35">
      <c r="B2049" s="473" t="s">
        <v>3189</v>
      </c>
      <c r="C2049" s="473" t="s">
        <v>1027</v>
      </c>
      <c r="D2049" s="474" t="s">
        <v>879</v>
      </c>
      <c r="E2049" s="475">
        <v>34</v>
      </c>
    </row>
    <row r="2050" spans="2:5" x14ac:dyDescent="0.35">
      <c r="B2050" s="473" t="s">
        <v>3413</v>
      </c>
      <c r="C2050" s="473" t="s">
        <v>1205</v>
      </c>
      <c r="D2050" s="474" t="s">
        <v>879</v>
      </c>
      <c r="E2050" s="475">
        <v>34</v>
      </c>
    </row>
    <row r="2051" spans="2:5" x14ac:dyDescent="0.35">
      <c r="B2051" s="473" t="s">
        <v>2782</v>
      </c>
      <c r="C2051" s="473" t="s">
        <v>683</v>
      </c>
      <c r="D2051" s="474" t="s">
        <v>332</v>
      </c>
      <c r="E2051" s="475">
        <v>11</v>
      </c>
    </row>
    <row r="2052" spans="2:5" x14ac:dyDescent="0.35">
      <c r="B2052" s="473" t="s">
        <v>3683</v>
      </c>
      <c r="C2052" s="473" t="s">
        <v>1469</v>
      </c>
      <c r="D2052" s="474" t="s">
        <v>1400</v>
      </c>
      <c r="E2052" s="475">
        <v>12</v>
      </c>
    </row>
    <row r="2053" spans="2:5" x14ac:dyDescent="0.35">
      <c r="B2053" s="473" t="s">
        <v>3567</v>
      </c>
      <c r="C2053" s="473" t="s">
        <v>1355</v>
      </c>
      <c r="D2053" s="474" t="s">
        <v>1282</v>
      </c>
      <c r="E2053" s="475">
        <v>34</v>
      </c>
    </row>
    <row r="2054" spans="2:5" x14ac:dyDescent="0.35">
      <c r="B2054" s="473" t="s">
        <v>2928</v>
      </c>
      <c r="C2054" s="473" t="s">
        <v>816</v>
      </c>
      <c r="D2054" s="474" t="s">
        <v>332</v>
      </c>
      <c r="E2054" s="475">
        <v>32</v>
      </c>
    </row>
    <row r="2055" spans="2:5" x14ac:dyDescent="0.35">
      <c r="B2055" s="473" t="s">
        <v>2929</v>
      </c>
      <c r="C2055" s="473" t="s">
        <v>817</v>
      </c>
      <c r="D2055" s="474" t="s">
        <v>332</v>
      </c>
      <c r="E2055" s="475">
        <v>34</v>
      </c>
    </row>
    <row r="2056" spans="2:5" x14ac:dyDescent="0.35">
      <c r="B2056" s="473" t="s">
        <v>2416</v>
      </c>
      <c r="C2056" s="473" t="s">
        <v>334</v>
      </c>
      <c r="D2056" s="474" t="s">
        <v>332</v>
      </c>
      <c r="E2056" s="475">
        <v>22</v>
      </c>
    </row>
    <row r="2057" spans="2:5" x14ac:dyDescent="0.35">
      <c r="B2057" s="473" t="s">
        <v>2959</v>
      </c>
      <c r="C2057" s="473" t="s">
        <v>847</v>
      </c>
      <c r="D2057" s="474" t="s">
        <v>332</v>
      </c>
      <c r="E2057" s="475">
        <v>22</v>
      </c>
    </row>
    <row r="2058" spans="2:5" x14ac:dyDescent="0.35">
      <c r="B2058" s="473" t="s">
        <v>4022</v>
      </c>
      <c r="C2058" s="473" t="s">
        <v>1783</v>
      </c>
      <c r="D2058" s="474" t="s">
        <v>1679</v>
      </c>
      <c r="E2058" s="475">
        <v>33</v>
      </c>
    </row>
    <row r="2059" spans="2:5" x14ac:dyDescent="0.35">
      <c r="B2059" s="473" t="s">
        <v>3164</v>
      </c>
      <c r="C2059" s="473" t="s">
        <v>1004</v>
      </c>
      <c r="D2059" s="474" t="s">
        <v>879</v>
      </c>
      <c r="E2059" s="475">
        <v>32</v>
      </c>
    </row>
    <row r="2060" spans="2:5" x14ac:dyDescent="0.35">
      <c r="B2060" s="473" t="s">
        <v>4051</v>
      </c>
      <c r="C2060" s="473" t="s">
        <v>1812</v>
      </c>
      <c r="D2060" s="474" t="s">
        <v>1679</v>
      </c>
      <c r="E2060" s="475">
        <v>24</v>
      </c>
    </row>
    <row r="2061" spans="2:5" x14ac:dyDescent="0.35">
      <c r="B2061" s="473" t="s">
        <v>3710</v>
      </c>
      <c r="C2061" s="473" t="s">
        <v>1494</v>
      </c>
      <c r="D2061" s="474" t="s">
        <v>1400</v>
      </c>
      <c r="E2061" s="475">
        <v>23</v>
      </c>
    </row>
    <row r="2062" spans="2:5" x14ac:dyDescent="0.35">
      <c r="B2062" s="473" t="s">
        <v>3610</v>
      </c>
      <c r="C2062" s="473" t="s">
        <v>1398</v>
      </c>
      <c r="D2062" s="474" t="s">
        <v>1282</v>
      </c>
      <c r="E2062" s="475">
        <v>33</v>
      </c>
    </row>
    <row r="2063" spans="2:5" x14ac:dyDescent="0.35">
      <c r="B2063" s="473" t="s">
        <v>3881</v>
      </c>
      <c r="C2063" s="473" t="s">
        <v>1653</v>
      </c>
      <c r="D2063" s="474" t="s">
        <v>1400</v>
      </c>
      <c r="E2063" s="475">
        <v>34</v>
      </c>
    </row>
    <row r="2064" spans="2:5" x14ac:dyDescent="0.35">
      <c r="B2064" s="473" t="s">
        <v>3104</v>
      </c>
      <c r="C2064" s="473" t="s">
        <v>954</v>
      </c>
      <c r="D2064" s="474" t="s">
        <v>879</v>
      </c>
      <c r="E2064" s="475">
        <v>33</v>
      </c>
    </row>
    <row r="2065" spans="2:5" x14ac:dyDescent="0.35">
      <c r="B2065" s="473" t="s">
        <v>2960</v>
      </c>
      <c r="C2065" s="473" t="s">
        <v>848</v>
      </c>
      <c r="D2065" s="474" t="s">
        <v>332</v>
      </c>
      <c r="E2065" s="475">
        <v>23</v>
      </c>
    </row>
    <row r="2066" spans="2:5" x14ac:dyDescent="0.35">
      <c r="B2066" s="473" t="s">
        <v>2572</v>
      </c>
      <c r="C2066" s="473" t="s">
        <v>489</v>
      </c>
      <c r="D2066" s="474" t="s">
        <v>332</v>
      </c>
      <c r="E2066" s="475">
        <v>34</v>
      </c>
    </row>
    <row r="2067" spans="2:5" x14ac:dyDescent="0.35">
      <c r="B2067" s="473" t="s">
        <v>3010</v>
      </c>
      <c r="C2067" s="473" t="s">
        <v>877</v>
      </c>
      <c r="D2067" s="474" t="s">
        <v>332</v>
      </c>
      <c r="E2067" s="475">
        <v>34</v>
      </c>
    </row>
    <row r="2068" spans="2:5" x14ac:dyDescent="0.35">
      <c r="B2068" s="473" t="s">
        <v>3244</v>
      </c>
      <c r="C2068" s="473" t="s">
        <v>1070</v>
      </c>
      <c r="D2068" s="474" t="s">
        <v>879</v>
      </c>
      <c r="E2068" s="475">
        <v>34</v>
      </c>
    </row>
    <row r="2069" spans="2:5" x14ac:dyDescent="0.35">
      <c r="B2069" s="473" t="s">
        <v>3414</v>
      </c>
      <c r="C2069" s="473" t="s">
        <v>1206</v>
      </c>
      <c r="D2069" s="474" t="s">
        <v>879</v>
      </c>
      <c r="E2069" s="475">
        <v>22</v>
      </c>
    </row>
    <row r="2070" spans="2:5" x14ac:dyDescent="0.35">
      <c r="B2070" s="473" t="s">
        <v>3364</v>
      </c>
      <c r="C2070" s="473" t="s">
        <v>1160</v>
      </c>
      <c r="D2070" s="474" t="s">
        <v>879</v>
      </c>
      <c r="E2070" s="475">
        <v>34</v>
      </c>
    </row>
    <row r="2071" spans="2:5" x14ac:dyDescent="0.35">
      <c r="B2071" s="473" t="s">
        <v>2930</v>
      </c>
      <c r="C2071" s="473" t="s">
        <v>818</v>
      </c>
      <c r="D2071" s="474" t="s">
        <v>332</v>
      </c>
      <c r="E2071" s="475">
        <v>34</v>
      </c>
    </row>
    <row r="2072" spans="2:5" x14ac:dyDescent="0.35">
      <c r="B2072" s="473" t="s">
        <v>3385</v>
      </c>
      <c r="C2072" s="473" t="s">
        <v>1179</v>
      </c>
      <c r="D2072" s="474" t="s">
        <v>879</v>
      </c>
      <c r="E2072" s="475">
        <v>23</v>
      </c>
    </row>
    <row r="2073" spans="2:5" x14ac:dyDescent="0.35">
      <c r="B2073" s="473" t="s">
        <v>3282</v>
      </c>
      <c r="C2073" s="473" t="s">
        <v>1102</v>
      </c>
      <c r="D2073" s="474" t="s">
        <v>879</v>
      </c>
      <c r="E2073" s="475">
        <v>24</v>
      </c>
    </row>
    <row r="2074" spans="2:5" x14ac:dyDescent="0.35">
      <c r="B2074" s="473" t="s">
        <v>3165</v>
      </c>
      <c r="C2074" s="473" t="s">
        <v>1005</v>
      </c>
      <c r="D2074" s="474" t="s">
        <v>879</v>
      </c>
      <c r="E2074" s="475">
        <v>23</v>
      </c>
    </row>
    <row r="2075" spans="2:5" x14ac:dyDescent="0.35">
      <c r="B2075" s="473" t="s">
        <v>2201</v>
      </c>
      <c r="C2075" s="473" t="s">
        <v>145</v>
      </c>
      <c r="D2075" s="473" t="s">
        <v>40</v>
      </c>
      <c r="E2075" s="475">
        <v>33</v>
      </c>
    </row>
    <row r="2076" spans="2:5" x14ac:dyDescent="0.35">
      <c r="B2076" s="473" t="s">
        <v>2451</v>
      </c>
      <c r="C2076" s="473" t="s">
        <v>359</v>
      </c>
      <c r="D2076" s="474" t="s">
        <v>332</v>
      </c>
      <c r="E2076" s="475">
        <v>24</v>
      </c>
    </row>
    <row r="2077" spans="2:5" x14ac:dyDescent="0.35">
      <c r="B2077" s="473" t="s">
        <v>2961</v>
      </c>
      <c r="C2077" s="473" t="s">
        <v>849</v>
      </c>
      <c r="D2077" s="474" t="s">
        <v>332</v>
      </c>
      <c r="E2077" s="475">
        <v>24</v>
      </c>
    </row>
    <row r="2078" spans="2:5" x14ac:dyDescent="0.35">
      <c r="B2078" s="473" t="s">
        <v>3543</v>
      </c>
      <c r="C2078" s="473" t="s">
        <v>1331</v>
      </c>
      <c r="D2078" s="474" t="s">
        <v>1282</v>
      </c>
      <c r="E2078" s="475">
        <v>11</v>
      </c>
    </row>
    <row r="2079" spans="2:5" x14ac:dyDescent="0.35">
      <c r="B2079" s="473" t="s">
        <v>2890</v>
      </c>
      <c r="C2079" s="473" t="s">
        <v>781</v>
      </c>
      <c r="D2079" s="474" t="s">
        <v>332</v>
      </c>
      <c r="E2079" s="475">
        <v>24</v>
      </c>
    </row>
    <row r="2080" spans="2:5" x14ac:dyDescent="0.35">
      <c r="B2080" s="473" t="s">
        <v>4155</v>
      </c>
      <c r="C2080" s="473" t="s">
        <v>1908</v>
      </c>
      <c r="D2080" s="474" t="s">
        <v>1679</v>
      </c>
      <c r="E2080" s="475">
        <v>12</v>
      </c>
    </row>
    <row r="2081" spans="2:5" x14ac:dyDescent="0.35">
      <c r="B2081" s="473" t="s">
        <v>3190</v>
      </c>
      <c r="C2081" s="473" t="s">
        <v>1028</v>
      </c>
      <c r="D2081" s="474" t="s">
        <v>879</v>
      </c>
      <c r="E2081" s="475">
        <v>22</v>
      </c>
    </row>
    <row r="2082" spans="2:5" x14ac:dyDescent="0.35">
      <c r="B2082" s="473" t="s">
        <v>3105</v>
      </c>
      <c r="C2082" s="473" t="s">
        <v>955</v>
      </c>
      <c r="D2082" s="474" t="s">
        <v>879</v>
      </c>
      <c r="E2082" s="475">
        <v>22</v>
      </c>
    </row>
    <row r="2083" spans="2:5" x14ac:dyDescent="0.35">
      <c r="B2083" s="473" t="s">
        <v>2826</v>
      </c>
      <c r="C2083" s="473" t="s">
        <v>719</v>
      </c>
      <c r="D2083" s="474" t="s">
        <v>332</v>
      </c>
      <c r="E2083" s="475">
        <v>23</v>
      </c>
    </row>
    <row r="2084" spans="2:5" x14ac:dyDescent="0.35">
      <c r="B2084" s="473" t="s">
        <v>4267</v>
      </c>
      <c r="C2084" s="473" t="s">
        <v>719</v>
      </c>
      <c r="D2084" s="474" t="s">
        <v>1950</v>
      </c>
      <c r="E2084" s="475">
        <v>34</v>
      </c>
    </row>
    <row r="2085" spans="2:5" x14ac:dyDescent="0.35">
      <c r="B2085" s="473" t="s">
        <v>2827</v>
      </c>
      <c r="C2085" s="473" t="s">
        <v>720</v>
      </c>
      <c r="D2085" s="474" t="s">
        <v>332</v>
      </c>
      <c r="E2085" s="475">
        <v>24</v>
      </c>
    </row>
    <row r="2086" spans="2:5" x14ac:dyDescent="0.35">
      <c r="B2086" s="473" t="s">
        <v>3997</v>
      </c>
      <c r="C2086" s="473" t="s">
        <v>1764</v>
      </c>
      <c r="D2086" s="474" t="s">
        <v>1679</v>
      </c>
      <c r="E2086" s="475">
        <v>24</v>
      </c>
    </row>
    <row r="2087" spans="2:5" x14ac:dyDescent="0.35">
      <c r="B2087" s="473" t="s">
        <v>3998</v>
      </c>
      <c r="C2087" s="473" t="s">
        <v>1765</v>
      </c>
      <c r="D2087" s="474" t="s">
        <v>1679</v>
      </c>
      <c r="E2087" s="475">
        <v>12</v>
      </c>
    </row>
    <row r="2088" spans="2:5" x14ac:dyDescent="0.35">
      <c r="B2088" s="473" t="s">
        <v>4192</v>
      </c>
      <c r="C2088" s="473" t="s">
        <v>1945</v>
      </c>
      <c r="D2088" s="474" t="s">
        <v>1679</v>
      </c>
      <c r="E2088" s="475">
        <v>23</v>
      </c>
    </row>
    <row r="2089" spans="2:5" x14ac:dyDescent="0.35">
      <c r="B2089" s="473" t="s">
        <v>4193</v>
      </c>
      <c r="C2089" s="473" t="s">
        <v>1946</v>
      </c>
      <c r="D2089" s="474" t="s">
        <v>1679</v>
      </c>
      <c r="E2089" s="475">
        <v>23</v>
      </c>
    </row>
    <row r="2090" spans="2:5" x14ac:dyDescent="0.35">
      <c r="B2090" s="473" t="s">
        <v>3166</v>
      </c>
      <c r="C2090" s="473" t="s">
        <v>1006</v>
      </c>
      <c r="D2090" s="474" t="s">
        <v>879</v>
      </c>
      <c r="E2090" s="475">
        <v>23</v>
      </c>
    </row>
    <row r="2091" spans="2:5" x14ac:dyDescent="0.35">
      <c r="B2091" s="473" t="s">
        <v>2159</v>
      </c>
      <c r="C2091" s="473" t="s">
        <v>103</v>
      </c>
      <c r="D2091" s="473" t="s">
        <v>40</v>
      </c>
      <c r="E2091" s="475">
        <v>34</v>
      </c>
    </row>
    <row r="2092" spans="2:5" x14ac:dyDescent="0.35">
      <c r="B2092" s="473" t="s">
        <v>2202</v>
      </c>
      <c r="C2092" s="473" t="s">
        <v>146</v>
      </c>
      <c r="D2092" s="473" t="s">
        <v>40</v>
      </c>
      <c r="E2092" s="475">
        <v>33</v>
      </c>
    </row>
    <row r="2093" spans="2:5" x14ac:dyDescent="0.35">
      <c r="B2093" s="473" t="s">
        <v>2551</v>
      </c>
      <c r="C2093" s="473" t="s">
        <v>470</v>
      </c>
      <c r="D2093" s="474" t="s">
        <v>332</v>
      </c>
      <c r="E2093" s="475">
        <v>33</v>
      </c>
    </row>
    <row r="2094" spans="2:5" x14ac:dyDescent="0.35">
      <c r="B2094" s="473" t="s">
        <v>2261</v>
      </c>
      <c r="C2094" s="473" t="s">
        <v>205</v>
      </c>
      <c r="D2094" s="473" t="s">
        <v>40</v>
      </c>
      <c r="E2094" s="475">
        <v>34</v>
      </c>
    </row>
    <row r="2095" spans="2:5" x14ac:dyDescent="0.35">
      <c r="B2095" s="473" t="s">
        <v>2549</v>
      </c>
      <c r="C2095" s="473" t="s">
        <v>468</v>
      </c>
      <c r="D2095" s="474" t="s">
        <v>332</v>
      </c>
      <c r="E2095" s="475">
        <v>33</v>
      </c>
    </row>
    <row r="2096" spans="2:5" x14ac:dyDescent="0.35">
      <c r="B2096" s="473" t="s">
        <v>2962</v>
      </c>
      <c r="C2096" s="473" t="s">
        <v>850</v>
      </c>
      <c r="D2096" s="474" t="s">
        <v>332</v>
      </c>
      <c r="E2096" s="475">
        <v>24</v>
      </c>
    </row>
    <row r="2097" spans="2:5" x14ac:dyDescent="0.35">
      <c r="B2097" s="473" t="s">
        <v>3283</v>
      </c>
      <c r="C2097" s="473" t="s">
        <v>1103</v>
      </c>
      <c r="D2097" s="474" t="s">
        <v>879</v>
      </c>
      <c r="E2097" s="475">
        <v>24</v>
      </c>
    </row>
    <row r="2098" spans="2:5" x14ac:dyDescent="0.35">
      <c r="B2098" s="473" t="s">
        <v>4294</v>
      </c>
      <c r="C2098" s="473" t="s">
        <v>2040</v>
      </c>
      <c r="D2098" s="474" t="s">
        <v>1950</v>
      </c>
      <c r="E2098" s="475">
        <v>11</v>
      </c>
    </row>
    <row r="2099" spans="2:5" x14ac:dyDescent="0.35">
      <c r="B2099" s="473" t="s">
        <v>2869</v>
      </c>
      <c r="C2099" s="473" t="s">
        <v>760</v>
      </c>
      <c r="D2099" s="474" t="s">
        <v>332</v>
      </c>
      <c r="E2099" s="475">
        <v>23</v>
      </c>
    </row>
    <row r="2100" spans="2:5" x14ac:dyDescent="0.35">
      <c r="B2100" s="473" t="s">
        <v>2234</v>
      </c>
      <c r="C2100" s="473" t="s">
        <v>178</v>
      </c>
      <c r="D2100" s="473" t="s">
        <v>40</v>
      </c>
      <c r="E2100" s="475">
        <v>34</v>
      </c>
    </row>
    <row r="2101" spans="2:5" x14ac:dyDescent="0.35">
      <c r="B2101" s="473" t="s">
        <v>3650</v>
      </c>
      <c r="C2101" s="473" t="s">
        <v>1438</v>
      </c>
      <c r="D2101" s="474" t="s">
        <v>1400</v>
      </c>
      <c r="E2101" s="475">
        <v>22</v>
      </c>
    </row>
    <row r="2102" spans="2:5" x14ac:dyDescent="0.35">
      <c r="B2102" s="473" t="s">
        <v>2666</v>
      </c>
      <c r="C2102" s="473" t="s">
        <v>577</v>
      </c>
      <c r="D2102" s="474" t="s">
        <v>332</v>
      </c>
      <c r="E2102" s="475">
        <v>24</v>
      </c>
    </row>
    <row r="2103" spans="2:5" x14ac:dyDescent="0.35">
      <c r="B2103" s="473" t="s">
        <v>3611</v>
      </c>
      <c r="C2103" s="473" t="s">
        <v>1399</v>
      </c>
      <c r="D2103" s="474" t="s">
        <v>1282</v>
      </c>
      <c r="E2103" s="475">
        <v>34</v>
      </c>
    </row>
    <row r="2104" spans="2:5" x14ac:dyDescent="0.35">
      <c r="B2104" s="473" t="s">
        <v>4156</v>
      </c>
      <c r="C2104" s="473" t="s">
        <v>1909</v>
      </c>
      <c r="D2104" s="474" t="s">
        <v>1679</v>
      </c>
      <c r="E2104" s="475">
        <v>23</v>
      </c>
    </row>
    <row r="2105" spans="2:5" x14ac:dyDescent="0.35">
      <c r="B2105" s="473" t="s">
        <v>2485</v>
      </c>
      <c r="C2105" s="473" t="s">
        <v>393</v>
      </c>
      <c r="D2105" s="474" t="s">
        <v>332</v>
      </c>
      <c r="E2105" s="475">
        <v>24</v>
      </c>
    </row>
    <row r="2106" spans="2:5" x14ac:dyDescent="0.35">
      <c r="B2106" s="473" t="s">
        <v>3465</v>
      </c>
      <c r="C2106" s="473" t="s">
        <v>1253</v>
      </c>
      <c r="D2106" s="474" t="s">
        <v>879</v>
      </c>
      <c r="E2106" s="475">
        <v>23</v>
      </c>
    </row>
    <row r="2107" spans="2:5" x14ac:dyDescent="0.35">
      <c r="B2107" s="473" t="s">
        <v>2667</v>
      </c>
      <c r="C2107" s="473" t="s">
        <v>578</v>
      </c>
      <c r="D2107" s="474" t="s">
        <v>332</v>
      </c>
      <c r="E2107" s="475">
        <v>23</v>
      </c>
    </row>
    <row r="2108" spans="2:5" x14ac:dyDescent="0.35">
      <c r="B2108" s="473" t="s">
        <v>2349</v>
      </c>
      <c r="C2108" s="473" t="s">
        <v>284</v>
      </c>
      <c r="D2108" s="474" t="s">
        <v>212</v>
      </c>
      <c r="E2108" s="475">
        <v>34</v>
      </c>
    </row>
    <row r="2109" spans="2:5" x14ac:dyDescent="0.35">
      <c r="B2109" s="473" t="s">
        <v>2372</v>
      </c>
      <c r="C2109" s="473" t="s">
        <v>305</v>
      </c>
      <c r="D2109" s="474" t="s">
        <v>212</v>
      </c>
      <c r="E2109" s="475">
        <v>22</v>
      </c>
    </row>
    <row r="2110" spans="2:5" x14ac:dyDescent="0.35">
      <c r="B2110" s="473" t="s">
        <v>3493</v>
      </c>
      <c r="C2110" s="473" t="s">
        <v>1281</v>
      </c>
      <c r="D2110" s="474" t="s">
        <v>879</v>
      </c>
      <c r="E2110" s="475">
        <v>24</v>
      </c>
    </row>
    <row r="2111" spans="2:5" x14ac:dyDescent="0.35">
      <c r="B2111" s="473" t="s">
        <v>3825</v>
      </c>
      <c r="C2111" s="473" t="s">
        <v>1599</v>
      </c>
      <c r="D2111" s="474" t="s">
        <v>1400</v>
      </c>
      <c r="E2111" s="475">
        <v>22</v>
      </c>
    </row>
    <row r="2112" spans="2:5" x14ac:dyDescent="0.35">
      <c r="B2112" s="473" t="s">
        <v>3583</v>
      </c>
      <c r="C2112" s="473" t="s">
        <v>1371</v>
      </c>
      <c r="D2112" s="474" t="s">
        <v>1282</v>
      </c>
      <c r="E2112" s="475">
        <v>34</v>
      </c>
    </row>
    <row r="2113" spans="2:5" x14ac:dyDescent="0.35">
      <c r="B2113" s="473" t="s">
        <v>2452</v>
      </c>
      <c r="C2113" s="473" t="s">
        <v>360</v>
      </c>
      <c r="D2113" s="474" t="s">
        <v>332</v>
      </c>
      <c r="E2113" s="475">
        <v>22</v>
      </c>
    </row>
    <row r="2114" spans="2:5" x14ac:dyDescent="0.35">
      <c r="B2114" s="473" t="s">
        <v>2723</v>
      </c>
      <c r="C2114" s="473" t="s">
        <v>624</v>
      </c>
      <c r="D2114" s="474" t="s">
        <v>332</v>
      </c>
      <c r="E2114" s="475">
        <v>34</v>
      </c>
    </row>
    <row r="2115" spans="2:5" x14ac:dyDescent="0.35">
      <c r="B2115" s="473" t="s">
        <v>2319</v>
      </c>
      <c r="C2115" s="473" t="s">
        <v>254</v>
      </c>
      <c r="D2115" s="474" t="s">
        <v>212</v>
      </c>
      <c r="E2115" s="475">
        <v>34</v>
      </c>
    </row>
    <row r="2116" spans="2:5" x14ac:dyDescent="0.35">
      <c r="B2116" s="473" t="s">
        <v>2618</v>
      </c>
      <c r="C2116" s="473" t="s">
        <v>531</v>
      </c>
      <c r="D2116" s="474" t="s">
        <v>332</v>
      </c>
      <c r="E2116" s="475">
        <v>34</v>
      </c>
    </row>
    <row r="2117" spans="2:5" x14ac:dyDescent="0.35">
      <c r="B2117" s="473" t="s">
        <v>3106</v>
      </c>
      <c r="C2117" s="473" t="s">
        <v>956</v>
      </c>
      <c r="D2117" s="474" t="s">
        <v>879</v>
      </c>
      <c r="E2117" s="475">
        <v>34</v>
      </c>
    </row>
    <row r="2118" spans="2:5" x14ac:dyDescent="0.35">
      <c r="B2118" s="473" t="s">
        <v>2573</v>
      </c>
      <c r="C2118" s="473" t="s">
        <v>490</v>
      </c>
      <c r="D2118" s="474" t="s">
        <v>332</v>
      </c>
      <c r="E2118" s="475">
        <v>34</v>
      </c>
    </row>
    <row r="2119" spans="2:5" x14ac:dyDescent="0.35">
      <c r="B2119" s="473" t="s">
        <v>3804</v>
      </c>
      <c r="C2119" s="473" t="s">
        <v>1580</v>
      </c>
      <c r="D2119" s="474" t="s">
        <v>1400</v>
      </c>
      <c r="E2119" s="475">
        <v>12</v>
      </c>
    </row>
    <row r="2120" spans="2:5" x14ac:dyDescent="0.35">
      <c r="B2120" s="473" t="s">
        <v>3014</v>
      </c>
      <c r="C2120" s="473" t="s">
        <v>882</v>
      </c>
      <c r="D2120" s="474" t="s">
        <v>879</v>
      </c>
      <c r="E2120" s="475">
        <v>11</v>
      </c>
    </row>
    <row r="2121" spans="2:5" x14ac:dyDescent="0.35">
      <c r="B2121" s="473" t="s">
        <v>3167</v>
      </c>
      <c r="C2121" s="473" t="s">
        <v>1007</v>
      </c>
      <c r="D2121" s="474" t="s">
        <v>879</v>
      </c>
      <c r="E2121" s="475">
        <v>22</v>
      </c>
    </row>
    <row r="2122" spans="2:5" x14ac:dyDescent="0.35">
      <c r="B2122" s="473" t="s">
        <v>3066</v>
      </c>
      <c r="C2122" s="473" t="s">
        <v>922</v>
      </c>
      <c r="D2122" s="474" t="s">
        <v>879</v>
      </c>
      <c r="E2122" s="475">
        <v>24</v>
      </c>
    </row>
    <row r="2123" spans="2:5" x14ac:dyDescent="0.35">
      <c r="B2123" s="473" t="s">
        <v>3865</v>
      </c>
      <c r="C2123" s="473" t="s">
        <v>1637</v>
      </c>
      <c r="D2123" s="474" t="s">
        <v>1400</v>
      </c>
      <c r="E2123" s="475">
        <v>34</v>
      </c>
    </row>
    <row r="2124" spans="2:5" x14ac:dyDescent="0.35">
      <c r="B2124" s="473" t="s">
        <v>3934</v>
      </c>
      <c r="C2124" s="473" t="s">
        <v>1703</v>
      </c>
      <c r="D2124" s="474" t="s">
        <v>1679</v>
      </c>
      <c r="E2124" s="475">
        <v>23</v>
      </c>
    </row>
    <row r="2125" spans="2:5" x14ac:dyDescent="0.35">
      <c r="B2125" s="473" t="s">
        <v>2230</v>
      </c>
      <c r="C2125" s="473" t="s">
        <v>174</v>
      </c>
      <c r="D2125" s="473" t="s">
        <v>40</v>
      </c>
      <c r="E2125" s="475">
        <v>23</v>
      </c>
    </row>
    <row r="2126" spans="2:5" x14ac:dyDescent="0.35">
      <c r="B2126" s="473" t="s">
        <v>3568</v>
      </c>
      <c r="C2126" s="473" t="s">
        <v>1356</v>
      </c>
      <c r="D2126" s="474" t="s">
        <v>1282</v>
      </c>
      <c r="E2126" s="475">
        <v>22</v>
      </c>
    </row>
    <row r="2127" spans="2:5" x14ac:dyDescent="0.35">
      <c r="B2127" s="473" t="s">
        <v>3569</v>
      </c>
      <c r="C2127" s="473" t="s">
        <v>1357</v>
      </c>
      <c r="D2127" s="474" t="s">
        <v>1282</v>
      </c>
      <c r="E2127" s="475">
        <v>24</v>
      </c>
    </row>
    <row r="2128" spans="2:5" x14ac:dyDescent="0.35">
      <c r="B2128" s="473" t="s">
        <v>2373</v>
      </c>
      <c r="C2128" s="473" t="s">
        <v>306</v>
      </c>
      <c r="D2128" s="474" t="s">
        <v>212</v>
      </c>
      <c r="E2128" s="475">
        <v>22</v>
      </c>
    </row>
    <row r="2129" spans="2:5" x14ac:dyDescent="0.35">
      <c r="B2129" s="473" t="s">
        <v>3651</v>
      </c>
      <c r="C2129" s="473" t="s">
        <v>1439</v>
      </c>
      <c r="D2129" s="474" t="s">
        <v>1400</v>
      </c>
      <c r="E2129" s="475">
        <v>12</v>
      </c>
    </row>
    <row r="2130" spans="2:5" x14ac:dyDescent="0.35">
      <c r="B2130" s="473" t="s">
        <v>3365</v>
      </c>
      <c r="C2130" s="473" t="s">
        <v>1161</v>
      </c>
      <c r="D2130" s="474" t="s">
        <v>879</v>
      </c>
      <c r="E2130" s="475">
        <v>32</v>
      </c>
    </row>
    <row r="2131" spans="2:5" x14ac:dyDescent="0.35">
      <c r="B2131" s="473" t="s">
        <v>4023</v>
      </c>
      <c r="C2131" s="473" t="s">
        <v>1784</v>
      </c>
      <c r="D2131" s="474" t="s">
        <v>1679</v>
      </c>
      <c r="E2131" s="475">
        <v>22</v>
      </c>
    </row>
    <row r="2132" spans="2:5" x14ac:dyDescent="0.35">
      <c r="B2132" s="473" t="s">
        <v>3620</v>
      </c>
      <c r="C2132" s="473" t="s">
        <v>1408</v>
      </c>
      <c r="D2132" s="474" t="s">
        <v>1400</v>
      </c>
      <c r="E2132" s="475">
        <v>22</v>
      </c>
    </row>
    <row r="2133" spans="2:5" x14ac:dyDescent="0.35">
      <c r="B2133" s="473" t="s">
        <v>3387</v>
      </c>
      <c r="C2133" s="473" t="s">
        <v>1181</v>
      </c>
      <c r="D2133" s="474" t="s">
        <v>879</v>
      </c>
      <c r="E2133" s="475">
        <v>32</v>
      </c>
    </row>
    <row r="2134" spans="2:5" x14ac:dyDescent="0.35">
      <c r="B2134" s="473" t="s">
        <v>3466</v>
      </c>
      <c r="C2134" s="473" t="s">
        <v>1254</v>
      </c>
      <c r="D2134" s="474" t="s">
        <v>879</v>
      </c>
      <c r="E2134" s="475">
        <v>24</v>
      </c>
    </row>
    <row r="2135" spans="2:5" x14ac:dyDescent="0.35">
      <c r="B2135" s="473" t="s">
        <v>4312</v>
      </c>
      <c r="C2135" s="473" t="s">
        <v>4313</v>
      </c>
      <c r="D2135" s="474" t="s">
        <v>2042</v>
      </c>
      <c r="E2135" s="475">
        <v>91</v>
      </c>
    </row>
    <row r="2136" spans="2:5" x14ac:dyDescent="0.35">
      <c r="B2136" s="473" t="s">
        <v>4334</v>
      </c>
      <c r="C2136" s="473" t="s">
        <v>4335</v>
      </c>
      <c r="D2136" s="474" t="s">
        <v>2042</v>
      </c>
      <c r="E2136" s="475">
        <v>91</v>
      </c>
    </row>
    <row r="2137" spans="2:5" x14ac:dyDescent="0.35">
      <c r="B2137" s="473" t="s">
        <v>4332</v>
      </c>
      <c r="C2137" s="473" t="s">
        <v>4333</v>
      </c>
      <c r="D2137" s="474" t="s">
        <v>2042</v>
      </c>
      <c r="E2137" s="475">
        <v>92</v>
      </c>
    </row>
    <row r="2138" spans="2:5" x14ac:dyDescent="0.35">
      <c r="B2138" s="473" t="s">
        <v>4338</v>
      </c>
      <c r="C2138" s="473" t="s">
        <v>4339</v>
      </c>
      <c r="D2138" s="474" t="s">
        <v>2042</v>
      </c>
      <c r="E2138" s="475">
        <v>93</v>
      </c>
    </row>
    <row r="2139" spans="2:5" x14ac:dyDescent="0.35">
      <c r="B2139" s="473" t="s">
        <v>2783</v>
      </c>
      <c r="C2139" s="473" t="s">
        <v>684</v>
      </c>
      <c r="D2139" s="474" t="s">
        <v>332</v>
      </c>
      <c r="E2139" s="475">
        <v>11</v>
      </c>
    </row>
    <row r="2140" spans="2:5" x14ac:dyDescent="0.35">
      <c r="B2140" s="473" t="s">
        <v>2417</v>
      </c>
      <c r="C2140" s="473" t="s">
        <v>335</v>
      </c>
      <c r="D2140" s="474" t="s">
        <v>332</v>
      </c>
      <c r="E2140" s="475">
        <v>11</v>
      </c>
    </row>
    <row r="2141" spans="2:5" x14ac:dyDescent="0.35">
      <c r="B2141" s="473" t="s">
        <v>2784</v>
      </c>
      <c r="C2141" s="473" t="s">
        <v>685</v>
      </c>
      <c r="D2141" s="474" t="s">
        <v>332</v>
      </c>
      <c r="E2141" s="475">
        <v>23</v>
      </c>
    </row>
    <row r="2142" spans="2:5" x14ac:dyDescent="0.35">
      <c r="B2142" s="473" t="s">
        <v>4314</v>
      </c>
      <c r="C2142" s="473" t="s">
        <v>4315</v>
      </c>
      <c r="D2142" s="474" t="s">
        <v>2042</v>
      </c>
      <c r="E2142" s="475">
        <v>92</v>
      </c>
    </row>
    <row r="2143" spans="2:5" x14ac:dyDescent="0.35">
      <c r="B2143" s="473" t="s">
        <v>4336</v>
      </c>
      <c r="C2143" s="473" t="s">
        <v>4337</v>
      </c>
      <c r="D2143" s="474" t="s">
        <v>2042</v>
      </c>
      <c r="E2143" s="475">
        <v>93</v>
      </c>
    </row>
    <row r="2144" spans="2:5" x14ac:dyDescent="0.35">
      <c r="B2144" s="473" t="s">
        <v>4328</v>
      </c>
      <c r="C2144" s="473" t="s">
        <v>4329</v>
      </c>
      <c r="D2144" s="474" t="s">
        <v>2042</v>
      </c>
      <c r="E2144" s="475">
        <v>92</v>
      </c>
    </row>
    <row r="2145" spans="2:5" x14ac:dyDescent="0.35">
      <c r="B2145" s="473" t="s">
        <v>4320</v>
      </c>
      <c r="C2145" s="473" t="s">
        <v>4321</v>
      </c>
      <c r="D2145" s="474" t="s">
        <v>2042</v>
      </c>
      <c r="E2145" s="475">
        <v>93</v>
      </c>
    </row>
    <row r="2146" spans="2:5" x14ac:dyDescent="0.35">
      <c r="B2146" s="473" t="s">
        <v>4296</v>
      </c>
      <c r="C2146" s="473" t="s">
        <v>4297</v>
      </c>
      <c r="D2146" s="474" t="s">
        <v>2042</v>
      </c>
      <c r="E2146" s="475">
        <v>91</v>
      </c>
    </row>
    <row r="2147" spans="2:5" x14ac:dyDescent="0.35">
      <c r="B2147" s="473" t="s">
        <v>4310</v>
      </c>
      <c r="C2147" s="473" t="s">
        <v>4311</v>
      </c>
      <c r="D2147" s="474" t="s">
        <v>2042</v>
      </c>
      <c r="E2147" s="475">
        <v>91</v>
      </c>
    </row>
    <row r="2148" spans="2:5" x14ac:dyDescent="0.35">
      <c r="B2148" s="473" t="s">
        <v>4300</v>
      </c>
      <c r="C2148" s="473" t="s">
        <v>4301</v>
      </c>
      <c r="D2148" s="474" t="s">
        <v>2042</v>
      </c>
      <c r="E2148" s="475">
        <v>91</v>
      </c>
    </row>
    <row r="2149" spans="2:5" x14ac:dyDescent="0.35">
      <c r="B2149" s="473" t="s">
        <v>4298</v>
      </c>
      <c r="C2149" s="473" t="s">
        <v>4299</v>
      </c>
      <c r="D2149" s="474" t="s">
        <v>2042</v>
      </c>
      <c r="E2149" s="475">
        <v>91</v>
      </c>
    </row>
    <row r="2150" spans="2:5" x14ac:dyDescent="0.35">
      <c r="B2150" s="473" t="s">
        <v>4340</v>
      </c>
      <c r="C2150" s="473" t="s">
        <v>4341</v>
      </c>
      <c r="D2150" s="474" t="s">
        <v>2042</v>
      </c>
      <c r="E2150" s="475">
        <v>93</v>
      </c>
    </row>
    <row r="2151" spans="2:5" x14ac:dyDescent="0.35">
      <c r="B2151" s="473" t="s">
        <v>4304</v>
      </c>
      <c r="C2151" s="473" t="s">
        <v>4305</v>
      </c>
      <c r="D2151" s="474" t="s">
        <v>2042</v>
      </c>
      <c r="E2151" s="475">
        <v>91</v>
      </c>
    </row>
    <row r="2152" spans="2:5" x14ac:dyDescent="0.35">
      <c r="B2152" s="473" t="s">
        <v>4306</v>
      </c>
      <c r="C2152" s="473" t="s">
        <v>4307</v>
      </c>
      <c r="D2152" s="474" t="s">
        <v>2042</v>
      </c>
      <c r="E2152" s="475">
        <v>91</v>
      </c>
    </row>
    <row r="2153" spans="2:5" x14ac:dyDescent="0.35">
      <c r="B2153" s="473" t="s">
        <v>4318</v>
      </c>
      <c r="C2153" s="473" t="s">
        <v>4319</v>
      </c>
      <c r="D2153" s="474" t="s">
        <v>2042</v>
      </c>
      <c r="E2153" s="475">
        <v>92</v>
      </c>
    </row>
    <row r="2154" spans="2:5" x14ac:dyDescent="0.35">
      <c r="B2154" s="473" t="s">
        <v>4308</v>
      </c>
      <c r="C2154" s="473" t="s">
        <v>4309</v>
      </c>
      <c r="D2154" s="474" t="s">
        <v>2042</v>
      </c>
      <c r="E2154" s="475">
        <v>91</v>
      </c>
    </row>
    <row r="2155" spans="2:5" x14ac:dyDescent="0.35">
      <c r="B2155" s="473" t="s">
        <v>4326</v>
      </c>
      <c r="C2155" s="473" t="s">
        <v>4327</v>
      </c>
      <c r="D2155" s="474" t="s">
        <v>2042</v>
      </c>
      <c r="E2155" s="475">
        <v>92</v>
      </c>
    </row>
    <row r="2156" spans="2:5" x14ac:dyDescent="0.35">
      <c r="B2156" s="473" t="s">
        <v>4322</v>
      </c>
      <c r="C2156" s="473" t="s">
        <v>4323</v>
      </c>
      <c r="D2156" s="474" t="s">
        <v>2042</v>
      </c>
      <c r="E2156" s="475">
        <v>93</v>
      </c>
    </row>
    <row r="2157" spans="2:5" x14ac:dyDescent="0.35">
      <c r="B2157" s="473" t="s">
        <v>4324</v>
      </c>
      <c r="C2157" s="473" t="s">
        <v>4325</v>
      </c>
      <c r="D2157" s="474" t="s">
        <v>2042</v>
      </c>
      <c r="E2157" s="475">
        <v>92</v>
      </c>
    </row>
    <row r="2158" spans="2:5" x14ac:dyDescent="0.35">
      <c r="B2158" s="473" t="s">
        <v>4316</v>
      </c>
      <c r="C2158" s="473" t="s">
        <v>4317</v>
      </c>
      <c r="D2158" s="474" t="s">
        <v>2042</v>
      </c>
      <c r="E2158" s="475">
        <v>92</v>
      </c>
    </row>
    <row r="2159" spans="2:5" x14ac:dyDescent="0.35">
      <c r="B2159" s="473" t="s">
        <v>4330</v>
      </c>
      <c r="C2159" s="473" t="s">
        <v>4331</v>
      </c>
      <c r="D2159" s="474" t="s">
        <v>2042</v>
      </c>
      <c r="E2159" s="475">
        <v>92</v>
      </c>
    </row>
    <row r="2160" spans="2:5" x14ac:dyDescent="0.35">
      <c r="B2160" s="473" t="s">
        <v>4302</v>
      </c>
      <c r="C2160" s="473" t="s">
        <v>4303</v>
      </c>
      <c r="D2160" s="474" t="s">
        <v>2042</v>
      </c>
      <c r="E2160" s="475">
        <v>91</v>
      </c>
    </row>
    <row r="2161" spans="2:5" x14ac:dyDescent="0.35">
      <c r="B2161" s="473" t="s">
        <v>3628</v>
      </c>
      <c r="C2161" s="473" t="s">
        <v>1416</v>
      </c>
      <c r="D2161" s="474" t="s">
        <v>1400</v>
      </c>
      <c r="E2161" s="475">
        <v>33</v>
      </c>
    </row>
    <row r="2162" spans="2:5" x14ac:dyDescent="0.35">
      <c r="B2162" s="473" t="s">
        <v>2891</v>
      </c>
      <c r="C2162" s="473" t="s">
        <v>782</v>
      </c>
      <c r="D2162" s="474" t="s">
        <v>332</v>
      </c>
      <c r="E2162" s="475">
        <v>22</v>
      </c>
    </row>
    <row r="2163" spans="2:5" x14ac:dyDescent="0.35">
      <c r="B2163" s="473" t="s">
        <v>2892</v>
      </c>
      <c r="C2163" s="473" t="s">
        <v>783</v>
      </c>
      <c r="D2163" s="474" t="s">
        <v>332</v>
      </c>
      <c r="E2163" s="475">
        <v>23</v>
      </c>
    </row>
    <row r="2164" spans="2:5" x14ac:dyDescent="0.35">
      <c r="B2164" s="473" t="s">
        <v>2176</v>
      </c>
      <c r="C2164" s="473" t="s">
        <v>120</v>
      </c>
      <c r="D2164" s="473" t="s">
        <v>40</v>
      </c>
      <c r="E2164" s="475">
        <v>23</v>
      </c>
    </row>
    <row r="2165" spans="2:5" x14ac:dyDescent="0.35">
      <c r="B2165" s="473" t="s">
        <v>2262</v>
      </c>
      <c r="C2165" s="473" t="s">
        <v>206</v>
      </c>
      <c r="D2165" s="473" t="s">
        <v>40</v>
      </c>
      <c r="E2165" s="475">
        <v>34</v>
      </c>
    </row>
    <row r="2166" spans="2:5" x14ac:dyDescent="0.35">
      <c r="B2166" s="473" t="s">
        <v>4194</v>
      </c>
      <c r="C2166" s="473" t="s">
        <v>1947</v>
      </c>
      <c r="D2166" s="474" t="s">
        <v>1679</v>
      </c>
      <c r="E2166" s="475">
        <v>22</v>
      </c>
    </row>
    <row r="2167" spans="2:5" x14ac:dyDescent="0.35">
      <c r="B2167" s="473" t="s">
        <v>2963</v>
      </c>
      <c r="C2167" s="473" t="s">
        <v>851</v>
      </c>
      <c r="D2167" s="474" t="s">
        <v>332</v>
      </c>
      <c r="E2167" s="475">
        <v>24</v>
      </c>
    </row>
    <row r="2168" spans="2:5" x14ac:dyDescent="0.35">
      <c r="B2168" s="473" t="s">
        <v>3724</v>
      </c>
      <c r="C2168" s="473" t="s">
        <v>1508</v>
      </c>
      <c r="D2168" s="474" t="s">
        <v>1400</v>
      </c>
      <c r="E2168" s="475">
        <v>34</v>
      </c>
    </row>
    <row r="2169" spans="2:5" x14ac:dyDescent="0.35">
      <c r="B2169" s="473" t="s">
        <v>2761</v>
      </c>
      <c r="C2169" s="473" t="s">
        <v>641</v>
      </c>
      <c r="D2169" s="474" t="s">
        <v>332</v>
      </c>
      <c r="E2169" s="475">
        <v>34</v>
      </c>
    </row>
    <row r="2170" spans="2:5" x14ac:dyDescent="0.35">
      <c r="B2170" s="473" t="s">
        <v>3999</v>
      </c>
      <c r="C2170" s="473" t="s">
        <v>1766</v>
      </c>
      <c r="D2170" s="474" t="s">
        <v>1679</v>
      </c>
      <c r="E2170" s="475">
        <v>23</v>
      </c>
    </row>
    <row r="2171" spans="2:5" x14ac:dyDescent="0.35">
      <c r="B2171" s="473" t="s">
        <v>3695</v>
      </c>
      <c r="C2171" s="473" t="s">
        <v>1479</v>
      </c>
      <c r="D2171" s="474" t="s">
        <v>1400</v>
      </c>
      <c r="E2171" s="475">
        <v>22</v>
      </c>
    </row>
    <row r="2172" spans="2:5" x14ac:dyDescent="0.35">
      <c r="B2172" s="473" t="s">
        <v>4052</v>
      </c>
      <c r="C2172" s="473" t="s">
        <v>1813</v>
      </c>
      <c r="D2172" s="474" t="s">
        <v>1679</v>
      </c>
      <c r="E2172" s="475">
        <v>23</v>
      </c>
    </row>
    <row r="2173" spans="2:5" x14ac:dyDescent="0.35">
      <c r="B2173" s="473" t="s">
        <v>2762</v>
      </c>
      <c r="C2173" s="473" t="s">
        <v>642</v>
      </c>
      <c r="D2173" s="474" t="s">
        <v>332</v>
      </c>
      <c r="E2173" s="475">
        <v>33</v>
      </c>
    </row>
    <row r="2174" spans="2:5" x14ac:dyDescent="0.35">
      <c r="B2174" s="473" t="s">
        <v>2872</v>
      </c>
      <c r="C2174" s="473" t="s">
        <v>761</v>
      </c>
      <c r="D2174" s="474" t="s">
        <v>332</v>
      </c>
      <c r="E2174" s="475">
        <v>22</v>
      </c>
    </row>
    <row r="2175" spans="2:5" x14ac:dyDescent="0.35">
      <c r="B2175" s="473" t="s">
        <v>3215</v>
      </c>
      <c r="C2175" s="473" t="s">
        <v>1049</v>
      </c>
      <c r="D2175" s="474" t="s">
        <v>879</v>
      </c>
      <c r="E2175" s="475">
        <v>22</v>
      </c>
    </row>
    <row r="2176" spans="2:5" x14ac:dyDescent="0.35">
      <c r="B2176" s="473" t="s">
        <v>2828</v>
      </c>
      <c r="C2176" s="473" t="s">
        <v>721</v>
      </c>
      <c r="D2176" s="474" t="s">
        <v>332</v>
      </c>
      <c r="E2176" s="475">
        <v>23</v>
      </c>
    </row>
    <row r="2177" spans="2:5" x14ac:dyDescent="0.35">
      <c r="B2177" s="473" t="s">
        <v>2116</v>
      </c>
      <c r="C2177" s="473" t="s">
        <v>60</v>
      </c>
      <c r="D2177" s="473" t="s">
        <v>40</v>
      </c>
      <c r="E2177" s="475">
        <v>23</v>
      </c>
    </row>
    <row r="2178" spans="2:5" x14ac:dyDescent="0.35">
      <c r="B2178" s="473" t="s">
        <v>2829</v>
      </c>
      <c r="C2178" s="473" t="s">
        <v>722</v>
      </c>
      <c r="D2178" s="474" t="s">
        <v>332</v>
      </c>
      <c r="E2178" s="475">
        <v>12</v>
      </c>
    </row>
    <row r="2179" spans="2:5" x14ac:dyDescent="0.35">
      <c r="B2179" s="473" t="s">
        <v>2203</v>
      </c>
      <c r="C2179" s="473" t="s">
        <v>147</v>
      </c>
      <c r="D2179" s="473" t="s">
        <v>40</v>
      </c>
      <c r="E2179" s="475">
        <v>22</v>
      </c>
    </row>
    <row r="2180" spans="2:5" x14ac:dyDescent="0.35">
      <c r="B2180" s="473" t="s">
        <v>3107</v>
      </c>
      <c r="C2180" s="473" t="s">
        <v>957</v>
      </c>
      <c r="D2180" s="474" t="s">
        <v>879</v>
      </c>
      <c r="E2180" s="475">
        <v>34</v>
      </c>
    </row>
    <row r="2181" spans="2:5" x14ac:dyDescent="0.35">
      <c r="B2181" s="473" t="s">
        <v>3245</v>
      </c>
      <c r="C2181" s="473" t="s">
        <v>1071</v>
      </c>
      <c r="D2181" s="474" t="s">
        <v>879</v>
      </c>
      <c r="E2181" s="475">
        <v>23</v>
      </c>
    </row>
    <row r="2182" spans="2:5" x14ac:dyDescent="0.35">
      <c r="B2182" s="473" t="s">
        <v>2931</v>
      </c>
      <c r="C2182" s="473" t="s">
        <v>819</v>
      </c>
      <c r="D2182" s="474" t="s">
        <v>332</v>
      </c>
      <c r="E2182" s="475">
        <v>34</v>
      </c>
    </row>
    <row r="2183" spans="2:5" x14ac:dyDescent="0.35">
      <c r="B2183" s="473" t="s">
        <v>3191</v>
      </c>
      <c r="C2183" s="473" t="s">
        <v>1029</v>
      </c>
      <c r="D2183" s="474" t="s">
        <v>879</v>
      </c>
      <c r="E2183" s="475">
        <v>32</v>
      </c>
    </row>
    <row r="2184" spans="2:5" x14ac:dyDescent="0.35">
      <c r="B2184" s="473" t="s">
        <v>2453</v>
      </c>
      <c r="C2184" s="473" t="s">
        <v>361</v>
      </c>
      <c r="D2184" s="474" t="s">
        <v>332</v>
      </c>
      <c r="E2184" s="475">
        <v>12</v>
      </c>
    </row>
    <row r="2185" spans="2:5" x14ac:dyDescent="0.35">
      <c r="B2185" s="473" t="s">
        <v>2350</v>
      </c>
      <c r="C2185" s="473" t="s">
        <v>285</v>
      </c>
      <c r="D2185" s="474" t="s">
        <v>212</v>
      </c>
      <c r="E2185" s="475">
        <v>24</v>
      </c>
    </row>
    <row r="2186" spans="2:5" x14ac:dyDescent="0.35">
      <c r="B2186" s="473" t="s">
        <v>2964</v>
      </c>
      <c r="C2186" s="473" t="s">
        <v>852</v>
      </c>
      <c r="D2186" s="474" t="s">
        <v>332</v>
      </c>
      <c r="E2186" s="475">
        <v>22</v>
      </c>
    </row>
    <row r="2187" spans="2:5" x14ac:dyDescent="0.35">
      <c r="B2187" s="473" t="s">
        <v>3284</v>
      </c>
      <c r="C2187" s="473" t="s">
        <v>1104</v>
      </c>
      <c r="D2187" s="474" t="s">
        <v>879</v>
      </c>
      <c r="E2187" s="475">
        <v>23</v>
      </c>
    </row>
    <row r="2188" spans="2:5" x14ac:dyDescent="0.35">
      <c r="B2188" s="473" t="s">
        <v>2873</v>
      </c>
      <c r="C2188" s="473" t="s">
        <v>762</v>
      </c>
      <c r="D2188" s="474" t="s">
        <v>332</v>
      </c>
      <c r="E2188" s="475">
        <v>23</v>
      </c>
    </row>
    <row r="2189" spans="2:5" x14ac:dyDescent="0.35">
      <c r="B2189" s="473" t="s">
        <v>2263</v>
      </c>
      <c r="C2189" s="473" t="s">
        <v>207</v>
      </c>
      <c r="D2189" s="473" t="s">
        <v>40</v>
      </c>
      <c r="E2189" s="475">
        <v>34</v>
      </c>
    </row>
    <row r="2190" spans="2:5" x14ac:dyDescent="0.35">
      <c r="B2190" s="473" t="s">
        <v>3386</v>
      </c>
      <c r="C2190" s="473" t="s">
        <v>1180</v>
      </c>
      <c r="D2190" s="474" t="s">
        <v>879</v>
      </c>
      <c r="E2190" s="475">
        <v>24</v>
      </c>
    </row>
    <row r="2191" spans="2:5" x14ac:dyDescent="0.35">
      <c r="B2191" s="473" t="s">
        <v>2893</v>
      </c>
      <c r="C2191" s="473" t="s">
        <v>784</v>
      </c>
      <c r="D2191" s="474" t="s">
        <v>332</v>
      </c>
      <c r="E2191" s="475">
        <v>24</v>
      </c>
    </row>
    <row r="2192" spans="2:5" x14ac:dyDescent="0.35">
      <c r="B2192" s="473" t="s">
        <v>2454</v>
      </c>
      <c r="C2192" s="473" t="s">
        <v>362</v>
      </c>
      <c r="D2192" s="474" t="s">
        <v>332</v>
      </c>
      <c r="E2192" s="475">
        <v>23</v>
      </c>
    </row>
    <row r="2193" spans="2:5" x14ac:dyDescent="0.35">
      <c r="B2193" s="473" t="s">
        <v>2401</v>
      </c>
      <c r="C2193" s="473" t="s">
        <v>322</v>
      </c>
      <c r="D2193" s="474" t="s">
        <v>212</v>
      </c>
      <c r="E2193" s="475">
        <v>11</v>
      </c>
    </row>
    <row r="2194" spans="2:5" x14ac:dyDescent="0.35">
      <c r="B2194" s="473" t="s">
        <v>3467</v>
      </c>
      <c r="C2194" s="473" t="s">
        <v>1255</v>
      </c>
      <c r="D2194" s="474" t="s">
        <v>879</v>
      </c>
      <c r="E2194" s="475">
        <v>24</v>
      </c>
    </row>
    <row r="2195" spans="2:5" x14ac:dyDescent="0.35">
      <c r="B2195" s="473" t="s">
        <v>2986</v>
      </c>
      <c r="C2195" s="473" t="s">
        <v>768</v>
      </c>
      <c r="D2195" s="474" t="s">
        <v>332</v>
      </c>
      <c r="E2195" s="475">
        <v>23</v>
      </c>
    </row>
    <row r="2196" spans="2:5" x14ac:dyDescent="0.35">
      <c r="B2196" s="473" t="s">
        <v>2507</v>
      </c>
      <c r="C2196" s="473" t="s">
        <v>413</v>
      </c>
      <c r="D2196" s="474" t="s">
        <v>332</v>
      </c>
      <c r="E2196" s="475">
        <v>33</v>
      </c>
    </row>
    <row r="2197" spans="2:5" x14ac:dyDescent="0.35">
      <c r="B2197" s="473" t="s">
        <v>4268</v>
      </c>
      <c r="C2197" s="473" t="s">
        <v>2014</v>
      </c>
      <c r="D2197" s="474" t="s">
        <v>1950</v>
      </c>
      <c r="E2197" s="475">
        <v>11</v>
      </c>
    </row>
    <row r="2198" spans="2:5" x14ac:dyDescent="0.35">
      <c r="B2198" s="473" t="s">
        <v>2763</v>
      </c>
      <c r="C2198" s="473" t="s">
        <v>643</v>
      </c>
      <c r="D2198" s="474" t="s">
        <v>332</v>
      </c>
      <c r="E2198" s="475">
        <v>22</v>
      </c>
    </row>
    <row r="2199" spans="2:5" x14ac:dyDescent="0.35">
      <c r="B2199" s="473" t="s">
        <v>2965</v>
      </c>
      <c r="C2199" s="473" t="s">
        <v>853</v>
      </c>
      <c r="D2199" s="474" t="s">
        <v>332</v>
      </c>
      <c r="E2199" s="475">
        <v>12</v>
      </c>
    </row>
    <row r="2200" spans="2:5" x14ac:dyDescent="0.35">
      <c r="B2200" s="473" t="s">
        <v>4053</v>
      </c>
      <c r="C2200" s="473" t="s">
        <v>1814</v>
      </c>
      <c r="D2200" s="474" t="s">
        <v>1679</v>
      </c>
      <c r="E2200" s="475">
        <v>11</v>
      </c>
    </row>
    <row r="2201" spans="2:5" x14ac:dyDescent="0.35">
      <c r="B2201" s="473" t="s">
        <v>3725</v>
      </c>
      <c r="C2201" s="473" t="s">
        <v>1509</v>
      </c>
      <c r="D2201" s="474" t="s">
        <v>1400</v>
      </c>
      <c r="E2201" s="475">
        <v>33</v>
      </c>
    </row>
    <row r="2202" spans="2:5" x14ac:dyDescent="0.35">
      <c r="B2202" s="473" t="s">
        <v>2140</v>
      </c>
      <c r="C2202" s="473" t="s">
        <v>84</v>
      </c>
      <c r="D2202" s="473" t="s">
        <v>40</v>
      </c>
      <c r="E2202" s="475">
        <v>34</v>
      </c>
    </row>
    <row r="2203" spans="2:5" x14ac:dyDescent="0.35">
      <c r="B2203" s="473" t="s">
        <v>2117</v>
      </c>
      <c r="C2203" s="473" t="s">
        <v>61</v>
      </c>
      <c r="D2203" s="473" t="s">
        <v>40</v>
      </c>
      <c r="E2203" s="475">
        <v>22</v>
      </c>
    </row>
    <row r="2204" spans="2:5" x14ac:dyDescent="0.35">
      <c r="B2204" s="473" t="s">
        <v>2596</v>
      </c>
      <c r="C2204" s="473" t="s">
        <v>511</v>
      </c>
      <c r="D2204" s="474" t="s">
        <v>332</v>
      </c>
      <c r="E2204" s="475">
        <v>33</v>
      </c>
    </row>
    <row r="2205" spans="2:5" x14ac:dyDescent="0.35">
      <c r="B2205" s="473" t="s">
        <v>3652</v>
      </c>
      <c r="C2205" s="473" t="s">
        <v>1440</v>
      </c>
      <c r="D2205" s="474" t="s">
        <v>1400</v>
      </c>
      <c r="E2205" s="475">
        <v>22</v>
      </c>
    </row>
    <row r="2206" spans="2:5" x14ac:dyDescent="0.35">
      <c r="B2206" s="473" t="s">
        <v>2830</v>
      </c>
      <c r="C2206" s="473" t="s">
        <v>723</v>
      </c>
      <c r="D2206" s="474" t="s">
        <v>332</v>
      </c>
      <c r="E2206" s="475">
        <v>24</v>
      </c>
    </row>
    <row r="2207" spans="2:5" x14ac:dyDescent="0.35">
      <c r="B2207" s="473" t="s">
        <v>2910</v>
      </c>
      <c r="C2207" s="473" t="s">
        <v>801</v>
      </c>
      <c r="D2207" s="474" t="s">
        <v>332</v>
      </c>
      <c r="E2207" s="475">
        <v>24</v>
      </c>
    </row>
    <row r="2208" spans="2:5" x14ac:dyDescent="0.35">
      <c r="B2208" s="473" t="s">
        <v>2724</v>
      </c>
      <c r="C2208" s="473" t="s">
        <v>625</v>
      </c>
      <c r="D2208" s="474" t="s">
        <v>332</v>
      </c>
      <c r="E2208" s="475">
        <v>22</v>
      </c>
    </row>
    <row r="2209" spans="2:5" x14ac:dyDescent="0.35">
      <c r="B2209" s="473" t="s">
        <v>2455</v>
      </c>
      <c r="C2209" s="473" t="s">
        <v>363</v>
      </c>
      <c r="D2209" s="474" t="s">
        <v>332</v>
      </c>
      <c r="E2209" s="475">
        <v>33</v>
      </c>
    </row>
    <row r="2210" spans="2:5" x14ac:dyDescent="0.35">
      <c r="B2210" s="473" t="s">
        <v>2727</v>
      </c>
      <c r="C2210" s="473" t="s">
        <v>628</v>
      </c>
      <c r="D2210" s="474" t="s">
        <v>332</v>
      </c>
      <c r="E2210" s="475">
        <v>34</v>
      </c>
    </row>
    <row r="2211" spans="2:5" x14ac:dyDescent="0.35">
      <c r="B2211" s="473" t="s">
        <v>2121</v>
      </c>
      <c r="C2211" s="473" t="s">
        <v>65</v>
      </c>
      <c r="D2211" s="473" t="s">
        <v>40</v>
      </c>
      <c r="E2211" s="475">
        <v>24</v>
      </c>
    </row>
    <row r="2212" spans="2:5" x14ac:dyDescent="0.35">
      <c r="B2212" s="473" t="s">
        <v>4084</v>
      </c>
      <c r="C2212" s="473" t="s">
        <v>1843</v>
      </c>
      <c r="D2212" s="474" t="s">
        <v>1679</v>
      </c>
      <c r="E2212" s="475">
        <v>22</v>
      </c>
    </row>
    <row r="2213" spans="2:5" x14ac:dyDescent="0.35">
      <c r="B2213" s="473" t="s">
        <v>3584</v>
      </c>
      <c r="C2213" s="473" t="s">
        <v>1372</v>
      </c>
      <c r="D2213" s="474" t="s">
        <v>1282</v>
      </c>
      <c r="E2213" s="475">
        <v>34</v>
      </c>
    </row>
    <row r="2214" spans="2:5" x14ac:dyDescent="0.35">
      <c r="B2214" s="473" t="s">
        <v>2456</v>
      </c>
      <c r="C2214" s="473" t="s">
        <v>364</v>
      </c>
      <c r="D2214" s="474" t="s">
        <v>332</v>
      </c>
      <c r="E2214" s="475">
        <v>24</v>
      </c>
    </row>
    <row r="2215" spans="2:5" x14ac:dyDescent="0.35">
      <c r="B2215" s="473" t="s">
        <v>2911</v>
      </c>
      <c r="C2215" s="473" t="s">
        <v>802</v>
      </c>
      <c r="D2215" s="474" t="s">
        <v>332</v>
      </c>
      <c r="E2215" s="475">
        <v>22</v>
      </c>
    </row>
    <row r="2216" spans="2:5" x14ac:dyDescent="0.35">
      <c r="B2216" s="473" t="s">
        <v>2725</v>
      </c>
      <c r="C2216" s="473" t="s">
        <v>626</v>
      </c>
      <c r="D2216" s="474" t="s">
        <v>332</v>
      </c>
      <c r="E2216" s="475">
        <v>24</v>
      </c>
    </row>
    <row r="2217" spans="2:5" x14ac:dyDescent="0.35">
      <c r="B2217" s="473" t="s">
        <v>2296</v>
      </c>
      <c r="C2217" s="473" t="s">
        <v>237</v>
      </c>
      <c r="D2217" s="474" t="s">
        <v>212</v>
      </c>
      <c r="E2217" s="475">
        <v>34</v>
      </c>
    </row>
    <row r="2218" spans="2:5" x14ac:dyDescent="0.35">
      <c r="B2218" s="473" t="s">
        <v>3468</v>
      </c>
      <c r="C2218" s="473" t="s">
        <v>1256</v>
      </c>
      <c r="D2218" s="474" t="s">
        <v>879</v>
      </c>
      <c r="E2218" s="475">
        <v>24</v>
      </c>
    </row>
    <row r="2219" spans="2:5" x14ac:dyDescent="0.35">
      <c r="B2219" s="473" t="s">
        <v>3469</v>
      </c>
      <c r="C2219" s="473" t="s">
        <v>1257</v>
      </c>
      <c r="D2219" s="474" t="s">
        <v>879</v>
      </c>
      <c r="E2219" s="475">
        <v>24</v>
      </c>
    </row>
    <row r="2220" spans="2:5" x14ac:dyDescent="0.35">
      <c r="B2220" s="473" t="s">
        <v>3612</v>
      </c>
      <c r="C2220" s="473" t="s">
        <v>26</v>
      </c>
      <c r="D2220" s="474" t="s">
        <v>1282</v>
      </c>
      <c r="E2220" s="475">
        <v>32</v>
      </c>
    </row>
    <row r="2221" spans="2:5" x14ac:dyDescent="0.35">
      <c r="B2221" s="473" t="s">
        <v>4195</v>
      </c>
      <c r="C2221" s="473" t="s">
        <v>1948</v>
      </c>
      <c r="D2221" s="474" t="s">
        <v>1679</v>
      </c>
      <c r="E2221" s="475">
        <v>32</v>
      </c>
    </row>
    <row r="2222" spans="2:5" x14ac:dyDescent="0.35">
      <c r="B2222" s="473" t="s">
        <v>3366</v>
      </c>
      <c r="C2222" s="473" t="s">
        <v>1162</v>
      </c>
      <c r="D2222" s="474" t="s">
        <v>879</v>
      </c>
      <c r="E2222" s="475">
        <v>23</v>
      </c>
    </row>
    <row r="2223" spans="2:5" x14ac:dyDescent="0.35">
      <c r="B2223" s="473" t="s">
        <v>4196</v>
      </c>
      <c r="C2223" s="473" t="s">
        <v>1949</v>
      </c>
      <c r="D2223" s="474" t="s">
        <v>1679</v>
      </c>
      <c r="E2223" s="475">
        <v>32</v>
      </c>
    </row>
    <row r="2224" spans="2:5" x14ac:dyDescent="0.35">
      <c r="B2224" s="473" t="s">
        <v>2597</v>
      </c>
      <c r="C2224" s="473" t="s">
        <v>512</v>
      </c>
      <c r="D2224" s="474" t="s">
        <v>332</v>
      </c>
      <c r="E2224" s="475">
        <v>32</v>
      </c>
    </row>
    <row r="2225" spans="2:5" x14ac:dyDescent="0.35">
      <c r="B2225" s="473" t="s">
        <v>3814</v>
      </c>
      <c r="C2225" s="473" t="s">
        <v>1590</v>
      </c>
      <c r="D2225" s="474" t="s">
        <v>1400</v>
      </c>
      <c r="E2225" s="475">
        <v>12</v>
      </c>
    </row>
    <row r="2226" spans="2:5" x14ac:dyDescent="0.35">
      <c r="B2226" s="473" t="s">
        <v>2179</v>
      </c>
      <c r="C2226" s="473" t="s">
        <v>123</v>
      </c>
      <c r="D2226" s="473" t="s">
        <v>40</v>
      </c>
      <c r="E2226" s="475">
        <v>23</v>
      </c>
    </row>
    <row r="2227" spans="2:5" x14ac:dyDescent="0.35">
      <c r="B2227" s="473" t="s">
        <v>2598</v>
      </c>
      <c r="C2227" s="473" t="s">
        <v>513</v>
      </c>
      <c r="D2227" s="474" t="s">
        <v>332</v>
      </c>
      <c r="E2227" s="475">
        <v>22</v>
      </c>
    </row>
    <row r="2228" spans="2:5" x14ac:dyDescent="0.35">
      <c r="B2228" s="473" t="s">
        <v>2966</v>
      </c>
      <c r="C2228" s="473" t="s">
        <v>854</v>
      </c>
      <c r="D2228" s="474" t="s">
        <v>332</v>
      </c>
      <c r="E2228" s="475">
        <v>24</v>
      </c>
    </row>
    <row r="2229" spans="2:5" x14ac:dyDescent="0.35">
      <c r="B2229" s="473" t="s">
        <v>2120</v>
      </c>
      <c r="C2229" s="473" t="s">
        <v>64</v>
      </c>
      <c r="D2229" s="473" t="s">
        <v>40</v>
      </c>
      <c r="E2229" s="475">
        <v>24</v>
      </c>
    </row>
    <row r="2230" spans="2:5" x14ac:dyDescent="0.35">
      <c r="B2230" s="473" t="s">
        <v>4000</v>
      </c>
      <c r="C2230" s="473" t="s">
        <v>1767</v>
      </c>
      <c r="D2230" s="474" t="s">
        <v>1679</v>
      </c>
      <c r="E2230" s="475">
        <v>22</v>
      </c>
    </row>
    <row r="2231" spans="2:5" x14ac:dyDescent="0.35">
      <c r="B2231" s="473" t="s">
        <v>2550</v>
      </c>
      <c r="C2231" s="473" t="s">
        <v>469</v>
      </c>
      <c r="D2231" s="474" t="s">
        <v>332</v>
      </c>
      <c r="E2231" s="475">
        <v>34</v>
      </c>
    </row>
    <row r="2232" spans="2:5" x14ac:dyDescent="0.35">
      <c r="B2232" s="473" t="s">
        <v>2831</v>
      </c>
      <c r="C2232" s="473" t="s">
        <v>724</v>
      </c>
      <c r="D2232" s="474" t="s">
        <v>332</v>
      </c>
      <c r="E2232" s="475">
        <v>24</v>
      </c>
    </row>
    <row r="2233" spans="2:5" x14ac:dyDescent="0.35">
      <c r="B2233" s="473" t="s">
        <v>4157</v>
      </c>
      <c r="C2233" s="473" t="s">
        <v>1910</v>
      </c>
      <c r="D2233" s="474" t="s">
        <v>1679</v>
      </c>
      <c r="E2233" s="475">
        <v>24</v>
      </c>
    </row>
    <row r="2234" spans="2:5" x14ac:dyDescent="0.35">
      <c r="B2234" s="473" t="s">
        <v>2204</v>
      </c>
      <c r="C2234" s="473" t="s">
        <v>148</v>
      </c>
      <c r="D2234" s="473" t="s">
        <v>40</v>
      </c>
      <c r="E2234" s="475">
        <v>33</v>
      </c>
    </row>
    <row r="2235" spans="2:5" x14ac:dyDescent="0.35">
      <c r="B2235" s="473" t="s">
        <v>2912</v>
      </c>
      <c r="C2235" s="473" t="s">
        <v>803</v>
      </c>
      <c r="D2235" s="474" t="s">
        <v>332</v>
      </c>
      <c r="E2235" s="475">
        <v>24</v>
      </c>
    </row>
    <row r="2236" spans="2:5" x14ac:dyDescent="0.35">
      <c r="B2236" s="473" t="s">
        <v>3415</v>
      </c>
      <c r="C2236" s="473" t="s">
        <v>1207</v>
      </c>
      <c r="D2236" s="474" t="s">
        <v>879</v>
      </c>
      <c r="E2236" s="475">
        <v>23</v>
      </c>
    </row>
    <row r="2237" spans="2:5" x14ac:dyDescent="0.35">
      <c r="B2237" s="473" t="s">
        <v>3011</v>
      </c>
      <c r="C2237" s="473" t="s">
        <v>878</v>
      </c>
      <c r="D2237" s="474" t="s">
        <v>332</v>
      </c>
      <c r="E2237" s="475">
        <v>33</v>
      </c>
    </row>
    <row r="2238" spans="2:5" x14ac:dyDescent="0.35">
      <c r="B2238" s="473" t="s">
        <v>4295</v>
      </c>
      <c r="C2238" s="473" t="s">
        <v>2041</v>
      </c>
      <c r="D2238" s="474" t="s">
        <v>1950</v>
      </c>
      <c r="E2238" s="475">
        <v>12</v>
      </c>
    </row>
    <row r="2239" spans="2:5" x14ac:dyDescent="0.35">
      <c r="B2239" s="473" t="s">
        <v>2987</v>
      </c>
      <c r="C2239" s="473" t="s">
        <v>426</v>
      </c>
      <c r="D2239" s="474" t="s">
        <v>332</v>
      </c>
      <c r="E2239" s="475">
        <v>12</v>
      </c>
    </row>
  </sheetData>
  <sortState ref="B45:E2166">
    <sortCondition ref="C16:C2137"/>
  </sortState>
  <pageMargins left="0.7" right="0.7" top="0.78740157499999996" bottom="0.78740157499999996" header="0.3" footer="0.3"/>
  <pageSetup paperSize="9" scale="75"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45"/>
  <sheetViews>
    <sheetView workbookViewId="0"/>
  </sheetViews>
  <sheetFormatPr baseColWidth="10" defaultRowHeight="14.5" x14ac:dyDescent="0.35"/>
  <cols>
    <col min="1" max="1" width="3.25" customWidth="1"/>
    <col min="2" max="2" width="3.58203125" bestFit="1" customWidth="1"/>
    <col min="3" max="3" width="26.75" bestFit="1" customWidth="1"/>
    <col min="4" max="4" width="28.5" bestFit="1" customWidth="1"/>
    <col min="5" max="5" width="16.25" bestFit="1" customWidth="1"/>
    <col min="6" max="6" width="15.75" bestFit="1" customWidth="1"/>
    <col min="7" max="7" width="19.75" bestFit="1" customWidth="1"/>
    <col min="8" max="8" width="17.08203125" bestFit="1" customWidth="1"/>
    <col min="9" max="9" width="18.83203125" bestFit="1" customWidth="1"/>
    <col min="10" max="10" width="8.25" bestFit="1" customWidth="1"/>
  </cols>
  <sheetData>
    <row r="1" spans="1:10" x14ac:dyDescent="0.35">
      <c r="A1" s="591"/>
      <c r="B1" s="1152"/>
      <c r="C1" s="1152"/>
      <c r="D1" s="1152">
        <v>1</v>
      </c>
      <c r="E1" s="1153">
        <v>2</v>
      </c>
      <c r="F1" s="1153">
        <v>3</v>
      </c>
      <c r="G1" s="1153">
        <v>4</v>
      </c>
      <c r="H1" s="1153">
        <v>5</v>
      </c>
      <c r="I1" s="1153">
        <v>6</v>
      </c>
      <c r="J1" s="1153">
        <v>0.23</v>
      </c>
    </row>
    <row r="2" spans="1:10" x14ac:dyDescent="0.35">
      <c r="A2" s="591"/>
      <c r="B2" s="1154" t="s">
        <v>4457</v>
      </c>
      <c r="C2" s="1155" t="s">
        <v>5655</v>
      </c>
      <c r="D2" s="1155" t="s">
        <v>5656</v>
      </c>
      <c r="E2" s="1156" t="s">
        <v>5657</v>
      </c>
      <c r="F2" s="1156" t="s">
        <v>5658</v>
      </c>
      <c r="G2" s="1156" t="s">
        <v>5659</v>
      </c>
      <c r="H2" s="1156" t="s">
        <v>5660</v>
      </c>
      <c r="I2" s="1156" t="s">
        <v>5661</v>
      </c>
      <c r="J2" s="1156" t="s">
        <v>5662</v>
      </c>
    </row>
    <row r="3" spans="1:10" x14ac:dyDescent="0.35">
      <c r="A3" s="591"/>
      <c r="B3" s="1157">
        <v>11</v>
      </c>
      <c r="C3" s="582" t="s">
        <v>5663</v>
      </c>
      <c r="D3" s="582" t="str">
        <f>CONCATENATE(B3,C3)</f>
        <v>11zu Fuß</v>
      </c>
      <c r="E3" s="1158">
        <v>103.42540900130059</v>
      </c>
      <c r="F3" s="1158">
        <v>13.749388694648726</v>
      </c>
      <c r="G3" s="1158">
        <v>10.106020456158101</v>
      </c>
      <c r="H3" s="1159">
        <v>25.748410983600934</v>
      </c>
      <c r="I3" s="1158">
        <v>157.22670787965208</v>
      </c>
      <c r="J3" s="1158">
        <f>F3*$J$1</f>
        <v>3.162359399769207</v>
      </c>
    </row>
    <row r="4" spans="1:10" x14ac:dyDescent="0.35">
      <c r="A4" s="591"/>
      <c r="B4" s="1157">
        <f>B3</f>
        <v>11</v>
      </c>
      <c r="C4" s="582" t="s">
        <v>5664</v>
      </c>
      <c r="D4" s="582" t="str">
        <f t="shared" ref="D4:D15" si="0">CONCATENATE(B4,C4)</f>
        <v>11Fahrrad</v>
      </c>
      <c r="E4" s="1158">
        <v>159.14968781791939</v>
      </c>
      <c r="F4" s="1158">
        <v>57.867681993831944</v>
      </c>
      <c r="G4" s="1158">
        <v>9.5082427054132843</v>
      </c>
      <c r="H4" s="1159">
        <v>19.076821986640944</v>
      </c>
      <c r="I4" s="1158">
        <v>136.95408826850681</v>
      </c>
      <c r="J4" s="1158">
        <f t="shared" ref="J4:J67" si="1">F4*$J$1</f>
        <v>13.309566858581348</v>
      </c>
    </row>
    <row r="5" spans="1:10" x14ac:dyDescent="0.35">
      <c r="A5" s="591"/>
      <c r="B5" s="1157">
        <f t="shared" ref="B5:B15" si="2">B4</f>
        <v>11</v>
      </c>
      <c r="C5" s="582" t="s">
        <v>5665</v>
      </c>
      <c r="D5" s="582" t="str">
        <f t="shared" si="0"/>
        <v>11Moped/Motorrad</v>
      </c>
      <c r="E5" s="1158">
        <v>86.574867980859509</v>
      </c>
      <c r="F5" s="1158">
        <v>12.630146891372409</v>
      </c>
      <c r="G5" s="1158">
        <v>1.5232260510356324</v>
      </c>
      <c r="H5" s="1159">
        <v>4.021490871569763</v>
      </c>
      <c r="I5" s="1158">
        <v>119.95578328793708</v>
      </c>
      <c r="J5" s="1158">
        <f t="shared" si="1"/>
        <v>2.904933785015654</v>
      </c>
    </row>
    <row r="6" spans="1:10" x14ac:dyDescent="0.35">
      <c r="A6" s="591"/>
      <c r="B6" s="1157">
        <f t="shared" si="2"/>
        <v>11</v>
      </c>
      <c r="C6" s="582" t="s">
        <v>5666</v>
      </c>
      <c r="D6" s="582" t="str">
        <f t="shared" si="0"/>
        <v>11PKW LenkerIn</v>
      </c>
      <c r="E6" s="1158">
        <v>2654.7810705674665</v>
      </c>
      <c r="F6" s="1158">
        <v>1417.9373550082209</v>
      </c>
      <c r="G6" s="1158">
        <v>39.171699332412921</v>
      </c>
      <c r="H6" s="1159">
        <v>300.67900528921115</v>
      </c>
      <c r="I6" s="1158">
        <v>1114.8253917883214</v>
      </c>
      <c r="J6" s="1158">
        <f t="shared" si="1"/>
        <v>326.12559165189083</v>
      </c>
    </row>
    <row r="7" spans="1:10" x14ac:dyDescent="0.35">
      <c r="A7" s="591"/>
      <c r="B7" s="1157">
        <f t="shared" si="2"/>
        <v>11</v>
      </c>
      <c r="C7" s="582" t="s">
        <v>5667</v>
      </c>
      <c r="D7" s="582" t="str">
        <f t="shared" si="0"/>
        <v>11PKW MitfahrerIn</v>
      </c>
      <c r="E7" s="1158">
        <v>1564.5527400904155</v>
      </c>
      <c r="F7" s="1158">
        <v>154.80393689524186</v>
      </c>
      <c r="G7" s="1158">
        <v>54.212770760363597</v>
      </c>
      <c r="H7" s="1159">
        <v>117.02946215774048</v>
      </c>
      <c r="I7" s="1158">
        <v>775.81979257811201</v>
      </c>
      <c r="J7" s="1158">
        <f t="shared" si="1"/>
        <v>35.604905485905633</v>
      </c>
    </row>
    <row r="8" spans="1:10" x14ac:dyDescent="0.35">
      <c r="A8" s="591"/>
      <c r="B8" s="1157">
        <f t="shared" si="2"/>
        <v>11</v>
      </c>
      <c r="C8" s="582" t="s">
        <v>5668</v>
      </c>
      <c r="D8" s="582" t="str">
        <f t="shared" si="0"/>
        <v>11Stadt-Regionalbus</v>
      </c>
      <c r="E8" s="1158">
        <v>184.03274295631454</v>
      </c>
      <c r="F8" s="1158">
        <v>64.642456348208839</v>
      </c>
      <c r="G8" s="1158">
        <v>44.125351225016324</v>
      </c>
      <c r="H8" s="1159">
        <v>22.983009763313344</v>
      </c>
      <c r="I8" s="1158">
        <v>62.856377796699832</v>
      </c>
      <c r="J8" s="1158">
        <f t="shared" si="1"/>
        <v>14.867764960088033</v>
      </c>
    </row>
    <row r="9" spans="1:10" x14ac:dyDescent="0.35">
      <c r="A9" s="591"/>
      <c r="B9" s="1157">
        <f t="shared" si="2"/>
        <v>11</v>
      </c>
      <c r="C9" s="582" t="s">
        <v>5669</v>
      </c>
      <c r="D9" s="582" t="str">
        <f t="shared" si="0"/>
        <v>11Straßenbahn/Ubahn</v>
      </c>
      <c r="E9" s="1158">
        <v>109.79806357499433</v>
      </c>
      <c r="F9" s="1158">
        <v>48.634345199960997</v>
      </c>
      <c r="G9" s="1158">
        <v>14.903378147107981</v>
      </c>
      <c r="H9" s="1159">
        <v>12.67584021885486</v>
      </c>
      <c r="I9" s="1158">
        <v>45.856576927405527</v>
      </c>
      <c r="J9" s="1158">
        <f t="shared" si="1"/>
        <v>11.185899395991029</v>
      </c>
    </row>
    <row r="10" spans="1:10" x14ac:dyDescent="0.35">
      <c r="A10" s="591"/>
      <c r="B10" s="1157">
        <f t="shared" si="2"/>
        <v>11</v>
      </c>
      <c r="C10" s="582" t="s">
        <v>5670</v>
      </c>
      <c r="D10" s="582" t="str">
        <f t="shared" si="0"/>
        <v>11Eisen-/Schnellbahn oder Fernzug</v>
      </c>
      <c r="E10" s="1158">
        <v>757.36703626920087</v>
      </c>
      <c r="F10" s="1158">
        <v>343.60937195958275</v>
      </c>
      <c r="G10" s="1158">
        <v>61.66181116395839</v>
      </c>
      <c r="H10" s="1159">
        <v>10.779189560265628</v>
      </c>
      <c r="I10" s="1158">
        <v>192.72160921674131</v>
      </c>
      <c r="J10" s="1158">
        <f t="shared" si="1"/>
        <v>79.030155550704038</v>
      </c>
    </row>
    <row r="11" spans="1:10" x14ac:dyDescent="0.35">
      <c r="A11" s="591"/>
      <c r="B11" s="1157">
        <f t="shared" si="2"/>
        <v>11</v>
      </c>
      <c r="C11" s="582" t="s">
        <v>5671</v>
      </c>
      <c r="D11" s="582" t="str">
        <f t="shared" si="0"/>
        <v>11Reisebus</v>
      </c>
      <c r="E11" s="1158">
        <v>79.122674184700998</v>
      </c>
      <c r="F11" s="1158">
        <v>25.108802686407042</v>
      </c>
      <c r="G11" s="1158">
        <v>22.350465584867951</v>
      </c>
      <c r="H11" s="1159">
        <v>0</v>
      </c>
      <c r="I11" s="1158">
        <v>49.891870009442577</v>
      </c>
      <c r="J11" s="1158">
        <f t="shared" si="1"/>
        <v>5.77502461787362</v>
      </c>
    </row>
    <row r="12" spans="1:10" x14ac:dyDescent="0.35">
      <c r="A12" s="591"/>
      <c r="B12" s="1157">
        <f t="shared" si="2"/>
        <v>11</v>
      </c>
      <c r="C12" s="582" t="s">
        <v>5672</v>
      </c>
      <c r="D12" s="582" t="str">
        <f t="shared" si="0"/>
        <v>11PKW (Erdgas)</v>
      </c>
      <c r="E12" s="1160"/>
      <c r="F12" s="1160"/>
      <c r="G12" s="1160"/>
      <c r="H12" s="1159"/>
      <c r="I12" s="1160"/>
      <c r="J12" s="1160">
        <f t="shared" si="1"/>
        <v>0</v>
      </c>
    </row>
    <row r="13" spans="1:10" x14ac:dyDescent="0.35">
      <c r="A13" s="591"/>
      <c r="B13" s="1157">
        <f t="shared" si="2"/>
        <v>11</v>
      </c>
      <c r="C13" s="582" t="s">
        <v>5673</v>
      </c>
      <c r="D13" s="582" t="str">
        <f t="shared" si="0"/>
        <v>11PKW (Elektro)</v>
      </c>
      <c r="E13" s="1160"/>
      <c r="F13" s="1160"/>
      <c r="G13" s="1160"/>
      <c r="H13" s="1159"/>
      <c r="I13" s="1160"/>
      <c r="J13" s="1160">
        <f t="shared" si="1"/>
        <v>0</v>
      </c>
    </row>
    <row r="14" spans="1:10" x14ac:dyDescent="0.35">
      <c r="A14" s="591"/>
      <c r="B14" s="1157">
        <f t="shared" si="2"/>
        <v>11</v>
      </c>
      <c r="C14" s="582" t="s">
        <v>5674</v>
      </c>
      <c r="D14" s="582" t="str">
        <f t="shared" si="0"/>
        <v>11PKW (Elektro-UZ46)</v>
      </c>
      <c r="E14" s="1160"/>
      <c r="F14" s="1160"/>
      <c r="G14" s="1160"/>
      <c r="H14" s="1159"/>
      <c r="I14" s="1160"/>
      <c r="J14" s="1160">
        <f t="shared" si="1"/>
        <v>0</v>
      </c>
    </row>
    <row r="15" spans="1:10" x14ac:dyDescent="0.35">
      <c r="A15" s="591"/>
      <c r="B15" s="1161">
        <f t="shared" si="2"/>
        <v>11</v>
      </c>
      <c r="C15" s="1162" t="s">
        <v>2085</v>
      </c>
      <c r="D15" s="292" t="str">
        <f t="shared" si="0"/>
        <v>11Summe</v>
      </c>
      <c r="E15" s="1163">
        <f>SUM(E3:E14)</f>
        <v>5698.8042924431729</v>
      </c>
      <c r="F15" s="1163">
        <f>SUM(F3:F14)</f>
        <v>2138.9834856774755</v>
      </c>
      <c r="G15" s="1163">
        <f>SUM(G3:G14)</f>
        <v>257.56296542633419</v>
      </c>
      <c r="H15" s="1163">
        <f>SUM(H3:H14)</f>
        <v>512.99323083119714</v>
      </c>
      <c r="I15" s="1163">
        <f>SUM(I3:I14)</f>
        <v>2656.1081977528188</v>
      </c>
      <c r="J15" s="1163">
        <f t="shared" si="1"/>
        <v>491.9662017058194</v>
      </c>
    </row>
    <row r="16" spans="1:10" x14ac:dyDescent="0.35">
      <c r="A16" s="591"/>
      <c r="B16" s="1157">
        <v>12</v>
      </c>
      <c r="C16" s="582" t="s">
        <v>5663</v>
      </c>
      <c r="D16" s="582" t="str">
        <f>CONCATENATE(B16,C16)</f>
        <v>12zu Fuß</v>
      </c>
      <c r="E16" s="1158">
        <v>89.074484269067227</v>
      </c>
      <c r="F16" s="1158">
        <v>10.786296928565605</v>
      </c>
      <c r="G16" s="1158">
        <v>9.1068633521923719</v>
      </c>
      <c r="H16" s="1159">
        <v>16.143386584179275</v>
      </c>
      <c r="I16" s="1158">
        <v>150.99856801606674</v>
      </c>
      <c r="J16" s="1158">
        <f t="shared" si="1"/>
        <v>2.4808482935700891</v>
      </c>
    </row>
    <row r="17" spans="1:10" x14ac:dyDescent="0.35">
      <c r="A17" s="591"/>
      <c r="B17" s="1157">
        <f>B16</f>
        <v>12</v>
      </c>
      <c r="C17" s="582" t="s">
        <v>5664</v>
      </c>
      <c r="D17" s="582" t="str">
        <f t="shared" ref="D17:D28" si="3">CONCATENATE(B17,C17)</f>
        <v>12Fahrrad</v>
      </c>
      <c r="E17" s="1158">
        <v>140.23263514616261</v>
      </c>
      <c r="F17" s="1158">
        <v>26.477123796558178</v>
      </c>
      <c r="G17" s="1158">
        <v>1.7185082883791436</v>
      </c>
      <c r="H17" s="1159">
        <v>21.363459450596061</v>
      </c>
      <c r="I17" s="1158">
        <v>161.32612221571924</v>
      </c>
      <c r="J17" s="1158">
        <f t="shared" si="1"/>
        <v>6.0897384732083815</v>
      </c>
    </row>
    <row r="18" spans="1:10" x14ac:dyDescent="0.35">
      <c r="A18" s="591"/>
      <c r="B18" s="1157">
        <f t="shared" ref="B18:B28" si="4">B17</f>
        <v>12</v>
      </c>
      <c r="C18" s="582" t="s">
        <v>5665</v>
      </c>
      <c r="D18" s="582" t="str">
        <f t="shared" si="3"/>
        <v>12Moped/Motorrad</v>
      </c>
      <c r="E18" s="1158">
        <v>30.895486283159979</v>
      </c>
      <c r="F18" s="1158">
        <v>15.895075565906943</v>
      </c>
      <c r="G18" s="1158">
        <v>2.9743682393278452</v>
      </c>
      <c r="H18" s="1159">
        <v>1.9118646720079742</v>
      </c>
      <c r="I18" s="1158">
        <v>14.592907665576213</v>
      </c>
      <c r="J18" s="1158">
        <f t="shared" si="1"/>
        <v>3.6558673801585972</v>
      </c>
    </row>
    <row r="19" spans="1:10" x14ac:dyDescent="0.35">
      <c r="A19" s="591"/>
      <c r="B19" s="1157">
        <f t="shared" si="4"/>
        <v>12</v>
      </c>
      <c r="C19" s="582" t="s">
        <v>5666</v>
      </c>
      <c r="D19" s="582" t="str">
        <f t="shared" si="3"/>
        <v>12PKW LenkerIn</v>
      </c>
      <c r="E19" s="1158">
        <v>3137.220743914962</v>
      </c>
      <c r="F19" s="1158">
        <v>1364.7176522626623</v>
      </c>
      <c r="G19" s="1158">
        <v>49.831972989546188</v>
      </c>
      <c r="H19" s="1159">
        <v>282.61659933281766</v>
      </c>
      <c r="I19" s="1158">
        <v>1621.2345019488719</v>
      </c>
      <c r="J19" s="1158">
        <f t="shared" si="1"/>
        <v>313.88506002041237</v>
      </c>
    </row>
    <row r="20" spans="1:10" x14ac:dyDescent="0.35">
      <c r="A20" s="591"/>
      <c r="B20" s="1157">
        <f t="shared" si="4"/>
        <v>12</v>
      </c>
      <c r="C20" s="582" t="s">
        <v>5667</v>
      </c>
      <c r="D20" s="582" t="str">
        <f t="shared" si="3"/>
        <v>12PKW MitfahrerIn</v>
      </c>
      <c r="E20" s="1158">
        <v>1713.9051290863395</v>
      </c>
      <c r="F20" s="1158">
        <v>245.20391193682391</v>
      </c>
      <c r="G20" s="1158">
        <v>56.269955279037831</v>
      </c>
      <c r="H20" s="1159">
        <v>147.53700182179267</v>
      </c>
      <c r="I20" s="1158">
        <v>740.1775806269502</v>
      </c>
      <c r="J20" s="1158">
        <f t="shared" si="1"/>
        <v>56.396899745469504</v>
      </c>
    </row>
    <row r="21" spans="1:10" x14ac:dyDescent="0.35">
      <c r="A21" s="591"/>
      <c r="B21" s="1157">
        <f t="shared" si="4"/>
        <v>12</v>
      </c>
      <c r="C21" s="582" t="s">
        <v>5668</v>
      </c>
      <c r="D21" s="582" t="str">
        <f t="shared" si="3"/>
        <v>12Stadt-Regionalbus</v>
      </c>
      <c r="E21" s="1158">
        <v>204.63380219984404</v>
      </c>
      <c r="F21" s="1158">
        <v>84.966166506750795</v>
      </c>
      <c r="G21" s="1158">
        <v>78.90729833251298</v>
      </c>
      <c r="H21" s="1159">
        <v>6.1308696477963656</v>
      </c>
      <c r="I21" s="1158">
        <v>40.593591050861356</v>
      </c>
      <c r="J21" s="1158">
        <f t="shared" si="1"/>
        <v>19.542218296552683</v>
      </c>
    </row>
    <row r="22" spans="1:10" x14ac:dyDescent="0.35">
      <c r="A22" s="591"/>
      <c r="B22" s="1157">
        <f t="shared" si="4"/>
        <v>12</v>
      </c>
      <c r="C22" s="582" t="s">
        <v>5669</v>
      </c>
      <c r="D22" s="582" t="str">
        <f t="shared" si="3"/>
        <v>12Straßenbahn/Ubahn</v>
      </c>
      <c r="E22" s="1158">
        <v>132.26264408613264</v>
      </c>
      <c r="F22" s="1158">
        <v>72.847584828784008</v>
      </c>
      <c r="G22" s="1158">
        <v>33.583040197691922</v>
      </c>
      <c r="H22" s="1159">
        <v>1.7058913485342646</v>
      </c>
      <c r="I22" s="1158">
        <v>45.425622070729837</v>
      </c>
      <c r="J22" s="1158">
        <f t="shared" si="1"/>
        <v>16.754944510620323</v>
      </c>
    </row>
    <row r="23" spans="1:10" x14ac:dyDescent="0.35">
      <c r="A23" s="591"/>
      <c r="B23" s="1157">
        <f t="shared" si="4"/>
        <v>12</v>
      </c>
      <c r="C23" s="582" t="s">
        <v>5670</v>
      </c>
      <c r="D23" s="582" t="str">
        <f t="shared" si="3"/>
        <v>12Eisen-/Schnellbahn oder Fernzug</v>
      </c>
      <c r="E23" s="1158">
        <v>465.85536795726841</v>
      </c>
      <c r="F23" s="1158">
        <v>186.61364937475111</v>
      </c>
      <c r="G23" s="1158">
        <v>100.16167686002461</v>
      </c>
      <c r="H23" s="1159">
        <v>0.89707483208324235</v>
      </c>
      <c r="I23" s="1158">
        <v>113.24262370541781</v>
      </c>
      <c r="J23" s="1158">
        <f t="shared" si="1"/>
        <v>42.921139356192754</v>
      </c>
    </row>
    <row r="24" spans="1:10" x14ac:dyDescent="0.35">
      <c r="A24" s="591"/>
      <c r="B24" s="1157">
        <f t="shared" si="4"/>
        <v>12</v>
      </c>
      <c r="C24" s="582" t="s">
        <v>5671</v>
      </c>
      <c r="D24" s="582" t="str">
        <f t="shared" si="3"/>
        <v>12Reisebus</v>
      </c>
      <c r="E24" s="1158">
        <v>64.016226026912619</v>
      </c>
      <c r="F24" s="1158">
        <v>4.7640863608801216E-3</v>
      </c>
      <c r="G24" s="1158">
        <v>6.0694947822348384</v>
      </c>
      <c r="H24" s="1159">
        <v>0</v>
      </c>
      <c r="I24" s="1158">
        <v>352.20148186707718</v>
      </c>
      <c r="J24" s="1158">
        <f t="shared" si="1"/>
        <v>1.0957398630024281E-3</v>
      </c>
    </row>
    <row r="25" spans="1:10" x14ac:dyDescent="0.35">
      <c r="A25" s="591"/>
      <c r="B25" s="1157">
        <f t="shared" si="4"/>
        <v>12</v>
      </c>
      <c r="C25" s="582" t="s">
        <v>5672</v>
      </c>
      <c r="D25" s="582" t="str">
        <f t="shared" si="3"/>
        <v>12PKW (Erdgas)</v>
      </c>
      <c r="E25" s="1160"/>
      <c r="F25" s="1160"/>
      <c r="G25" s="1160"/>
      <c r="H25" s="1164"/>
      <c r="I25" s="1160"/>
      <c r="J25" s="1160">
        <f t="shared" si="1"/>
        <v>0</v>
      </c>
    </row>
    <row r="26" spans="1:10" x14ac:dyDescent="0.35">
      <c r="A26" s="591"/>
      <c r="B26" s="1157">
        <f t="shared" si="4"/>
        <v>12</v>
      </c>
      <c r="C26" s="582" t="s">
        <v>5673</v>
      </c>
      <c r="D26" s="582" t="str">
        <f t="shared" si="3"/>
        <v>12PKW (Elektro)</v>
      </c>
      <c r="E26" s="1160"/>
      <c r="F26" s="1160"/>
      <c r="G26" s="1160"/>
      <c r="H26" s="1164"/>
      <c r="I26" s="1160"/>
      <c r="J26" s="1160">
        <f t="shared" si="1"/>
        <v>0</v>
      </c>
    </row>
    <row r="27" spans="1:10" x14ac:dyDescent="0.35">
      <c r="A27" s="591"/>
      <c r="B27" s="1157">
        <f t="shared" si="4"/>
        <v>12</v>
      </c>
      <c r="C27" s="582" t="s">
        <v>5674</v>
      </c>
      <c r="D27" s="582" t="str">
        <f t="shared" si="3"/>
        <v>12PKW (Elektro-UZ46)</v>
      </c>
      <c r="E27" s="1160"/>
      <c r="F27" s="1160"/>
      <c r="G27" s="1160"/>
      <c r="H27" s="1164"/>
      <c r="I27" s="1160"/>
      <c r="J27" s="1160">
        <f t="shared" si="1"/>
        <v>0</v>
      </c>
    </row>
    <row r="28" spans="1:10" x14ac:dyDescent="0.35">
      <c r="A28" s="591"/>
      <c r="B28" s="1161">
        <f t="shared" si="4"/>
        <v>12</v>
      </c>
      <c r="C28" s="1162" t="s">
        <v>2085</v>
      </c>
      <c r="D28" s="292" t="str">
        <f t="shared" si="3"/>
        <v>12Summe</v>
      </c>
      <c r="E28" s="1163">
        <f>SUM(E16:E27)</f>
        <v>5978.09651896985</v>
      </c>
      <c r="F28" s="1163">
        <f>SUM(F16:F27)</f>
        <v>2007.5122252871638</v>
      </c>
      <c r="G28" s="1163">
        <f>SUM(G16:G27)</f>
        <v>338.62317832094772</v>
      </c>
      <c r="H28" s="1163">
        <f>SUM(H16:H27)</f>
        <v>478.30614768980752</v>
      </c>
      <c r="I28" s="1163">
        <f>SUM(I16:I27)</f>
        <v>3239.7929991672709</v>
      </c>
      <c r="J28" s="1163">
        <f t="shared" si="1"/>
        <v>461.72781181604768</v>
      </c>
    </row>
    <row r="29" spans="1:10" x14ac:dyDescent="0.35">
      <c r="A29" s="591"/>
      <c r="B29" s="1157">
        <v>22</v>
      </c>
      <c r="C29" s="582" t="s">
        <v>5663</v>
      </c>
      <c r="D29" s="582" t="str">
        <f>CONCATENATE(B29,C29)</f>
        <v>22zu Fuß</v>
      </c>
      <c r="E29" s="1158">
        <v>65.722773862041407</v>
      </c>
      <c r="F29" s="1158">
        <v>9.4478416772395164</v>
      </c>
      <c r="G29" s="1158">
        <v>4.1027091239692117</v>
      </c>
      <c r="H29" s="1159">
        <v>14.368260328188434</v>
      </c>
      <c r="I29" s="1158">
        <v>149.01088790689198</v>
      </c>
      <c r="J29" s="1158">
        <f t="shared" si="1"/>
        <v>2.1730035857650889</v>
      </c>
    </row>
    <row r="30" spans="1:10" x14ac:dyDescent="0.35">
      <c r="A30" s="591"/>
      <c r="B30" s="1157">
        <f>B29</f>
        <v>22</v>
      </c>
      <c r="C30" s="582" t="s">
        <v>5664</v>
      </c>
      <c r="D30" s="582" t="str">
        <f t="shared" ref="D30:D41" si="5">CONCATENATE(B30,C30)</f>
        <v>22Fahrrad</v>
      </c>
      <c r="E30" s="1158">
        <v>84.440948845090873</v>
      </c>
      <c r="F30" s="1158">
        <v>22.158578768849598</v>
      </c>
      <c r="G30" s="1158">
        <v>2.32104353934806</v>
      </c>
      <c r="H30" s="1159">
        <v>15.511047858424789</v>
      </c>
      <c r="I30" s="1158">
        <v>98.258788086231561</v>
      </c>
      <c r="J30" s="1158">
        <f t="shared" si="1"/>
        <v>5.0964731168354076</v>
      </c>
    </row>
    <row r="31" spans="1:10" x14ac:dyDescent="0.35">
      <c r="A31" s="591"/>
      <c r="B31" s="1157">
        <f t="shared" ref="B31:B41" si="6">B30</f>
        <v>22</v>
      </c>
      <c r="C31" s="582" t="s">
        <v>5665</v>
      </c>
      <c r="D31" s="582" t="str">
        <f t="shared" si="5"/>
        <v>22Moped/Motorrad</v>
      </c>
      <c r="E31" s="1158">
        <v>21.890533058614157</v>
      </c>
      <c r="F31" s="1158">
        <v>5.7223053465773912</v>
      </c>
      <c r="G31" s="1158">
        <v>1.9524742042957035</v>
      </c>
      <c r="H31" s="1159">
        <v>1.3998297163113005</v>
      </c>
      <c r="I31" s="1158">
        <v>43.06822453868277</v>
      </c>
      <c r="J31" s="1158">
        <f t="shared" si="1"/>
        <v>1.3161302297128001</v>
      </c>
    </row>
    <row r="32" spans="1:10" x14ac:dyDescent="0.35">
      <c r="A32" s="591"/>
      <c r="B32" s="1157">
        <f t="shared" si="6"/>
        <v>22</v>
      </c>
      <c r="C32" s="582" t="s">
        <v>5666</v>
      </c>
      <c r="D32" s="582" t="str">
        <f t="shared" si="5"/>
        <v>22PKW LenkerIn</v>
      </c>
      <c r="E32" s="1158">
        <v>3640.6940477315752</v>
      </c>
      <c r="F32" s="1158">
        <v>2152.3822892885678</v>
      </c>
      <c r="G32" s="1158">
        <v>71.892556172162728</v>
      </c>
      <c r="H32" s="1159">
        <v>376.55759024466346</v>
      </c>
      <c r="I32" s="1158">
        <v>1568.3965405165645</v>
      </c>
      <c r="J32" s="1158">
        <f t="shared" si="1"/>
        <v>495.0479265363706</v>
      </c>
    </row>
    <row r="33" spans="1:10" x14ac:dyDescent="0.35">
      <c r="A33" s="591"/>
      <c r="B33" s="1157">
        <f t="shared" si="6"/>
        <v>22</v>
      </c>
      <c r="C33" s="582" t="s">
        <v>5667</v>
      </c>
      <c r="D33" s="582" t="str">
        <f t="shared" si="5"/>
        <v>22PKW MitfahrerIn</v>
      </c>
      <c r="E33" s="1158">
        <v>1656.4575831112081</v>
      </c>
      <c r="F33" s="1158">
        <v>282.97349461184228</v>
      </c>
      <c r="G33" s="1158">
        <v>48.285706906917163</v>
      </c>
      <c r="H33" s="1159">
        <v>153.1599555533742</v>
      </c>
      <c r="I33" s="1158">
        <v>809.56973630993025</v>
      </c>
      <c r="J33" s="1158">
        <f t="shared" si="1"/>
        <v>65.083903760723729</v>
      </c>
    </row>
    <row r="34" spans="1:10" x14ac:dyDescent="0.35">
      <c r="A34" s="591"/>
      <c r="B34" s="1157">
        <f t="shared" si="6"/>
        <v>22</v>
      </c>
      <c r="C34" s="582" t="s">
        <v>5668</v>
      </c>
      <c r="D34" s="582" t="str">
        <f t="shared" si="5"/>
        <v>22Stadt-Regionalbus</v>
      </c>
      <c r="E34" s="1158">
        <v>159.46082798582114</v>
      </c>
      <c r="F34" s="1158">
        <v>91.320020573347108</v>
      </c>
      <c r="G34" s="1158">
        <v>102.62177060484748</v>
      </c>
      <c r="H34" s="1159">
        <v>2.0416786970713932</v>
      </c>
      <c r="I34" s="1158">
        <v>48.41870545099966</v>
      </c>
      <c r="J34" s="1158">
        <f t="shared" si="1"/>
        <v>21.003604731869835</v>
      </c>
    </row>
    <row r="35" spans="1:10" x14ac:dyDescent="0.35">
      <c r="A35" s="591"/>
      <c r="B35" s="1157">
        <f t="shared" si="6"/>
        <v>22</v>
      </c>
      <c r="C35" s="582" t="s">
        <v>5669</v>
      </c>
      <c r="D35" s="582" t="str">
        <f t="shared" si="5"/>
        <v>22Straßenbahn/Ubahn</v>
      </c>
      <c r="E35" s="1158">
        <v>33.001225269996532</v>
      </c>
      <c r="F35" s="1158">
        <v>29.53374899225976</v>
      </c>
      <c r="G35" s="1158">
        <v>10.530976174512768</v>
      </c>
      <c r="H35" s="1159">
        <v>2.8938671276191346</v>
      </c>
      <c r="I35" s="1158">
        <v>12.05926584269341</v>
      </c>
      <c r="J35" s="1158">
        <f t="shared" si="1"/>
        <v>6.7927622682197448</v>
      </c>
    </row>
    <row r="36" spans="1:10" x14ac:dyDescent="0.35">
      <c r="A36" s="591"/>
      <c r="B36" s="1157">
        <f t="shared" si="6"/>
        <v>22</v>
      </c>
      <c r="C36" s="582" t="s">
        <v>5670</v>
      </c>
      <c r="D36" s="582" t="str">
        <f t="shared" si="5"/>
        <v>22Eisen-/Schnellbahn oder Fernzug</v>
      </c>
      <c r="E36" s="1158">
        <v>954.89952792770089</v>
      </c>
      <c r="F36" s="1158">
        <v>579.89507015520849</v>
      </c>
      <c r="G36" s="1158">
        <v>144.1608627017159</v>
      </c>
      <c r="H36" s="1159">
        <v>14.701613922150408</v>
      </c>
      <c r="I36" s="1158">
        <v>302.62134919067353</v>
      </c>
      <c r="J36" s="1158">
        <f t="shared" si="1"/>
        <v>133.37586613569795</v>
      </c>
    </row>
    <row r="37" spans="1:10" x14ac:dyDescent="0.35">
      <c r="A37" s="591"/>
      <c r="B37" s="1157">
        <f t="shared" si="6"/>
        <v>22</v>
      </c>
      <c r="C37" s="582" t="s">
        <v>5671</v>
      </c>
      <c r="D37" s="582" t="str">
        <f t="shared" si="5"/>
        <v>22Reisebus</v>
      </c>
      <c r="E37" s="1158">
        <v>112.654597776033</v>
      </c>
      <c r="F37" s="1158">
        <v>0.65838067244105525</v>
      </c>
      <c r="G37" s="1158">
        <v>7.4513320004692742</v>
      </c>
      <c r="H37" s="1159">
        <v>0</v>
      </c>
      <c r="I37" s="1158">
        <v>187.77121733356759</v>
      </c>
      <c r="J37" s="1158">
        <f t="shared" si="1"/>
        <v>0.15142755466144273</v>
      </c>
    </row>
    <row r="38" spans="1:10" x14ac:dyDescent="0.35">
      <c r="A38" s="591"/>
      <c r="B38" s="1157">
        <f t="shared" si="6"/>
        <v>22</v>
      </c>
      <c r="C38" s="582" t="s">
        <v>5672</v>
      </c>
      <c r="D38" s="582" t="str">
        <f t="shared" si="5"/>
        <v>22PKW (Erdgas)</v>
      </c>
      <c r="E38" s="1160"/>
      <c r="F38" s="1160"/>
      <c r="G38" s="1160"/>
      <c r="H38" s="1164"/>
      <c r="I38" s="1160"/>
      <c r="J38" s="1160">
        <f t="shared" si="1"/>
        <v>0</v>
      </c>
    </row>
    <row r="39" spans="1:10" x14ac:dyDescent="0.35">
      <c r="A39" s="591"/>
      <c r="B39" s="1157">
        <f t="shared" si="6"/>
        <v>22</v>
      </c>
      <c r="C39" s="582" t="s">
        <v>5673</v>
      </c>
      <c r="D39" s="582" t="str">
        <f t="shared" si="5"/>
        <v>22PKW (Elektro)</v>
      </c>
      <c r="E39" s="1160"/>
      <c r="F39" s="1160"/>
      <c r="G39" s="1160"/>
      <c r="H39" s="1164"/>
      <c r="I39" s="1160"/>
      <c r="J39" s="1160">
        <f t="shared" si="1"/>
        <v>0</v>
      </c>
    </row>
    <row r="40" spans="1:10" x14ac:dyDescent="0.35">
      <c r="A40" s="591"/>
      <c r="B40" s="1157">
        <f t="shared" si="6"/>
        <v>22</v>
      </c>
      <c r="C40" s="582" t="s">
        <v>5674</v>
      </c>
      <c r="D40" s="582" t="str">
        <f t="shared" si="5"/>
        <v>22PKW (Elektro-UZ46)</v>
      </c>
      <c r="E40" s="1160"/>
      <c r="F40" s="1160"/>
      <c r="G40" s="1160"/>
      <c r="H40" s="1164"/>
      <c r="I40" s="1160"/>
      <c r="J40" s="1160">
        <f t="shared" si="1"/>
        <v>0</v>
      </c>
    </row>
    <row r="41" spans="1:10" x14ac:dyDescent="0.35">
      <c r="A41" s="591"/>
      <c r="B41" s="1161">
        <f t="shared" si="6"/>
        <v>22</v>
      </c>
      <c r="C41" s="1162" t="s">
        <v>2085</v>
      </c>
      <c r="D41" s="292" t="str">
        <f t="shared" si="5"/>
        <v>22Summe</v>
      </c>
      <c r="E41" s="1163">
        <f>SUM(E29:E40)</f>
        <v>6729.2220655680812</v>
      </c>
      <c r="F41" s="1163">
        <f>SUM(F29:F40)</f>
        <v>3174.091730086333</v>
      </c>
      <c r="G41" s="1163">
        <f>SUM(G29:G40)</f>
        <v>393.31943142823832</v>
      </c>
      <c r="H41" s="1163">
        <f>SUM(H29:H40)</f>
        <v>580.63384344780309</v>
      </c>
      <c r="I41" s="1163">
        <f>SUM(I29:I40)</f>
        <v>3219.1747151762356</v>
      </c>
      <c r="J41" s="1163">
        <f t="shared" si="1"/>
        <v>730.04109791985661</v>
      </c>
    </row>
    <row r="42" spans="1:10" x14ac:dyDescent="0.35">
      <c r="A42" s="591"/>
      <c r="B42" s="1157">
        <v>23</v>
      </c>
      <c r="C42" s="582" t="s">
        <v>5663</v>
      </c>
      <c r="D42" s="582" t="str">
        <f>CONCATENATE(B42,C42)</f>
        <v>23zu Fuß</v>
      </c>
      <c r="E42" s="1158">
        <v>57.66452362314191</v>
      </c>
      <c r="F42" s="1158">
        <v>4.4659147261200083</v>
      </c>
      <c r="G42" s="1158">
        <v>2.472659223739976</v>
      </c>
      <c r="H42" s="1159">
        <v>10.534605684314231</v>
      </c>
      <c r="I42" s="1158">
        <v>135.46335071264659</v>
      </c>
      <c r="J42" s="1158">
        <f t="shared" si="1"/>
        <v>1.027160387007602</v>
      </c>
    </row>
    <row r="43" spans="1:10" x14ac:dyDescent="0.35">
      <c r="A43" s="591"/>
      <c r="B43" s="1157">
        <f>B42</f>
        <v>23</v>
      </c>
      <c r="C43" s="582" t="s">
        <v>5664</v>
      </c>
      <c r="D43" s="582" t="str">
        <f t="shared" ref="D43:D54" si="7">CONCATENATE(B43,C43)</f>
        <v>23Fahrrad</v>
      </c>
      <c r="E43" s="1158">
        <v>74.788089920518445</v>
      </c>
      <c r="F43" s="1158">
        <v>15.479499367887426</v>
      </c>
      <c r="G43" s="1158">
        <v>0.15776672590591986</v>
      </c>
      <c r="H43" s="1159">
        <v>7.8169496761644108</v>
      </c>
      <c r="I43" s="1158">
        <v>89.659800888187064</v>
      </c>
      <c r="J43" s="1158">
        <f t="shared" si="1"/>
        <v>3.5602848546141082</v>
      </c>
    </row>
    <row r="44" spans="1:10" x14ac:dyDescent="0.35">
      <c r="A44" s="591"/>
      <c r="B44" s="1157">
        <f t="shared" ref="B44:B54" si="8">B43</f>
        <v>23</v>
      </c>
      <c r="C44" s="582" t="s">
        <v>5665</v>
      </c>
      <c r="D44" s="582" t="str">
        <f t="shared" si="7"/>
        <v>23Moped/Motorrad</v>
      </c>
      <c r="E44" s="1158">
        <v>30.002299427693988</v>
      </c>
      <c r="F44" s="1158">
        <v>6.9259014027256969</v>
      </c>
      <c r="G44" s="1158">
        <v>0.3013097957605686</v>
      </c>
      <c r="H44" s="1159">
        <v>3.0309427047662449</v>
      </c>
      <c r="I44" s="1158">
        <v>24.745016053918231</v>
      </c>
      <c r="J44" s="1158">
        <f t="shared" si="1"/>
        <v>1.5929573226269103</v>
      </c>
    </row>
    <row r="45" spans="1:10" x14ac:dyDescent="0.35">
      <c r="A45" s="591"/>
      <c r="B45" s="1157">
        <f t="shared" si="8"/>
        <v>23</v>
      </c>
      <c r="C45" s="582" t="s">
        <v>5666</v>
      </c>
      <c r="D45" s="582" t="str">
        <f t="shared" si="7"/>
        <v>23PKW LenkerIn</v>
      </c>
      <c r="E45" s="1158">
        <v>3566.3637500800501</v>
      </c>
      <c r="F45" s="1158">
        <v>2291.2934956483969</v>
      </c>
      <c r="G45" s="1158">
        <v>66.094438986544304</v>
      </c>
      <c r="H45" s="1159">
        <v>432.47089133035416</v>
      </c>
      <c r="I45" s="1158">
        <v>1489.6821555803872</v>
      </c>
      <c r="J45" s="1158">
        <f t="shared" si="1"/>
        <v>526.99750399913125</v>
      </c>
    </row>
    <row r="46" spans="1:10" x14ac:dyDescent="0.35">
      <c r="A46" s="591"/>
      <c r="B46" s="1157">
        <f t="shared" si="8"/>
        <v>23</v>
      </c>
      <c r="C46" s="582" t="s">
        <v>5667</v>
      </c>
      <c r="D46" s="582" t="str">
        <f t="shared" si="7"/>
        <v>23PKW MitfahrerIn</v>
      </c>
      <c r="E46" s="1158">
        <v>1561.4711113387978</v>
      </c>
      <c r="F46" s="1158">
        <v>155.14882921977502</v>
      </c>
      <c r="G46" s="1158">
        <v>53.488157141292518</v>
      </c>
      <c r="H46" s="1159">
        <v>285.26350576386966</v>
      </c>
      <c r="I46" s="1158">
        <v>678.29407977967185</v>
      </c>
      <c r="J46" s="1158">
        <f t="shared" si="1"/>
        <v>35.684230720548257</v>
      </c>
    </row>
    <row r="47" spans="1:10" x14ac:dyDescent="0.35">
      <c r="A47" s="591"/>
      <c r="B47" s="1157">
        <f t="shared" si="8"/>
        <v>23</v>
      </c>
      <c r="C47" s="582" t="s">
        <v>5668</v>
      </c>
      <c r="D47" s="582" t="str">
        <f t="shared" si="7"/>
        <v>23Stadt-Regionalbus</v>
      </c>
      <c r="E47" s="1158">
        <v>261.26563967186496</v>
      </c>
      <c r="F47" s="1158">
        <v>100.3753161486682</v>
      </c>
      <c r="G47" s="1158">
        <v>134.68412556486399</v>
      </c>
      <c r="H47" s="1159">
        <v>3.4485805823078017</v>
      </c>
      <c r="I47" s="1158">
        <v>66.472906170960087</v>
      </c>
      <c r="J47" s="1158">
        <f t="shared" si="1"/>
        <v>23.086322714193688</v>
      </c>
    </row>
    <row r="48" spans="1:10" x14ac:dyDescent="0.35">
      <c r="A48" s="591"/>
      <c r="B48" s="1157">
        <f t="shared" si="8"/>
        <v>23</v>
      </c>
      <c r="C48" s="582" t="s">
        <v>5669</v>
      </c>
      <c r="D48" s="582" t="str">
        <f t="shared" si="7"/>
        <v>23Straßenbahn/Ubahn</v>
      </c>
      <c r="E48" s="1158">
        <v>108.01963575351884</v>
      </c>
      <c r="F48" s="1158">
        <v>57.263758453201845</v>
      </c>
      <c r="G48" s="1158">
        <v>12.84125216666504</v>
      </c>
      <c r="H48" s="1159">
        <v>0.86963923992286218</v>
      </c>
      <c r="I48" s="1158">
        <v>21.17375119220679</v>
      </c>
      <c r="J48" s="1158">
        <f t="shared" si="1"/>
        <v>13.170664444236426</v>
      </c>
    </row>
    <row r="49" spans="1:10" x14ac:dyDescent="0.35">
      <c r="A49" s="591"/>
      <c r="B49" s="1157">
        <f t="shared" si="8"/>
        <v>23</v>
      </c>
      <c r="C49" s="582" t="s">
        <v>5670</v>
      </c>
      <c r="D49" s="582" t="str">
        <f t="shared" si="7"/>
        <v>23Eisen-/Schnellbahn oder Fernzug</v>
      </c>
      <c r="E49" s="1158">
        <v>411.30462480036061</v>
      </c>
      <c r="F49" s="1158">
        <v>213.21026419182277</v>
      </c>
      <c r="G49" s="1158">
        <v>170.81339805226946</v>
      </c>
      <c r="H49" s="1159">
        <v>12.933764643374637</v>
      </c>
      <c r="I49" s="1158">
        <v>131.70959040473312</v>
      </c>
      <c r="J49" s="1158">
        <f t="shared" si="1"/>
        <v>49.03836076411924</v>
      </c>
    </row>
    <row r="50" spans="1:10" x14ac:dyDescent="0.35">
      <c r="A50" s="591"/>
      <c r="B50" s="1157">
        <f t="shared" si="8"/>
        <v>23</v>
      </c>
      <c r="C50" s="582" t="s">
        <v>5671</v>
      </c>
      <c r="D50" s="582" t="str">
        <f t="shared" si="7"/>
        <v>23Reisebus</v>
      </c>
      <c r="E50" s="1158">
        <v>15.624260772540492</v>
      </c>
      <c r="F50" s="1158">
        <v>20.365916372465108</v>
      </c>
      <c r="G50" s="1158">
        <v>3.886589746814572E-2</v>
      </c>
      <c r="H50" s="1159">
        <v>0</v>
      </c>
      <c r="I50" s="1158">
        <v>136.82812731903837</v>
      </c>
      <c r="J50" s="1158">
        <f t="shared" si="1"/>
        <v>4.6841607656669755</v>
      </c>
    </row>
    <row r="51" spans="1:10" x14ac:dyDescent="0.35">
      <c r="A51" s="591"/>
      <c r="B51" s="1157">
        <f t="shared" si="8"/>
        <v>23</v>
      </c>
      <c r="C51" s="582" t="s">
        <v>5672</v>
      </c>
      <c r="D51" s="582" t="str">
        <f t="shared" si="7"/>
        <v>23PKW (Erdgas)</v>
      </c>
      <c r="E51" s="1158"/>
      <c r="F51" s="1158"/>
      <c r="G51" s="1158"/>
      <c r="H51" s="1159"/>
      <c r="I51" s="1158"/>
      <c r="J51" s="1158">
        <f t="shared" si="1"/>
        <v>0</v>
      </c>
    </row>
    <row r="52" spans="1:10" x14ac:dyDescent="0.35">
      <c r="A52" s="591"/>
      <c r="B52" s="1157">
        <f t="shared" si="8"/>
        <v>23</v>
      </c>
      <c r="C52" s="582" t="s">
        <v>5673</v>
      </c>
      <c r="D52" s="582" t="str">
        <f t="shared" si="7"/>
        <v>23PKW (Elektro)</v>
      </c>
      <c r="E52" s="1160"/>
      <c r="F52" s="1164"/>
      <c r="G52" s="1164"/>
      <c r="H52" s="1164"/>
      <c r="I52" s="1164"/>
      <c r="J52" s="1164">
        <f t="shared" si="1"/>
        <v>0</v>
      </c>
    </row>
    <row r="53" spans="1:10" x14ac:dyDescent="0.35">
      <c r="A53" s="591"/>
      <c r="B53" s="1157">
        <f t="shared" si="8"/>
        <v>23</v>
      </c>
      <c r="C53" s="582" t="s">
        <v>5674</v>
      </c>
      <c r="D53" s="582" t="str">
        <f t="shared" si="7"/>
        <v>23PKW (Elektro-UZ46)</v>
      </c>
      <c r="E53" s="1160"/>
      <c r="F53" s="1164"/>
      <c r="G53" s="1164"/>
      <c r="H53" s="1164"/>
      <c r="I53" s="1164"/>
      <c r="J53" s="1164">
        <f t="shared" si="1"/>
        <v>0</v>
      </c>
    </row>
    <row r="54" spans="1:10" x14ac:dyDescent="0.35">
      <c r="A54" s="591"/>
      <c r="B54" s="1161">
        <f t="shared" si="8"/>
        <v>23</v>
      </c>
      <c r="C54" s="1162" t="s">
        <v>2085</v>
      </c>
      <c r="D54" s="292" t="str">
        <f t="shared" si="7"/>
        <v>23Summe</v>
      </c>
      <c r="E54" s="1163">
        <f>SUM(E42:E53)</f>
        <v>6086.5039353884868</v>
      </c>
      <c r="F54" s="1163">
        <f>SUM(F42:F53)</f>
        <v>2864.528895531063</v>
      </c>
      <c r="G54" s="1163">
        <f>SUM(G42:G53)</f>
        <v>440.89197355450995</v>
      </c>
      <c r="H54" s="1163">
        <f>SUM(H42:H53)</f>
        <v>756.36887962507399</v>
      </c>
      <c r="I54" s="1163">
        <f>SUM(I42:I53)</f>
        <v>2774.0287781017496</v>
      </c>
      <c r="J54" s="1163">
        <f t="shared" si="1"/>
        <v>658.84164597214453</v>
      </c>
    </row>
    <row r="55" spans="1:10" x14ac:dyDescent="0.35">
      <c r="A55" s="591"/>
      <c r="B55" s="1157">
        <v>24</v>
      </c>
      <c r="C55" s="582" t="s">
        <v>5663</v>
      </c>
      <c r="D55" s="582" t="str">
        <f>CONCATENATE(B55,C55)</f>
        <v>24zu Fuß</v>
      </c>
      <c r="E55" s="1158">
        <v>37.581969718749939</v>
      </c>
      <c r="F55" s="1158">
        <v>4.461081131591933</v>
      </c>
      <c r="G55" s="1158">
        <v>4.9340605672626952</v>
      </c>
      <c r="H55" s="1159">
        <v>5.403823387201161</v>
      </c>
      <c r="I55" s="1158">
        <v>112.13038138348968</v>
      </c>
      <c r="J55" s="1158">
        <f t="shared" si="1"/>
        <v>1.0260486602661447</v>
      </c>
    </row>
    <row r="56" spans="1:10" x14ac:dyDescent="0.35">
      <c r="A56" s="591"/>
      <c r="B56" s="1157">
        <f>B55</f>
        <v>24</v>
      </c>
      <c r="C56" s="582" t="s">
        <v>5664</v>
      </c>
      <c r="D56" s="582" t="str">
        <f t="shared" ref="D56:D67" si="9">CONCATENATE(B56,C56)</f>
        <v>24Fahrrad</v>
      </c>
      <c r="E56" s="1158">
        <v>29.930133384374773</v>
      </c>
      <c r="F56" s="1158">
        <v>5.796471303877115</v>
      </c>
      <c r="G56" s="1158">
        <v>0.32857654433591671</v>
      </c>
      <c r="H56" s="1159">
        <v>2.620510239464152</v>
      </c>
      <c r="I56" s="1158">
        <v>34.661646089179186</v>
      </c>
      <c r="J56" s="1158">
        <f t="shared" si="1"/>
        <v>1.3331883998917364</v>
      </c>
    </row>
    <row r="57" spans="1:10" x14ac:dyDescent="0.35">
      <c r="A57" s="591"/>
      <c r="B57" s="1157">
        <f t="shared" ref="B57:B67" si="10">B56</f>
        <v>24</v>
      </c>
      <c r="C57" s="582" t="s">
        <v>5665</v>
      </c>
      <c r="D57" s="582" t="str">
        <f t="shared" si="9"/>
        <v>24Moped/Motorrad</v>
      </c>
      <c r="E57" s="1158">
        <v>37.665195976841474</v>
      </c>
      <c r="F57" s="1158">
        <v>6.3449275846538704</v>
      </c>
      <c r="G57" s="1158">
        <v>0.2517483908601047</v>
      </c>
      <c r="H57" s="1159">
        <v>8.6349386224622879</v>
      </c>
      <c r="I57" s="1158">
        <v>80.043098173726705</v>
      </c>
      <c r="J57" s="1158">
        <f t="shared" si="1"/>
        <v>1.4593333444703902</v>
      </c>
    </row>
    <row r="58" spans="1:10" x14ac:dyDescent="0.35">
      <c r="A58" s="591"/>
      <c r="B58" s="1157">
        <f t="shared" si="10"/>
        <v>24</v>
      </c>
      <c r="C58" s="582" t="s">
        <v>5666</v>
      </c>
      <c r="D58" s="582" t="str">
        <f t="shared" si="9"/>
        <v>24PKW LenkerIn</v>
      </c>
      <c r="E58" s="1158">
        <v>5497.6276535185407</v>
      </c>
      <c r="F58" s="1158">
        <v>3730.0337060850716</v>
      </c>
      <c r="G58" s="1158">
        <v>34.995435027762824</v>
      </c>
      <c r="H58" s="1159">
        <v>499.00329786272044</v>
      </c>
      <c r="I58" s="1158">
        <v>2069.5873563778223</v>
      </c>
      <c r="J58" s="1158">
        <f t="shared" si="1"/>
        <v>857.90775239956645</v>
      </c>
    </row>
    <row r="59" spans="1:10" x14ac:dyDescent="0.35">
      <c r="A59" s="591"/>
      <c r="B59" s="1157">
        <f t="shared" si="10"/>
        <v>24</v>
      </c>
      <c r="C59" s="582" t="s">
        <v>5667</v>
      </c>
      <c r="D59" s="582" t="str">
        <f t="shared" si="9"/>
        <v>24PKW MitfahrerIn</v>
      </c>
      <c r="E59" s="1158">
        <v>1998.5351049268129</v>
      </c>
      <c r="F59" s="1158">
        <v>272.69821916079553</v>
      </c>
      <c r="G59" s="1158">
        <v>85.030163005311792</v>
      </c>
      <c r="H59" s="1159">
        <v>200.34838979812417</v>
      </c>
      <c r="I59" s="1158">
        <v>806.3858020083552</v>
      </c>
      <c r="J59" s="1158">
        <f t="shared" si="1"/>
        <v>62.720590406982978</v>
      </c>
    </row>
    <row r="60" spans="1:10" x14ac:dyDescent="0.35">
      <c r="A60" s="591"/>
      <c r="B60" s="1157">
        <f t="shared" si="10"/>
        <v>24</v>
      </c>
      <c r="C60" s="582" t="s">
        <v>5668</v>
      </c>
      <c r="D60" s="582" t="str">
        <f t="shared" si="9"/>
        <v>24Stadt-Regionalbus</v>
      </c>
      <c r="E60" s="1158">
        <v>217.2565974227044</v>
      </c>
      <c r="F60" s="1158">
        <v>24.093884866961229</v>
      </c>
      <c r="G60" s="1158">
        <v>106.4612778829941</v>
      </c>
      <c r="H60" s="1159">
        <v>2.6385883797665941</v>
      </c>
      <c r="I60" s="1158">
        <v>29.14231702039778</v>
      </c>
      <c r="J60" s="1158">
        <f t="shared" si="1"/>
        <v>5.5415935194010828</v>
      </c>
    </row>
    <row r="61" spans="1:10" x14ac:dyDescent="0.35">
      <c r="A61" s="591"/>
      <c r="B61" s="1157">
        <f t="shared" si="10"/>
        <v>24</v>
      </c>
      <c r="C61" s="582" t="s">
        <v>5669</v>
      </c>
      <c r="D61" s="582" t="str">
        <f t="shared" si="9"/>
        <v>24Straßenbahn/Ubahn</v>
      </c>
      <c r="E61" s="1158">
        <v>53.768623836938019</v>
      </c>
      <c r="F61" s="1158">
        <v>33.464490103442486</v>
      </c>
      <c r="G61" s="1158">
        <v>6.120261994273025</v>
      </c>
      <c r="H61" s="1159">
        <v>0</v>
      </c>
      <c r="I61" s="1158">
        <v>6.0685660258524514</v>
      </c>
      <c r="J61" s="1158">
        <f t="shared" si="1"/>
        <v>7.696832723791772</v>
      </c>
    </row>
    <row r="62" spans="1:10" x14ac:dyDescent="0.35">
      <c r="A62" s="591"/>
      <c r="B62" s="1157">
        <f t="shared" si="10"/>
        <v>24</v>
      </c>
      <c r="C62" s="582" t="s">
        <v>5670</v>
      </c>
      <c r="D62" s="582" t="str">
        <f t="shared" si="9"/>
        <v>24Eisen-/Schnellbahn oder Fernzug</v>
      </c>
      <c r="E62" s="1158">
        <v>289.0343709971537</v>
      </c>
      <c r="F62" s="1158">
        <v>75.492229948923566</v>
      </c>
      <c r="G62" s="1158">
        <v>82.944594529177266</v>
      </c>
      <c r="H62" s="1159">
        <v>2.3384416430329553</v>
      </c>
      <c r="I62" s="1158">
        <v>31.971517302751302</v>
      </c>
      <c r="J62" s="1158">
        <f t="shared" si="1"/>
        <v>17.36321288825242</v>
      </c>
    </row>
    <row r="63" spans="1:10" x14ac:dyDescent="0.35">
      <c r="A63" s="591"/>
      <c r="B63" s="1157">
        <f t="shared" si="10"/>
        <v>24</v>
      </c>
      <c r="C63" s="582" t="s">
        <v>5671</v>
      </c>
      <c r="D63" s="582" t="str">
        <f t="shared" si="9"/>
        <v>24Reisebus</v>
      </c>
      <c r="E63" s="1158">
        <v>5.6638731843862029</v>
      </c>
      <c r="F63" s="1158">
        <v>3.8968192025723258</v>
      </c>
      <c r="G63" s="1158">
        <v>16.550277938328822</v>
      </c>
      <c r="H63" s="1159">
        <v>0</v>
      </c>
      <c r="I63" s="1158">
        <v>64.359049762296664</v>
      </c>
      <c r="J63" s="1158">
        <f t="shared" si="1"/>
        <v>0.89626841659163503</v>
      </c>
    </row>
    <row r="64" spans="1:10" x14ac:dyDescent="0.35">
      <c r="A64" s="591"/>
      <c r="B64" s="1157">
        <f t="shared" si="10"/>
        <v>24</v>
      </c>
      <c r="C64" s="582" t="s">
        <v>5672</v>
      </c>
      <c r="D64" s="582" t="str">
        <f t="shared" si="9"/>
        <v>24PKW (Erdgas)</v>
      </c>
      <c r="E64" s="1164"/>
      <c r="F64" s="1164"/>
      <c r="G64" s="1164"/>
      <c r="H64" s="1164"/>
      <c r="I64" s="1164"/>
      <c r="J64" s="1164">
        <f t="shared" si="1"/>
        <v>0</v>
      </c>
    </row>
    <row r="65" spans="1:10" x14ac:dyDescent="0.35">
      <c r="A65" s="591"/>
      <c r="B65" s="1157">
        <f t="shared" si="10"/>
        <v>24</v>
      </c>
      <c r="C65" s="582" t="s">
        <v>5673</v>
      </c>
      <c r="D65" s="582" t="str">
        <f t="shared" si="9"/>
        <v>24PKW (Elektro)</v>
      </c>
      <c r="E65" s="1164"/>
      <c r="F65" s="1164"/>
      <c r="G65" s="1164"/>
      <c r="H65" s="1164"/>
      <c r="I65" s="1164"/>
      <c r="J65" s="1164">
        <f t="shared" si="1"/>
        <v>0</v>
      </c>
    </row>
    <row r="66" spans="1:10" x14ac:dyDescent="0.35">
      <c r="A66" s="591"/>
      <c r="B66" s="1157">
        <f t="shared" si="10"/>
        <v>24</v>
      </c>
      <c r="C66" s="582" t="s">
        <v>5674</v>
      </c>
      <c r="D66" s="582" t="str">
        <f t="shared" si="9"/>
        <v>24PKW (Elektro-UZ46)</v>
      </c>
      <c r="E66" s="1164"/>
      <c r="F66" s="1164"/>
      <c r="G66" s="1164"/>
      <c r="H66" s="1164"/>
      <c r="I66" s="1164"/>
      <c r="J66" s="1164">
        <f t="shared" si="1"/>
        <v>0</v>
      </c>
    </row>
    <row r="67" spans="1:10" x14ac:dyDescent="0.35">
      <c r="A67" s="591"/>
      <c r="B67" s="1161">
        <f t="shared" si="10"/>
        <v>24</v>
      </c>
      <c r="C67" s="1162" t="s">
        <v>2085</v>
      </c>
      <c r="D67" s="292" t="str">
        <f t="shared" si="9"/>
        <v>24Summe</v>
      </c>
      <c r="E67" s="1163">
        <f>SUM(E55:E66)</f>
        <v>8167.0635229665022</v>
      </c>
      <c r="F67" s="1163">
        <f>SUM(F55:F66)</f>
        <v>4156.28182938789</v>
      </c>
      <c r="G67" s="1163">
        <f>SUM(G55:G66)</f>
        <v>337.61639588030653</v>
      </c>
      <c r="H67" s="1163">
        <f>SUM(H55:H66)</f>
        <v>720.98798993277171</v>
      </c>
      <c r="I67" s="1163">
        <f>SUM(I55:I66)</f>
        <v>3234.3497341438715</v>
      </c>
      <c r="J67" s="1163">
        <f t="shared" si="1"/>
        <v>955.94482075921474</v>
      </c>
    </row>
    <row r="68" spans="1:10" x14ac:dyDescent="0.35">
      <c r="A68" s="591"/>
      <c r="B68" s="1157">
        <v>32</v>
      </c>
      <c r="C68" s="582" t="s">
        <v>5663</v>
      </c>
      <c r="D68" s="582" t="str">
        <f>CONCATENATE(B68,C68)</f>
        <v>32zu Fuß</v>
      </c>
      <c r="E68" s="1158">
        <v>111.78393493734464</v>
      </c>
      <c r="F68" s="1158">
        <v>12.410583536207218</v>
      </c>
      <c r="G68" s="1158">
        <v>9.746018565147752</v>
      </c>
      <c r="H68" s="1159">
        <v>17.667301888567987</v>
      </c>
      <c r="I68" s="1158">
        <v>181.65611300824423</v>
      </c>
      <c r="J68" s="1158">
        <f t="shared" ref="J68:J131" si="11">F68*$J$1</f>
        <v>2.8544342133276603</v>
      </c>
    </row>
    <row r="69" spans="1:10" x14ac:dyDescent="0.35">
      <c r="A69" s="591"/>
      <c r="B69" s="1157">
        <f>B68</f>
        <v>32</v>
      </c>
      <c r="C69" s="582" t="s">
        <v>5664</v>
      </c>
      <c r="D69" s="582" t="str">
        <f t="shared" ref="D69:D80" si="12">CONCATENATE(B69,C69)</f>
        <v>32Fahrrad</v>
      </c>
      <c r="E69" s="1158">
        <v>67.394061276608653</v>
      </c>
      <c r="F69" s="1158">
        <v>13.433627902831237</v>
      </c>
      <c r="G69" s="1158">
        <v>7.2185349030210215</v>
      </c>
      <c r="H69" s="1159">
        <v>12.04341999876943</v>
      </c>
      <c r="I69" s="1158">
        <v>81.152765326691437</v>
      </c>
      <c r="J69" s="1158">
        <f t="shared" si="11"/>
        <v>3.0897344176511847</v>
      </c>
    </row>
    <row r="70" spans="1:10" x14ac:dyDescent="0.35">
      <c r="A70" s="591"/>
      <c r="B70" s="1157">
        <f t="shared" ref="B70:B80" si="13">B69</f>
        <v>32</v>
      </c>
      <c r="C70" s="582" t="s">
        <v>5665</v>
      </c>
      <c r="D70" s="582" t="str">
        <f t="shared" si="12"/>
        <v>32Moped/Motorrad</v>
      </c>
      <c r="E70" s="1158">
        <v>42.226490182858839</v>
      </c>
      <c r="F70" s="1158">
        <v>15.076703731649088</v>
      </c>
      <c r="G70" s="1158">
        <v>1.0194051629762682E-2</v>
      </c>
      <c r="H70" s="1159">
        <v>1.4475938641708064</v>
      </c>
      <c r="I70" s="1158">
        <v>17.738532877848655</v>
      </c>
      <c r="J70" s="1158">
        <f t="shared" si="11"/>
        <v>3.4676418582792903</v>
      </c>
    </row>
    <row r="71" spans="1:10" x14ac:dyDescent="0.35">
      <c r="A71" s="591"/>
      <c r="B71" s="1157">
        <f t="shared" si="13"/>
        <v>32</v>
      </c>
      <c r="C71" s="582" t="s">
        <v>5666</v>
      </c>
      <c r="D71" s="582" t="str">
        <f t="shared" si="12"/>
        <v>32PKW LenkerIn</v>
      </c>
      <c r="E71" s="1158">
        <v>3984.9078962514723</v>
      </c>
      <c r="F71" s="1158">
        <v>1711.7285771786915</v>
      </c>
      <c r="G71" s="1158">
        <v>114.56438713750471</v>
      </c>
      <c r="H71" s="1159">
        <v>254.0217503278721</v>
      </c>
      <c r="I71" s="1158">
        <v>1138.7312714784448</v>
      </c>
      <c r="J71" s="1158">
        <f t="shared" si="11"/>
        <v>393.69757275109907</v>
      </c>
    </row>
    <row r="72" spans="1:10" x14ac:dyDescent="0.35">
      <c r="A72" s="591"/>
      <c r="B72" s="1157">
        <f t="shared" si="13"/>
        <v>32</v>
      </c>
      <c r="C72" s="582" t="s">
        <v>5667</v>
      </c>
      <c r="D72" s="582" t="str">
        <f t="shared" si="12"/>
        <v>32PKW MitfahrerIn</v>
      </c>
      <c r="E72" s="1158">
        <v>2535.3576465062724</v>
      </c>
      <c r="F72" s="1158">
        <v>136.40838485657983</v>
      </c>
      <c r="G72" s="1158">
        <v>27.508592664505869</v>
      </c>
      <c r="H72" s="1159">
        <v>202.19991103300657</v>
      </c>
      <c r="I72" s="1158">
        <v>1318.7427908958791</v>
      </c>
      <c r="J72" s="1158">
        <f t="shared" si="11"/>
        <v>31.373928517013361</v>
      </c>
    </row>
    <row r="73" spans="1:10" x14ac:dyDescent="0.35">
      <c r="A73" s="591"/>
      <c r="B73" s="1157">
        <f t="shared" si="13"/>
        <v>32</v>
      </c>
      <c r="C73" s="582" t="s">
        <v>5668</v>
      </c>
      <c r="D73" s="582" t="str">
        <f t="shared" si="12"/>
        <v>32Stadt-Regionalbus</v>
      </c>
      <c r="E73" s="1158">
        <v>254.52292111751433</v>
      </c>
      <c r="F73" s="1158">
        <v>121.69578023882632</v>
      </c>
      <c r="G73" s="1158">
        <v>95.586903433089006</v>
      </c>
      <c r="H73" s="1159">
        <v>4.9611411617363119</v>
      </c>
      <c r="I73" s="1158">
        <v>58.358354253323355</v>
      </c>
      <c r="J73" s="1158">
        <f t="shared" si="11"/>
        <v>27.990029454930053</v>
      </c>
    </row>
    <row r="74" spans="1:10" x14ac:dyDescent="0.35">
      <c r="A74" s="591"/>
      <c r="B74" s="1157">
        <f t="shared" si="13"/>
        <v>32</v>
      </c>
      <c r="C74" s="582" t="s">
        <v>5669</v>
      </c>
      <c r="D74" s="582" t="str">
        <f t="shared" si="12"/>
        <v>32Straßenbahn/Ubahn</v>
      </c>
      <c r="E74" s="1158">
        <v>175.56066525047797</v>
      </c>
      <c r="F74" s="1158">
        <v>45.188430539286344</v>
      </c>
      <c r="G74" s="1158">
        <v>3.9916048626284049</v>
      </c>
      <c r="H74" s="1159">
        <v>0.82070678451701951</v>
      </c>
      <c r="I74" s="1158">
        <v>61.02068539555551</v>
      </c>
      <c r="J74" s="1158">
        <f t="shared" si="11"/>
        <v>10.393339024035859</v>
      </c>
    </row>
    <row r="75" spans="1:10" x14ac:dyDescent="0.35">
      <c r="A75" s="591"/>
      <c r="B75" s="1157">
        <f t="shared" si="13"/>
        <v>32</v>
      </c>
      <c r="C75" s="582" t="s">
        <v>5670</v>
      </c>
      <c r="D75" s="582" t="str">
        <f t="shared" si="12"/>
        <v>32Eisen-/Schnellbahn oder Fernzug</v>
      </c>
      <c r="E75" s="1158">
        <v>648.56473686660138</v>
      </c>
      <c r="F75" s="1158">
        <v>479.51574579862336</v>
      </c>
      <c r="G75" s="1158">
        <v>159.87963536108313</v>
      </c>
      <c r="H75" s="1159">
        <v>10.551415005847877</v>
      </c>
      <c r="I75" s="1158">
        <v>145.44714131845112</v>
      </c>
      <c r="J75" s="1158">
        <f t="shared" si="11"/>
        <v>110.28862153368338</v>
      </c>
    </row>
    <row r="76" spans="1:10" x14ac:dyDescent="0.35">
      <c r="A76" s="591"/>
      <c r="B76" s="1157">
        <f t="shared" si="13"/>
        <v>32</v>
      </c>
      <c r="C76" s="582" t="s">
        <v>5671</v>
      </c>
      <c r="D76" s="582" t="str">
        <f t="shared" si="12"/>
        <v>32Reisebus</v>
      </c>
      <c r="E76" s="1158">
        <v>1.8096732200418819</v>
      </c>
      <c r="F76" s="1158">
        <v>1.412366372860564</v>
      </c>
      <c r="G76" s="1158">
        <v>0</v>
      </c>
      <c r="H76" s="1159">
        <v>0</v>
      </c>
      <c r="I76" s="1158">
        <v>27.287620219014347</v>
      </c>
      <c r="J76" s="1158">
        <f t="shared" si="11"/>
        <v>0.32484426575792974</v>
      </c>
    </row>
    <row r="77" spans="1:10" x14ac:dyDescent="0.35">
      <c r="A77" s="591"/>
      <c r="B77" s="1157">
        <f t="shared" si="13"/>
        <v>32</v>
      </c>
      <c r="C77" s="582" t="s">
        <v>5672</v>
      </c>
      <c r="D77" s="582" t="str">
        <f t="shared" si="12"/>
        <v>32PKW (Erdgas)</v>
      </c>
      <c r="E77" s="1164"/>
      <c r="F77" s="1164"/>
      <c r="G77" s="1164"/>
      <c r="H77" s="1164"/>
      <c r="I77" s="1164"/>
      <c r="J77" s="1164">
        <f t="shared" si="11"/>
        <v>0</v>
      </c>
    </row>
    <row r="78" spans="1:10" x14ac:dyDescent="0.35">
      <c r="A78" s="591"/>
      <c r="B78" s="1157">
        <f t="shared" si="13"/>
        <v>32</v>
      </c>
      <c r="C78" s="582" t="s">
        <v>5673</v>
      </c>
      <c r="D78" s="582" t="str">
        <f t="shared" si="12"/>
        <v>32PKW (Elektro)</v>
      </c>
      <c r="E78" s="1164"/>
      <c r="F78" s="1164"/>
      <c r="G78" s="1164"/>
      <c r="H78" s="1164"/>
      <c r="I78" s="1164"/>
      <c r="J78" s="1164">
        <f t="shared" si="11"/>
        <v>0</v>
      </c>
    </row>
    <row r="79" spans="1:10" x14ac:dyDescent="0.35">
      <c r="A79" s="591"/>
      <c r="B79" s="1157">
        <f t="shared" si="13"/>
        <v>32</v>
      </c>
      <c r="C79" s="582" t="s">
        <v>5674</v>
      </c>
      <c r="D79" s="582" t="str">
        <f t="shared" si="12"/>
        <v>32PKW (Elektro-UZ46)</v>
      </c>
      <c r="E79" s="1164"/>
      <c r="F79" s="1164"/>
      <c r="G79" s="1164"/>
      <c r="H79" s="1164"/>
      <c r="I79" s="1164"/>
      <c r="J79" s="1164">
        <f t="shared" si="11"/>
        <v>0</v>
      </c>
    </row>
    <row r="80" spans="1:10" x14ac:dyDescent="0.35">
      <c r="A80" s="591"/>
      <c r="B80" s="1161">
        <f t="shared" si="13"/>
        <v>32</v>
      </c>
      <c r="C80" s="1162" t="s">
        <v>2085</v>
      </c>
      <c r="D80" s="292" t="str">
        <f t="shared" si="12"/>
        <v>32Summe</v>
      </c>
      <c r="E80" s="1163">
        <f>SUM(E68:E79)</f>
        <v>7822.1280256091923</v>
      </c>
      <c r="F80" s="1163">
        <f>SUM(F68:F79)</f>
        <v>2536.8702001555553</v>
      </c>
      <c r="G80" s="1163">
        <f>SUM(G68:G79)</f>
        <v>418.50587097860966</v>
      </c>
      <c r="H80" s="1163">
        <f>SUM(H68:H79)</f>
        <v>503.7132400644881</v>
      </c>
      <c r="I80" s="1163">
        <f>SUM(I68:I79)</f>
        <v>3030.1352747734531</v>
      </c>
      <c r="J80" s="1163">
        <f t="shared" si="11"/>
        <v>583.48014603577769</v>
      </c>
    </row>
    <row r="81" spans="1:10" x14ac:dyDescent="0.35">
      <c r="A81" s="591"/>
      <c r="B81" s="1157">
        <v>33</v>
      </c>
      <c r="C81" s="582" t="s">
        <v>5663</v>
      </c>
      <c r="D81" s="582" t="str">
        <f>CONCATENATE(B81,C81)</f>
        <v>33zu Fuß</v>
      </c>
      <c r="E81" s="1158">
        <v>83.77189315225958</v>
      </c>
      <c r="F81" s="1158">
        <v>10.771872384119284</v>
      </c>
      <c r="G81" s="1158">
        <v>7.4327027328889255</v>
      </c>
      <c r="H81" s="1159">
        <v>9.1777276657671951</v>
      </c>
      <c r="I81" s="1158">
        <v>135.98439073859612</v>
      </c>
      <c r="J81" s="1158">
        <f t="shared" si="11"/>
        <v>2.4775306483474355</v>
      </c>
    </row>
    <row r="82" spans="1:10" x14ac:dyDescent="0.35">
      <c r="A82" s="591"/>
      <c r="B82" s="1157">
        <f>B81</f>
        <v>33</v>
      </c>
      <c r="C82" s="582" t="s">
        <v>5664</v>
      </c>
      <c r="D82" s="582" t="str">
        <f t="shared" ref="D82:D93" si="14">CONCATENATE(B82,C82)</f>
        <v>33Fahrrad</v>
      </c>
      <c r="E82" s="1158">
        <v>50.444462146041161</v>
      </c>
      <c r="F82" s="1158">
        <v>6.6168302322196055</v>
      </c>
      <c r="G82" s="1158">
        <v>1.6096995031183383</v>
      </c>
      <c r="H82" s="1159">
        <v>3.9603301588288429</v>
      </c>
      <c r="I82" s="1158">
        <v>132.6417066744398</v>
      </c>
      <c r="J82" s="1158">
        <f t="shared" si="11"/>
        <v>1.5218709534105093</v>
      </c>
    </row>
    <row r="83" spans="1:10" x14ac:dyDescent="0.35">
      <c r="A83" s="591"/>
      <c r="B83" s="1157">
        <f t="shared" ref="B83:B93" si="15">B82</f>
        <v>33</v>
      </c>
      <c r="C83" s="582" t="s">
        <v>5665</v>
      </c>
      <c r="D83" s="582" t="str">
        <f t="shared" si="14"/>
        <v>33Moped/Motorrad</v>
      </c>
      <c r="E83" s="1158">
        <v>71.192376320040879</v>
      </c>
      <c r="F83" s="1158">
        <v>56.353277620931287</v>
      </c>
      <c r="G83" s="1158">
        <v>1.5247102534308214</v>
      </c>
      <c r="H83" s="1159">
        <v>2.0463114123783073</v>
      </c>
      <c r="I83" s="1158">
        <v>21.949506325861982</v>
      </c>
      <c r="J83" s="1158">
        <f t="shared" si="11"/>
        <v>12.961253852814197</v>
      </c>
    </row>
    <row r="84" spans="1:10" x14ac:dyDescent="0.35">
      <c r="A84" s="591"/>
      <c r="B84" s="1157">
        <f t="shared" si="15"/>
        <v>33</v>
      </c>
      <c r="C84" s="582" t="s">
        <v>5666</v>
      </c>
      <c r="D84" s="582" t="str">
        <f t="shared" si="14"/>
        <v>33PKW LenkerIn</v>
      </c>
      <c r="E84" s="1158">
        <v>3642.8375441528774</v>
      </c>
      <c r="F84" s="1158">
        <v>2522.9014463155768</v>
      </c>
      <c r="G84" s="1158">
        <v>41.817241428886071</v>
      </c>
      <c r="H84" s="1159">
        <v>360.96864189581083</v>
      </c>
      <c r="I84" s="1158">
        <v>1469.0291346581273</v>
      </c>
      <c r="J84" s="1158">
        <f t="shared" si="11"/>
        <v>580.2673326525827</v>
      </c>
    </row>
    <row r="85" spans="1:10" x14ac:dyDescent="0.35">
      <c r="A85" s="591"/>
      <c r="B85" s="1157">
        <f t="shared" si="15"/>
        <v>33</v>
      </c>
      <c r="C85" s="582" t="s">
        <v>5667</v>
      </c>
      <c r="D85" s="582" t="str">
        <f t="shared" si="14"/>
        <v>33PKW MitfahrerIn</v>
      </c>
      <c r="E85" s="1158">
        <v>1497.5622263071768</v>
      </c>
      <c r="F85" s="1158">
        <v>178.29330178674113</v>
      </c>
      <c r="G85" s="1158">
        <v>36.248779051379096</v>
      </c>
      <c r="H85" s="1159">
        <v>144.81570149032504</v>
      </c>
      <c r="I85" s="1158">
        <v>1096.9295163308354</v>
      </c>
      <c r="J85" s="1158">
        <f t="shared" si="11"/>
        <v>41.00745941095046</v>
      </c>
    </row>
    <row r="86" spans="1:10" x14ac:dyDescent="0.35">
      <c r="A86" s="591"/>
      <c r="B86" s="1157">
        <f t="shared" si="15"/>
        <v>33</v>
      </c>
      <c r="C86" s="582" t="s">
        <v>5668</v>
      </c>
      <c r="D86" s="582" t="str">
        <f t="shared" si="14"/>
        <v>33Stadt-Regionalbus</v>
      </c>
      <c r="E86" s="1158">
        <v>299.22180553677066</v>
      </c>
      <c r="F86" s="1158">
        <v>192.68716765666505</v>
      </c>
      <c r="G86" s="1158">
        <v>124.62961515740317</v>
      </c>
      <c r="H86" s="1159">
        <v>4.0830257740741924</v>
      </c>
      <c r="I86" s="1158">
        <v>5.4488594114162874</v>
      </c>
      <c r="J86" s="1158">
        <f t="shared" si="11"/>
        <v>44.318048561032967</v>
      </c>
    </row>
    <row r="87" spans="1:10" x14ac:dyDescent="0.35">
      <c r="A87" s="591"/>
      <c r="B87" s="1157">
        <f t="shared" si="15"/>
        <v>33</v>
      </c>
      <c r="C87" s="582" t="s">
        <v>5669</v>
      </c>
      <c r="D87" s="582" t="str">
        <f t="shared" si="14"/>
        <v>33Straßenbahn/Ubahn</v>
      </c>
      <c r="E87" s="1158">
        <v>38.420498028607248</v>
      </c>
      <c r="F87" s="1158">
        <v>19.109337112868808</v>
      </c>
      <c r="G87" s="1158">
        <v>10.731562718042053</v>
      </c>
      <c r="H87" s="1159">
        <v>0.90446428025732528</v>
      </c>
      <c r="I87" s="1158">
        <v>21.456580825839811</v>
      </c>
      <c r="J87" s="1158">
        <f t="shared" si="11"/>
        <v>4.3951475359598255</v>
      </c>
    </row>
    <row r="88" spans="1:10" x14ac:dyDescent="0.35">
      <c r="A88" s="591"/>
      <c r="B88" s="1157">
        <f t="shared" si="15"/>
        <v>33</v>
      </c>
      <c r="C88" s="582" t="s">
        <v>5670</v>
      </c>
      <c r="D88" s="582" t="str">
        <f t="shared" si="14"/>
        <v>33Eisen-/Schnellbahn oder Fernzug</v>
      </c>
      <c r="E88" s="1158">
        <v>591.64108073378202</v>
      </c>
      <c r="F88" s="1158">
        <v>365.02815155924515</v>
      </c>
      <c r="G88" s="1158">
        <v>82.540227446944002</v>
      </c>
      <c r="H88" s="1159">
        <v>9.8129817562630084</v>
      </c>
      <c r="I88" s="1158">
        <v>131.84529947009577</v>
      </c>
      <c r="J88" s="1158">
        <f t="shared" si="11"/>
        <v>83.956474858626393</v>
      </c>
    </row>
    <row r="89" spans="1:10" x14ac:dyDescent="0.35">
      <c r="A89" s="591"/>
      <c r="B89" s="1157">
        <f t="shared" si="15"/>
        <v>33</v>
      </c>
      <c r="C89" s="582" t="s">
        <v>5671</v>
      </c>
      <c r="D89" s="582" t="str">
        <f t="shared" si="14"/>
        <v>33Reisebus</v>
      </c>
      <c r="E89" s="1158">
        <v>96.814013834711048</v>
      </c>
      <c r="F89" s="1158">
        <v>0</v>
      </c>
      <c r="G89" s="1158">
        <v>0.41405310827540875</v>
      </c>
      <c r="H89" s="1159">
        <v>0</v>
      </c>
      <c r="I89" s="1158">
        <v>50.02304314309864</v>
      </c>
      <c r="J89" s="1158">
        <f t="shared" si="11"/>
        <v>0</v>
      </c>
    </row>
    <row r="90" spans="1:10" x14ac:dyDescent="0.35">
      <c r="A90" s="591"/>
      <c r="B90" s="1157">
        <f t="shared" si="15"/>
        <v>33</v>
      </c>
      <c r="C90" s="582" t="s">
        <v>5672</v>
      </c>
      <c r="D90" s="582" t="str">
        <f t="shared" si="14"/>
        <v>33PKW (Erdgas)</v>
      </c>
      <c r="E90" s="1164"/>
      <c r="F90" s="1164"/>
      <c r="G90" s="1164"/>
      <c r="H90" s="1164"/>
      <c r="I90" s="1164"/>
      <c r="J90" s="1164">
        <f t="shared" si="11"/>
        <v>0</v>
      </c>
    </row>
    <row r="91" spans="1:10" x14ac:dyDescent="0.35">
      <c r="A91" s="591"/>
      <c r="B91" s="1157">
        <f t="shared" si="15"/>
        <v>33</v>
      </c>
      <c r="C91" s="582" t="s">
        <v>5673</v>
      </c>
      <c r="D91" s="582" t="str">
        <f t="shared" si="14"/>
        <v>33PKW (Elektro)</v>
      </c>
      <c r="E91" s="1164"/>
      <c r="F91" s="1164"/>
      <c r="G91" s="1164"/>
      <c r="H91" s="1164"/>
      <c r="I91" s="1164"/>
      <c r="J91" s="1164">
        <f t="shared" si="11"/>
        <v>0</v>
      </c>
    </row>
    <row r="92" spans="1:10" x14ac:dyDescent="0.35">
      <c r="A92" s="591"/>
      <c r="B92" s="1157">
        <f t="shared" si="15"/>
        <v>33</v>
      </c>
      <c r="C92" s="582" t="s">
        <v>5674</v>
      </c>
      <c r="D92" s="582" t="str">
        <f t="shared" si="14"/>
        <v>33PKW (Elektro-UZ46)</v>
      </c>
      <c r="E92" s="1164"/>
      <c r="F92" s="1164"/>
      <c r="G92" s="1164"/>
      <c r="H92" s="1164"/>
      <c r="I92" s="1164"/>
      <c r="J92" s="1164">
        <f t="shared" si="11"/>
        <v>0</v>
      </c>
    </row>
    <row r="93" spans="1:10" x14ac:dyDescent="0.35">
      <c r="A93" s="591"/>
      <c r="B93" s="1161">
        <f t="shared" si="15"/>
        <v>33</v>
      </c>
      <c r="C93" s="1162" t="s">
        <v>2085</v>
      </c>
      <c r="D93" s="292" t="str">
        <f t="shared" si="14"/>
        <v>33Summe</v>
      </c>
      <c r="E93" s="1163">
        <f>SUM(E81:E92)</f>
        <v>6371.9059002122676</v>
      </c>
      <c r="F93" s="1163">
        <f>SUM(F81:F92)</f>
        <v>3351.7613846683671</v>
      </c>
      <c r="G93" s="1163">
        <f>SUM(G81:G92)</f>
        <v>306.94859140036789</v>
      </c>
      <c r="H93" s="1163">
        <f>SUM(H81:H92)</f>
        <v>535.76918443370471</v>
      </c>
      <c r="I93" s="1163">
        <f>SUM(I81:I92)</f>
        <v>3065.3080375783111</v>
      </c>
      <c r="J93" s="1163">
        <f t="shared" si="11"/>
        <v>770.90511847372443</v>
      </c>
    </row>
    <row r="94" spans="1:10" x14ac:dyDescent="0.35">
      <c r="A94" s="591"/>
      <c r="B94" s="1157">
        <v>34</v>
      </c>
      <c r="C94" s="582" t="s">
        <v>5663</v>
      </c>
      <c r="D94" s="582" t="str">
        <f>CONCATENATE(B94,C94)</f>
        <v>34zu Fuß</v>
      </c>
      <c r="E94" s="1158">
        <v>67.730048605166488</v>
      </c>
      <c r="F94" s="1158">
        <v>17.866923095178858</v>
      </c>
      <c r="G94" s="1158">
        <v>15.28417140084178</v>
      </c>
      <c r="H94" s="1159">
        <v>8.0133827235490873</v>
      </c>
      <c r="I94" s="1158">
        <v>106.32596372540935</v>
      </c>
      <c r="J94" s="1158">
        <f t="shared" si="11"/>
        <v>4.1093923118911375</v>
      </c>
    </row>
    <row r="95" spans="1:10" x14ac:dyDescent="0.35">
      <c r="A95" s="591"/>
      <c r="B95" s="1157">
        <f>B94</f>
        <v>34</v>
      </c>
      <c r="C95" s="582" t="s">
        <v>5664</v>
      </c>
      <c r="D95" s="582" t="str">
        <f t="shared" ref="D95:D106" si="16">CONCATENATE(B95,C95)</f>
        <v>34Fahrrad</v>
      </c>
      <c r="E95" s="1158">
        <v>45.576277144023031</v>
      </c>
      <c r="F95" s="1158">
        <v>7.5802494031175751</v>
      </c>
      <c r="G95" s="1158">
        <v>3.5584849290599152</v>
      </c>
      <c r="H95" s="1159">
        <v>5.7438035529415803</v>
      </c>
      <c r="I95" s="1158">
        <v>87.446295370176301</v>
      </c>
      <c r="J95" s="1158">
        <f t="shared" si="11"/>
        <v>1.7434573627170424</v>
      </c>
    </row>
    <row r="96" spans="1:10" x14ac:dyDescent="0.35">
      <c r="A96" s="591"/>
      <c r="B96" s="1157">
        <f t="shared" ref="B96:B106" si="17">B95</f>
        <v>34</v>
      </c>
      <c r="C96" s="582" t="s">
        <v>5665</v>
      </c>
      <c r="D96" s="582" t="str">
        <f t="shared" si="16"/>
        <v>34Moped/Motorrad</v>
      </c>
      <c r="E96" s="1158">
        <v>36.174437968788865</v>
      </c>
      <c r="F96" s="1158">
        <v>14.400678052981331</v>
      </c>
      <c r="G96" s="1158">
        <v>2.1723642441225959</v>
      </c>
      <c r="H96" s="1159">
        <v>2.1571417712792269</v>
      </c>
      <c r="I96" s="1158">
        <v>33.437991181875752</v>
      </c>
      <c r="J96" s="1158">
        <f t="shared" si="11"/>
        <v>3.312155952185706</v>
      </c>
    </row>
    <row r="97" spans="1:10" x14ac:dyDescent="0.35">
      <c r="A97" s="591"/>
      <c r="B97" s="1157">
        <f t="shared" si="17"/>
        <v>34</v>
      </c>
      <c r="C97" s="582" t="s">
        <v>5666</v>
      </c>
      <c r="D97" s="582" t="str">
        <f t="shared" si="16"/>
        <v>34PKW LenkerIn</v>
      </c>
      <c r="E97" s="1158">
        <v>4433.5327643606097</v>
      </c>
      <c r="F97" s="1158">
        <v>2584.9570006167096</v>
      </c>
      <c r="G97" s="1158">
        <v>98.813941679357512</v>
      </c>
      <c r="H97" s="1159">
        <v>429.52828149057393</v>
      </c>
      <c r="I97" s="1158">
        <v>1578.3508594787352</v>
      </c>
      <c r="J97" s="1158">
        <f t="shared" si="11"/>
        <v>594.54011014184323</v>
      </c>
    </row>
    <row r="98" spans="1:10" x14ac:dyDescent="0.35">
      <c r="A98" s="591"/>
      <c r="B98" s="1157">
        <f t="shared" si="17"/>
        <v>34</v>
      </c>
      <c r="C98" s="582" t="s">
        <v>5667</v>
      </c>
      <c r="D98" s="582" t="str">
        <f t="shared" si="16"/>
        <v>34PKW MitfahrerIn</v>
      </c>
      <c r="E98" s="1158">
        <v>1965.1712161522876</v>
      </c>
      <c r="F98" s="1158">
        <v>198.97497001128562</v>
      </c>
      <c r="G98" s="1158">
        <v>62.519512836682949</v>
      </c>
      <c r="H98" s="1159">
        <v>146.83313758899223</v>
      </c>
      <c r="I98" s="1158">
        <v>1370.1598999449461</v>
      </c>
      <c r="J98" s="1158">
        <f t="shared" si="11"/>
        <v>45.764243102595692</v>
      </c>
    </row>
    <row r="99" spans="1:10" x14ac:dyDescent="0.35">
      <c r="A99" s="591"/>
      <c r="B99" s="1157">
        <f t="shared" si="17"/>
        <v>34</v>
      </c>
      <c r="C99" s="582" t="s">
        <v>5668</v>
      </c>
      <c r="D99" s="582" t="str">
        <f t="shared" si="16"/>
        <v>34Stadt-Regionalbus</v>
      </c>
      <c r="E99" s="1158">
        <v>389.04103512837554</v>
      </c>
      <c r="F99" s="1158">
        <v>187.5299904776559</v>
      </c>
      <c r="G99" s="1158">
        <v>255.5829791719774</v>
      </c>
      <c r="H99" s="1159">
        <v>8.2945982395357163</v>
      </c>
      <c r="I99" s="1158">
        <v>120.68062642153029</v>
      </c>
      <c r="J99" s="1158">
        <f t="shared" si="11"/>
        <v>43.13189780986086</v>
      </c>
    </row>
    <row r="100" spans="1:10" x14ac:dyDescent="0.35">
      <c r="A100" s="591"/>
      <c r="B100" s="1157">
        <f t="shared" si="17"/>
        <v>34</v>
      </c>
      <c r="C100" s="582" t="s">
        <v>5669</v>
      </c>
      <c r="D100" s="582" t="str">
        <f t="shared" si="16"/>
        <v>34Straßenbahn/Ubahn</v>
      </c>
      <c r="E100" s="1158">
        <v>172.35830637692456</v>
      </c>
      <c r="F100" s="1158">
        <v>77.913824150157311</v>
      </c>
      <c r="G100" s="1158">
        <v>1.6716092117346686</v>
      </c>
      <c r="H100" s="1159">
        <v>0.20448725307510479</v>
      </c>
      <c r="I100" s="1158">
        <v>5.4507328415477669</v>
      </c>
      <c r="J100" s="1158">
        <f t="shared" si="11"/>
        <v>17.920179554536183</v>
      </c>
    </row>
    <row r="101" spans="1:10" x14ac:dyDescent="0.35">
      <c r="A101" s="591"/>
      <c r="B101" s="1157">
        <f t="shared" si="17"/>
        <v>34</v>
      </c>
      <c r="C101" s="582" t="s">
        <v>5670</v>
      </c>
      <c r="D101" s="582" t="str">
        <f t="shared" si="16"/>
        <v>34Eisen-/Schnellbahn oder Fernzug</v>
      </c>
      <c r="E101" s="1158">
        <v>455.00055339871653</v>
      </c>
      <c r="F101" s="1158">
        <v>286.03733013079028</v>
      </c>
      <c r="G101" s="1158">
        <v>77.731664421016049</v>
      </c>
      <c r="H101" s="1159">
        <v>51.004653751597914</v>
      </c>
      <c r="I101" s="1158">
        <v>79.208608630889699</v>
      </c>
      <c r="J101" s="1158">
        <f t="shared" si="11"/>
        <v>65.788585930081766</v>
      </c>
    </row>
    <row r="102" spans="1:10" x14ac:dyDescent="0.35">
      <c r="A102" s="591"/>
      <c r="B102" s="1157">
        <f t="shared" si="17"/>
        <v>34</v>
      </c>
      <c r="C102" s="582" t="s">
        <v>5671</v>
      </c>
      <c r="D102" s="582" t="str">
        <f t="shared" si="16"/>
        <v>34Reisebus</v>
      </c>
      <c r="E102" s="1158">
        <v>48.085701347930325</v>
      </c>
      <c r="F102" s="1158">
        <v>1.0076820395974797</v>
      </c>
      <c r="G102" s="1158">
        <v>0.10888350663832304</v>
      </c>
      <c r="H102" s="1159">
        <v>0</v>
      </c>
      <c r="I102" s="1158">
        <v>23.049124789417601</v>
      </c>
      <c r="J102" s="1158">
        <f t="shared" si="11"/>
        <v>0.23176686910742034</v>
      </c>
    </row>
    <row r="103" spans="1:10" x14ac:dyDescent="0.35">
      <c r="A103" s="591"/>
      <c r="B103" s="1157">
        <f t="shared" si="17"/>
        <v>34</v>
      </c>
      <c r="C103" s="582" t="s">
        <v>5672</v>
      </c>
      <c r="D103" s="582" t="str">
        <f t="shared" si="16"/>
        <v>34PKW (Erdgas)</v>
      </c>
      <c r="E103" s="1164"/>
      <c r="F103" s="1164"/>
      <c r="G103" s="1164"/>
      <c r="H103" s="1164"/>
      <c r="I103" s="1164"/>
      <c r="J103" s="1164">
        <f t="shared" si="11"/>
        <v>0</v>
      </c>
    </row>
    <row r="104" spans="1:10" x14ac:dyDescent="0.35">
      <c r="A104" s="591"/>
      <c r="B104" s="1157">
        <f t="shared" si="17"/>
        <v>34</v>
      </c>
      <c r="C104" s="582" t="s">
        <v>5673</v>
      </c>
      <c r="D104" s="582" t="str">
        <f t="shared" si="16"/>
        <v>34PKW (Elektro)</v>
      </c>
      <c r="E104" s="1164"/>
      <c r="F104" s="1164"/>
      <c r="G104" s="1164"/>
      <c r="H104" s="1164"/>
      <c r="I104" s="1164"/>
      <c r="J104" s="1164">
        <f t="shared" si="11"/>
        <v>0</v>
      </c>
    </row>
    <row r="105" spans="1:10" x14ac:dyDescent="0.35">
      <c r="A105" s="591"/>
      <c r="B105" s="1157">
        <f t="shared" si="17"/>
        <v>34</v>
      </c>
      <c r="C105" s="582" t="s">
        <v>5674</v>
      </c>
      <c r="D105" s="582" t="str">
        <f t="shared" si="16"/>
        <v>34PKW (Elektro-UZ46)</v>
      </c>
      <c r="E105" s="1164"/>
      <c r="F105" s="1164"/>
      <c r="G105" s="1164"/>
      <c r="H105" s="1164"/>
      <c r="I105" s="1164"/>
      <c r="J105" s="1164">
        <f t="shared" si="11"/>
        <v>0</v>
      </c>
    </row>
    <row r="106" spans="1:10" x14ac:dyDescent="0.35">
      <c r="A106" s="591"/>
      <c r="B106" s="1161">
        <f t="shared" si="17"/>
        <v>34</v>
      </c>
      <c r="C106" s="1162" t="s">
        <v>2085</v>
      </c>
      <c r="D106" s="292" t="str">
        <f t="shared" si="16"/>
        <v>34Summe</v>
      </c>
      <c r="E106" s="1163">
        <f>SUM(E94:E105)</f>
        <v>7612.6703404828222</v>
      </c>
      <c r="F106" s="1163">
        <f>SUM(F94:F105)</f>
        <v>3376.2686479774738</v>
      </c>
      <c r="G106" s="1163">
        <f>SUM(G94:G105)</f>
        <v>517.44361140143121</v>
      </c>
      <c r="H106" s="1163">
        <f>SUM(H94:H105)</f>
        <v>651.77948637154486</v>
      </c>
      <c r="I106" s="1163">
        <f>SUM(I94:I105)</f>
        <v>3404.1101023845281</v>
      </c>
      <c r="J106" s="1163">
        <f t="shared" si="11"/>
        <v>776.54178903481898</v>
      </c>
    </row>
    <row r="107" spans="1:10" x14ac:dyDescent="0.35">
      <c r="A107" s="591"/>
      <c r="B107" s="1157">
        <v>91</v>
      </c>
      <c r="C107" s="582" t="s">
        <v>5663</v>
      </c>
      <c r="D107" s="582" t="str">
        <f>CONCATENATE(B107,C107)</f>
        <v>91zu Fuß</v>
      </c>
      <c r="E107" s="1158">
        <v>132.23871297835063</v>
      </c>
      <c r="F107" s="1158">
        <v>20.287257016273493</v>
      </c>
      <c r="G107" s="1158">
        <v>10.950760156450402</v>
      </c>
      <c r="H107" s="1159">
        <v>48.120645988205624</v>
      </c>
      <c r="I107" s="1158">
        <v>151.17107112435485</v>
      </c>
      <c r="J107" s="1158">
        <f t="shared" si="11"/>
        <v>4.6660691137429033</v>
      </c>
    </row>
    <row r="108" spans="1:10" x14ac:dyDescent="0.35">
      <c r="A108" s="591"/>
      <c r="B108" s="1157">
        <f>B107</f>
        <v>91</v>
      </c>
      <c r="C108" s="582" t="s">
        <v>5664</v>
      </c>
      <c r="D108" s="582" t="str">
        <f t="shared" ref="D108:D119" si="18">CONCATENATE(B108,C108)</f>
        <v>91Fahrrad</v>
      </c>
      <c r="E108" s="1158">
        <v>111.8593605493336</v>
      </c>
      <c r="F108" s="1158">
        <v>41.701804838628448</v>
      </c>
      <c r="G108" s="1158">
        <v>6.8051258373086485</v>
      </c>
      <c r="H108" s="1159">
        <v>14.579023638116547</v>
      </c>
      <c r="I108" s="1158">
        <v>81.61535008920518</v>
      </c>
      <c r="J108" s="1158">
        <f t="shared" si="11"/>
        <v>9.591415112884544</v>
      </c>
    </row>
    <row r="109" spans="1:10" x14ac:dyDescent="0.35">
      <c r="A109" s="591"/>
      <c r="B109" s="1157">
        <f t="shared" ref="B109:B119" si="19">B108</f>
        <v>91</v>
      </c>
      <c r="C109" s="582" t="s">
        <v>5665</v>
      </c>
      <c r="D109" s="582" t="str">
        <f t="shared" si="18"/>
        <v>91Moped/Motorrad</v>
      </c>
      <c r="E109" s="1158">
        <v>71.110721488657333</v>
      </c>
      <c r="F109" s="1158">
        <v>3.2983631157324274</v>
      </c>
      <c r="G109" s="1158">
        <v>0.20867042391198612</v>
      </c>
      <c r="H109" s="1159">
        <v>1.1087056217842643E-2</v>
      </c>
      <c r="I109" s="1158">
        <v>3.2896867328114552</v>
      </c>
      <c r="J109" s="1158">
        <f t="shared" si="11"/>
        <v>0.75862351661845828</v>
      </c>
    </row>
    <row r="110" spans="1:10" x14ac:dyDescent="0.35">
      <c r="A110" s="591"/>
      <c r="B110" s="1157">
        <f t="shared" si="19"/>
        <v>91</v>
      </c>
      <c r="C110" s="582" t="s">
        <v>5666</v>
      </c>
      <c r="D110" s="582" t="str">
        <f t="shared" si="18"/>
        <v>91PKW LenkerIn</v>
      </c>
      <c r="E110" s="1158">
        <v>2075.289749727935</v>
      </c>
      <c r="F110" s="1158">
        <v>711.80662256466906</v>
      </c>
      <c r="G110" s="1158">
        <v>10.380613549813225</v>
      </c>
      <c r="H110" s="1159">
        <v>187.74547198302892</v>
      </c>
      <c r="I110" s="1158">
        <v>1076.986418207895</v>
      </c>
      <c r="J110" s="1158">
        <f t="shared" si="11"/>
        <v>163.71552318987389</v>
      </c>
    </row>
    <row r="111" spans="1:10" x14ac:dyDescent="0.35">
      <c r="A111" s="591"/>
      <c r="B111" s="1157">
        <f t="shared" si="19"/>
        <v>91</v>
      </c>
      <c r="C111" s="582" t="s">
        <v>5667</v>
      </c>
      <c r="D111" s="582" t="str">
        <f t="shared" si="18"/>
        <v>91PKW MitfahrerIn</v>
      </c>
      <c r="E111" s="1158">
        <v>1070.898069299102</v>
      </c>
      <c r="F111" s="1158">
        <v>207.86122658904503</v>
      </c>
      <c r="G111" s="1158">
        <v>24.58158772441109</v>
      </c>
      <c r="H111" s="1159">
        <v>21.655686585213587</v>
      </c>
      <c r="I111" s="1158">
        <v>530.21124836492083</v>
      </c>
      <c r="J111" s="1158">
        <f t="shared" si="11"/>
        <v>47.80808211548036</v>
      </c>
    </row>
    <row r="112" spans="1:10" x14ac:dyDescent="0.35">
      <c r="A112" s="591"/>
      <c r="B112" s="1157">
        <f t="shared" si="19"/>
        <v>91</v>
      </c>
      <c r="C112" s="582" t="s">
        <v>5668</v>
      </c>
      <c r="D112" s="582" t="str">
        <f t="shared" si="18"/>
        <v>91Stadt-Regionalbus</v>
      </c>
      <c r="E112" s="1158">
        <v>208.16031099873805</v>
      </c>
      <c r="F112" s="1158">
        <v>33.449403695500017</v>
      </c>
      <c r="G112" s="1158">
        <v>21.559860162968249</v>
      </c>
      <c r="H112" s="1159">
        <v>9.9251250334096373</v>
      </c>
      <c r="I112" s="1158">
        <v>63.575609865924378</v>
      </c>
      <c r="J112" s="1158">
        <f t="shared" si="11"/>
        <v>7.6933628499650046</v>
      </c>
    </row>
    <row r="113" spans="1:10" x14ac:dyDescent="0.35">
      <c r="A113" s="591"/>
      <c r="B113" s="1157">
        <f t="shared" si="19"/>
        <v>91</v>
      </c>
      <c r="C113" s="582" t="s">
        <v>5669</v>
      </c>
      <c r="D113" s="582" t="str">
        <f t="shared" si="18"/>
        <v>91Straßenbahn/Ubahn</v>
      </c>
      <c r="E113" s="1158">
        <v>862.26099211857934</v>
      </c>
      <c r="F113" s="1158">
        <v>381.69343915818445</v>
      </c>
      <c r="G113" s="1158">
        <v>89.838531140245479</v>
      </c>
      <c r="H113" s="1159">
        <v>80.001976959793325</v>
      </c>
      <c r="I113" s="1158">
        <v>394.61132913435853</v>
      </c>
      <c r="J113" s="1158">
        <f t="shared" si="11"/>
        <v>87.78949100638242</v>
      </c>
    </row>
    <row r="114" spans="1:10" x14ac:dyDescent="0.35">
      <c r="A114" s="591"/>
      <c r="B114" s="1157">
        <f t="shared" si="19"/>
        <v>91</v>
      </c>
      <c r="C114" s="582" t="s">
        <v>5670</v>
      </c>
      <c r="D114" s="582" t="str">
        <f t="shared" si="18"/>
        <v>91Eisen-/Schnellbahn oder Fernzug</v>
      </c>
      <c r="E114" s="1158">
        <v>1912.1440126348257</v>
      </c>
      <c r="F114" s="1158">
        <v>1155.1840505563457</v>
      </c>
      <c r="G114" s="1158">
        <v>92.973831949689298</v>
      </c>
      <c r="H114" s="1159">
        <v>9.798717363916019</v>
      </c>
      <c r="I114" s="1158">
        <v>417.8998108218629</v>
      </c>
      <c r="J114" s="1158">
        <f t="shared" si="11"/>
        <v>265.6923316279595</v>
      </c>
    </row>
    <row r="115" spans="1:10" x14ac:dyDescent="0.35">
      <c r="A115" s="591"/>
      <c r="B115" s="1157">
        <f t="shared" si="19"/>
        <v>91</v>
      </c>
      <c r="C115" s="582" t="s">
        <v>5671</v>
      </c>
      <c r="D115" s="582" t="str">
        <f t="shared" si="18"/>
        <v>91Reisebus</v>
      </c>
      <c r="E115" s="1158">
        <v>24.374131664416478</v>
      </c>
      <c r="F115" s="1158">
        <v>0</v>
      </c>
      <c r="G115" s="1158">
        <v>0</v>
      </c>
      <c r="H115" s="1159">
        <v>0</v>
      </c>
      <c r="I115" s="1158">
        <v>19.712561451070588</v>
      </c>
      <c r="J115" s="1158">
        <f t="shared" si="11"/>
        <v>0</v>
      </c>
    </row>
    <row r="116" spans="1:10" x14ac:dyDescent="0.35">
      <c r="A116" s="591"/>
      <c r="B116" s="1157">
        <f t="shared" si="19"/>
        <v>91</v>
      </c>
      <c r="C116" s="582" t="s">
        <v>5672</v>
      </c>
      <c r="D116" s="582" t="str">
        <f t="shared" si="18"/>
        <v>91PKW (Erdgas)</v>
      </c>
      <c r="E116" s="1164"/>
      <c r="F116" s="1164"/>
      <c r="G116" s="1164"/>
      <c r="H116" s="1164"/>
      <c r="I116" s="1164"/>
      <c r="J116" s="1164">
        <f t="shared" si="11"/>
        <v>0</v>
      </c>
    </row>
    <row r="117" spans="1:10" x14ac:dyDescent="0.35">
      <c r="A117" s="591"/>
      <c r="B117" s="1157">
        <f t="shared" si="19"/>
        <v>91</v>
      </c>
      <c r="C117" s="582" t="s">
        <v>5673</v>
      </c>
      <c r="D117" s="582" t="str">
        <f t="shared" si="18"/>
        <v>91PKW (Elektro)</v>
      </c>
      <c r="E117" s="1164"/>
      <c r="F117" s="1164"/>
      <c r="G117" s="1164"/>
      <c r="H117" s="1164"/>
      <c r="I117" s="1164"/>
      <c r="J117" s="1164">
        <f t="shared" si="11"/>
        <v>0</v>
      </c>
    </row>
    <row r="118" spans="1:10" x14ac:dyDescent="0.35">
      <c r="A118" s="591"/>
      <c r="B118" s="1157">
        <f t="shared" si="19"/>
        <v>91</v>
      </c>
      <c r="C118" s="582" t="s">
        <v>5674</v>
      </c>
      <c r="D118" s="582" t="str">
        <f t="shared" si="18"/>
        <v>91PKW (Elektro-UZ46)</v>
      </c>
      <c r="E118" s="1164"/>
      <c r="F118" s="1164"/>
      <c r="G118" s="1164"/>
      <c r="H118" s="1164"/>
      <c r="I118" s="1164"/>
      <c r="J118" s="1164">
        <f t="shared" si="11"/>
        <v>0</v>
      </c>
    </row>
    <row r="119" spans="1:10" x14ac:dyDescent="0.35">
      <c r="A119" s="591"/>
      <c r="B119" s="1161">
        <f t="shared" si="19"/>
        <v>91</v>
      </c>
      <c r="C119" s="1162" t="s">
        <v>2085</v>
      </c>
      <c r="D119" s="292" t="str">
        <f t="shared" si="18"/>
        <v>91Summe</v>
      </c>
      <c r="E119" s="1163">
        <f>SUM(E107:E118)</f>
        <v>6468.3360614599378</v>
      </c>
      <c r="F119" s="1163">
        <f>SUM(F107:F118)</f>
        <v>2555.2821675343785</v>
      </c>
      <c r="G119" s="1163">
        <f>SUM(G107:G118)</f>
        <v>257.29898094479836</v>
      </c>
      <c r="H119" s="1163">
        <f>SUM(H107:H118)</f>
        <v>371.83773460790144</v>
      </c>
      <c r="I119" s="1163">
        <f>SUM(I107:I118)</f>
        <v>2739.0730857924036</v>
      </c>
      <c r="J119" s="1163">
        <f t="shared" si="11"/>
        <v>587.71489853290711</v>
      </c>
    </row>
    <row r="120" spans="1:10" x14ac:dyDescent="0.35">
      <c r="A120" s="591"/>
      <c r="B120" s="1157">
        <v>92</v>
      </c>
      <c r="C120" s="582" t="s">
        <v>5663</v>
      </c>
      <c r="D120" s="582" t="str">
        <f>CONCATENATE(B120,C120)</f>
        <v>92zu Fuß</v>
      </c>
      <c r="E120" s="1158">
        <v>104.42679298501349</v>
      </c>
      <c r="F120" s="1158">
        <v>13.10903909275236</v>
      </c>
      <c r="G120" s="1158">
        <v>8.242767550511731</v>
      </c>
      <c r="H120" s="1159">
        <v>42.35953586698021</v>
      </c>
      <c r="I120" s="1158">
        <v>170.47961016577432</v>
      </c>
      <c r="J120" s="1158">
        <f t="shared" si="11"/>
        <v>3.0150789913330427</v>
      </c>
    </row>
    <row r="121" spans="1:10" x14ac:dyDescent="0.35">
      <c r="A121" s="591"/>
      <c r="B121" s="1157">
        <f>B120</f>
        <v>92</v>
      </c>
      <c r="C121" s="582" t="s">
        <v>5664</v>
      </c>
      <c r="D121" s="582" t="str">
        <f t="shared" ref="D121:D132" si="20">CONCATENATE(B121,C121)</f>
        <v>92Fahrrad</v>
      </c>
      <c r="E121" s="1158">
        <v>49.801477566311455</v>
      </c>
      <c r="F121" s="1158">
        <v>19.480752812237455</v>
      </c>
      <c r="G121" s="1158">
        <v>1.1779040845296702</v>
      </c>
      <c r="H121" s="1159">
        <v>8.6549444368438291</v>
      </c>
      <c r="I121" s="1158">
        <v>34.763672960564996</v>
      </c>
      <c r="J121" s="1158">
        <f t="shared" si="11"/>
        <v>4.4805731468146144</v>
      </c>
    </row>
    <row r="122" spans="1:10" x14ac:dyDescent="0.35">
      <c r="A122" s="591"/>
      <c r="B122" s="1157">
        <f t="shared" ref="B122:B132" si="21">B121</f>
        <v>92</v>
      </c>
      <c r="C122" s="582" t="s">
        <v>5665</v>
      </c>
      <c r="D122" s="582" t="str">
        <f t="shared" si="20"/>
        <v>92Moped/Motorrad</v>
      </c>
      <c r="E122" s="1158">
        <v>39.610635830912102</v>
      </c>
      <c r="F122" s="1158">
        <v>9.7119626626787792</v>
      </c>
      <c r="G122" s="1158">
        <v>1.3703708253842808</v>
      </c>
      <c r="H122" s="1159">
        <v>1.2198964990880194</v>
      </c>
      <c r="I122" s="1158">
        <v>26.336814129051628</v>
      </c>
      <c r="J122" s="1158">
        <f t="shared" si="11"/>
        <v>2.2337514124161193</v>
      </c>
    </row>
    <row r="123" spans="1:10" x14ac:dyDescent="0.35">
      <c r="A123" s="591"/>
      <c r="B123" s="1157">
        <f t="shared" si="21"/>
        <v>92</v>
      </c>
      <c r="C123" s="582" t="s">
        <v>5666</v>
      </c>
      <c r="D123" s="582" t="str">
        <f t="shared" si="20"/>
        <v>92PKW LenkerIn</v>
      </c>
      <c r="E123" s="1158">
        <v>1623.1802268766198</v>
      </c>
      <c r="F123" s="1158">
        <v>791.68317914203612</v>
      </c>
      <c r="G123" s="1158">
        <v>13.269248883868883</v>
      </c>
      <c r="H123" s="1159">
        <v>163.38372586903895</v>
      </c>
      <c r="I123" s="1158">
        <v>822.56272122129735</v>
      </c>
      <c r="J123" s="1158">
        <f t="shared" si="11"/>
        <v>182.0871312026683</v>
      </c>
    </row>
    <row r="124" spans="1:10" x14ac:dyDescent="0.35">
      <c r="A124" s="591"/>
      <c r="B124" s="1157">
        <f t="shared" si="21"/>
        <v>92</v>
      </c>
      <c r="C124" s="582" t="s">
        <v>5667</v>
      </c>
      <c r="D124" s="582" t="str">
        <f t="shared" si="20"/>
        <v>92PKW MitfahrerIn</v>
      </c>
      <c r="E124" s="1158">
        <v>1095.624113457621</v>
      </c>
      <c r="F124" s="1158">
        <v>70.215518849772039</v>
      </c>
      <c r="G124" s="1158">
        <v>13.390836945853849</v>
      </c>
      <c r="H124" s="1159">
        <v>66.870861539006043</v>
      </c>
      <c r="I124" s="1158">
        <v>556.9552097847436</v>
      </c>
      <c r="J124" s="1158">
        <f t="shared" si="11"/>
        <v>16.14956933544757</v>
      </c>
    </row>
    <row r="125" spans="1:10" x14ac:dyDescent="0.35">
      <c r="A125" s="591"/>
      <c r="B125" s="1157">
        <f t="shared" si="21"/>
        <v>92</v>
      </c>
      <c r="C125" s="582" t="s">
        <v>5668</v>
      </c>
      <c r="D125" s="582" t="str">
        <f t="shared" si="20"/>
        <v>92Stadt-Regionalbus</v>
      </c>
      <c r="E125" s="1158">
        <v>133.51152318845797</v>
      </c>
      <c r="F125" s="1158">
        <v>79.820530634116224</v>
      </c>
      <c r="G125" s="1158">
        <v>73.103748955391154</v>
      </c>
      <c r="H125" s="1159">
        <v>10.816208308085224</v>
      </c>
      <c r="I125" s="1158">
        <v>29.223352039856533</v>
      </c>
      <c r="J125" s="1158">
        <f t="shared" si="11"/>
        <v>18.358722045846733</v>
      </c>
    </row>
    <row r="126" spans="1:10" x14ac:dyDescent="0.35">
      <c r="A126" s="591"/>
      <c r="B126" s="1157">
        <f t="shared" si="21"/>
        <v>92</v>
      </c>
      <c r="C126" s="582" t="s">
        <v>5669</v>
      </c>
      <c r="D126" s="582" t="str">
        <f t="shared" si="20"/>
        <v>92Straßenbahn/Ubahn</v>
      </c>
      <c r="E126" s="1158">
        <v>882.87588219465067</v>
      </c>
      <c r="F126" s="1158">
        <v>400.51524444843852</v>
      </c>
      <c r="G126" s="1158">
        <v>199.84583124820435</v>
      </c>
      <c r="H126" s="1159">
        <v>95.839277605411269</v>
      </c>
      <c r="I126" s="1158">
        <v>451.52253169092404</v>
      </c>
      <c r="J126" s="1158">
        <f t="shared" si="11"/>
        <v>92.118506223140869</v>
      </c>
    </row>
    <row r="127" spans="1:10" x14ac:dyDescent="0.35">
      <c r="A127" s="591"/>
      <c r="B127" s="1157">
        <f t="shared" si="21"/>
        <v>92</v>
      </c>
      <c r="C127" s="582" t="s">
        <v>5670</v>
      </c>
      <c r="D127" s="582" t="str">
        <f t="shared" si="20"/>
        <v>92Eisen-/Schnellbahn oder Fernzug</v>
      </c>
      <c r="E127" s="1158">
        <v>679.1537369417382</v>
      </c>
      <c r="F127" s="1158">
        <v>331.20135846051795</v>
      </c>
      <c r="G127" s="1158">
        <v>35.317228968672083</v>
      </c>
      <c r="H127" s="1159">
        <v>2.8800733648237484</v>
      </c>
      <c r="I127" s="1158">
        <v>345.09842971000035</v>
      </c>
      <c r="J127" s="1158">
        <f t="shared" si="11"/>
        <v>76.176312445919137</v>
      </c>
    </row>
    <row r="128" spans="1:10" x14ac:dyDescent="0.35">
      <c r="A128" s="591"/>
      <c r="B128" s="1157">
        <f t="shared" si="21"/>
        <v>92</v>
      </c>
      <c r="C128" s="582" t="s">
        <v>5671</v>
      </c>
      <c r="D128" s="582" t="str">
        <f t="shared" si="20"/>
        <v>92Reisebus</v>
      </c>
      <c r="E128" s="1158">
        <v>4.6211664148527613E-2</v>
      </c>
      <c r="F128" s="1158">
        <v>0</v>
      </c>
      <c r="G128" s="1158">
        <v>32.482398655027417</v>
      </c>
      <c r="H128" s="1159">
        <v>0</v>
      </c>
      <c r="I128" s="1158">
        <v>0</v>
      </c>
      <c r="J128" s="1158">
        <f t="shared" si="11"/>
        <v>0</v>
      </c>
    </row>
    <row r="129" spans="1:10" x14ac:dyDescent="0.35">
      <c r="A129" s="591"/>
      <c r="B129" s="1157">
        <f t="shared" si="21"/>
        <v>92</v>
      </c>
      <c r="C129" s="582" t="s">
        <v>5672</v>
      </c>
      <c r="D129" s="582" t="str">
        <f t="shared" si="20"/>
        <v>92PKW (Erdgas)</v>
      </c>
      <c r="E129" s="1164"/>
      <c r="F129" s="1164"/>
      <c r="G129" s="1164"/>
      <c r="H129" s="1164"/>
      <c r="I129" s="1164"/>
      <c r="J129" s="1164">
        <f t="shared" si="11"/>
        <v>0</v>
      </c>
    </row>
    <row r="130" spans="1:10" x14ac:dyDescent="0.35">
      <c r="A130" s="591"/>
      <c r="B130" s="1157">
        <f t="shared" si="21"/>
        <v>92</v>
      </c>
      <c r="C130" s="582" t="s">
        <v>5673</v>
      </c>
      <c r="D130" s="582" t="str">
        <f t="shared" si="20"/>
        <v>92PKW (Elektro)</v>
      </c>
      <c r="E130" s="1164"/>
      <c r="F130" s="1164"/>
      <c r="G130" s="1164"/>
      <c r="H130" s="1164"/>
      <c r="I130" s="1164"/>
      <c r="J130" s="1164">
        <f t="shared" si="11"/>
        <v>0</v>
      </c>
    </row>
    <row r="131" spans="1:10" x14ac:dyDescent="0.35">
      <c r="A131" s="591"/>
      <c r="B131" s="1157">
        <f t="shared" si="21"/>
        <v>92</v>
      </c>
      <c r="C131" s="582" t="s">
        <v>5674</v>
      </c>
      <c r="D131" s="582" t="str">
        <f t="shared" si="20"/>
        <v>92PKW (Elektro-UZ46)</v>
      </c>
      <c r="E131" s="1164"/>
      <c r="F131" s="1164"/>
      <c r="G131" s="1164"/>
      <c r="H131" s="1164"/>
      <c r="I131" s="1164"/>
      <c r="J131" s="1164">
        <f t="shared" si="11"/>
        <v>0</v>
      </c>
    </row>
    <row r="132" spans="1:10" x14ac:dyDescent="0.35">
      <c r="A132" s="591"/>
      <c r="B132" s="1161">
        <f t="shared" si="21"/>
        <v>92</v>
      </c>
      <c r="C132" s="1162" t="s">
        <v>2085</v>
      </c>
      <c r="D132" s="292" t="str">
        <f t="shared" si="20"/>
        <v>92Summe</v>
      </c>
      <c r="E132" s="1163">
        <f>SUM(E120:E131)</f>
        <v>4608.2306007054731</v>
      </c>
      <c r="F132" s="1163">
        <f>SUM(F120:F131)</f>
        <v>1715.7375861025494</v>
      </c>
      <c r="G132" s="1163">
        <f>SUM(G120:G131)</f>
        <v>378.20033611744338</v>
      </c>
      <c r="H132" s="1163">
        <f>SUM(H120:H131)</f>
        <v>392.02452348927733</v>
      </c>
      <c r="I132" s="1163">
        <f>SUM(I120:I131)</f>
        <v>2436.9423417022126</v>
      </c>
      <c r="J132" s="1163">
        <f t="shared" ref="J132:J145" si="22">F132*$J$1</f>
        <v>394.61964480358637</v>
      </c>
    </row>
    <row r="133" spans="1:10" x14ac:dyDescent="0.35">
      <c r="A133" s="591"/>
      <c r="B133" s="1157">
        <v>93</v>
      </c>
      <c r="C133" s="582" t="s">
        <v>5663</v>
      </c>
      <c r="D133" s="582" t="str">
        <f>CONCATENATE(B133,C133)</f>
        <v>93zu Fuß</v>
      </c>
      <c r="E133" s="1158">
        <v>69.289455714318407</v>
      </c>
      <c r="F133" s="1158">
        <v>16.08905647646397</v>
      </c>
      <c r="G133" s="1158">
        <v>3.7809924487412157</v>
      </c>
      <c r="H133" s="1158">
        <v>28.271150972584813</v>
      </c>
      <c r="I133" s="1158">
        <v>117.28280708717271</v>
      </c>
      <c r="J133" s="1158">
        <f t="shared" si="22"/>
        <v>3.7004829895867131</v>
      </c>
    </row>
    <row r="134" spans="1:10" x14ac:dyDescent="0.35">
      <c r="A134" s="591"/>
      <c r="B134" s="1157">
        <f>B133</f>
        <v>93</v>
      </c>
      <c r="C134" s="582" t="s">
        <v>5664</v>
      </c>
      <c r="D134" s="582" t="str">
        <f t="shared" ref="D134:D145" si="23">CONCATENATE(B134,C134)</f>
        <v>93Fahrrad</v>
      </c>
      <c r="E134" s="1158">
        <v>42.514287651442025</v>
      </c>
      <c r="F134" s="1158">
        <v>16.68365764099681</v>
      </c>
      <c r="G134" s="1158">
        <v>1.8068361788236011</v>
      </c>
      <c r="H134" s="1158">
        <v>1.9269045693061417</v>
      </c>
      <c r="I134" s="1158">
        <v>53.090360020117153</v>
      </c>
      <c r="J134" s="1158">
        <f t="shared" si="22"/>
        <v>3.8372412574292665</v>
      </c>
    </row>
    <row r="135" spans="1:10" x14ac:dyDescent="0.35">
      <c r="A135" s="591"/>
      <c r="B135" s="1157">
        <f t="shared" ref="B135:B145" si="24">B134</f>
        <v>93</v>
      </c>
      <c r="C135" s="582" t="s">
        <v>5665</v>
      </c>
      <c r="D135" s="582" t="str">
        <f t="shared" si="23"/>
        <v>93Moped/Motorrad</v>
      </c>
      <c r="E135" s="1158">
        <v>75.619585030553978</v>
      </c>
      <c r="F135" s="1158">
        <v>35.693726466506313</v>
      </c>
      <c r="G135" s="1158">
        <v>6.5822634995317033</v>
      </c>
      <c r="H135" s="1158">
        <v>2.6585793725129321</v>
      </c>
      <c r="I135" s="1158">
        <v>25.315911011708266</v>
      </c>
      <c r="J135" s="1158">
        <f t="shared" si="22"/>
        <v>8.2095570872964529</v>
      </c>
    </row>
    <row r="136" spans="1:10" x14ac:dyDescent="0.35">
      <c r="A136" s="591"/>
      <c r="B136" s="1157">
        <f t="shared" si="24"/>
        <v>93</v>
      </c>
      <c r="C136" s="582" t="s">
        <v>5666</v>
      </c>
      <c r="D136" s="582" t="str">
        <f t="shared" si="23"/>
        <v>93PKW LenkerIn</v>
      </c>
      <c r="E136" s="1158">
        <v>2294.0138821623905</v>
      </c>
      <c r="F136" s="1158">
        <v>864.23564478524122</v>
      </c>
      <c r="G136" s="1158">
        <v>37.268091600646386</v>
      </c>
      <c r="H136" s="1158">
        <v>246.09001134429801</v>
      </c>
      <c r="I136" s="1158">
        <v>849.06989516658109</v>
      </c>
      <c r="J136" s="1158">
        <f t="shared" si="22"/>
        <v>198.77419830060549</v>
      </c>
    </row>
    <row r="137" spans="1:10" x14ac:dyDescent="0.35">
      <c r="A137" s="591"/>
      <c r="B137" s="1157">
        <f t="shared" si="24"/>
        <v>93</v>
      </c>
      <c r="C137" s="582" t="s">
        <v>5667</v>
      </c>
      <c r="D137" s="582" t="str">
        <f t="shared" si="23"/>
        <v>93PKW MitfahrerIn</v>
      </c>
      <c r="E137" s="1158">
        <v>1077.5031111786104</v>
      </c>
      <c r="F137" s="1158">
        <v>61.326179739694197</v>
      </c>
      <c r="G137" s="1158">
        <v>52.244828031112085</v>
      </c>
      <c r="H137" s="1158">
        <v>108.34091019191847</v>
      </c>
      <c r="I137" s="1158">
        <v>735.76326873512016</v>
      </c>
      <c r="J137" s="1158">
        <f t="shared" si="22"/>
        <v>14.105021340129666</v>
      </c>
    </row>
    <row r="138" spans="1:10" x14ac:dyDescent="0.35">
      <c r="A138" s="591"/>
      <c r="B138" s="1157">
        <f t="shared" si="24"/>
        <v>93</v>
      </c>
      <c r="C138" s="582" t="s">
        <v>5668</v>
      </c>
      <c r="D138" s="582" t="str">
        <f t="shared" si="23"/>
        <v>93Stadt-Regionalbus</v>
      </c>
      <c r="E138" s="1158">
        <v>77.627504881246665</v>
      </c>
      <c r="F138" s="1158">
        <v>8.8300866966063101</v>
      </c>
      <c r="G138" s="1158">
        <v>18.875427447477279</v>
      </c>
      <c r="H138" s="1158">
        <v>14.70825402154356</v>
      </c>
      <c r="I138" s="1158">
        <v>45.114983052131059</v>
      </c>
      <c r="J138" s="1158">
        <f t="shared" si="22"/>
        <v>2.0309199402194515</v>
      </c>
    </row>
    <row r="139" spans="1:10" x14ac:dyDescent="0.35">
      <c r="A139" s="591"/>
      <c r="B139" s="1157">
        <f t="shared" si="24"/>
        <v>93</v>
      </c>
      <c r="C139" s="582" t="s">
        <v>5669</v>
      </c>
      <c r="D139" s="582" t="str">
        <f t="shared" si="23"/>
        <v>93Straßenbahn/Ubahn</v>
      </c>
      <c r="E139" s="1158">
        <v>902.75763344229063</v>
      </c>
      <c r="F139" s="1158">
        <v>397.93502290631159</v>
      </c>
      <c r="G139" s="1158">
        <v>142.54879360776852</v>
      </c>
      <c r="H139" s="1158">
        <v>152.85455653392981</v>
      </c>
      <c r="I139" s="1158">
        <v>381.96051753364696</v>
      </c>
      <c r="J139" s="1158">
        <f t="shared" si="22"/>
        <v>91.525055268451666</v>
      </c>
    </row>
    <row r="140" spans="1:10" x14ac:dyDescent="0.35">
      <c r="A140" s="591"/>
      <c r="B140" s="1157">
        <f t="shared" si="24"/>
        <v>93</v>
      </c>
      <c r="C140" s="582" t="s">
        <v>5670</v>
      </c>
      <c r="D140" s="582" t="str">
        <f t="shared" si="23"/>
        <v>93Eisen-/Schnellbahn oder Fernzug</v>
      </c>
      <c r="E140" s="1158">
        <v>713.43489183338659</v>
      </c>
      <c r="F140" s="1158">
        <v>380.21884011321663</v>
      </c>
      <c r="G140" s="1158">
        <v>91.691619230163923</v>
      </c>
      <c r="H140" s="1158">
        <v>22.946926042106519</v>
      </c>
      <c r="I140" s="1158">
        <v>254.70278818215783</v>
      </c>
      <c r="J140" s="1158">
        <f t="shared" si="22"/>
        <v>87.450333226039831</v>
      </c>
    </row>
    <row r="141" spans="1:10" x14ac:dyDescent="0.35">
      <c r="A141" s="591"/>
      <c r="B141" s="1157">
        <f t="shared" si="24"/>
        <v>93</v>
      </c>
      <c r="C141" s="582" t="s">
        <v>5671</v>
      </c>
      <c r="D141" s="582" t="str">
        <f t="shared" si="23"/>
        <v>93Reisebus</v>
      </c>
      <c r="E141" s="1158">
        <v>8.557060472879737</v>
      </c>
      <c r="F141" s="1158">
        <v>53.698129307534984</v>
      </c>
      <c r="G141" s="1158">
        <v>0.21401197442242964</v>
      </c>
      <c r="H141" s="1158">
        <v>0</v>
      </c>
      <c r="I141" s="1158">
        <v>4.539476043105191</v>
      </c>
      <c r="J141" s="1158">
        <f t="shared" si="22"/>
        <v>12.350569740733047</v>
      </c>
    </row>
    <row r="142" spans="1:10" x14ac:dyDescent="0.35">
      <c r="A142" s="591"/>
      <c r="B142" s="1157">
        <f t="shared" si="24"/>
        <v>93</v>
      </c>
      <c r="C142" s="582" t="s">
        <v>5672</v>
      </c>
      <c r="D142" s="582" t="str">
        <f t="shared" si="23"/>
        <v>93PKW (Erdgas)</v>
      </c>
      <c r="E142" s="1164"/>
      <c r="F142" s="1164"/>
      <c r="G142" s="1164"/>
      <c r="H142" s="1164"/>
      <c r="I142" s="1164"/>
      <c r="J142" s="1164">
        <f t="shared" si="22"/>
        <v>0</v>
      </c>
    </row>
    <row r="143" spans="1:10" x14ac:dyDescent="0.35">
      <c r="A143" s="591"/>
      <c r="B143" s="1157">
        <f t="shared" si="24"/>
        <v>93</v>
      </c>
      <c r="C143" s="582" t="s">
        <v>5673</v>
      </c>
      <c r="D143" s="582" t="str">
        <f t="shared" si="23"/>
        <v>93PKW (Elektro)</v>
      </c>
      <c r="E143" s="1164"/>
      <c r="F143" s="1164"/>
      <c r="G143" s="1164"/>
      <c r="H143" s="1164"/>
      <c r="I143" s="1164"/>
      <c r="J143" s="1164">
        <f t="shared" si="22"/>
        <v>0</v>
      </c>
    </row>
    <row r="144" spans="1:10" x14ac:dyDescent="0.35">
      <c r="A144" s="591"/>
      <c r="B144" s="1157">
        <f t="shared" si="24"/>
        <v>93</v>
      </c>
      <c r="C144" s="582" t="s">
        <v>5674</v>
      </c>
      <c r="D144" s="582" t="str">
        <f t="shared" si="23"/>
        <v>93PKW (Elektro-UZ46)</v>
      </c>
      <c r="E144" s="1164"/>
      <c r="F144" s="1164"/>
      <c r="G144" s="1164"/>
      <c r="H144" s="1164"/>
      <c r="I144" s="1164"/>
      <c r="J144" s="1164">
        <f t="shared" si="22"/>
        <v>0</v>
      </c>
    </row>
    <row r="145" spans="1:10" x14ac:dyDescent="0.35">
      <c r="A145" s="591"/>
      <c r="B145" s="1161">
        <f t="shared" si="24"/>
        <v>93</v>
      </c>
      <c r="C145" s="1162" t="s">
        <v>2085</v>
      </c>
      <c r="D145" s="292" t="str">
        <f t="shared" si="23"/>
        <v>93Summe</v>
      </c>
      <c r="E145" s="1163">
        <f>SUM(E133:E144)</f>
        <v>5261.3174123671188</v>
      </c>
      <c r="F145" s="1163">
        <f>SUM(F133:F144)</f>
        <v>1834.7103441325721</v>
      </c>
      <c r="G145" s="1163">
        <f>SUM(G133:G144)</f>
        <v>355.0128640186872</v>
      </c>
      <c r="H145" s="1163">
        <f>SUM(H133:H144)</f>
        <v>577.79729304820023</v>
      </c>
      <c r="I145" s="1163">
        <f>SUM(I133:I144)</f>
        <v>2466.8400068317401</v>
      </c>
      <c r="J145" s="1163">
        <f t="shared" si="22"/>
        <v>421.9833791504916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C60"/>
  <sheetViews>
    <sheetView zoomScaleNormal="100" workbookViewId="0"/>
  </sheetViews>
  <sheetFormatPr baseColWidth="10" defaultColWidth="11" defaultRowHeight="14.5" x14ac:dyDescent="0.35"/>
  <cols>
    <col min="1" max="1" width="4.75" style="550" customWidth="1"/>
    <col min="2" max="2" width="30.08203125" style="551" bestFit="1" customWidth="1"/>
    <col min="3" max="3" width="24.25" style="551" customWidth="1"/>
    <col min="4" max="16384" width="11" style="550"/>
  </cols>
  <sheetData>
    <row r="2" spans="2:3" x14ac:dyDescent="0.35">
      <c r="B2" s="220" t="str">
        <f>CONCATENATE(Eckdaten!C3,", ",Eckdaten!C5," (",Eckdaten!C6,")")</f>
        <v>, Abfaltersbach (Tirol)</v>
      </c>
    </row>
    <row r="3" spans="2:3" x14ac:dyDescent="0.35">
      <c r="B3" s="551" t="str">
        <f>CONCATENATE(Eckdaten!C19,". Geplante Fertigstellung ",Eckdaten!C37)</f>
        <v xml:space="preserve">Bestandsanalyse und Transformation. Geplante Fertigstellung </v>
      </c>
    </row>
    <row r="4" spans="2:3" x14ac:dyDescent="0.35">
      <c r="B4" s="551" t="s">
        <v>5184</v>
      </c>
      <c r="C4" s="553">
        <f>Eckdaten!C21</f>
        <v>0</v>
      </c>
    </row>
    <row r="5" spans="2:3" x14ac:dyDescent="0.35">
      <c r="B5" s="551" t="s">
        <v>5185</v>
      </c>
      <c r="C5" s="553">
        <f>Eckdaten!C22</f>
        <v>0</v>
      </c>
    </row>
    <row r="6" spans="2:3" x14ac:dyDescent="0.35">
      <c r="B6" s="551" t="s">
        <v>2046</v>
      </c>
    </row>
    <row r="7" spans="2:3" x14ac:dyDescent="0.35">
      <c r="B7" s="551" t="s">
        <v>5000</v>
      </c>
      <c r="C7" s="555"/>
    </row>
    <row r="8" spans="2:3" x14ac:dyDescent="0.35">
      <c r="B8" s="551" t="s">
        <v>4999</v>
      </c>
      <c r="C8" s="553" t="str">
        <f>CONCATENATE(ROUND(Qualität_Ergebnis_HF!F38,0)," von ",Qualität_Ergebnis_HF!E38)</f>
        <v>0 von 1000</v>
      </c>
    </row>
    <row r="10" spans="2:3" x14ac:dyDescent="0.35">
      <c r="B10" s="552" t="s">
        <v>4987</v>
      </c>
      <c r="C10" s="554"/>
    </row>
    <row r="11" spans="2:3" x14ac:dyDescent="0.35">
      <c r="B11" s="220">
        <f>Eckdaten!C3</f>
        <v>0</v>
      </c>
    </row>
    <row r="12" spans="2:3" x14ac:dyDescent="0.35">
      <c r="B12" s="551" t="s">
        <v>29</v>
      </c>
      <c r="C12" s="551" t="str">
        <f>Eckdaten!C6</f>
        <v>Tirol</v>
      </c>
    </row>
    <row r="13" spans="2:3" x14ac:dyDescent="0.35">
      <c r="B13" s="551" t="s">
        <v>4493</v>
      </c>
      <c r="C13" s="551" t="str">
        <f>Eckdaten!C19</f>
        <v>Bestandsanalyse und Transformation</v>
      </c>
    </row>
    <row r="14" spans="2:3" x14ac:dyDescent="0.35">
      <c r="B14" s="551" t="s">
        <v>4985</v>
      </c>
      <c r="C14" s="551">
        <f>Eckdaten!C37</f>
        <v>0</v>
      </c>
    </row>
    <row r="15" spans="2:3" x14ac:dyDescent="0.35">
      <c r="B15" s="551" t="s">
        <v>5184</v>
      </c>
      <c r="C15" s="553">
        <f>Eckdaten!C21</f>
        <v>0</v>
      </c>
    </row>
    <row r="16" spans="2:3" x14ac:dyDescent="0.35">
      <c r="B16" s="551" t="s">
        <v>5185</v>
      </c>
      <c r="C16" s="553">
        <f>Eckdaten!C22</f>
        <v>0</v>
      </c>
    </row>
    <row r="17" spans="2:3" x14ac:dyDescent="0.35">
      <c r="B17" s="551" t="s">
        <v>2046</v>
      </c>
      <c r="C17" s="551">
        <f>Eckdaten!C24</f>
        <v>0</v>
      </c>
    </row>
    <row r="18" spans="2:3" x14ac:dyDescent="0.35">
      <c r="B18" s="551" t="s">
        <v>4445</v>
      </c>
      <c r="C18" s="551">
        <f>Eckdaten!C25</f>
        <v>0</v>
      </c>
    </row>
    <row r="19" spans="2:3" x14ac:dyDescent="0.35">
      <c r="B19" s="551" t="s">
        <v>4490</v>
      </c>
      <c r="C19" s="551">
        <f>Eckdaten!C26</f>
        <v>0</v>
      </c>
    </row>
    <row r="20" spans="2:3" x14ac:dyDescent="0.35">
      <c r="B20" s="551" t="s">
        <v>4491</v>
      </c>
      <c r="C20" s="553" t="e">
        <f>Eckdaten!C29</f>
        <v>#DIV/0!</v>
      </c>
    </row>
    <row r="21" spans="2:3" x14ac:dyDescent="0.35">
      <c r="B21" s="551" t="s">
        <v>4600</v>
      </c>
      <c r="C21" s="553">
        <f>Eckdaten!C30</f>
        <v>0</v>
      </c>
    </row>
    <row r="23" spans="2:3" x14ac:dyDescent="0.35">
      <c r="B23" s="552" t="s">
        <v>4986</v>
      </c>
      <c r="C23" s="554"/>
    </row>
    <row r="24" spans="2:3" x14ac:dyDescent="0.35">
      <c r="B24" s="551" t="s">
        <v>4988</v>
      </c>
      <c r="C24" s="551">
        <f>Eckdaten!C8</f>
        <v>0</v>
      </c>
    </row>
    <row r="25" spans="2:3" x14ac:dyDescent="0.35">
      <c r="B25" s="551" t="s">
        <v>4989</v>
      </c>
      <c r="C25" s="551">
        <f>Eckdaten!C7</f>
        <v>0</v>
      </c>
    </row>
    <row r="27" spans="2:3" s="561" customFormat="1" x14ac:dyDescent="0.35">
      <c r="B27" s="559" t="s">
        <v>4899</v>
      </c>
      <c r="C27" s="560">
        <f>Qualität_Ergebnis_HF!F32</f>
        <v>0</v>
      </c>
    </row>
    <row r="28" spans="2:3" s="561" customFormat="1" x14ac:dyDescent="0.35">
      <c r="B28" s="556" t="s">
        <v>4991</v>
      </c>
      <c r="C28" s="557"/>
    </row>
    <row r="29" spans="2:3" s="561" customFormat="1" x14ac:dyDescent="0.35">
      <c r="B29" s="556" t="s">
        <v>4996</v>
      </c>
      <c r="C29" s="557"/>
    </row>
    <row r="30" spans="2:3" s="561" customFormat="1" x14ac:dyDescent="0.35">
      <c r="B30" s="562" t="s">
        <v>4900</v>
      </c>
      <c r="C30" s="563">
        <f>Qualität_Ergebnis_HF!F33</f>
        <v>0</v>
      </c>
    </row>
    <row r="31" spans="2:3" s="561" customFormat="1" x14ac:dyDescent="0.35">
      <c r="B31" s="564" t="s">
        <v>4997</v>
      </c>
      <c r="C31" s="565"/>
    </row>
    <row r="32" spans="2:3" s="561" customFormat="1" x14ac:dyDescent="0.35">
      <c r="B32" s="564" t="s">
        <v>4998</v>
      </c>
      <c r="C32" s="565"/>
    </row>
    <row r="33" spans="2:3" s="561" customFormat="1" x14ac:dyDescent="0.35">
      <c r="B33" s="566" t="s">
        <v>4901</v>
      </c>
      <c r="C33" s="567">
        <f>Qualität_Ergebnis_HF!F34</f>
        <v>0</v>
      </c>
    </row>
    <row r="34" spans="2:3" s="561" customFormat="1" x14ac:dyDescent="0.35">
      <c r="B34" s="564" t="s">
        <v>4995</v>
      </c>
      <c r="C34" s="558">
        <f>Qualität_Ergebnis_HF!G88</f>
        <v>0</v>
      </c>
    </row>
    <row r="35" spans="2:3" s="561" customFormat="1" x14ac:dyDescent="0.35">
      <c r="B35" s="564" t="s">
        <v>4994</v>
      </c>
      <c r="C35" s="558">
        <f>Qualität_Ergebnis_HF!G102</f>
        <v>0</v>
      </c>
    </row>
    <row r="36" spans="2:3" s="561" customFormat="1" x14ac:dyDescent="0.35">
      <c r="B36" s="568" t="s">
        <v>4902</v>
      </c>
      <c r="C36" s="569">
        <f>Qualität_Ergebnis_HF!F35</f>
        <v>0</v>
      </c>
    </row>
    <row r="37" spans="2:3" s="561" customFormat="1" ht="29" x14ac:dyDescent="0.35">
      <c r="B37" s="556" t="s">
        <v>4993</v>
      </c>
      <c r="C37" s="558">
        <f>'RH Gebäude'!J20</f>
        <v>0</v>
      </c>
    </row>
    <row r="38" spans="2:3" s="561" customFormat="1" x14ac:dyDescent="0.35">
      <c r="B38" s="570" t="s">
        <v>4903</v>
      </c>
      <c r="C38" s="571">
        <f>Qualität_Ergebnis_HF!F36</f>
        <v>0</v>
      </c>
    </row>
    <row r="39" spans="2:3" s="561" customFormat="1" x14ac:dyDescent="0.35">
      <c r="B39" s="564" t="s">
        <v>4486</v>
      </c>
      <c r="C39" s="572" t="str">
        <f>Eckdaten!C32</f>
        <v>Biomasse</v>
      </c>
    </row>
    <row r="40" spans="2:3" s="561" customFormat="1" x14ac:dyDescent="0.35">
      <c r="B40" s="564" t="s">
        <v>4992</v>
      </c>
      <c r="C40" s="572">
        <f>'RH Wärme-Strom'!C155</f>
        <v>0</v>
      </c>
    </row>
    <row r="41" spans="2:3" s="561" customFormat="1" x14ac:dyDescent="0.35">
      <c r="B41" s="573" t="s">
        <v>4904</v>
      </c>
      <c r="C41" s="574">
        <f>Qualität_Ergebnis_HF!F37</f>
        <v>0</v>
      </c>
    </row>
    <row r="42" spans="2:3" s="561" customFormat="1" x14ac:dyDescent="0.35">
      <c r="B42" s="561" t="s">
        <v>5226</v>
      </c>
      <c r="C42" s="558">
        <f>Qualität_Ergebnis_HF!G139</f>
        <v>0</v>
      </c>
    </row>
    <row r="43" spans="2:3" s="561" customFormat="1" x14ac:dyDescent="0.35">
      <c r="B43" s="564" t="s">
        <v>4990</v>
      </c>
      <c r="C43" s="575" t="str">
        <f>Qualitätsprüfung!F1580</f>
        <v>G - Basiserschließung</v>
      </c>
    </row>
    <row r="44" spans="2:3" s="561" customFormat="1" x14ac:dyDescent="0.35">
      <c r="B44" s="576" t="s">
        <v>5225</v>
      </c>
      <c r="C44" s="577"/>
    </row>
    <row r="45" spans="2:3" s="561" customFormat="1" x14ac:dyDescent="0.35">
      <c r="B45" s="564" t="s">
        <v>5001</v>
      </c>
      <c r="C45" s="565"/>
    </row>
    <row r="46" spans="2:3" s="561" customFormat="1" x14ac:dyDescent="0.35">
      <c r="B46" s="564" t="s">
        <v>5002</v>
      </c>
      <c r="C46" s="565"/>
    </row>
    <row r="47" spans="2:3" s="561" customFormat="1" x14ac:dyDescent="0.35">
      <c r="B47" s="578" t="s">
        <v>5003</v>
      </c>
      <c r="C47" s="579" t="s">
        <v>5004</v>
      </c>
    </row>
    <row r="48" spans="2:3" s="561" customFormat="1" x14ac:dyDescent="0.35">
      <c r="B48" s="565"/>
      <c r="C48" s="565"/>
    </row>
    <row r="49" spans="2:3" s="561" customFormat="1" x14ac:dyDescent="0.35">
      <c r="B49" s="565"/>
      <c r="C49" s="565"/>
    </row>
    <row r="50" spans="2:3" s="561" customFormat="1" x14ac:dyDescent="0.35">
      <c r="B50" s="565"/>
      <c r="C50" s="565"/>
    </row>
    <row r="51" spans="2:3" s="561" customFormat="1" x14ac:dyDescent="0.35">
      <c r="B51" s="565"/>
      <c r="C51" s="565"/>
    </row>
    <row r="52" spans="2:3" s="561" customFormat="1" x14ac:dyDescent="0.35">
      <c r="B52" s="565"/>
      <c r="C52" s="565"/>
    </row>
    <row r="53" spans="2:3" s="561" customFormat="1" x14ac:dyDescent="0.35">
      <c r="B53" s="565"/>
      <c r="C53" s="580"/>
    </row>
    <row r="55" spans="2:3" x14ac:dyDescent="0.35">
      <c r="B55" s="220" t="s">
        <v>5006</v>
      </c>
    </row>
    <row r="56" spans="2:3" x14ac:dyDescent="0.35">
      <c r="B56" s="1772" t="s">
        <v>5005</v>
      </c>
      <c r="C56" s="1772"/>
    </row>
    <row r="57" spans="2:3" x14ac:dyDescent="0.35">
      <c r="B57" s="1772"/>
      <c r="C57" s="1772"/>
    </row>
    <row r="58" spans="2:3" x14ac:dyDescent="0.35">
      <c r="B58" s="1772"/>
      <c r="C58" s="1772"/>
    </row>
    <row r="59" spans="2:3" x14ac:dyDescent="0.35">
      <c r="B59" s="1772"/>
      <c r="C59" s="1772"/>
    </row>
    <row r="60" spans="2:3" x14ac:dyDescent="0.35">
      <c r="B60" s="1772"/>
      <c r="C60" s="1772"/>
    </row>
  </sheetData>
  <mergeCells count="1">
    <mergeCell ref="B56:C60"/>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E45"/>
  <sheetViews>
    <sheetView zoomScaleNormal="100" workbookViewId="0"/>
  </sheetViews>
  <sheetFormatPr baseColWidth="10" defaultColWidth="11" defaultRowHeight="14.5" x14ac:dyDescent="0.35"/>
  <cols>
    <col min="1" max="1" width="3.08203125" style="550" customWidth="1"/>
    <col min="2" max="2" width="41.75" style="550" customWidth="1"/>
    <col min="3" max="3" width="46.08203125" style="564" bestFit="1" customWidth="1"/>
    <col min="4" max="4" width="5" style="941" customWidth="1"/>
    <col min="5" max="5" width="37.08203125" style="916" customWidth="1"/>
    <col min="6" max="16384" width="11" style="550"/>
  </cols>
  <sheetData>
    <row r="1" spans="2:5" x14ac:dyDescent="0.35">
      <c r="C1" s="933"/>
      <c r="D1" s="942"/>
    </row>
    <row r="2" spans="2:5" ht="18.5" x14ac:dyDescent="0.45">
      <c r="B2" s="32" t="s">
        <v>5620</v>
      </c>
    </row>
    <row r="3" spans="2:5" x14ac:dyDescent="0.35">
      <c r="B3" s="647" t="s">
        <v>5634</v>
      </c>
      <c r="C3" s="918"/>
      <c r="D3" s="939"/>
      <c r="E3" s="922"/>
    </row>
    <row r="4" spans="2:5" ht="29" x14ac:dyDescent="0.35">
      <c r="B4" s="647" t="s">
        <v>5635</v>
      </c>
      <c r="C4" s="918"/>
      <c r="D4" s="939"/>
      <c r="E4" s="922"/>
    </row>
    <row r="5" spans="2:5" x14ac:dyDescent="0.35">
      <c r="C5" s="550"/>
    </row>
    <row r="6" spans="2:5" x14ac:dyDescent="0.35">
      <c r="B6" s="299" t="s">
        <v>21</v>
      </c>
      <c r="C6" s="918"/>
      <c r="D6" s="939"/>
      <c r="E6" s="922"/>
    </row>
    <row r="7" spans="2:5" ht="29" x14ac:dyDescent="0.35">
      <c r="B7" s="651" t="s">
        <v>5186</v>
      </c>
      <c r="C7" s="918"/>
      <c r="D7" s="939"/>
      <c r="E7" s="922"/>
    </row>
    <row r="8" spans="2:5" ht="29" x14ac:dyDescent="0.35">
      <c r="B8" s="651" t="s">
        <v>5638</v>
      </c>
      <c r="C8" s="918"/>
      <c r="D8" s="939"/>
      <c r="E8" s="922"/>
    </row>
    <row r="9" spans="2:5" x14ac:dyDescent="0.35">
      <c r="B9" s="651" t="s">
        <v>5621</v>
      </c>
      <c r="C9" s="918"/>
    </row>
    <row r="10" spans="2:5" x14ac:dyDescent="0.35">
      <c r="B10" s="651" t="s">
        <v>5628</v>
      </c>
      <c r="C10" s="918"/>
    </row>
    <row r="11" spans="2:5" x14ac:dyDescent="0.35">
      <c r="C11" s="550"/>
    </row>
    <row r="12" spans="2:5" x14ac:dyDescent="0.35">
      <c r="B12" s="299" t="s">
        <v>5468</v>
      </c>
      <c r="C12" s="918"/>
    </row>
    <row r="13" spans="2:5" x14ac:dyDescent="0.35">
      <c r="B13" s="651" t="s">
        <v>5636</v>
      </c>
      <c r="C13" s="918"/>
    </row>
    <row r="14" spans="2:5" x14ac:dyDescent="0.35">
      <c r="B14" s="651" t="s">
        <v>5637</v>
      </c>
      <c r="C14" s="918"/>
    </row>
    <row r="15" spans="2:5" x14ac:dyDescent="0.35">
      <c r="B15" s="651" t="s">
        <v>5622</v>
      </c>
      <c r="C15" s="918"/>
    </row>
    <row r="16" spans="2:5" x14ac:dyDescent="0.35">
      <c r="B16" s="651" t="s">
        <v>5623</v>
      </c>
      <c r="C16" s="918"/>
    </row>
    <row r="17" spans="2:5" x14ac:dyDescent="0.35">
      <c r="D17" s="939"/>
      <c r="E17" s="922"/>
    </row>
    <row r="18" spans="2:5" x14ac:dyDescent="0.35">
      <c r="B18" s="299" t="s">
        <v>30</v>
      </c>
      <c r="C18" s="918"/>
      <c r="D18" s="939"/>
      <c r="E18" s="922"/>
    </row>
    <row r="19" spans="2:5" x14ac:dyDescent="0.35">
      <c r="B19" s="651" t="s">
        <v>4373</v>
      </c>
      <c r="C19" s="918"/>
      <c r="D19" s="939"/>
      <c r="E19" s="922"/>
    </row>
    <row r="20" spans="2:5" x14ac:dyDescent="0.35">
      <c r="B20" s="651" t="s">
        <v>5624</v>
      </c>
      <c r="C20" s="918"/>
      <c r="D20" s="939"/>
      <c r="E20" s="922"/>
    </row>
    <row r="21" spans="2:5" x14ac:dyDescent="0.35">
      <c r="B21" s="651" t="s">
        <v>5625</v>
      </c>
      <c r="C21" s="918"/>
      <c r="D21" s="939"/>
      <c r="E21" s="922"/>
    </row>
    <row r="22" spans="2:5" x14ac:dyDescent="0.35">
      <c r="B22" s="651" t="s">
        <v>4374</v>
      </c>
      <c r="C22" s="918"/>
      <c r="D22" s="939"/>
      <c r="E22" s="922"/>
    </row>
    <row r="23" spans="2:5" x14ac:dyDescent="0.35">
      <c r="B23" s="651" t="s">
        <v>5642</v>
      </c>
      <c r="C23" s="918"/>
      <c r="D23" s="939"/>
      <c r="E23" s="922"/>
    </row>
    <row r="25" spans="2:5" x14ac:dyDescent="0.35">
      <c r="B25" s="647" t="s">
        <v>5643</v>
      </c>
      <c r="C25" s="918"/>
    </row>
    <row r="26" spans="2:5" x14ac:dyDescent="0.35">
      <c r="D26" s="939"/>
      <c r="E26" s="922"/>
    </row>
    <row r="27" spans="2:5" x14ac:dyDescent="0.35">
      <c r="B27" s="299" t="s">
        <v>31</v>
      </c>
      <c r="C27" s="918"/>
      <c r="D27" s="939"/>
      <c r="E27" s="922"/>
    </row>
    <row r="28" spans="2:5" x14ac:dyDescent="0.35">
      <c r="B28" s="651" t="s">
        <v>5639</v>
      </c>
      <c r="C28" s="918"/>
    </row>
    <row r="29" spans="2:5" x14ac:dyDescent="0.35">
      <c r="B29" s="651" t="s">
        <v>5640</v>
      </c>
      <c r="C29" s="918"/>
    </row>
    <row r="30" spans="2:5" x14ac:dyDescent="0.35">
      <c r="B30" s="651" t="s">
        <v>5626</v>
      </c>
      <c r="C30" s="918"/>
    </row>
    <row r="31" spans="2:5" x14ac:dyDescent="0.35">
      <c r="B31" s="651" t="s">
        <v>5641</v>
      </c>
      <c r="C31" s="918"/>
    </row>
    <row r="32" spans="2:5" x14ac:dyDescent="0.35">
      <c r="B32" s="651" t="s">
        <v>5627</v>
      </c>
      <c r="C32" s="918"/>
    </row>
    <row r="37" spans="2:2" x14ac:dyDescent="0.35">
      <c r="B37" s="662"/>
    </row>
    <row r="43" spans="2:2" x14ac:dyDescent="0.35">
      <c r="B43" s="1130"/>
    </row>
    <row r="45" spans="2:2" x14ac:dyDescent="0.35">
      <c r="B45" s="1130"/>
    </row>
  </sheetData>
  <dataValidations count="1">
    <dataValidation type="list" allowBlank="1" showInputMessage="1" showErrorMessage="1" sqref="C25 C3:C4 C6:C10 C12:C16 C18:C23 C27:C32">
      <formula1>vorhanden</formula1>
    </dataValidation>
  </dataValidations>
  <pageMargins left="0.7" right="0.7" top="0.78740157499999996" bottom="0.78740157499999996"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F23"/>
  <sheetViews>
    <sheetView zoomScaleNormal="100" workbookViewId="0"/>
  </sheetViews>
  <sheetFormatPr baseColWidth="10" defaultColWidth="11" defaultRowHeight="14.5" x14ac:dyDescent="0.35"/>
  <cols>
    <col min="1" max="1" width="3.25" style="1" customWidth="1"/>
    <col min="2" max="2" width="11" style="1"/>
    <col min="3" max="3" width="45" style="1" bestFit="1" customWidth="1"/>
    <col min="4" max="4" width="21.75" style="1" bestFit="1" customWidth="1"/>
    <col min="5" max="5" width="8.83203125" style="1" bestFit="1" customWidth="1"/>
    <col min="6" max="6" width="12.75" style="1" bestFit="1" customWidth="1"/>
    <col min="7" max="16384" width="11" style="1"/>
  </cols>
  <sheetData>
    <row r="1" spans="2:6" x14ac:dyDescent="0.35">
      <c r="B1" s="1008" t="s">
        <v>5405</v>
      </c>
    </row>
    <row r="3" spans="2:6" x14ac:dyDescent="0.35">
      <c r="B3" s="301" t="s">
        <v>17</v>
      </c>
      <c r="C3" s="299" t="s">
        <v>14</v>
      </c>
      <c r="D3" s="299" t="s">
        <v>15</v>
      </c>
      <c r="E3" s="299" t="s">
        <v>12</v>
      </c>
      <c r="F3" s="299" t="s">
        <v>13</v>
      </c>
    </row>
    <row r="4" spans="2:6" x14ac:dyDescent="0.35">
      <c r="B4" s="465">
        <v>1</v>
      </c>
      <c r="C4" s="360" t="str">
        <f>IFERROR(VLOOKUP(B4,Qualität_Ergebnis_HF!$H$43:$J$145,2,0),"")</f>
        <v/>
      </c>
      <c r="D4" s="33"/>
      <c r="E4" s="33"/>
      <c r="F4" s="33"/>
    </row>
    <row r="5" spans="2:6" x14ac:dyDescent="0.35">
      <c r="B5" s="465">
        <v>2</v>
      </c>
      <c r="C5" s="360" t="str">
        <f>IFERROR(VLOOKUP(B5,Qualität_Ergebnis_HF!$H$43:$J$145,2,0),"")</f>
        <v/>
      </c>
      <c r="D5" s="33"/>
      <c r="E5" s="33"/>
      <c r="F5" s="33"/>
    </row>
    <row r="6" spans="2:6" x14ac:dyDescent="0.35">
      <c r="B6" s="465">
        <v>3</v>
      </c>
      <c r="C6" s="360" t="str">
        <f>IFERROR(VLOOKUP(B6,Qualität_Ergebnis_HF!$H$43:$J$145,2,0),"")</f>
        <v/>
      </c>
      <c r="D6" s="33"/>
      <c r="E6" s="33"/>
      <c r="F6" s="33"/>
    </row>
    <row r="7" spans="2:6" x14ac:dyDescent="0.35">
      <c r="B7" s="465">
        <v>4</v>
      </c>
      <c r="C7" s="360" t="str">
        <f>IFERROR(VLOOKUP(B7,Qualität_Ergebnis_HF!$H$43:$J$145,2,0),"")</f>
        <v/>
      </c>
      <c r="D7" s="33"/>
      <c r="E7" s="33"/>
      <c r="F7" s="33"/>
    </row>
    <row r="8" spans="2:6" x14ac:dyDescent="0.35">
      <c r="B8" s="465">
        <v>5</v>
      </c>
      <c r="C8" s="360" t="str">
        <f>IFERROR(VLOOKUP(B8,Qualität_Ergebnis_HF!$H$43:$J$145,2,0),"")</f>
        <v/>
      </c>
      <c r="D8" s="33"/>
      <c r="E8" s="33"/>
      <c r="F8" s="33"/>
    </row>
    <row r="9" spans="2:6" x14ac:dyDescent="0.35">
      <c r="B9" s="465">
        <v>6</v>
      </c>
      <c r="C9" s="360" t="str">
        <f>IFERROR(VLOOKUP(B9,Qualität_Ergebnis_HF!$H$43:$J$145,2,0),"")</f>
        <v/>
      </c>
      <c r="D9" s="33"/>
      <c r="E9" s="33"/>
      <c r="F9" s="33"/>
    </row>
    <row r="10" spans="2:6" x14ac:dyDescent="0.35">
      <c r="B10" s="465">
        <v>7</v>
      </c>
      <c r="C10" s="360" t="str">
        <f>IFERROR(VLOOKUP(B10,Qualität_Ergebnis_HF!$H$43:$J$145,2,0),"")</f>
        <v/>
      </c>
      <c r="D10" s="33"/>
      <c r="E10" s="33"/>
      <c r="F10" s="33"/>
    </row>
    <row r="11" spans="2:6" x14ac:dyDescent="0.35">
      <c r="B11" s="465">
        <v>8</v>
      </c>
      <c r="C11" s="360" t="str">
        <f>IFERROR(VLOOKUP(B11,Qualität_Ergebnis_HF!$H$43:$J$145,2,0),"")</f>
        <v/>
      </c>
      <c r="D11" s="33"/>
      <c r="E11" s="33"/>
      <c r="F11" s="33"/>
    </row>
    <row r="12" spans="2:6" x14ac:dyDescent="0.35">
      <c r="B12" s="465">
        <v>9</v>
      </c>
      <c r="C12" s="360" t="str">
        <f>IFERROR(VLOOKUP(B12,Qualität_Ergebnis_HF!$H$43:$J$145,2,0),"")</f>
        <v/>
      </c>
      <c r="D12" s="33"/>
      <c r="E12" s="33"/>
      <c r="F12" s="33"/>
    </row>
    <row r="13" spans="2:6" x14ac:dyDescent="0.35">
      <c r="B13" s="465">
        <v>10</v>
      </c>
      <c r="C13" s="360" t="str">
        <f>IFERROR(VLOOKUP(B13,Qualität_Ergebnis_HF!$H$43:$J$145,2,0),"")</f>
        <v/>
      </c>
      <c r="D13" s="33"/>
      <c r="E13" s="33"/>
      <c r="F13" s="33"/>
    </row>
    <row r="14" spans="2:6" x14ac:dyDescent="0.35">
      <c r="B14" s="465">
        <v>11</v>
      </c>
      <c r="C14" s="360" t="str">
        <f>IFERROR(VLOOKUP(B14,Qualität_Ergebnis_HF!$H$43:$J$145,2,0),"")</f>
        <v/>
      </c>
      <c r="D14" s="33"/>
      <c r="E14" s="33"/>
      <c r="F14" s="33"/>
    </row>
    <row r="15" spans="2:6" x14ac:dyDescent="0.35">
      <c r="B15" s="465">
        <v>12</v>
      </c>
      <c r="C15" s="360" t="str">
        <f>IFERROR(VLOOKUP(B15,Qualität_Ergebnis_HF!$H$43:$J$145,2,0),"")</f>
        <v/>
      </c>
      <c r="D15" s="33"/>
      <c r="E15" s="33"/>
      <c r="F15" s="33"/>
    </row>
    <row r="16" spans="2:6" x14ac:dyDescent="0.35">
      <c r="B16" s="465">
        <v>13</v>
      </c>
      <c r="C16" s="360" t="str">
        <f>IFERROR(VLOOKUP(B16,Qualität_Ergebnis_HF!$H$43:$J$145,2,0),"")</f>
        <v/>
      </c>
      <c r="D16" s="33"/>
      <c r="E16" s="33"/>
      <c r="F16" s="33"/>
    </row>
    <row r="17" spans="2:6" x14ac:dyDescent="0.35">
      <c r="B17" s="465">
        <v>14</v>
      </c>
      <c r="C17" s="360" t="str">
        <f>IFERROR(VLOOKUP(B17,Qualität_Ergebnis_HF!$H$43:$J$145,2,0),"")</f>
        <v/>
      </c>
      <c r="D17" s="33"/>
      <c r="E17" s="33"/>
      <c r="F17" s="33"/>
    </row>
    <row r="18" spans="2:6" x14ac:dyDescent="0.35">
      <c r="B18" s="465">
        <v>15</v>
      </c>
      <c r="C18" s="360" t="str">
        <f>IFERROR(VLOOKUP(B18,Qualität_Ergebnis_HF!$H$43:$J$145,2,0),"")</f>
        <v/>
      </c>
      <c r="D18" s="33"/>
      <c r="E18" s="33"/>
      <c r="F18" s="33"/>
    </row>
    <row r="19" spans="2:6" x14ac:dyDescent="0.35">
      <c r="B19" s="465">
        <v>16</v>
      </c>
      <c r="C19" s="360" t="str">
        <f>IFERROR(VLOOKUP(B19,Qualität_Ergebnis_HF!$H$43:$J$145,2,0),"")</f>
        <v/>
      </c>
      <c r="D19" s="33"/>
      <c r="E19" s="33"/>
      <c r="F19" s="33"/>
    </row>
    <row r="20" spans="2:6" x14ac:dyDescent="0.35">
      <c r="B20" s="465">
        <v>17</v>
      </c>
      <c r="C20" s="360" t="str">
        <f>IFERROR(VLOOKUP(B20,Qualität_Ergebnis_HF!$H$43:$J$145,2,0),"")</f>
        <v/>
      </c>
      <c r="D20" s="33"/>
      <c r="E20" s="33"/>
      <c r="F20" s="33"/>
    </row>
    <row r="21" spans="2:6" x14ac:dyDescent="0.35">
      <c r="B21" s="465">
        <v>18</v>
      </c>
      <c r="C21" s="360" t="str">
        <f>IFERROR(VLOOKUP(B21,Qualität_Ergebnis_HF!$H$43:$J$145,2,0),"")</f>
        <v/>
      </c>
      <c r="D21" s="33"/>
      <c r="E21" s="33"/>
      <c r="F21" s="33"/>
    </row>
    <row r="22" spans="2:6" x14ac:dyDescent="0.35">
      <c r="B22" s="465">
        <v>19</v>
      </c>
      <c r="C22" s="360" t="str">
        <f>IFERROR(VLOOKUP(B22,Qualität_Ergebnis_HF!$H$43:$J$145,2,0),"")</f>
        <v/>
      </c>
      <c r="D22" s="33"/>
      <c r="E22" s="33"/>
      <c r="F22" s="33"/>
    </row>
    <row r="23" spans="2:6" x14ac:dyDescent="0.35">
      <c r="B23" s="465">
        <v>20</v>
      </c>
      <c r="C23" s="360" t="str">
        <f>IFERROR(VLOOKUP(B23,Qualität_Ergebnis_HF!$H$43:$J$145,2,0),"")</f>
        <v/>
      </c>
      <c r="D23" s="33"/>
      <c r="E23" s="33"/>
      <c r="F23" s="33"/>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rgb="FFFF0000"/>
  </sheetPr>
  <dimension ref="A1:V1620"/>
  <sheetViews>
    <sheetView zoomScaleNormal="100" workbookViewId="0"/>
  </sheetViews>
  <sheetFormatPr baseColWidth="10" defaultColWidth="11" defaultRowHeight="14.5" outlineLevelRow="1" x14ac:dyDescent="0.35"/>
  <cols>
    <col min="1" max="1" width="1.25" style="1" customWidth="1"/>
    <col min="2" max="2" width="4.25" style="34" customWidth="1"/>
    <col min="3" max="3" width="5.58203125" style="35" customWidth="1"/>
    <col min="4" max="4" width="51.58203125" style="1" customWidth="1"/>
    <col min="5" max="5" width="4.33203125" style="18" customWidth="1"/>
    <col min="6" max="6" width="35.25" style="1" customWidth="1"/>
    <col min="7" max="7" width="10.83203125" style="1" customWidth="1"/>
    <col min="8" max="8" width="17.58203125" style="1" customWidth="1"/>
    <col min="9" max="9" width="58.25" style="36" customWidth="1"/>
    <col min="10" max="10" width="14.58203125" style="37" customWidth="1"/>
    <col min="11" max="14" width="10.58203125" style="38" hidden="1" customWidth="1"/>
    <col min="15" max="15" width="11" style="960" hidden="1" customWidth="1"/>
    <col min="16" max="16" width="31.83203125" style="960" hidden="1" customWidth="1"/>
    <col min="17" max="17" width="11" style="39" hidden="1" customWidth="1"/>
    <col min="18" max="18" width="11" style="964" hidden="1" customWidth="1"/>
    <col min="19" max="21" width="11" style="123" hidden="1" customWidth="1"/>
    <col min="22" max="16384" width="11" style="1"/>
  </cols>
  <sheetData>
    <row r="1" spans="2:21" ht="15" thickBot="1" x14ac:dyDescent="0.4"/>
    <row r="2" spans="2:21" ht="23.5" x14ac:dyDescent="0.55000000000000004">
      <c r="B2" s="40" t="s">
        <v>4446</v>
      </c>
      <c r="C2" s="41"/>
      <c r="D2" s="42"/>
      <c r="E2" s="43"/>
      <c r="F2" s="592" t="str">
        <f>Eckdaten!C16</f>
        <v>Planungsphase</v>
      </c>
      <c r="G2" s="43">
        <f>IF(OR(F2="Bezugsphase",F2="Nutzungsphase"),1,0)</f>
        <v>0</v>
      </c>
      <c r="H2" s="43">
        <f>VLOOKUP(F2,Listen!$B$2:$C$6,2,0)</f>
        <v>4</v>
      </c>
      <c r="I2" s="44"/>
      <c r="J2" s="45"/>
    </row>
    <row r="3" spans="2:21" ht="19.5" customHeight="1" x14ac:dyDescent="0.35">
      <c r="B3" s="46" t="s">
        <v>4447</v>
      </c>
      <c r="C3" s="47"/>
      <c r="D3" s="26"/>
      <c r="E3" s="23"/>
      <c r="F3" s="48">
        <f>IF(G3=TRUE,1,"")</f>
        <v>1</v>
      </c>
      <c r="G3" s="49" t="b">
        <v>1</v>
      </c>
      <c r="H3" s="26"/>
      <c r="I3" s="50"/>
      <c r="J3" s="51"/>
      <c r="O3" s="1029"/>
    </row>
    <row r="4" spans="2:21" s="53" customFormat="1" ht="21" x14ac:dyDescent="0.5">
      <c r="B4" s="868" t="s">
        <v>4745</v>
      </c>
      <c r="C4" s="869"/>
      <c r="D4" s="870"/>
      <c r="E4" s="871"/>
      <c r="F4" s="872" t="str">
        <f>IF($F$3=1,Handlungsfeld1,"")</f>
        <v>Handlungsfeld A - Management</v>
      </c>
      <c r="G4" s="873"/>
      <c r="H4" s="873"/>
      <c r="I4" s="874" t="s">
        <v>4448</v>
      </c>
      <c r="J4" s="875"/>
      <c r="K4" s="52"/>
      <c r="L4" s="52"/>
      <c r="M4" s="52"/>
      <c r="N4" s="52"/>
      <c r="O4" s="961"/>
      <c r="P4" s="961"/>
      <c r="Q4" s="54"/>
      <c r="R4" s="964"/>
      <c r="S4" s="123"/>
      <c r="T4" s="123"/>
      <c r="U4" s="123"/>
    </row>
    <row r="5" spans="2:21" s="62" customFormat="1" ht="18.5" hidden="1" outlineLevel="1" x14ac:dyDescent="0.45">
      <c r="B5" s="55" t="s">
        <v>4746</v>
      </c>
      <c r="C5" s="56"/>
      <c r="D5" s="57"/>
      <c r="E5" s="58"/>
      <c r="F5" s="59" t="str">
        <f>IF($F$3=1,B5,"")</f>
        <v>A.1 Strukturen etablieren</v>
      </c>
      <c r="G5" s="59"/>
      <c r="H5" s="59"/>
      <c r="I5" s="513" t="s">
        <v>4448</v>
      </c>
      <c r="J5" s="60"/>
      <c r="K5" s="61"/>
      <c r="L5" s="61"/>
      <c r="M5" s="61"/>
      <c r="N5" s="61"/>
      <c r="O5" s="962"/>
      <c r="P5" s="962"/>
      <c r="Q5" s="63"/>
      <c r="R5" s="964"/>
      <c r="S5" s="123"/>
      <c r="T5" s="123"/>
      <c r="U5" s="123"/>
    </row>
    <row r="6" spans="2:21" s="62" customFormat="1" ht="18.5" hidden="1" outlineLevel="1" x14ac:dyDescent="0.45">
      <c r="B6" s="55" t="s">
        <v>4747</v>
      </c>
      <c r="C6" s="56"/>
      <c r="D6" s="57"/>
      <c r="E6" s="64"/>
      <c r="F6" s="59" t="str">
        <f>IF($F$3=1,B6,"")</f>
        <v>A.2 Ziele setzen</v>
      </c>
      <c r="G6" s="59"/>
      <c r="H6" s="59"/>
      <c r="I6" s="513" t="s">
        <v>4448</v>
      </c>
      <c r="J6" s="60"/>
      <c r="K6" s="61"/>
      <c r="L6" s="61"/>
      <c r="M6" s="61"/>
      <c r="N6" s="61"/>
      <c r="O6" s="962"/>
      <c r="P6" s="962"/>
      <c r="Q6" s="63"/>
      <c r="R6" s="964"/>
      <c r="S6" s="123"/>
      <c r="T6" s="123"/>
      <c r="U6" s="123"/>
    </row>
    <row r="7" spans="2:21" s="62" customFormat="1" ht="18.5" hidden="1" outlineLevel="1" x14ac:dyDescent="0.45">
      <c r="B7" s="55" t="s">
        <v>4748</v>
      </c>
      <c r="C7" s="56"/>
      <c r="D7" s="57"/>
      <c r="E7" s="58"/>
      <c r="F7" s="59" t="str">
        <f t="shared" ref="F7:F9" si="0">IF($F$3=1,B7,"")</f>
        <v>A.3 Ziele übertragen und verbindlich machen</v>
      </c>
      <c r="G7" s="59"/>
      <c r="H7" s="59"/>
      <c r="I7" s="513" t="s">
        <v>4448</v>
      </c>
      <c r="J7" s="60"/>
      <c r="K7" s="61"/>
      <c r="L7" s="61"/>
      <c r="M7" s="61"/>
      <c r="N7" s="61"/>
      <c r="O7" s="962"/>
      <c r="P7" s="962"/>
      <c r="Q7" s="63"/>
      <c r="R7" s="964"/>
      <c r="S7" s="123"/>
      <c r="T7" s="123"/>
      <c r="U7" s="123"/>
    </row>
    <row r="8" spans="2:21" s="62" customFormat="1" ht="18.5" hidden="1" outlineLevel="1" x14ac:dyDescent="0.45">
      <c r="B8" s="55" t="s">
        <v>4749</v>
      </c>
      <c r="C8" s="56"/>
      <c r="D8" s="57"/>
      <c r="E8" s="58"/>
      <c r="F8" s="59" t="str">
        <f t="shared" si="0"/>
        <v>A.4 Monitoring installieren</v>
      </c>
      <c r="G8" s="59"/>
      <c r="H8" s="59"/>
      <c r="I8" s="513" t="s">
        <v>4448</v>
      </c>
      <c r="J8" s="60"/>
      <c r="K8" s="61"/>
      <c r="L8" s="61"/>
      <c r="M8" s="61"/>
      <c r="N8" s="61"/>
      <c r="O8" s="962"/>
      <c r="P8" s="962"/>
      <c r="Q8" s="63"/>
      <c r="R8" s="964"/>
      <c r="S8" s="123"/>
      <c r="T8" s="123"/>
      <c r="U8" s="123"/>
    </row>
    <row r="9" spans="2:21" s="62" customFormat="1" ht="18.5" hidden="1" outlineLevel="1" x14ac:dyDescent="0.45">
      <c r="B9" s="55" t="s">
        <v>4750</v>
      </c>
      <c r="C9" s="56"/>
      <c r="D9" s="57"/>
      <c r="E9" s="58"/>
      <c r="F9" s="59" t="str">
        <f t="shared" si="0"/>
        <v>A.6 Projektcontrolling durchführen</v>
      </c>
      <c r="G9" s="59"/>
      <c r="H9" s="59"/>
      <c r="I9" s="513" t="s">
        <v>4448</v>
      </c>
      <c r="J9" s="60"/>
      <c r="K9" s="61"/>
      <c r="L9" s="61"/>
      <c r="M9" s="61"/>
      <c r="N9" s="61"/>
      <c r="O9" s="962"/>
      <c r="P9" s="962"/>
      <c r="Q9" s="63"/>
      <c r="R9" s="964"/>
      <c r="S9" s="123"/>
      <c r="T9" s="123"/>
      <c r="U9" s="123"/>
    </row>
    <row r="10" spans="2:21" s="53" customFormat="1" ht="21" collapsed="1" x14ac:dyDescent="0.5">
      <c r="B10" s="891" t="s">
        <v>4751</v>
      </c>
      <c r="C10" s="892"/>
      <c r="D10" s="893"/>
      <c r="E10" s="894"/>
      <c r="F10" s="895" t="str">
        <f>IF($F$3=1,B10,"")</f>
        <v>Handlungsfeld B - Kommunikation</v>
      </c>
      <c r="G10" s="896"/>
      <c r="H10" s="896"/>
      <c r="I10" s="897" t="s">
        <v>4448</v>
      </c>
      <c r="J10" s="898"/>
      <c r="K10" s="52"/>
      <c r="L10" s="52"/>
      <c r="M10" s="52"/>
      <c r="N10" s="52"/>
      <c r="O10" s="961"/>
      <c r="P10" s="961"/>
      <c r="Q10" s="54"/>
      <c r="R10" s="964"/>
      <c r="S10" s="123"/>
      <c r="T10" s="123"/>
      <c r="U10" s="123"/>
    </row>
    <row r="11" spans="2:21" s="62" customFormat="1" ht="18.5" hidden="1" outlineLevel="1" x14ac:dyDescent="0.45">
      <c r="B11" s="65" t="s">
        <v>4752</v>
      </c>
      <c r="C11" s="66"/>
      <c r="D11" s="67"/>
      <c r="E11" s="68"/>
      <c r="F11" s="69" t="str">
        <f>IF($F$3=1,B11,"")</f>
        <v>B.1 Partizipation</v>
      </c>
      <c r="G11" s="69"/>
      <c r="H11" s="69"/>
      <c r="I11" s="514" t="s">
        <v>4448</v>
      </c>
      <c r="J11" s="70"/>
      <c r="K11" s="61"/>
      <c r="L11" s="61"/>
      <c r="M11" s="61"/>
      <c r="N11" s="61"/>
      <c r="O11" s="962"/>
      <c r="P11" s="962"/>
      <c r="Q11" s="63"/>
      <c r="R11" s="964"/>
      <c r="S11" s="123"/>
      <c r="T11" s="123"/>
      <c r="U11" s="123"/>
    </row>
    <row r="12" spans="2:21" s="62" customFormat="1" ht="18.5" hidden="1" outlineLevel="1" x14ac:dyDescent="0.45">
      <c r="B12" s="65" t="s">
        <v>4753</v>
      </c>
      <c r="C12" s="66"/>
      <c r="D12" s="67"/>
      <c r="E12" s="68"/>
      <c r="F12" s="69" t="str">
        <f t="shared" ref="F12:F13" si="1">IF($F$3=1,B12,"")</f>
        <v>B.2 Sensibilisierung zur Energie- und Mobilitätsthemen</v>
      </c>
      <c r="G12" s="69"/>
      <c r="H12" s="69"/>
      <c r="I12" s="514" t="s">
        <v>4448</v>
      </c>
      <c r="J12" s="70"/>
      <c r="K12" s="61"/>
      <c r="L12" s="61"/>
      <c r="M12" s="61"/>
      <c r="N12" s="61"/>
      <c r="O12" s="962"/>
      <c r="P12" s="962"/>
      <c r="Q12" s="63"/>
      <c r="R12" s="964"/>
      <c r="S12" s="123"/>
      <c r="T12" s="123"/>
      <c r="U12" s="123"/>
    </row>
    <row r="13" spans="2:21" s="62" customFormat="1" ht="18.5" hidden="1" outlineLevel="1" x14ac:dyDescent="0.45">
      <c r="B13" s="65" t="s">
        <v>4754</v>
      </c>
      <c r="C13" s="66"/>
      <c r="D13" s="67"/>
      <c r="E13" s="68"/>
      <c r="F13" s="69" t="str">
        <f t="shared" si="1"/>
        <v>B.3 Vorbildwirkung</v>
      </c>
      <c r="G13" s="69"/>
      <c r="H13" s="69"/>
      <c r="I13" s="514" t="s">
        <v>4448</v>
      </c>
      <c r="J13" s="70"/>
      <c r="K13" s="61"/>
      <c r="L13" s="61"/>
      <c r="M13" s="61"/>
      <c r="N13" s="61"/>
      <c r="O13" s="962"/>
      <c r="P13" s="962"/>
      <c r="Q13" s="63"/>
      <c r="R13" s="964"/>
      <c r="S13" s="123"/>
      <c r="T13" s="123"/>
      <c r="U13" s="123"/>
    </row>
    <row r="14" spans="2:21" s="53" customFormat="1" ht="21" collapsed="1" x14ac:dyDescent="0.5">
      <c r="B14" s="883" t="s">
        <v>4791</v>
      </c>
      <c r="C14" s="884"/>
      <c r="D14" s="885"/>
      <c r="E14" s="886"/>
      <c r="F14" s="887" t="str">
        <f>IF($F$3=1,B14,"")</f>
        <v>Handlungsfeld C - Städtebau</v>
      </c>
      <c r="G14" s="888"/>
      <c r="H14" s="888"/>
      <c r="I14" s="889" t="s">
        <v>4448</v>
      </c>
      <c r="J14" s="890"/>
      <c r="K14" s="52"/>
      <c r="L14" s="52"/>
      <c r="M14" s="52"/>
      <c r="N14" s="52"/>
      <c r="O14" s="961"/>
      <c r="P14" s="961"/>
      <c r="Q14" s="54"/>
      <c r="R14" s="964"/>
      <c r="S14" s="123"/>
      <c r="T14" s="123"/>
      <c r="U14" s="123"/>
    </row>
    <row r="15" spans="2:21" s="62" customFormat="1" ht="18.5" hidden="1" outlineLevel="1" x14ac:dyDescent="0.45">
      <c r="B15" s="71" t="s">
        <v>5007</v>
      </c>
      <c r="C15" s="72"/>
      <c r="D15" s="73"/>
      <c r="E15" s="74"/>
      <c r="F15" s="75" t="str">
        <f>IF($F$3=1,B15,"")</f>
        <v>C.1 Bauliche Dichte</v>
      </c>
      <c r="G15" s="75"/>
      <c r="H15" s="75"/>
      <c r="I15" s="515" t="s">
        <v>4448</v>
      </c>
      <c r="J15" s="76"/>
      <c r="K15" s="61"/>
      <c r="L15" s="61"/>
      <c r="M15" s="61"/>
      <c r="N15" s="61"/>
      <c r="O15" s="962"/>
      <c r="P15" s="962"/>
      <c r="Q15" s="63"/>
      <c r="R15" s="964"/>
      <c r="S15" s="123"/>
      <c r="T15" s="123"/>
      <c r="U15" s="123"/>
    </row>
    <row r="16" spans="2:21" s="62" customFormat="1" ht="18.5" hidden="1" outlineLevel="1" x14ac:dyDescent="0.45">
      <c r="B16" s="71" t="s">
        <v>5008</v>
      </c>
      <c r="C16" s="72"/>
      <c r="D16" s="73"/>
      <c r="E16" s="74"/>
      <c r="F16" s="75" t="str">
        <f t="shared" ref="F16:F20" si="2">IF($F$3=1,B16,"")</f>
        <v>C.2 Stadtklima</v>
      </c>
      <c r="G16" s="75"/>
      <c r="H16" s="75"/>
      <c r="I16" s="515" t="s">
        <v>4448</v>
      </c>
      <c r="J16" s="76"/>
      <c r="K16" s="61"/>
      <c r="L16" s="61"/>
      <c r="M16" s="61"/>
      <c r="N16" s="61"/>
      <c r="O16" s="962"/>
      <c r="P16" s="962"/>
      <c r="Q16" s="63"/>
      <c r="R16" s="964"/>
      <c r="S16" s="123"/>
      <c r="T16" s="123"/>
      <c r="U16" s="123"/>
    </row>
    <row r="17" spans="2:21" s="62" customFormat="1" ht="18.5" hidden="1" outlineLevel="1" x14ac:dyDescent="0.45">
      <c r="B17" s="71" t="s">
        <v>5009</v>
      </c>
      <c r="C17" s="72"/>
      <c r="D17" s="73"/>
      <c r="E17" s="74"/>
      <c r="F17" s="75" t="str">
        <f t="shared" si="2"/>
        <v>C.3 Vielfalt der Nutzungen und der Nutzenden</v>
      </c>
      <c r="G17" s="75"/>
      <c r="H17" s="75"/>
      <c r="I17" s="515" t="s">
        <v>4448</v>
      </c>
      <c r="J17" s="76"/>
      <c r="K17" s="61"/>
      <c r="L17" s="61"/>
      <c r="M17" s="61"/>
      <c r="N17" s="61"/>
      <c r="O17" s="962"/>
      <c r="P17" s="962"/>
      <c r="Q17" s="63"/>
      <c r="R17" s="964"/>
      <c r="S17" s="123"/>
      <c r="T17" s="123"/>
      <c r="U17" s="123"/>
    </row>
    <row r="18" spans="2:21" s="62" customFormat="1" ht="18.5" hidden="1" outlineLevel="1" x14ac:dyDescent="0.45">
      <c r="B18" s="71" t="s">
        <v>5010</v>
      </c>
      <c r="C18" s="72"/>
      <c r="D18" s="73"/>
      <c r="E18" s="74"/>
      <c r="F18" s="75" t="str">
        <f>IF($F$3=1,B18,"")</f>
        <v>C.4 Halböffentliche und öffentliche Räume</v>
      </c>
      <c r="G18" s="75"/>
      <c r="H18" s="75"/>
      <c r="I18" s="515" t="s">
        <v>4448</v>
      </c>
      <c r="J18" s="76"/>
      <c r="K18" s="61"/>
      <c r="L18" s="61"/>
      <c r="M18" s="61"/>
      <c r="N18" s="61"/>
      <c r="O18" s="962"/>
      <c r="P18" s="962"/>
      <c r="Q18" s="63"/>
      <c r="R18" s="964"/>
      <c r="S18" s="123"/>
      <c r="T18" s="123"/>
      <c r="U18" s="123"/>
    </row>
    <row r="19" spans="2:21" s="62" customFormat="1" ht="18.5" hidden="1" outlineLevel="1" x14ac:dyDescent="0.45">
      <c r="B19" s="71" t="s">
        <v>5011</v>
      </c>
      <c r="C19" s="72"/>
      <c r="D19" s="73"/>
      <c r="E19" s="74"/>
      <c r="F19" s="75" t="str">
        <f>IF($F$3=1,B19,"")</f>
        <v>C.5 Freiraum</v>
      </c>
      <c r="G19" s="75"/>
      <c r="H19" s="75"/>
      <c r="I19" s="515" t="s">
        <v>4448</v>
      </c>
      <c r="J19" s="76"/>
      <c r="K19" s="61"/>
      <c r="L19" s="61"/>
      <c r="M19" s="61"/>
      <c r="N19" s="61"/>
      <c r="O19" s="962"/>
      <c r="P19" s="962"/>
      <c r="Q19" s="63"/>
      <c r="R19" s="964"/>
      <c r="S19" s="123"/>
      <c r="T19" s="123"/>
      <c r="U19" s="123"/>
    </row>
    <row r="20" spans="2:21" s="62" customFormat="1" ht="18.5" hidden="1" outlineLevel="1" x14ac:dyDescent="0.45">
      <c r="B20" s="71" t="s">
        <v>5012</v>
      </c>
      <c r="C20" s="72"/>
      <c r="D20" s="73"/>
      <c r="E20" s="74"/>
      <c r="F20" s="75" t="str">
        <f t="shared" si="2"/>
        <v>C.6 Angebote für den "täglichen" Bedarf</v>
      </c>
      <c r="G20" s="75"/>
      <c r="H20" s="75"/>
      <c r="I20" s="515" t="s">
        <v>4448</v>
      </c>
      <c r="J20" s="76"/>
      <c r="K20" s="61"/>
      <c r="L20" s="61"/>
      <c r="M20" s="61"/>
      <c r="N20" s="61"/>
      <c r="O20" s="962"/>
      <c r="P20" s="962"/>
      <c r="Q20" s="63"/>
      <c r="R20" s="964"/>
      <c r="S20" s="123"/>
      <c r="T20" s="123"/>
      <c r="U20" s="123"/>
    </row>
    <row r="21" spans="2:21" s="53" customFormat="1" ht="21" collapsed="1" x14ac:dyDescent="0.5">
      <c r="B21" s="876" t="s">
        <v>4813</v>
      </c>
      <c r="C21" s="877"/>
      <c r="D21" s="899"/>
      <c r="E21" s="878"/>
      <c r="F21" s="879" t="str">
        <f>IF($F$3=1,B21,"")</f>
        <v>Handlungsfeld D - Gebäude</v>
      </c>
      <c r="G21" s="880"/>
      <c r="H21" s="880"/>
      <c r="I21" s="881" t="s">
        <v>4448</v>
      </c>
      <c r="J21" s="882"/>
      <c r="K21" s="52"/>
      <c r="L21" s="52"/>
      <c r="M21" s="52"/>
      <c r="N21" s="52"/>
      <c r="O21" s="961"/>
      <c r="P21" s="961"/>
      <c r="Q21" s="54"/>
      <c r="R21" s="964"/>
      <c r="S21" s="123"/>
      <c r="T21" s="123"/>
      <c r="U21" s="123"/>
    </row>
    <row r="22" spans="2:21" s="62" customFormat="1" ht="18.5" hidden="1" outlineLevel="1" x14ac:dyDescent="0.45">
      <c r="B22" s="77" t="s">
        <v>5017</v>
      </c>
      <c r="C22" s="78"/>
      <c r="D22" s="79"/>
      <c r="E22" s="80"/>
      <c r="F22" s="81" t="str">
        <f>IF($F$3=1,B22,"")</f>
        <v>D.1 Lebenszykluskosten</v>
      </c>
      <c r="G22" s="81"/>
      <c r="H22" s="81"/>
      <c r="I22" s="516" t="s">
        <v>4448</v>
      </c>
      <c r="J22" s="82"/>
      <c r="K22" s="61"/>
      <c r="L22" s="61"/>
      <c r="M22" s="61"/>
      <c r="N22" s="61"/>
      <c r="O22" s="962"/>
      <c r="P22" s="962"/>
      <c r="Q22" s="63"/>
      <c r="R22" s="964"/>
      <c r="S22" s="123"/>
      <c r="T22" s="123"/>
      <c r="U22" s="123"/>
    </row>
    <row r="23" spans="2:21" s="62" customFormat="1" ht="18.5" hidden="1" outlineLevel="1" x14ac:dyDescent="0.45">
      <c r="B23" s="77" t="s">
        <v>5018</v>
      </c>
      <c r="C23" s="78"/>
      <c r="D23" s="79"/>
      <c r="E23" s="80"/>
      <c r="F23" s="81" t="str">
        <f t="shared" ref="F23:F24" si="3">IF($F$3=1,B23,"")</f>
        <v>D.2 Gebäudestandards</v>
      </c>
      <c r="G23" s="81"/>
      <c r="H23" s="81"/>
      <c r="I23" s="516" t="s">
        <v>4448</v>
      </c>
      <c r="J23" s="82"/>
      <c r="K23" s="61"/>
      <c r="L23" s="61"/>
      <c r="M23" s="61"/>
      <c r="N23" s="61"/>
      <c r="O23" s="962"/>
      <c r="P23" s="962"/>
      <c r="Q23" s="63"/>
      <c r="R23" s="964"/>
      <c r="S23" s="123"/>
      <c r="T23" s="123"/>
      <c r="U23" s="123"/>
    </row>
    <row r="24" spans="2:21" s="62" customFormat="1" ht="18.5" hidden="1" outlineLevel="1" x14ac:dyDescent="0.45">
      <c r="B24" s="77" t="s">
        <v>5019</v>
      </c>
      <c r="C24" s="78"/>
      <c r="D24" s="79"/>
      <c r="E24" s="80"/>
      <c r="F24" s="81" t="str">
        <f t="shared" si="3"/>
        <v>D.3 Angemessene Nutzungsdichte</v>
      </c>
      <c r="G24" s="81"/>
      <c r="H24" s="81"/>
      <c r="I24" s="516" t="s">
        <v>4448</v>
      </c>
      <c r="J24" s="82"/>
      <c r="K24" s="61"/>
      <c r="L24" s="61"/>
      <c r="M24" s="61"/>
      <c r="N24" s="61"/>
      <c r="O24" s="962"/>
      <c r="P24" s="962"/>
      <c r="Q24" s="63"/>
      <c r="R24" s="964"/>
      <c r="S24" s="123"/>
      <c r="T24" s="123"/>
      <c r="U24" s="123"/>
    </row>
    <row r="25" spans="2:21" ht="21" collapsed="1" x14ac:dyDescent="0.5">
      <c r="B25" s="900" t="s">
        <v>4821</v>
      </c>
      <c r="C25" s="900"/>
      <c r="D25" s="901"/>
      <c r="E25" s="902"/>
      <c r="F25" s="903" t="str">
        <f>IF($F$3=1,B25,"")</f>
        <v>Handlungsfeld E - Versorgung</v>
      </c>
      <c r="G25" s="904"/>
      <c r="H25" s="904"/>
      <c r="I25" s="905" t="s">
        <v>4448</v>
      </c>
      <c r="J25" s="906"/>
      <c r="K25" s="83"/>
      <c r="L25" s="83"/>
      <c r="M25" s="83"/>
      <c r="N25" s="83"/>
    </row>
    <row r="26" spans="2:21" s="62" customFormat="1" ht="18.5" hidden="1" outlineLevel="1" x14ac:dyDescent="0.45">
      <c r="B26" s="84" t="s">
        <v>5015</v>
      </c>
      <c r="C26" s="85"/>
      <c r="D26" s="86"/>
      <c r="E26" s="87"/>
      <c r="F26" s="88" t="str">
        <f>IF($F$3=1,B26,"")</f>
        <v>E.1 Eigenversorgungsgrad</v>
      </c>
      <c r="G26" s="88"/>
      <c r="H26" s="88"/>
      <c r="I26" s="517" t="s">
        <v>4448</v>
      </c>
      <c r="J26" s="89"/>
      <c r="K26" s="61"/>
      <c r="L26" s="61"/>
      <c r="M26" s="61"/>
      <c r="N26" s="61"/>
      <c r="O26" s="962"/>
      <c r="P26" s="962"/>
      <c r="Q26" s="63"/>
      <c r="R26" s="964"/>
      <c r="S26" s="123"/>
      <c r="T26" s="123"/>
      <c r="U26" s="123"/>
    </row>
    <row r="27" spans="2:21" s="62" customFormat="1" ht="18.5" hidden="1" outlineLevel="1" x14ac:dyDescent="0.45">
      <c r="B27" s="84" t="s">
        <v>5016</v>
      </c>
      <c r="C27" s="85"/>
      <c r="D27" s="86"/>
      <c r="E27" s="87"/>
      <c r="F27" s="88" t="str">
        <f t="shared" ref="F27:F29" si="4">IF($F$3=1,B27,"")</f>
        <v>E.2 Qualität der Energieversorgung</v>
      </c>
      <c r="G27" s="88"/>
      <c r="H27" s="88"/>
      <c r="I27" s="517" t="s">
        <v>4448</v>
      </c>
      <c r="J27" s="89"/>
      <c r="K27" s="61"/>
      <c r="L27" s="61"/>
      <c r="M27" s="61"/>
      <c r="N27" s="61"/>
      <c r="O27" s="962"/>
      <c r="P27" s="962"/>
      <c r="Q27" s="63"/>
      <c r="R27" s="964"/>
      <c r="S27" s="123"/>
      <c r="T27" s="123"/>
      <c r="U27" s="123"/>
    </row>
    <row r="28" spans="2:21" s="62" customFormat="1" ht="18.5" hidden="1" outlineLevel="1" x14ac:dyDescent="0.45">
      <c r="B28" s="84" t="s">
        <v>4850</v>
      </c>
      <c r="C28" s="85"/>
      <c r="D28" s="86"/>
      <c r="E28" s="87"/>
      <c r="F28" s="88" t="str">
        <f t="shared" si="4"/>
        <v>E.3 Effizienz der Wassernutzung</v>
      </c>
      <c r="G28" s="88"/>
      <c r="H28" s="88"/>
      <c r="I28" s="517" t="s">
        <v>4448</v>
      </c>
      <c r="J28" s="89"/>
      <c r="K28" s="61"/>
      <c r="L28" s="61"/>
      <c r="M28" s="61"/>
      <c r="N28" s="61"/>
      <c r="O28" s="962"/>
      <c r="P28" s="962"/>
      <c r="Q28" s="63"/>
      <c r="R28" s="964"/>
      <c r="S28" s="123"/>
      <c r="T28" s="123"/>
      <c r="U28" s="123"/>
    </row>
    <row r="29" spans="2:21" s="62" customFormat="1" ht="18.5" hidden="1" outlineLevel="1" x14ac:dyDescent="0.45">
      <c r="B29" s="84" t="s">
        <v>4851</v>
      </c>
      <c r="C29" s="85"/>
      <c r="D29" s="86"/>
      <c r="E29" s="87"/>
      <c r="F29" s="88" t="str">
        <f t="shared" si="4"/>
        <v>E.4 Abfallvermeidung</v>
      </c>
      <c r="G29" s="88"/>
      <c r="H29" s="88"/>
      <c r="I29" s="517" t="s">
        <v>4448</v>
      </c>
      <c r="J29" s="89"/>
      <c r="K29" s="61"/>
      <c r="L29" s="61"/>
      <c r="M29" s="61"/>
      <c r="N29" s="61"/>
      <c r="O29" s="962"/>
      <c r="P29" s="962"/>
      <c r="Q29" s="63"/>
      <c r="R29" s="964"/>
      <c r="S29" s="123"/>
      <c r="T29" s="123"/>
      <c r="U29" s="123"/>
    </row>
    <row r="30" spans="2:21" ht="21.5" collapsed="1" thickBot="1" x14ac:dyDescent="0.55000000000000004">
      <c r="B30" s="907" t="s">
        <v>4839</v>
      </c>
      <c r="C30" s="907"/>
      <c r="D30" s="908"/>
      <c r="E30" s="909"/>
      <c r="F30" s="910" t="str">
        <f>IF($F$3=1,B30,"")</f>
        <v>Handlungsfeld F - Mobilität</v>
      </c>
      <c r="G30" s="911"/>
      <c r="H30" s="911"/>
      <c r="I30" s="912" t="s">
        <v>4448</v>
      </c>
      <c r="J30" s="913"/>
      <c r="K30" s="83"/>
      <c r="L30" s="83"/>
      <c r="M30" s="83"/>
      <c r="N30" s="83"/>
    </row>
    <row r="31" spans="2:21" s="62" customFormat="1" ht="18.5" hidden="1" outlineLevel="1" x14ac:dyDescent="0.45">
      <c r="B31" s="90" t="s">
        <v>5013</v>
      </c>
      <c r="C31" s="91"/>
      <c r="D31" s="92"/>
      <c r="E31" s="93"/>
      <c r="F31" s="92" t="str">
        <f>IF($F$3=1,B31,"")</f>
        <v>F.1 Motorisierter Individualverkehr</v>
      </c>
      <c r="G31" s="94"/>
      <c r="H31" s="94"/>
      <c r="I31" s="518" t="s">
        <v>4448</v>
      </c>
      <c r="J31" s="95"/>
      <c r="K31" s="61"/>
      <c r="L31" s="61"/>
      <c r="M31" s="61"/>
      <c r="N31" s="61"/>
      <c r="O31" s="962"/>
      <c r="P31" s="962"/>
      <c r="Q31" s="63"/>
      <c r="R31" s="964"/>
      <c r="S31" s="123"/>
      <c r="T31" s="123"/>
      <c r="U31" s="123"/>
    </row>
    <row r="32" spans="2:21" s="62" customFormat="1" ht="18.5" hidden="1" outlineLevel="1" x14ac:dyDescent="0.45">
      <c r="B32" s="90" t="s">
        <v>5267</v>
      </c>
      <c r="C32" s="91"/>
      <c r="D32" s="92"/>
      <c r="E32" s="93"/>
      <c r="F32" s="92" t="str">
        <f t="shared" ref="F32:F33" si="5">IF($F$3=1,B32,"")</f>
        <v>F.2 Fuß- und Radverkehr</v>
      </c>
      <c r="G32" s="94"/>
      <c r="H32" s="94"/>
      <c r="I32" s="518" t="s">
        <v>4448</v>
      </c>
      <c r="J32" s="95"/>
      <c r="K32" s="61"/>
      <c r="L32" s="61"/>
      <c r="M32" s="61"/>
      <c r="N32" s="61"/>
      <c r="O32" s="962"/>
      <c r="P32" s="962"/>
      <c r="Q32" s="63"/>
      <c r="R32" s="964"/>
      <c r="S32" s="123"/>
      <c r="T32" s="123"/>
      <c r="U32" s="123"/>
    </row>
    <row r="33" spans="1:21" s="62" customFormat="1" ht="19" hidden="1" outlineLevel="1" thickBot="1" x14ac:dyDescent="0.5">
      <c r="B33" s="96" t="s">
        <v>5014</v>
      </c>
      <c r="C33" s="97"/>
      <c r="D33" s="98"/>
      <c r="E33" s="99"/>
      <c r="F33" s="98" t="str">
        <f t="shared" si="5"/>
        <v>F.3 ÖV-Angebot und alternative Angebote</v>
      </c>
      <c r="G33" s="100"/>
      <c r="H33" s="100"/>
      <c r="I33" s="519" t="s">
        <v>4448</v>
      </c>
      <c r="J33" s="101"/>
      <c r="K33" s="61"/>
      <c r="L33" s="61"/>
      <c r="M33" s="61"/>
      <c r="N33" s="61"/>
      <c r="O33" s="962"/>
      <c r="P33" s="962"/>
      <c r="Q33" s="63"/>
      <c r="R33" s="964"/>
      <c r="S33" s="123"/>
      <c r="T33" s="123"/>
      <c r="U33" s="123"/>
    </row>
    <row r="34" spans="1:21" ht="21" collapsed="1" x14ac:dyDescent="0.5">
      <c r="C34" s="102"/>
      <c r="D34" s="103"/>
      <c r="O34" s="960">
        <f>COUNTA(O36:O4002)</f>
        <v>432</v>
      </c>
      <c r="P34" s="37">
        <f t="shared" ref="P34:R34" si="6">COUNTA(P36:P4002)</f>
        <v>123</v>
      </c>
      <c r="Q34" s="37">
        <f t="shared" si="6"/>
        <v>123</v>
      </c>
      <c r="R34" s="37">
        <f t="shared" si="6"/>
        <v>112</v>
      </c>
    </row>
    <row r="35" spans="1:21" ht="18.5" x14ac:dyDescent="0.35">
      <c r="A35" s="104"/>
      <c r="B35" s="832" t="s">
        <v>4745</v>
      </c>
      <c r="C35" s="833"/>
      <c r="D35" s="834"/>
      <c r="E35" s="834"/>
      <c r="F35" s="835" t="str">
        <f>IF($F$3=1,B35,"")</f>
        <v>Handlungsfeld A - Management</v>
      </c>
      <c r="G35" s="836"/>
      <c r="H35" s="1040" t="s">
        <v>4982</v>
      </c>
      <c r="I35" s="837"/>
      <c r="J35" s="834"/>
      <c r="K35" s="969" t="s">
        <v>4475</v>
      </c>
      <c r="L35" s="969" t="s">
        <v>4431</v>
      </c>
      <c r="M35" s="969" t="s">
        <v>4476</v>
      </c>
      <c r="N35" s="969" t="s">
        <v>4618</v>
      </c>
      <c r="O35" s="970" t="s">
        <v>5024</v>
      </c>
      <c r="P35" s="972" t="s">
        <v>5025</v>
      </c>
      <c r="Q35" s="971" t="s">
        <v>5026</v>
      </c>
      <c r="R35" s="973" t="s">
        <v>5381</v>
      </c>
      <c r="S35" s="974" t="s">
        <v>5027</v>
      </c>
      <c r="T35" s="974" t="s">
        <v>5413</v>
      </c>
      <c r="U35" s="975" t="s">
        <v>5028</v>
      </c>
    </row>
    <row r="36" spans="1:21" ht="15.5" x14ac:dyDescent="0.35">
      <c r="A36" s="104"/>
      <c r="B36" s="107"/>
      <c r="C36" s="108"/>
      <c r="D36" s="1041" t="s">
        <v>5373</v>
      </c>
      <c r="E36" s="104"/>
      <c r="F36" s="109"/>
      <c r="G36" s="105"/>
      <c r="I36" s="110"/>
      <c r="J36" s="104"/>
      <c r="K36" s="105"/>
      <c r="L36" s="105"/>
      <c r="M36" s="105"/>
      <c r="N36" s="105"/>
      <c r="O36" s="106"/>
      <c r="P36" s="104"/>
    </row>
    <row r="37" spans="1:21" x14ac:dyDescent="0.35">
      <c r="B37" s="35"/>
      <c r="D37" s="357"/>
      <c r="E37" s="1"/>
    </row>
    <row r="38" spans="1:21" ht="15.5" x14ac:dyDescent="0.35">
      <c r="A38" s="16"/>
      <c r="B38" s="111" t="s">
        <v>4743</v>
      </c>
      <c r="C38" s="111" t="s">
        <v>2060</v>
      </c>
      <c r="D38" s="112"/>
      <c r="E38" s="112"/>
      <c r="F38" s="111" t="str">
        <f>IF($F$3=1,O38,"")</f>
        <v>A.1 Strukturen etablieren</v>
      </c>
      <c r="G38" s="112"/>
      <c r="H38" s="112"/>
      <c r="I38" s="113"/>
      <c r="J38" s="114"/>
      <c r="O38" s="960" t="str">
        <f>CONCATENATE(B38," ",C38)</f>
        <v>A.1 Strukturen etablieren</v>
      </c>
      <c r="P38" s="963"/>
    </row>
    <row r="39" spans="1:21" ht="7.5" customHeight="1" x14ac:dyDescent="0.35">
      <c r="A39" s="116"/>
      <c r="B39" s="117"/>
      <c r="C39" s="117"/>
      <c r="D39" s="116"/>
      <c r="E39" s="116"/>
      <c r="F39" s="118"/>
      <c r="G39" s="119"/>
      <c r="H39" s="116"/>
      <c r="I39" s="120"/>
      <c r="J39" s="121"/>
      <c r="K39" s="122"/>
      <c r="L39" s="122"/>
      <c r="M39" s="122"/>
      <c r="N39" s="122"/>
      <c r="O39" s="964"/>
      <c r="P39" s="964"/>
    </row>
    <row r="40" spans="1:21" ht="15.5" x14ac:dyDescent="0.35">
      <c r="A40" s="124"/>
      <c r="B40" s="125"/>
      <c r="C40" s="126" t="s">
        <v>4744</v>
      </c>
      <c r="D40" s="127" t="s">
        <v>2065</v>
      </c>
      <c r="E40" s="128"/>
      <c r="F40" s="129" t="str">
        <f>IF($F$3=1,O40,"")</f>
        <v>A.1.1 Steuerungsgruppe</v>
      </c>
      <c r="G40" s="130"/>
      <c r="H40" s="131"/>
      <c r="I40" s="520" t="s">
        <v>23</v>
      </c>
      <c r="J40" s="132"/>
      <c r="K40" s="133"/>
      <c r="L40" s="133"/>
      <c r="M40" s="133"/>
      <c r="N40" s="133"/>
      <c r="O40" s="960" t="str">
        <f>CONCATENATE(C40," ",D40)</f>
        <v>A.1.1 Steuerungsgruppe</v>
      </c>
      <c r="P40" s="965"/>
    </row>
    <row r="41" spans="1:21" x14ac:dyDescent="0.35">
      <c r="A41" s="124"/>
      <c r="B41" s="134"/>
      <c r="C41" s="135"/>
      <c r="D41" s="136"/>
      <c r="E41" s="136"/>
      <c r="F41" s="137"/>
      <c r="G41" s="138"/>
      <c r="H41" s="124"/>
      <c r="I41" s="139"/>
      <c r="J41" s="140"/>
      <c r="K41" s="141" t="s">
        <v>4475</v>
      </c>
      <c r="L41" s="141" t="s">
        <v>4431</v>
      </c>
      <c r="M41" s="141" t="s">
        <v>4476</v>
      </c>
      <c r="N41" s="141" t="s">
        <v>4618</v>
      </c>
      <c r="O41" s="968"/>
      <c r="P41" s="966"/>
      <c r="Q41" s="586"/>
      <c r="R41" s="968"/>
      <c r="S41" s="589"/>
      <c r="T41" s="589"/>
      <c r="U41" s="589"/>
    </row>
    <row r="42" spans="1:21" x14ac:dyDescent="0.35">
      <c r="A42" s="142"/>
      <c r="B42" s="35"/>
      <c r="C42" s="143"/>
      <c r="D42" s="1685" t="s">
        <v>18</v>
      </c>
      <c r="E42" s="1686"/>
      <c r="F42" s="144" t="s">
        <v>19</v>
      </c>
      <c r="G42" s="145" t="s">
        <v>0</v>
      </c>
      <c r="H42" s="146" t="s">
        <v>20</v>
      </c>
      <c r="I42" s="147" t="s">
        <v>1</v>
      </c>
      <c r="J42" s="147" t="s">
        <v>4375</v>
      </c>
      <c r="K42" s="148">
        <v>100</v>
      </c>
      <c r="L42" s="149">
        <v>200</v>
      </c>
      <c r="M42" s="150">
        <v>300</v>
      </c>
      <c r="N42" s="150">
        <v>400</v>
      </c>
      <c r="O42" s="587"/>
      <c r="P42" s="967"/>
      <c r="Q42" s="586"/>
      <c r="R42" s="968"/>
      <c r="S42" s="589"/>
      <c r="T42" s="589"/>
      <c r="U42" s="589"/>
    </row>
    <row r="43" spans="1:21" ht="24" x14ac:dyDescent="0.35">
      <c r="A43" s="123"/>
      <c r="B43" s="35"/>
      <c r="C43" s="151"/>
      <c r="D43" s="1708" t="s">
        <v>5469</v>
      </c>
      <c r="E43" s="1709"/>
      <c r="F43" s="1023" t="s">
        <v>4541</v>
      </c>
      <c r="G43" s="153">
        <f>IF($H$2=1,S43,IF($H$2=2,T43,U43))</f>
        <v>0.2</v>
      </c>
      <c r="H43" s="154"/>
      <c r="I43" s="155"/>
      <c r="J43" s="156"/>
      <c r="K43" s="157">
        <f>IF($J43=$K$41,K42+1,K42+0)</f>
        <v>100</v>
      </c>
      <c r="L43" s="157">
        <f>IF($J43=$L$41,L42+1,L42+0)</f>
        <v>200</v>
      </c>
      <c r="M43" s="157">
        <f>IF($J43=$M$41,M42+1,M42+0)</f>
        <v>300</v>
      </c>
      <c r="N43" s="157">
        <f>IF($J43=$N$41,N42+1,N42+0)</f>
        <v>400</v>
      </c>
      <c r="O43" s="967" t="str">
        <f>CONCATENATE(O40," | ",F43)</f>
        <v>A.1.1 Steuerungsgruppe | Steuerungsgruppe ist eingerichtet, offiziell legitimiert und mit Kompetenzen ausgestattet</v>
      </c>
      <c r="P43" s="967"/>
      <c r="Q43" s="586"/>
      <c r="R43" s="968"/>
      <c r="S43" s="588">
        <v>0</v>
      </c>
      <c r="T43" s="588">
        <v>0.2</v>
      </c>
      <c r="U43" s="588">
        <v>0.2</v>
      </c>
    </row>
    <row r="44" spans="1:21" ht="84" x14ac:dyDescent="0.35">
      <c r="A44" s="123"/>
      <c r="B44" s="35"/>
      <c r="C44" s="151"/>
      <c r="D44" s="1708"/>
      <c r="E44" s="1709"/>
      <c r="F44" s="1023" t="s">
        <v>5470</v>
      </c>
      <c r="G44" s="153">
        <f t="shared" ref="G44:G47" si="7">IF($H$2=1,S44,IF($H$2=2,T44,U44))</f>
        <v>0.2</v>
      </c>
      <c r="H44" s="154"/>
      <c r="I44" s="158"/>
      <c r="J44" s="156"/>
      <c r="K44" s="157">
        <f t="shared" ref="K44:K107" si="8">IF($J44=$K$41,K43+1,K43+0)</f>
        <v>100</v>
      </c>
      <c r="L44" s="157">
        <f t="shared" ref="L44:L107" si="9">IF($J44=$L$41,L43+1,L43+0)</f>
        <v>200</v>
      </c>
      <c r="M44" s="157">
        <f t="shared" ref="M44:M107" si="10">IF($J44=$M$41,M43+1,M43+0)</f>
        <v>300</v>
      </c>
      <c r="N44" s="157">
        <f t="shared" ref="N44:N107" si="11">IF($J44=$N$41,N43+1,N43+0)</f>
        <v>400</v>
      </c>
      <c r="O44" s="967" t="str">
        <f>CONCATENATE(O40," | ",F44)</f>
        <v>A.1.1 Steuerungsgruppe | Die Zusammensetzung der Steuerungsgruppe ist geeignet (abhängig von Projektphase z.B. Grundeigentümer, Vertreter:innen der Gemeinde/Stadt, Bauträger, Projektleiter:in, interdisziplinäres Planer:innenteam, externe Berater:innen, Anrainer:innen, Vertreter:innen der (zukünftigen) Nutzer:innen, (zukünftige) Hausverwalter)</v>
      </c>
      <c r="P44" s="967"/>
      <c r="Q44" s="586"/>
      <c r="R44" s="968"/>
      <c r="S44" s="588">
        <v>1</v>
      </c>
      <c r="T44" s="588">
        <v>0.2</v>
      </c>
      <c r="U44" s="588">
        <v>0.2</v>
      </c>
    </row>
    <row r="45" spans="1:21" x14ac:dyDescent="0.35">
      <c r="A45" s="123"/>
      <c r="B45" s="35"/>
      <c r="C45" s="151"/>
      <c r="D45" s="1708"/>
      <c r="E45" s="1709"/>
      <c r="F45" s="1023" t="s">
        <v>2066</v>
      </c>
      <c r="G45" s="153">
        <f t="shared" si="7"/>
        <v>0.1</v>
      </c>
      <c r="H45" s="154"/>
      <c r="I45" s="158"/>
      <c r="J45" s="156"/>
      <c r="K45" s="157">
        <f t="shared" si="8"/>
        <v>100</v>
      </c>
      <c r="L45" s="157">
        <f t="shared" si="9"/>
        <v>200</v>
      </c>
      <c r="M45" s="157">
        <f t="shared" si="10"/>
        <v>300</v>
      </c>
      <c r="N45" s="157">
        <f t="shared" si="11"/>
        <v>400</v>
      </c>
      <c r="O45" s="967" t="str">
        <f>CONCATENATE(O40," | ",F45)</f>
        <v>A.1.1 Steuerungsgruppe | Die Entscheidungsstruktur ist festgelegt</v>
      </c>
      <c r="P45" s="967"/>
      <c r="Q45" s="586"/>
      <c r="R45" s="968"/>
      <c r="S45" s="588">
        <v>0</v>
      </c>
      <c r="T45" s="588">
        <v>0.1</v>
      </c>
      <c r="U45" s="588">
        <v>0.1</v>
      </c>
    </row>
    <row r="46" spans="1:21" ht="24" x14ac:dyDescent="0.35">
      <c r="A46" s="123">
        <v>3.2</v>
      </c>
      <c r="B46" s="35"/>
      <c r="C46" s="151"/>
      <c r="D46" s="1708"/>
      <c r="E46" s="1709"/>
      <c r="F46" s="1023" t="s">
        <v>2067</v>
      </c>
      <c r="G46" s="153">
        <f t="shared" si="7"/>
        <v>0.4</v>
      </c>
      <c r="H46" s="154"/>
      <c r="I46" s="158"/>
      <c r="J46" s="156"/>
      <c r="K46" s="157">
        <f t="shared" si="8"/>
        <v>100</v>
      </c>
      <c r="L46" s="157">
        <f t="shared" si="9"/>
        <v>200</v>
      </c>
      <c r="M46" s="157">
        <f t="shared" si="10"/>
        <v>300</v>
      </c>
      <c r="N46" s="157">
        <f t="shared" si="11"/>
        <v>400</v>
      </c>
      <c r="O46" s="967" t="str">
        <f>CONCATENATE(O40," | ",F46)</f>
        <v>A.1.1 Steuerungsgruppe | Die Steuerungsgruppe tagt regelmäßig (z.B. 1 x pro Monat)</v>
      </c>
      <c r="P46" s="967"/>
      <c r="Q46" s="586"/>
      <c r="R46" s="968"/>
      <c r="S46" s="588">
        <v>0</v>
      </c>
      <c r="T46" s="588">
        <v>0.4</v>
      </c>
      <c r="U46" s="588">
        <v>0.4</v>
      </c>
    </row>
    <row r="47" spans="1:21" ht="24" x14ac:dyDescent="0.35">
      <c r="A47" s="123"/>
      <c r="B47" s="35"/>
      <c r="C47" s="151"/>
      <c r="D47" s="1708"/>
      <c r="E47" s="1709"/>
      <c r="F47" s="1023" t="s">
        <v>5407</v>
      </c>
      <c r="G47" s="153">
        <f t="shared" si="7"/>
        <v>0.1</v>
      </c>
      <c r="H47" s="154"/>
      <c r="I47" s="158"/>
      <c r="J47" s="156"/>
      <c r="K47" s="157">
        <f t="shared" si="8"/>
        <v>100</v>
      </c>
      <c r="L47" s="157">
        <f t="shared" si="9"/>
        <v>200</v>
      </c>
      <c r="M47" s="157">
        <f t="shared" si="10"/>
        <v>300</v>
      </c>
      <c r="N47" s="157">
        <f t="shared" si="11"/>
        <v>400</v>
      </c>
      <c r="O47" s="967" t="str">
        <f>CONCATENATE(O40," | ",F47)</f>
        <v>A.1.1 Steuerungsgruppe | Protokolle über die Treffen werden verfasst und innerhalb der Gruppe verteilt</v>
      </c>
      <c r="P47" s="967"/>
      <c r="Q47" s="586"/>
      <c r="R47" s="968"/>
      <c r="S47" s="588">
        <v>0</v>
      </c>
      <c r="T47" s="588">
        <v>0.1</v>
      </c>
      <c r="U47" s="588">
        <v>0.1</v>
      </c>
    </row>
    <row r="48" spans="1:21" x14ac:dyDescent="0.35">
      <c r="A48" s="116"/>
      <c r="B48" s="35"/>
      <c r="C48" s="117"/>
      <c r="D48" s="1708"/>
      <c r="E48" s="1709"/>
      <c r="F48" s="976"/>
      <c r="G48" s="160"/>
      <c r="H48" s="161"/>
      <c r="I48" s="162"/>
      <c r="J48" s="163"/>
      <c r="K48" s="157">
        <f t="shared" si="8"/>
        <v>100</v>
      </c>
      <c r="L48" s="157">
        <f t="shared" si="9"/>
        <v>200</v>
      </c>
      <c r="M48" s="157">
        <f t="shared" si="10"/>
        <v>300</v>
      </c>
      <c r="N48" s="157">
        <f t="shared" si="11"/>
        <v>400</v>
      </c>
      <c r="O48" s="959"/>
      <c r="P48" s="967"/>
      <c r="Q48" s="586"/>
      <c r="R48" s="968"/>
      <c r="S48" s="589"/>
      <c r="T48" s="589"/>
      <c r="U48" s="589"/>
    </row>
    <row r="49" spans="1:21" x14ac:dyDescent="0.35">
      <c r="A49" s="116"/>
      <c r="B49" s="35"/>
      <c r="C49" s="117"/>
      <c r="D49" s="1708"/>
      <c r="E49" s="1709"/>
      <c r="F49" s="976"/>
      <c r="G49" s="160"/>
      <c r="H49" s="161"/>
      <c r="I49" s="162"/>
      <c r="J49" s="164"/>
      <c r="K49" s="157">
        <f t="shared" si="8"/>
        <v>100</v>
      </c>
      <c r="L49" s="157">
        <f t="shared" si="9"/>
        <v>200</v>
      </c>
      <c r="M49" s="157">
        <f t="shared" si="10"/>
        <v>300</v>
      </c>
      <c r="N49" s="157">
        <f t="shared" si="11"/>
        <v>400</v>
      </c>
      <c r="O49" s="959"/>
      <c r="P49" s="967"/>
      <c r="Q49" s="586"/>
      <c r="R49" s="968"/>
      <c r="S49" s="589"/>
      <c r="T49" s="589"/>
      <c r="U49" s="589"/>
    </row>
    <row r="50" spans="1:21" x14ac:dyDescent="0.35">
      <c r="A50" s="116"/>
      <c r="B50" s="35"/>
      <c r="C50" s="117"/>
      <c r="D50" s="1708"/>
      <c r="E50" s="1709"/>
      <c r="F50" s="976"/>
      <c r="G50" s="160"/>
      <c r="H50" s="161"/>
      <c r="I50" s="162"/>
      <c r="J50" s="164"/>
      <c r="K50" s="157">
        <f t="shared" si="8"/>
        <v>100</v>
      </c>
      <c r="L50" s="157">
        <f t="shared" si="9"/>
        <v>200</v>
      </c>
      <c r="M50" s="157">
        <f t="shared" si="10"/>
        <v>300</v>
      </c>
      <c r="N50" s="157">
        <f t="shared" si="11"/>
        <v>400</v>
      </c>
      <c r="O50" s="959"/>
      <c r="P50" s="967"/>
      <c r="Q50" s="586"/>
      <c r="R50" s="968"/>
      <c r="S50" s="589"/>
      <c r="T50" s="589"/>
      <c r="U50" s="589"/>
    </row>
    <row r="51" spans="1:21" x14ac:dyDescent="0.35">
      <c r="A51" s="123"/>
      <c r="B51" s="35"/>
      <c r="C51" s="151"/>
      <c r="D51" s="1708"/>
      <c r="E51" s="1709"/>
      <c r="F51" s="1024"/>
      <c r="G51" s="160"/>
      <c r="H51" s="161"/>
      <c r="I51" s="166"/>
      <c r="J51" s="167"/>
      <c r="K51" s="157">
        <f t="shared" si="8"/>
        <v>100</v>
      </c>
      <c r="L51" s="157">
        <f t="shared" si="9"/>
        <v>200</v>
      </c>
      <c r="M51" s="157">
        <f t="shared" si="10"/>
        <v>300</v>
      </c>
      <c r="N51" s="157">
        <f t="shared" si="11"/>
        <v>400</v>
      </c>
      <c r="O51" s="959"/>
      <c r="P51" s="967"/>
      <c r="Q51" s="586"/>
      <c r="R51" s="968"/>
      <c r="S51" s="589"/>
      <c r="T51" s="589"/>
      <c r="U51" s="589"/>
    </row>
    <row r="52" spans="1:21" x14ac:dyDescent="0.35">
      <c r="A52" s="116"/>
      <c r="B52" s="35"/>
      <c r="C52" s="117"/>
      <c r="D52" s="1708"/>
      <c r="E52" s="1709"/>
      <c r="F52" s="976"/>
      <c r="G52" s="160"/>
      <c r="H52" s="168"/>
      <c r="I52" s="162"/>
      <c r="J52" s="164"/>
      <c r="K52" s="157">
        <f t="shared" si="8"/>
        <v>100</v>
      </c>
      <c r="L52" s="157">
        <f t="shared" si="9"/>
        <v>200</v>
      </c>
      <c r="M52" s="157">
        <f t="shared" si="10"/>
        <v>300</v>
      </c>
      <c r="N52" s="157">
        <f t="shared" si="11"/>
        <v>400</v>
      </c>
      <c r="O52" s="959"/>
      <c r="P52" s="967"/>
      <c r="Q52" s="586"/>
      <c r="R52" s="968"/>
      <c r="S52" s="589"/>
      <c r="T52" s="589"/>
      <c r="U52" s="589"/>
    </row>
    <row r="53" spans="1:21" x14ac:dyDescent="0.35">
      <c r="A53" s="116"/>
      <c r="B53" s="117"/>
      <c r="C53" s="117"/>
      <c r="D53" s="1708"/>
      <c r="E53" s="1709"/>
      <c r="F53" s="976"/>
      <c r="G53" s="160"/>
      <c r="H53" s="168"/>
      <c r="I53" s="162"/>
      <c r="J53" s="164"/>
      <c r="K53" s="157">
        <f t="shared" si="8"/>
        <v>100</v>
      </c>
      <c r="L53" s="157">
        <f t="shared" si="9"/>
        <v>200</v>
      </c>
      <c r="M53" s="157">
        <f t="shared" si="10"/>
        <v>300</v>
      </c>
      <c r="N53" s="157">
        <f t="shared" si="11"/>
        <v>400</v>
      </c>
      <c r="O53" s="959"/>
      <c r="P53" s="967"/>
      <c r="Q53" s="586"/>
      <c r="R53" s="968"/>
      <c r="S53" s="589"/>
      <c r="T53" s="589"/>
      <c r="U53" s="589"/>
    </row>
    <row r="54" spans="1:21" x14ac:dyDescent="0.35">
      <c r="A54" s="116"/>
      <c r="B54" s="117"/>
      <c r="C54" s="117"/>
      <c r="D54" s="1708"/>
      <c r="E54" s="1709"/>
      <c r="F54" s="1025"/>
      <c r="G54" s="170"/>
      <c r="H54" s="171"/>
      <c r="I54" s="172"/>
      <c r="J54" s="173"/>
      <c r="K54" s="157">
        <f t="shared" si="8"/>
        <v>100</v>
      </c>
      <c r="L54" s="157">
        <f t="shared" si="9"/>
        <v>200</v>
      </c>
      <c r="M54" s="157">
        <f t="shared" si="10"/>
        <v>300</v>
      </c>
      <c r="N54" s="157">
        <f t="shared" si="11"/>
        <v>400</v>
      </c>
      <c r="O54" s="959"/>
      <c r="P54" s="967"/>
      <c r="Q54" s="586"/>
      <c r="R54" s="968"/>
      <c r="S54" s="589"/>
      <c r="T54" s="589"/>
      <c r="U54" s="589"/>
    </row>
    <row r="55" spans="1:21" ht="28.5" customHeight="1" x14ac:dyDescent="0.35">
      <c r="A55" s="116"/>
      <c r="B55" s="117"/>
      <c r="C55" s="117"/>
      <c r="D55" s="174"/>
      <c r="E55" s="175"/>
      <c r="F55" s="1689" t="s">
        <v>2</v>
      </c>
      <c r="G55" s="1689"/>
      <c r="H55" s="176">
        <f>IF(O55&gt;1,"Zielerreichung übersteigt 100%!",O55)</f>
        <v>0</v>
      </c>
      <c r="I55" s="177"/>
      <c r="J55" s="178"/>
      <c r="K55" s="157">
        <f t="shared" si="8"/>
        <v>100</v>
      </c>
      <c r="L55" s="157">
        <f t="shared" si="9"/>
        <v>200</v>
      </c>
      <c r="M55" s="157">
        <f t="shared" si="10"/>
        <v>300</v>
      </c>
      <c r="N55" s="157">
        <f t="shared" si="11"/>
        <v>400</v>
      </c>
      <c r="O55" s="959">
        <f>SUM(H43:H54)</f>
        <v>0</v>
      </c>
      <c r="P55" s="967"/>
      <c r="Q55" s="586"/>
      <c r="R55" s="968"/>
      <c r="S55" s="589"/>
      <c r="T55" s="589"/>
      <c r="U55" s="589"/>
    </row>
    <row r="56" spans="1:21" x14ac:dyDescent="0.35">
      <c r="A56" s="116"/>
      <c r="B56" s="117"/>
      <c r="C56" s="117"/>
      <c r="D56" s="179"/>
      <c r="E56" s="180"/>
      <c r="F56" s="1690" t="s">
        <v>3</v>
      </c>
      <c r="G56" s="1691"/>
      <c r="H56" s="181">
        <v>10</v>
      </c>
      <c r="I56" s="177"/>
      <c r="J56" s="178"/>
      <c r="K56" s="157">
        <f t="shared" si="8"/>
        <v>100</v>
      </c>
      <c r="L56" s="157">
        <f t="shared" si="9"/>
        <v>200</v>
      </c>
      <c r="M56" s="157">
        <f t="shared" si="10"/>
        <v>300</v>
      </c>
      <c r="N56" s="157">
        <f t="shared" si="11"/>
        <v>400</v>
      </c>
      <c r="O56" s="1030"/>
      <c r="P56" s="967"/>
      <c r="Q56" s="586"/>
      <c r="R56" s="968"/>
      <c r="S56" s="589"/>
      <c r="T56" s="589"/>
      <c r="U56" s="589"/>
    </row>
    <row r="57" spans="1:21" x14ac:dyDescent="0.35">
      <c r="A57" s="116"/>
      <c r="B57" s="117"/>
      <c r="C57" s="117"/>
      <c r="D57" s="179"/>
      <c r="E57" s="180"/>
      <c r="F57" s="1692"/>
      <c r="G57" s="1693"/>
      <c r="H57" s="182"/>
      <c r="I57" s="183"/>
      <c r="J57" s="178"/>
      <c r="K57" s="157">
        <f t="shared" si="8"/>
        <v>100</v>
      </c>
      <c r="L57" s="157">
        <f t="shared" si="9"/>
        <v>200</v>
      </c>
      <c r="M57" s="157">
        <f t="shared" si="10"/>
        <v>300</v>
      </c>
      <c r="N57" s="157">
        <f t="shared" si="11"/>
        <v>400</v>
      </c>
      <c r="O57" s="1030"/>
      <c r="P57" s="967"/>
      <c r="Q57" s="586"/>
      <c r="R57" s="968"/>
      <c r="S57" s="589"/>
      <c r="T57" s="589"/>
      <c r="U57" s="589"/>
    </row>
    <row r="58" spans="1:21" x14ac:dyDescent="0.35">
      <c r="A58" s="184"/>
      <c r="B58" s="185"/>
      <c r="C58" s="185"/>
      <c r="D58" s="179"/>
      <c r="E58" s="180"/>
      <c r="F58" s="186"/>
      <c r="G58" s="186"/>
      <c r="H58" s="187"/>
      <c r="I58" s="177"/>
      <c r="J58" s="178"/>
      <c r="K58" s="157">
        <f t="shared" si="8"/>
        <v>100</v>
      </c>
      <c r="L58" s="157">
        <f t="shared" si="9"/>
        <v>200</v>
      </c>
      <c r="M58" s="157">
        <f t="shared" si="10"/>
        <v>300</v>
      </c>
      <c r="N58" s="157">
        <f t="shared" si="11"/>
        <v>400</v>
      </c>
      <c r="O58" s="1030"/>
      <c r="P58" s="967"/>
      <c r="Q58" s="586"/>
      <c r="R58" s="968"/>
      <c r="S58" s="589"/>
      <c r="T58" s="589"/>
      <c r="U58" s="589"/>
    </row>
    <row r="59" spans="1:21" ht="15.75" customHeight="1" x14ac:dyDescent="0.35">
      <c r="A59" s="116"/>
      <c r="B59" s="185"/>
      <c r="C59" s="1713"/>
      <c r="D59" s="1714"/>
      <c r="E59" s="188"/>
      <c r="F59" s="1715" t="s">
        <v>5</v>
      </c>
      <c r="G59" s="1715"/>
      <c r="H59" s="189">
        <f>IF(ISNUMBER(H57),H57*H55,H56*H55)</f>
        <v>0</v>
      </c>
      <c r="I59" s="190"/>
      <c r="J59" s="191"/>
      <c r="K59" s="157">
        <f t="shared" si="8"/>
        <v>100</v>
      </c>
      <c r="L59" s="157">
        <f t="shared" si="9"/>
        <v>200</v>
      </c>
      <c r="M59" s="157">
        <f t="shared" si="10"/>
        <v>300</v>
      </c>
      <c r="N59" s="157">
        <f t="shared" si="11"/>
        <v>400</v>
      </c>
      <c r="O59" s="1030"/>
      <c r="P59" s="967"/>
      <c r="Q59" s="586"/>
      <c r="R59" s="968"/>
      <c r="S59" s="589"/>
      <c r="T59" s="589"/>
      <c r="U59" s="589"/>
    </row>
    <row r="60" spans="1:21" x14ac:dyDescent="0.35">
      <c r="K60" s="157">
        <f t="shared" si="8"/>
        <v>100</v>
      </c>
      <c r="L60" s="157">
        <f t="shared" si="9"/>
        <v>200</v>
      </c>
      <c r="M60" s="157">
        <f t="shared" si="10"/>
        <v>300</v>
      </c>
      <c r="N60" s="157">
        <f t="shared" si="11"/>
        <v>400</v>
      </c>
      <c r="O60" s="967"/>
      <c r="P60" s="967"/>
      <c r="Q60" s="586"/>
      <c r="R60" s="968"/>
      <c r="S60" s="589"/>
      <c r="T60" s="589"/>
      <c r="U60" s="589"/>
    </row>
    <row r="61" spans="1:21" ht="7.5" customHeight="1" x14ac:dyDescent="0.35">
      <c r="A61" s="116"/>
      <c r="B61" s="117"/>
      <c r="C61" s="117"/>
      <c r="D61" s="116"/>
      <c r="E61" s="116"/>
      <c r="F61" s="118"/>
      <c r="G61" s="119"/>
      <c r="H61" s="116"/>
      <c r="I61" s="120"/>
      <c r="J61" s="121"/>
      <c r="K61" s="157">
        <f t="shared" si="8"/>
        <v>100</v>
      </c>
      <c r="L61" s="157">
        <f t="shared" si="9"/>
        <v>200</v>
      </c>
      <c r="M61" s="157">
        <f t="shared" si="10"/>
        <v>300</v>
      </c>
      <c r="N61" s="157">
        <f t="shared" si="11"/>
        <v>400</v>
      </c>
      <c r="O61" s="968"/>
      <c r="P61" s="968"/>
      <c r="Q61" s="586"/>
      <c r="R61" s="968"/>
      <c r="S61" s="589"/>
      <c r="T61" s="589"/>
      <c r="U61" s="589"/>
    </row>
    <row r="62" spans="1:21" ht="15.5" x14ac:dyDescent="0.35">
      <c r="A62" s="124"/>
      <c r="B62" s="125"/>
      <c r="C62" s="126" t="s">
        <v>4755</v>
      </c>
      <c r="D62" s="127" t="s">
        <v>2064</v>
      </c>
      <c r="E62" s="128"/>
      <c r="F62" s="129" t="str">
        <f>IF($F$3=1,O62,"")</f>
        <v>A.1.2 Ressourcen</v>
      </c>
      <c r="G62" s="130"/>
      <c r="H62" s="131"/>
      <c r="I62" s="520" t="s">
        <v>23</v>
      </c>
      <c r="J62" s="132"/>
      <c r="K62" s="157">
        <f t="shared" si="8"/>
        <v>100</v>
      </c>
      <c r="L62" s="157">
        <f t="shared" si="9"/>
        <v>200</v>
      </c>
      <c r="M62" s="157">
        <f t="shared" si="10"/>
        <v>300</v>
      </c>
      <c r="N62" s="157">
        <f t="shared" si="11"/>
        <v>400</v>
      </c>
      <c r="O62" s="967" t="str">
        <f>CONCATENATE(C62," ",D62)</f>
        <v>A.1.2 Ressourcen</v>
      </c>
      <c r="P62" s="966"/>
      <c r="Q62" s="586"/>
      <c r="R62" s="968"/>
      <c r="S62" s="589"/>
      <c r="T62" s="589"/>
      <c r="U62" s="589"/>
    </row>
    <row r="63" spans="1:21" x14ac:dyDescent="0.35">
      <c r="A63" s="124"/>
      <c r="B63" s="134"/>
      <c r="C63" s="135"/>
      <c r="D63" s="136"/>
      <c r="E63" s="136"/>
      <c r="F63" s="137"/>
      <c r="G63" s="138"/>
      <c r="H63" s="124"/>
      <c r="I63" s="139"/>
      <c r="J63" s="140"/>
      <c r="K63" s="157">
        <f t="shared" si="8"/>
        <v>100</v>
      </c>
      <c r="L63" s="157">
        <f t="shared" si="9"/>
        <v>200</v>
      </c>
      <c r="M63" s="157">
        <f t="shared" si="10"/>
        <v>300</v>
      </c>
      <c r="N63" s="157">
        <f t="shared" si="11"/>
        <v>400</v>
      </c>
      <c r="O63" s="968"/>
      <c r="P63" s="966"/>
      <c r="Q63" s="586"/>
      <c r="R63" s="968"/>
      <c r="S63" s="589"/>
      <c r="T63" s="589"/>
      <c r="U63" s="589"/>
    </row>
    <row r="64" spans="1:21" x14ac:dyDescent="0.35">
      <c r="A64" s="142"/>
      <c r="B64" s="35"/>
      <c r="C64" s="143"/>
      <c r="D64" s="1685" t="s">
        <v>18</v>
      </c>
      <c r="E64" s="1686"/>
      <c r="F64" s="144" t="s">
        <v>19</v>
      </c>
      <c r="G64" s="145" t="s">
        <v>0</v>
      </c>
      <c r="H64" s="146" t="s">
        <v>20</v>
      </c>
      <c r="I64" s="147" t="s">
        <v>1</v>
      </c>
      <c r="J64" s="147" t="s">
        <v>4375</v>
      </c>
      <c r="K64" s="157">
        <f t="shared" si="8"/>
        <v>100</v>
      </c>
      <c r="L64" s="157">
        <f t="shared" si="9"/>
        <v>200</v>
      </c>
      <c r="M64" s="157">
        <f t="shared" si="10"/>
        <v>300</v>
      </c>
      <c r="N64" s="157">
        <f t="shared" si="11"/>
        <v>400</v>
      </c>
      <c r="O64" s="587"/>
      <c r="P64" s="967"/>
      <c r="Q64" s="586"/>
      <c r="R64" s="968"/>
      <c r="S64" s="589"/>
      <c r="T64" s="589"/>
      <c r="U64" s="589"/>
    </row>
    <row r="65" spans="1:21" ht="48" x14ac:dyDescent="0.35">
      <c r="A65" s="123"/>
      <c r="B65" s="35"/>
      <c r="C65" s="151"/>
      <c r="D65" s="1708" t="s">
        <v>5360</v>
      </c>
      <c r="E65" s="1709"/>
      <c r="F65" s="1023" t="s">
        <v>5361</v>
      </c>
      <c r="G65" s="153">
        <f t="shared" ref="G65:G67" si="12">IF($H$2=1,S65,IF($H$2=2,T65,U65))</f>
        <v>0.5</v>
      </c>
      <c r="H65" s="154"/>
      <c r="I65" s="155"/>
      <c r="J65" s="156"/>
      <c r="K65" s="157">
        <f t="shared" si="8"/>
        <v>100</v>
      </c>
      <c r="L65" s="157">
        <f t="shared" si="9"/>
        <v>200</v>
      </c>
      <c r="M65" s="157">
        <f t="shared" si="10"/>
        <v>300</v>
      </c>
      <c r="N65" s="157">
        <f t="shared" si="11"/>
        <v>400</v>
      </c>
      <c r="O65" s="967" t="str">
        <f>CONCATENATE(O62," | ",F65)</f>
        <v>A.1.2 Ressourcen | Die Zuständigkeiten, Funktionen und Ressourcen der für das Thema Nachhaltigkeit relevanten Personen innerhalb der Gruppe sind geklärt (= Ansprechperson für Kompetenzpartner:in und Programmmanagement)</v>
      </c>
      <c r="P65" s="967"/>
      <c r="Q65" s="586"/>
      <c r="R65" s="968"/>
      <c r="S65" s="588">
        <v>0.5</v>
      </c>
      <c r="T65" s="588">
        <v>0.5</v>
      </c>
      <c r="U65" s="588">
        <v>0.5</v>
      </c>
    </row>
    <row r="66" spans="1:21" ht="60" x14ac:dyDescent="0.35">
      <c r="A66" s="123"/>
      <c r="B66" s="35"/>
      <c r="C66" s="151"/>
      <c r="D66" s="1708"/>
      <c r="E66" s="1709"/>
      <c r="F66" s="1023" t="s">
        <v>5362</v>
      </c>
      <c r="G66" s="153">
        <f t="shared" si="12"/>
        <v>0.2</v>
      </c>
      <c r="H66" s="154"/>
      <c r="I66" s="158"/>
      <c r="J66" s="156"/>
      <c r="K66" s="157">
        <f t="shared" si="8"/>
        <v>100</v>
      </c>
      <c r="L66" s="157">
        <f t="shared" si="9"/>
        <v>200</v>
      </c>
      <c r="M66" s="157">
        <f t="shared" si="10"/>
        <v>300</v>
      </c>
      <c r="N66" s="157">
        <f t="shared" si="11"/>
        <v>400</v>
      </c>
      <c r="O66" s="967" t="str">
        <f>CONCATENATE(O62," | ",F66)</f>
        <v>A.1.2 Ressourcen | Die Steuerungsgruppe stellt sicher, dass die internen Ressourcen für die unabhängige Begleitung des Projektvorhabens nach dem hier vorliegenden Maßnahmenkatalog vorhanden sind bzw. hat einen Beratungsauftrag an externe Berater:innen erteilt</v>
      </c>
      <c r="P66" s="967"/>
      <c r="Q66" s="586"/>
      <c r="R66" s="968"/>
      <c r="S66" s="588">
        <v>0.2</v>
      </c>
      <c r="T66" s="588">
        <v>0.2</v>
      </c>
      <c r="U66" s="588">
        <v>0.2</v>
      </c>
    </row>
    <row r="67" spans="1:21" ht="24" x14ac:dyDescent="0.35">
      <c r="A67" s="123"/>
      <c r="B67" s="35"/>
      <c r="C67" s="151"/>
      <c r="D67" s="1708"/>
      <c r="E67" s="1709"/>
      <c r="F67" s="1023" t="s">
        <v>5268</v>
      </c>
      <c r="G67" s="153">
        <f t="shared" si="12"/>
        <v>0.3</v>
      </c>
      <c r="H67" s="154"/>
      <c r="I67" s="158"/>
      <c r="J67" s="156"/>
      <c r="K67" s="157">
        <f t="shared" si="8"/>
        <v>100</v>
      </c>
      <c r="L67" s="157">
        <f t="shared" si="9"/>
        <v>200</v>
      </c>
      <c r="M67" s="157">
        <f t="shared" si="10"/>
        <v>300</v>
      </c>
      <c r="N67" s="157">
        <f t="shared" si="11"/>
        <v>400</v>
      </c>
      <c r="O67" s="967" t="str">
        <f>CONCATENATE(O62," | ",F67)</f>
        <v>A.1.2 Ressourcen | Wesentliche Expert:innen (Gebäude, Versorgung, Mobilität) werden phasengerecht hinzugezogen</v>
      </c>
      <c r="P67" s="967"/>
      <c r="Q67" s="586"/>
      <c r="R67" s="968"/>
      <c r="S67" s="588">
        <v>0.3</v>
      </c>
      <c r="T67" s="588">
        <v>0.3</v>
      </c>
      <c r="U67" s="588">
        <v>0.3</v>
      </c>
    </row>
    <row r="68" spans="1:21" x14ac:dyDescent="0.35">
      <c r="A68" s="123">
        <v>3.2</v>
      </c>
      <c r="B68" s="35"/>
      <c r="C68" s="151"/>
      <c r="D68" s="1708"/>
      <c r="E68" s="1709"/>
      <c r="F68" s="976"/>
      <c r="G68" s="160"/>
      <c r="H68" s="161"/>
      <c r="I68" s="166"/>
      <c r="J68" s="164"/>
      <c r="K68" s="157">
        <f t="shared" si="8"/>
        <v>100</v>
      </c>
      <c r="L68" s="157">
        <f t="shared" si="9"/>
        <v>200</v>
      </c>
      <c r="M68" s="157">
        <f t="shared" si="10"/>
        <v>300</v>
      </c>
      <c r="N68" s="157">
        <f t="shared" si="11"/>
        <v>400</v>
      </c>
      <c r="O68" s="967"/>
      <c r="P68" s="967"/>
      <c r="Q68" s="586"/>
      <c r="R68" s="968"/>
      <c r="S68" s="589"/>
      <c r="T68" s="589"/>
      <c r="U68" s="589"/>
    </row>
    <row r="69" spans="1:21" x14ac:dyDescent="0.35">
      <c r="A69" s="123"/>
      <c r="B69" s="35"/>
      <c r="C69" s="151"/>
      <c r="D69" s="1708"/>
      <c r="E69" s="1709"/>
      <c r="F69" s="976"/>
      <c r="G69" s="160"/>
      <c r="H69" s="161"/>
      <c r="I69" s="166"/>
      <c r="J69" s="164"/>
      <c r="K69" s="157">
        <f t="shared" si="8"/>
        <v>100</v>
      </c>
      <c r="L69" s="157">
        <f t="shared" si="9"/>
        <v>200</v>
      </c>
      <c r="M69" s="157">
        <f t="shared" si="10"/>
        <v>300</v>
      </c>
      <c r="N69" s="157">
        <f t="shared" si="11"/>
        <v>400</v>
      </c>
      <c r="O69" s="967"/>
      <c r="P69" s="967"/>
      <c r="Q69" s="586"/>
      <c r="R69" s="968"/>
      <c r="S69" s="589"/>
      <c r="T69" s="589"/>
      <c r="U69" s="589"/>
    </row>
    <row r="70" spans="1:21" x14ac:dyDescent="0.35">
      <c r="A70" s="116"/>
      <c r="B70" s="35"/>
      <c r="C70" s="117"/>
      <c r="D70" s="1708"/>
      <c r="E70" s="1709"/>
      <c r="F70" s="976"/>
      <c r="G70" s="160"/>
      <c r="H70" s="161"/>
      <c r="I70" s="162"/>
      <c r="J70" s="164"/>
      <c r="K70" s="157">
        <f t="shared" si="8"/>
        <v>100</v>
      </c>
      <c r="L70" s="157">
        <f t="shared" si="9"/>
        <v>200</v>
      </c>
      <c r="M70" s="157">
        <f t="shared" si="10"/>
        <v>300</v>
      </c>
      <c r="N70" s="157">
        <f t="shared" si="11"/>
        <v>400</v>
      </c>
      <c r="O70" s="959"/>
      <c r="P70" s="967"/>
      <c r="Q70" s="586"/>
      <c r="R70" s="968"/>
      <c r="S70" s="589"/>
      <c r="T70" s="589"/>
      <c r="U70" s="589"/>
    </row>
    <row r="71" spans="1:21" x14ac:dyDescent="0.35">
      <c r="A71" s="116"/>
      <c r="B71" s="35"/>
      <c r="C71" s="117"/>
      <c r="D71" s="1708"/>
      <c r="E71" s="1709"/>
      <c r="F71" s="976"/>
      <c r="G71" s="160"/>
      <c r="H71" s="161"/>
      <c r="I71" s="162"/>
      <c r="J71" s="164"/>
      <c r="K71" s="157">
        <f t="shared" si="8"/>
        <v>100</v>
      </c>
      <c r="L71" s="157">
        <f t="shared" si="9"/>
        <v>200</v>
      </c>
      <c r="M71" s="157">
        <f t="shared" si="10"/>
        <v>300</v>
      </c>
      <c r="N71" s="157">
        <f t="shared" si="11"/>
        <v>400</v>
      </c>
      <c r="O71" s="959"/>
      <c r="P71" s="967"/>
      <c r="Q71" s="586"/>
      <c r="R71" s="968"/>
      <c r="S71" s="589"/>
      <c r="T71" s="589"/>
      <c r="U71" s="589"/>
    </row>
    <row r="72" spans="1:21" x14ac:dyDescent="0.35">
      <c r="A72" s="116"/>
      <c r="B72" s="35"/>
      <c r="C72" s="117"/>
      <c r="D72" s="1708"/>
      <c r="E72" s="1709"/>
      <c r="F72" s="976"/>
      <c r="G72" s="160"/>
      <c r="H72" s="161"/>
      <c r="I72" s="162"/>
      <c r="J72" s="164"/>
      <c r="K72" s="157">
        <f t="shared" si="8"/>
        <v>100</v>
      </c>
      <c r="L72" s="157">
        <f t="shared" si="9"/>
        <v>200</v>
      </c>
      <c r="M72" s="157">
        <f t="shared" si="10"/>
        <v>300</v>
      </c>
      <c r="N72" s="157">
        <f t="shared" si="11"/>
        <v>400</v>
      </c>
      <c r="O72" s="959"/>
      <c r="P72" s="967"/>
      <c r="Q72" s="586"/>
      <c r="R72" s="968"/>
      <c r="S72" s="589"/>
      <c r="T72" s="589"/>
      <c r="U72" s="589"/>
    </row>
    <row r="73" spans="1:21" x14ac:dyDescent="0.35">
      <c r="A73" s="123"/>
      <c r="B73" s="35"/>
      <c r="C73" s="151"/>
      <c r="D73" s="1708"/>
      <c r="E73" s="1709"/>
      <c r="F73" s="1024"/>
      <c r="G73" s="160"/>
      <c r="H73" s="161"/>
      <c r="I73" s="166"/>
      <c r="J73" s="167"/>
      <c r="K73" s="157">
        <f t="shared" si="8"/>
        <v>100</v>
      </c>
      <c r="L73" s="157">
        <f t="shared" si="9"/>
        <v>200</v>
      </c>
      <c r="M73" s="157">
        <f t="shared" si="10"/>
        <v>300</v>
      </c>
      <c r="N73" s="157">
        <f t="shared" si="11"/>
        <v>400</v>
      </c>
      <c r="O73" s="959"/>
      <c r="P73" s="967"/>
      <c r="Q73" s="586"/>
      <c r="R73" s="968"/>
      <c r="S73" s="589"/>
      <c r="T73" s="589"/>
      <c r="U73" s="589"/>
    </row>
    <row r="74" spans="1:21" x14ac:dyDescent="0.35">
      <c r="A74" s="116"/>
      <c r="B74" s="35"/>
      <c r="C74" s="117"/>
      <c r="D74" s="1708"/>
      <c r="E74" s="1709"/>
      <c r="F74" s="976"/>
      <c r="G74" s="160"/>
      <c r="H74" s="168"/>
      <c r="I74" s="162"/>
      <c r="J74" s="164"/>
      <c r="K74" s="157">
        <f t="shared" si="8"/>
        <v>100</v>
      </c>
      <c r="L74" s="157">
        <f t="shared" si="9"/>
        <v>200</v>
      </c>
      <c r="M74" s="157">
        <f t="shared" si="10"/>
        <v>300</v>
      </c>
      <c r="N74" s="157">
        <f t="shared" si="11"/>
        <v>400</v>
      </c>
      <c r="O74" s="959"/>
      <c r="P74" s="967"/>
      <c r="Q74" s="586"/>
      <c r="R74" s="968"/>
      <c r="S74" s="589"/>
      <c r="T74" s="589"/>
      <c r="U74" s="589"/>
    </row>
    <row r="75" spans="1:21" x14ac:dyDescent="0.35">
      <c r="A75" s="116"/>
      <c r="B75" s="117"/>
      <c r="C75" s="117"/>
      <c r="D75" s="1708"/>
      <c r="E75" s="1709"/>
      <c r="F75" s="976"/>
      <c r="G75" s="160"/>
      <c r="H75" s="168"/>
      <c r="I75" s="162"/>
      <c r="J75" s="164"/>
      <c r="K75" s="157">
        <f t="shared" si="8"/>
        <v>100</v>
      </c>
      <c r="L75" s="157">
        <f t="shared" si="9"/>
        <v>200</v>
      </c>
      <c r="M75" s="157">
        <f t="shared" si="10"/>
        <v>300</v>
      </c>
      <c r="N75" s="157">
        <f t="shared" si="11"/>
        <v>400</v>
      </c>
      <c r="O75" s="959"/>
      <c r="P75" s="967"/>
      <c r="Q75" s="586"/>
      <c r="R75" s="968"/>
      <c r="S75" s="589"/>
      <c r="T75" s="589"/>
      <c r="U75" s="589"/>
    </row>
    <row r="76" spans="1:21" x14ac:dyDescent="0.35">
      <c r="A76" s="116"/>
      <c r="B76" s="117"/>
      <c r="C76" s="117"/>
      <c r="D76" s="1708"/>
      <c r="E76" s="1709"/>
      <c r="F76" s="1025"/>
      <c r="G76" s="170"/>
      <c r="H76" s="171"/>
      <c r="I76" s="172"/>
      <c r="J76" s="173"/>
      <c r="K76" s="157">
        <f t="shared" si="8"/>
        <v>100</v>
      </c>
      <c r="L76" s="157">
        <f t="shared" si="9"/>
        <v>200</v>
      </c>
      <c r="M76" s="157">
        <f t="shared" si="10"/>
        <v>300</v>
      </c>
      <c r="N76" s="157">
        <f t="shared" si="11"/>
        <v>400</v>
      </c>
      <c r="O76" s="959"/>
      <c r="P76" s="967"/>
      <c r="Q76" s="586"/>
      <c r="R76" s="968"/>
      <c r="S76" s="589"/>
      <c r="T76" s="589"/>
      <c r="U76" s="589"/>
    </row>
    <row r="77" spans="1:21" ht="28.5" customHeight="1" x14ac:dyDescent="0.35">
      <c r="A77" s="116"/>
      <c r="B77" s="117"/>
      <c r="C77" s="117"/>
      <c r="D77" s="174"/>
      <c r="E77" s="175"/>
      <c r="F77" s="1689" t="s">
        <v>2</v>
      </c>
      <c r="G77" s="1689"/>
      <c r="H77" s="176">
        <f>IF(O77&gt;1,"Zielerreichung übersteigt 100%!",O77)</f>
        <v>0</v>
      </c>
      <c r="I77" s="177"/>
      <c r="J77" s="178"/>
      <c r="K77" s="157">
        <f t="shared" si="8"/>
        <v>100</v>
      </c>
      <c r="L77" s="157">
        <f t="shared" si="9"/>
        <v>200</v>
      </c>
      <c r="M77" s="157">
        <f t="shared" si="10"/>
        <v>300</v>
      </c>
      <c r="N77" s="157">
        <f t="shared" si="11"/>
        <v>400</v>
      </c>
      <c r="O77" s="959">
        <f>SUM(H65:H76)</f>
        <v>0</v>
      </c>
      <c r="P77" s="967"/>
      <c r="Q77" s="586"/>
      <c r="R77" s="968"/>
      <c r="S77" s="589"/>
      <c r="T77" s="589"/>
      <c r="U77" s="589"/>
    </row>
    <row r="78" spans="1:21" x14ac:dyDescent="0.35">
      <c r="A78" s="116"/>
      <c r="B78" s="117"/>
      <c r="C78" s="117"/>
      <c r="D78" s="179"/>
      <c r="E78" s="180"/>
      <c r="F78" s="1690" t="s">
        <v>3</v>
      </c>
      <c r="G78" s="1691"/>
      <c r="H78" s="181">
        <v>15</v>
      </c>
      <c r="I78" s="177"/>
      <c r="J78" s="178"/>
      <c r="K78" s="157">
        <f t="shared" si="8"/>
        <v>100</v>
      </c>
      <c r="L78" s="157">
        <f t="shared" si="9"/>
        <v>200</v>
      </c>
      <c r="M78" s="157">
        <f t="shared" si="10"/>
        <v>300</v>
      </c>
      <c r="N78" s="157">
        <f t="shared" si="11"/>
        <v>400</v>
      </c>
      <c r="O78" s="1030"/>
      <c r="P78" s="967"/>
      <c r="Q78" s="586"/>
      <c r="R78" s="968"/>
      <c r="S78" s="589"/>
      <c r="T78" s="589"/>
      <c r="U78" s="589"/>
    </row>
    <row r="79" spans="1:21" x14ac:dyDescent="0.35">
      <c r="A79" s="116"/>
      <c r="B79" s="117"/>
      <c r="C79" s="117"/>
      <c r="D79" s="179"/>
      <c r="E79" s="180"/>
      <c r="F79" s="1692"/>
      <c r="G79" s="1693"/>
      <c r="H79" s="182"/>
      <c r="I79" s="183"/>
      <c r="J79" s="178"/>
      <c r="K79" s="157">
        <f t="shared" si="8"/>
        <v>100</v>
      </c>
      <c r="L79" s="157">
        <f t="shared" si="9"/>
        <v>200</v>
      </c>
      <c r="M79" s="157">
        <f t="shared" si="10"/>
        <v>300</v>
      </c>
      <c r="N79" s="157">
        <f t="shared" si="11"/>
        <v>400</v>
      </c>
      <c r="O79" s="1030"/>
      <c r="P79" s="967"/>
      <c r="Q79" s="586"/>
      <c r="R79" s="968"/>
      <c r="S79" s="589"/>
      <c r="T79" s="589"/>
      <c r="U79" s="589"/>
    </row>
    <row r="80" spans="1:21" x14ac:dyDescent="0.35">
      <c r="A80" s="184"/>
      <c r="B80" s="185"/>
      <c r="C80" s="185"/>
      <c r="D80" s="179"/>
      <c r="E80" s="180"/>
      <c r="F80" s="186"/>
      <c r="G80" s="186"/>
      <c r="H80" s="187"/>
      <c r="I80" s="177"/>
      <c r="J80" s="178"/>
      <c r="K80" s="157">
        <f t="shared" si="8"/>
        <v>100</v>
      </c>
      <c r="L80" s="157">
        <f t="shared" si="9"/>
        <v>200</v>
      </c>
      <c r="M80" s="157">
        <f t="shared" si="10"/>
        <v>300</v>
      </c>
      <c r="N80" s="157">
        <f t="shared" si="11"/>
        <v>400</v>
      </c>
      <c r="O80" s="1030"/>
      <c r="P80" s="967"/>
      <c r="Q80" s="586"/>
      <c r="R80" s="968"/>
      <c r="S80" s="589"/>
      <c r="T80" s="589"/>
      <c r="U80" s="589"/>
    </row>
    <row r="81" spans="1:22" ht="15.5" x14ac:dyDescent="0.35">
      <c r="A81" s="116"/>
      <c r="B81" s="117"/>
      <c r="C81" s="1713"/>
      <c r="D81" s="1714"/>
      <c r="E81" s="188"/>
      <c r="F81" s="1715" t="s">
        <v>5</v>
      </c>
      <c r="G81" s="1715"/>
      <c r="H81" s="189">
        <f>IF(ISNUMBER(H79),H79*H77,H78*H77)</f>
        <v>0</v>
      </c>
      <c r="I81" s="190"/>
      <c r="J81" s="191"/>
      <c r="K81" s="157">
        <f t="shared" si="8"/>
        <v>100</v>
      </c>
      <c r="L81" s="157">
        <f t="shared" si="9"/>
        <v>200</v>
      </c>
      <c r="M81" s="157">
        <f t="shared" si="10"/>
        <v>300</v>
      </c>
      <c r="N81" s="157">
        <f t="shared" si="11"/>
        <v>400</v>
      </c>
      <c r="O81" s="1030"/>
      <c r="P81" s="967"/>
      <c r="Q81" s="586"/>
      <c r="R81" s="968"/>
      <c r="S81" s="589"/>
      <c r="T81" s="589"/>
      <c r="U81" s="589"/>
    </row>
    <row r="82" spans="1:22" x14ac:dyDescent="0.35">
      <c r="B82" s="185"/>
      <c r="K82" s="157">
        <f t="shared" si="8"/>
        <v>100</v>
      </c>
      <c r="L82" s="157">
        <f t="shared" si="9"/>
        <v>200</v>
      </c>
      <c r="M82" s="157">
        <f t="shared" si="10"/>
        <v>300</v>
      </c>
      <c r="N82" s="157">
        <f t="shared" si="11"/>
        <v>400</v>
      </c>
      <c r="O82" s="967"/>
      <c r="P82" s="967"/>
      <c r="Q82" s="586"/>
      <c r="R82" s="968"/>
      <c r="S82" s="589"/>
      <c r="T82" s="589"/>
      <c r="U82" s="589"/>
    </row>
    <row r="83" spans="1:22" ht="7.5" customHeight="1" x14ac:dyDescent="0.35">
      <c r="A83" s="116"/>
      <c r="B83" s="117"/>
      <c r="C83" s="117"/>
      <c r="D83" s="116"/>
      <c r="E83" s="116"/>
      <c r="F83" s="118"/>
      <c r="G83" s="119"/>
      <c r="H83" s="116"/>
      <c r="I83" s="120"/>
      <c r="J83" s="121"/>
      <c r="K83" s="157">
        <f t="shared" si="8"/>
        <v>100</v>
      </c>
      <c r="L83" s="157">
        <f t="shared" si="9"/>
        <v>200</v>
      </c>
      <c r="M83" s="157">
        <f t="shared" si="10"/>
        <v>300</v>
      </c>
      <c r="N83" s="157">
        <f t="shared" si="11"/>
        <v>400</v>
      </c>
      <c r="O83" s="968"/>
      <c r="P83" s="968"/>
      <c r="Q83" s="586"/>
      <c r="R83" s="968"/>
      <c r="S83" s="589"/>
      <c r="T83" s="589"/>
      <c r="U83" s="589"/>
    </row>
    <row r="84" spans="1:22" ht="15.5" x14ac:dyDescent="0.35">
      <c r="A84" s="16"/>
      <c r="B84" s="111" t="s">
        <v>4756</v>
      </c>
      <c r="C84" s="111" t="s">
        <v>25</v>
      </c>
      <c r="D84" s="112"/>
      <c r="E84" s="112"/>
      <c r="F84" s="112" t="str">
        <f>IF($F$3=1,O84,"")</f>
        <v>A.2 Ziele setzen</v>
      </c>
      <c r="G84" s="192"/>
      <c r="H84" s="192"/>
      <c r="I84" s="193"/>
      <c r="J84" s="194"/>
      <c r="K84" s="157">
        <f t="shared" si="8"/>
        <v>100</v>
      </c>
      <c r="L84" s="157">
        <f t="shared" si="9"/>
        <v>200</v>
      </c>
      <c r="M84" s="157">
        <f t="shared" si="10"/>
        <v>300</v>
      </c>
      <c r="N84" s="157">
        <f t="shared" si="11"/>
        <v>400</v>
      </c>
      <c r="O84" s="967" t="str">
        <f>CONCATENATE(B84," ",C84)</f>
        <v>A.2 Ziele setzen</v>
      </c>
      <c r="P84" s="958"/>
      <c r="Q84" s="586"/>
      <c r="R84" s="968"/>
      <c r="S84" s="589"/>
      <c r="T84" s="589"/>
      <c r="U84" s="589"/>
    </row>
    <row r="85" spans="1:22" ht="7.5" customHeight="1" x14ac:dyDescent="0.35">
      <c r="A85" s="116"/>
      <c r="B85" s="117"/>
      <c r="C85" s="117"/>
      <c r="D85" s="116"/>
      <c r="E85" s="116"/>
      <c r="F85" s="118"/>
      <c r="G85" s="119"/>
      <c r="H85" s="116"/>
      <c r="I85" s="120"/>
      <c r="J85" s="121"/>
      <c r="K85" s="157">
        <f t="shared" si="8"/>
        <v>100</v>
      </c>
      <c r="L85" s="157">
        <f t="shared" si="9"/>
        <v>200</v>
      </c>
      <c r="M85" s="157">
        <f t="shared" si="10"/>
        <v>300</v>
      </c>
      <c r="N85" s="157">
        <f t="shared" si="11"/>
        <v>400</v>
      </c>
      <c r="O85" s="968"/>
      <c r="P85" s="968"/>
      <c r="Q85" s="586"/>
      <c r="R85" s="968"/>
      <c r="S85" s="589"/>
      <c r="T85" s="589"/>
      <c r="U85" s="589"/>
    </row>
    <row r="86" spans="1:22" ht="15.5" x14ac:dyDescent="0.35">
      <c r="A86" s="124"/>
      <c r="B86" s="125"/>
      <c r="C86" s="126" t="s">
        <v>4757</v>
      </c>
      <c r="D86" s="126" t="s">
        <v>5414</v>
      </c>
      <c r="E86" s="126"/>
      <c r="F86" s="129" t="str">
        <f>IF($F$3=1,O86,"")</f>
        <v>A.2.1 Städtebauliche Rahmenbedingungen und Nutzungskonzept</v>
      </c>
      <c r="G86" s="130"/>
      <c r="H86" s="195"/>
      <c r="I86" s="520" t="s">
        <v>23</v>
      </c>
      <c r="J86" s="195"/>
      <c r="K86" s="157">
        <f t="shared" si="8"/>
        <v>100</v>
      </c>
      <c r="L86" s="157">
        <f t="shared" si="9"/>
        <v>200</v>
      </c>
      <c r="M86" s="157">
        <f t="shared" si="10"/>
        <v>300</v>
      </c>
      <c r="N86" s="157">
        <f t="shared" si="11"/>
        <v>400</v>
      </c>
      <c r="O86" s="967" t="str">
        <f>CONCATENATE(C86," ",D86)</f>
        <v>A.2.1 Städtebauliche Rahmenbedingungen und Nutzungskonzept</v>
      </c>
      <c r="P86" s="966"/>
      <c r="Q86" s="586"/>
      <c r="R86" s="968"/>
      <c r="S86" s="589"/>
      <c r="T86" s="589"/>
      <c r="U86" s="589"/>
    </row>
    <row r="87" spans="1:22" x14ac:dyDescent="0.35">
      <c r="A87" s="124"/>
      <c r="B87" s="134"/>
      <c r="C87" s="135"/>
      <c r="D87" s="136"/>
      <c r="E87" s="136"/>
      <c r="F87" s="137"/>
      <c r="G87" s="138"/>
      <c r="H87" s="124"/>
      <c r="I87" s="139"/>
      <c r="J87" s="140"/>
      <c r="K87" s="157">
        <f t="shared" si="8"/>
        <v>100</v>
      </c>
      <c r="L87" s="157">
        <f t="shared" si="9"/>
        <v>200</v>
      </c>
      <c r="M87" s="157">
        <f t="shared" si="10"/>
        <v>300</v>
      </c>
      <c r="N87" s="157">
        <f t="shared" si="11"/>
        <v>400</v>
      </c>
      <c r="O87" s="968"/>
      <c r="P87" s="966"/>
      <c r="Q87" s="586"/>
      <c r="R87" s="968"/>
      <c r="S87" s="589"/>
      <c r="T87" s="589"/>
      <c r="U87" s="589"/>
    </row>
    <row r="88" spans="1:22" x14ac:dyDescent="0.35">
      <c r="A88" s="142"/>
      <c r="B88" s="35"/>
      <c r="C88" s="143"/>
      <c r="D88" s="1685" t="s">
        <v>18</v>
      </c>
      <c r="E88" s="1686"/>
      <c r="F88" s="196" t="s">
        <v>19</v>
      </c>
      <c r="G88" s="197" t="s">
        <v>0</v>
      </c>
      <c r="H88" s="146" t="s">
        <v>20</v>
      </c>
      <c r="I88" s="147" t="s">
        <v>1</v>
      </c>
      <c r="J88" s="147" t="s">
        <v>4375</v>
      </c>
      <c r="K88" s="157">
        <f t="shared" si="8"/>
        <v>100</v>
      </c>
      <c r="L88" s="157">
        <f t="shared" si="9"/>
        <v>200</v>
      </c>
      <c r="M88" s="157">
        <f t="shared" si="10"/>
        <v>300</v>
      </c>
      <c r="N88" s="157">
        <f t="shared" si="11"/>
        <v>400</v>
      </c>
      <c r="O88" s="587"/>
      <c r="P88" s="967"/>
      <c r="Q88" s="586"/>
      <c r="R88" s="968"/>
      <c r="S88" s="589"/>
      <c r="T88" s="589"/>
      <c r="U88" s="589"/>
    </row>
    <row r="89" spans="1:22" ht="24" x14ac:dyDescent="0.35">
      <c r="A89" s="123"/>
      <c r="B89" s="35"/>
      <c r="C89" s="151"/>
      <c r="D89" s="1687" t="s">
        <v>5034</v>
      </c>
      <c r="E89" s="1688"/>
      <c r="F89" s="152" t="s">
        <v>4542</v>
      </c>
      <c r="G89" s="153">
        <f t="shared" ref="G89:G93" si="13">IF($H$2=1,S89,IF($H$2=2,T89,U89))</f>
        <v>0.2</v>
      </c>
      <c r="H89" s="154"/>
      <c r="I89" s="158"/>
      <c r="J89" s="156"/>
      <c r="K89" s="157">
        <f t="shared" si="8"/>
        <v>100</v>
      </c>
      <c r="L89" s="157">
        <f t="shared" si="9"/>
        <v>200</v>
      </c>
      <c r="M89" s="157">
        <f t="shared" si="10"/>
        <v>300</v>
      </c>
      <c r="N89" s="157">
        <f t="shared" si="11"/>
        <v>400</v>
      </c>
      <c r="O89" s="967" t="str">
        <f>CONCATENATE(O86," | ",F89)</f>
        <v>A.2.1 Städtebauliche Rahmenbedingungen und Nutzungskonzept | Konzept beinhaltet zu allen genannten Themen qualitative Ziele</v>
      </c>
      <c r="P89" s="967"/>
      <c r="Q89" s="586"/>
      <c r="R89" s="968"/>
      <c r="S89" s="1027">
        <v>0</v>
      </c>
      <c r="T89" s="1048">
        <v>0.14000000000000001</v>
      </c>
      <c r="U89" s="198">
        <v>0.2</v>
      </c>
      <c r="V89" s="772"/>
    </row>
    <row r="90" spans="1:22" ht="24" x14ac:dyDescent="0.35">
      <c r="A90" s="123"/>
      <c r="B90" s="35"/>
      <c r="C90" s="151"/>
      <c r="D90" s="1687"/>
      <c r="E90" s="1688"/>
      <c r="F90" s="152" t="s">
        <v>4543</v>
      </c>
      <c r="G90" s="153">
        <f t="shared" si="13"/>
        <v>0.5</v>
      </c>
      <c r="H90" s="154"/>
      <c r="I90" s="158"/>
      <c r="J90" s="156"/>
      <c r="K90" s="157">
        <f t="shared" si="8"/>
        <v>100</v>
      </c>
      <c r="L90" s="157">
        <f t="shared" si="9"/>
        <v>200</v>
      </c>
      <c r="M90" s="157">
        <f t="shared" si="10"/>
        <v>300</v>
      </c>
      <c r="N90" s="157">
        <f t="shared" si="11"/>
        <v>400</v>
      </c>
      <c r="O90" s="967" t="str">
        <f>CONCATENATE(O86," | ",F90)</f>
        <v>A.2.1 Städtebauliche Rahmenbedingungen und Nutzungskonzept | Konzept beinhaltet zu allen genannten Themen quantitative Ziele</v>
      </c>
      <c r="P90" s="967"/>
      <c r="Q90" s="586"/>
      <c r="R90" s="968"/>
      <c r="S90" s="1027">
        <v>0</v>
      </c>
      <c r="T90" s="1048">
        <v>0.35</v>
      </c>
      <c r="U90" s="198">
        <v>0.5</v>
      </c>
      <c r="V90" s="772"/>
    </row>
    <row r="91" spans="1:22" ht="24" x14ac:dyDescent="0.35">
      <c r="A91" s="123"/>
      <c r="B91" s="35"/>
      <c r="C91" s="151"/>
      <c r="D91" s="1687"/>
      <c r="E91" s="1688"/>
      <c r="F91" s="152" t="s">
        <v>5269</v>
      </c>
      <c r="G91" s="153">
        <f t="shared" si="13"/>
        <v>0.1</v>
      </c>
      <c r="H91" s="154"/>
      <c r="I91" s="158"/>
      <c r="J91" s="156"/>
      <c r="K91" s="157">
        <f t="shared" si="8"/>
        <v>100</v>
      </c>
      <c r="L91" s="157">
        <f t="shared" si="9"/>
        <v>200</v>
      </c>
      <c r="M91" s="157">
        <f t="shared" si="10"/>
        <v>300</v>
      </c>
      <c r="N91" s="157">
        <f t="shared" si="11"/>
        <v>400</v>
      </c>
      <c r="O91" s="967" t="str">
        <f>CONCATENATE(O86," | ",F91)</f>
        <v>A.2.1 Städtebauliche Rahmenbedingungen und Nutzungskonzept | Externe Interessensvertreter:innen wurden bei Konzepterstellung eingebunden</v>
      </c>
      <c r="P91" s="967"/>
      <c r="Q91" s="586"/>
      <c r="R91" s="968"/>
      <c r="S91" s="1027">
        <v>0</v>
      </c>
      <c r="T91" s="1048">
        <v>7.0000000000000007E-2</v>
      </c>
      <c r="U91" s="198">
        <v>0.1</v>
      </c>
      <c r="V91" s="772"/>
    </row>
    <row r="92" spans="1:22" x14ac:dyDescent="0.35">
      <c r="A92" s="123">
        <v>3.2</v>
      </c>
      <c r="B92" s="35"/>
      <c r="C92" s="151"/>
      <c r="D92" s="1687"/>
      <c r="E92" s="1688"/>
      <c r="F92" s="152" t="s">
        <v>24</v>
      </c>
      <c r="G92" s="153">
        <f t="shared" si="13"/>
        <v>0.1</v>
      </c>
      <c r="H92" s="154"/>
      <c r="I92" s="158"/>
      <c r="J92" s="156"/>
      <c r="K92" s="157">
        <f t="shared" si="8"/>
        <v>100</v>
      </c>
      <c r="L92" s="157">
        <f t="shared" si="9"/>
        <v>200</v>
      </c>
      <c r="M92" s="157">
        <f t="shared" si="10"/>
        <v>300</v>
      </c>
      <c r="N92" s="157">
        <f t="shared" si="11"/>
        <v>400</v>
      </c>
      <c r="O92" s="967" t="str">
        <f>CONCATENATE(O86," | ",F92)</f>
        <v>A.2.1 Städtebauliche Rahmenbedingungen und Nutzungskonzept | Konzept von Steuerungsgruppe beschlossen</v>
      </c>
      <c r="P92" s="967"/>
      <c r="Q92" s="586"/>
      <c r="R92" s="968"/>
      <c r="S92" s="1027">
        <v>0</v>
      </c>
      <c r="T92" s="1048">
        <v>7.0000000000000007E-2</v>
      </c>
      <c r="U92" s="198">
        <v>0.1</v>
      </c>
      <c r="V92" s="772"/>
    </row>
    <row r="93" spans="1:22" x14ac:dyDescent="0.35">
      <c r="A93" s="123"/>
      <c r="B93" s="35"/>
      <c r="C93" s="151"/>
      <c r="D93" s="1687"/>
      <c r="E93" s="1688"/>
      <c r="F93" s="152" t="s">
        <v>5399</v>
      </c>
      <c r="G93" s="153">
        <f t="shared" si="13"/>
        <v>0.1</v>
      </c>
      <c r="H93" s="154"/>
      <c r="I93" s="158"/>
      <c r="J93" s="156"/>
      <c r="K93" s="157">
        <f t="shared" si="8"/>
        <v>100</v>
      </c>
      <c r="L93" s="157">
        <f t="shared" si="9"/>
        <v>200</v>
      </c>
      <c r="M93" s="157">
        <f t="shared" si="10"/>
        <v>300</v>
      </c>
      <c r="N93" s="157">
        <f t="shared" si="11"/>
        <v>400</v>
      </c>
      <c r="O93" s="967" t="str">
        <f>CONCATENATE(O86," | ",F93)</f>
        <v>A.2.1 Städtebauliche Rahmenbedingungen und Nutzungskonzept | Konzept an relevante Stakeholder kommuniziert</v>
      </c>
      <c r="P93" s="967"/>
      <c r="Q93" s="586"/>
      <c r="R93" s="968"/>
      <c r="S93" s="1027">
        <v>0</v>
      </c>
      <c r="T93" s="1048">
        <v>7.0000000000000007E-2</v>
      </c>
      <c r="U93" s="198">
        <v>0.1</v>
      </c>
      <c r="V93" s="772"/>
    </row>
    <row r="94" spans="1:22" x14ac:dyDescent="0.35">
      <c r="A94" s="116"/>
      <c r="B94" s="35"/>
      <c r="C94" s="117"/>
      <c r="D94" s="1687"/>
      <c r="E94" s="1688"/>
      <c r="F94" s="159"/>
      <c r="G94" s="160"/>
      <c r="H94" s="161"/>
      <c r="I94" s="162"/>
      <c r="J94" s="164"/>
      <c r="K94" s="157">
        <f t="shared" si="8"/>
        <v>100</v>
      </c>
      <c r="L94" s="157">
        <f t="shared" si="9"/>
        <v>200</v>
      </c>
      <c r="M94" s="157">
        <f t="shared" si="10"/>
        <v>300</v>
      </c>
      <c r="N94" s="157">
        <f t="shared" si="11"/>
        <v>400</v>
      </c>
      <c r="O94" s="967"/>
      <c r="P94" s="967"/>
      <c r="Q94" s="586"/>
      <c r="R94" s="968"/>
      <c r="S94" s="1028"/>
      <c r="T94" s="1028"/>
      <c r="U94" s="589"/>
      <c r="V94" s="772"/>
    </row>
    <row r="95" spans="1:22" x14ac:dyDescent="0.35">
      <c r="A95" s="116"/>
      <c r="B95" s="35"/>
      <c r="C95" s="117"/>
      <c r="D95" s="1687"/>
      <c r="E95" s="1688"/>
      <c r="F95" s="593" t="str">
        <f>IF($G$2=1,R95,"Weiteres Kriterium in der Nutzung")</f>
        <v>Weiteres Kriterium in der Nutzung</v>
      </c>
      <c r="G95" s="153">
        <f t="shared" ref="G95:G96" si="14">IF($H$2=1,S95,IF($H$2=2,T95,U95))</f>
        <v>0</v>
      </c>
      <c r="H95" s="154"/>
      <c r="I95" s="158"/>
      <c r="J95" s="156"/>
      <c r="K95" s="157">
        <f t="shared" si="8"/>
        <v>100</v>
      </c>
      <c r="L95" s="157">
        <f t="shared" si="9"/>
        <v>200</v>
      </c>
      <c r="M95" s="157">
        <f t="shared" si="10"/>
        <v>300</v>
      </c>
      <c r="N95" s="157">
        <f t="shared" si="11"/>
        <v>400</v>
      </c>
      <c r="O95" s="967" t="str">
        <f>CONCATENATE(O86," | ",F95)</f>
        <v>A.2.1 Städtebauliche Rahmenbedingungen und Nutzungskonzept | Weiteres Kriterium in der Nutzung</v>
      </c>
      <c r="P95" s="967"/>
      <c r="Q95" s="586"/>
      <c r="R95" s="968" t="s">
        <v>5505</v>
      </c>
      <c r="S95" s="588">
        <v>0.5</v>
      </c>
      <c r="T95" s="588">
        <v>0.15</v>
      </c>
      <c r="U95" s="588">
        <v>0</v>
      </c>
      <c r="V95" s="772"/>
    </row>
    <row r="96" spans="1:22" x14ac:dyDescent="0.35">
      <c r="A96" s="116"/>
      <c r="B96" s="35"/>
      <c r="C96" s="117"/>
      <c r="D96" s="1687"/>
      <c r="E96" s="1688"/>
      <c r="F96" s="593" t="str">
        <f>IF($G$2=1,R96,"Weiteres Kriterium in der Nutzung")</f>
        <v>Weiteres Kriterium in der Nutzung</v>
      </c>
      <c r="G96" s="153">
        <f t="shared" si="14"/>
        <v>0</v>
      </c>
      <c r="H96" s="154"/>
      <c r="I96" s="158"/>
      <c r="J96" s="156"/>
      <c r="K96" s="157">
        <f t="shared" si="8"/>
        <v>100</v>
      </c>
      <c r="L96" s="157">
        <f t="shared" si="9"/>
        <v>200</v>
      </c>
      <c r="M96" s="157">
        <f t="shared" si="10"/>
        <v>300</v>
      </c>
      <c r="N96" s="157">
        <f t="shared" si="11"/>
        <v>400</v>
      </c>
      <c r="O96" s="967" t="str">
        <f>CONCATENATE(O86," | ",F96)</f>
        <v>A.2.1 Städtebauliche Rahmenbedingungen und Nutzungskonzept | Weiteres Kriterium in der Nutzung</v>
      </c>
      <c r="P96" s="967"/>
      <c r="Q96" s="586"/>
      <c r="R96" s="968" t="s">
        <v>5471</v>
      </c>
      <c r="S96" s="588">
        <v>0.5</v>
      </c>
      <c r="T96" s="588">
        <v>0.15</v>
      </c>
      <c r="U96" s="588">
        <v>0</v>
      </c>
      <c r="V96" s="772"/>
    </row>
    <row r="97" spans="1:21" x14ac:dyDescent="0.35">
      <c r="A97" s="123"/>
      <c r="B97" s="35"/>
      <c r="C97" s="151"/>
      <c r="D97" s="1687"/>
      <c r="E97" s="1688"/>
      <c r="F97" s="165"/>
      <c r="G97" s="160"/>
      <c r="H97" s="161"/>
      <c r="I97" s="166"/>
      <c r="J97" s="167"/>
      <c r="K97" s="157">
        <f t="shared" si="8"/>
        <v>100</v>
      </c>
      <c r="L97" s="157">
        <f t="shared" si="9"/>
        <v>200</v>
      </c>
      <c r="M97" s="157">
        <f t="shared" si="10"/>
        <v>300</v>
      </c>
      <c r="N97" s="157">
        <f t="shared" si="11"/>
        <v>400</v>
      </c>
      <c r="O97" s="959"/>
      <c r="P97" s="967"/>
      <c r="Q97" s="586"/>
      <c r="R97" s="968"/>
      <c r="S97" s="589"/>
      <c r="T97" s="589"/>
      <c r="U97" s="589"/>
    </row>
    <row r="98" spans="1:21" x14ac:dyDescent="0.35">
      <c r="A98" s="116"/>
      <c r="B98" s="35"/>
      <c r="C98" s="117"/>
      <c r="D98" s="1687"/>
      <c r="E98" s="1688"/>
      <c r="F98" s="159"/>
      <c r="G98" s="160"/>
      <c r="H98" s="168"/>
      <c r="I98" s="162"/>
      <c r="J98" s="164"/>
      <c r="K98" s="157">
        <f t="shared" si="8"/>
        <v>100</v>
      </c>
      <c r="L98" s="157">
        <f t="shared" si="9"/>
        <v>200</v>
      </c>
      <c r="M98" s="157">
        <f t="shared" si="10"/>
        <v>300</v>
      </c>
      <c r="N98" s="157">
        <f t="shared" si="11"/>
        <v>400</v>
      </c>
      <c r="O98" s="959"/>
      <c r="P98" s="967"/>
      <c r="Q98" s="586"/>
      <c r="R98" s="968"/>
      <c r="S98" s="589"/>
      <c r="T98" s="589"/>
      <c r="U98" s="589"/>
    </row>
    <row r="99" spans="1:21" x14ac:dyDescent="0.35">
      <c r="A99" s="116"/>
      <c r="B99" s="117"/>
      <c r="C99" s="117"/>
      <c r="D99" s="1687"/>
      <c r="E99" s="1688"/>
      <c r="F99" s="159"/>
      <c r="G99" s="160"/>
      <c r="H99" s="168"/>
      <c r="I99" s="162"/>
      <c r="J99" s="164"/>
      <c r="K99" s="157">
        <f t="shared" si="8"/>
        <v>100</v>
      </c>
      <c r="L99" s="157">
        <f t="shared" si="9"/>
        <v>200</v>
      </c>
      <c r="M99" s="157">
        <f t="shared" si="10"/>
        <v>300</v>
      </c>
      <c r="N99" s="157">
        <f t="shared" si="11"/>
        <v>400</v>
      </c>
      <c r="O99" s="959"/>
      <c r="P99" s="967"/>
      <c r="Q99" s="586"/>
      <c r="R99" s="968"/>
      <c r="S99" s="589"/>
      <c r="T99" s="589"/>
      <c r="U99" s="589"/>
    </row>
    <row r="100" spans="1:21" x14ac:dyDescent="0.35">
      <c r="A100" s="116"/>
      <c r="B100" s="117"/>
      <c r="C100" s="117"/>
      <c r="D100" s="1687"/>
      <c r="E100" s="1688"/>
      <c r="F100" s="169"/>
      <c r="G100" s="170"/>
      <c r="H100" s="171"/>
      <c r="I100" s="172"/>
      <c r="J100" s="173"/>
      <c r="K100" s="157">
        <f t="shared" si="8"/>
        <v>100</v>
      </c>
      <c r="L100" s="157">
        <f t="shared" si="9"/>
        <v>200</v>
      </c>
      <c r="M100" s="157">
        <f t="shared" si="10"/>
        <v>300</v>
      </c>
      <c r="N100" s="157">
        <f t="shared" si="11"/>
        <v>400</v>
      </c>
      <c r="O100" s="959"/>
      <c r="P100" s="967"/>
      <c r="Q100" s="586"/>
      <c r="R100" s="968"/>
      <c r="S100" s="589"/>
      <c r="T100" s="589"/>
      <c r="U100" s="589"/>
    </row>
    <row r="101" spans="1:21" ht="28.5" customHeight="1" x14ac:dyDescent="0.35">
      <c r="A101" s="116"/>
      <c r="B101" s="117"/>
      <c r="C101" s="117"/>
      <c r="D101" s="174"/>
      <c r="E101" s="175"/>
      <c r="F101" s="1689" t="s">
        <v>2</v>
      </c>
      <c r="G101" s="1689"/>
      <c r="H101" s="176">
        <f>IF(O101&gt;1,"Zielerreichung übersteigt 100%!",O101)</f>
        <v>0</v>
      </c>
      <c r="I101" s="177"/>
      <c r="J101" s="178"/>
      <c r="K101" s="157">
        <f t="shared" si="8"/>
        <v>100</v>
      </c>
      <c r="L101" s="157">
        <f t="shared" si="9"/>
        <v>200</v>
      </c>
      <c r="M101" s="157">
        <f t="shared" si="10"/>
        <v>300</v>
      </c>
      <c r="N101" s="157">
        <f t="shared" si="11"/>
        <v>400</v>
      </c>
      <c r="O101" s="959">
        <f>SUM(H89:H100)</f>
        <v>0</v>
      </c>
      <c r="P101" s="967"/>
      <c r="Q101" s="586"/>
      <c r="R101" s="968"/>
      <c r="S101" s="589"/>
      <c r="T101" s="589"/>
      <c r="U101" s="589"/>
    </row>
    <row r="102" spans="1:21" x14ac:dyDescent="0.35">
      <c r="A102" s="116"/>
      <c r="B102" s="117"/>
      <c r="C102" s="117"/>
      <c r="D102" s="179"/>
      <c r="E102" s="180"/>
      <c r="F102" s="1690" t="s">
        <v>3</v>
      </c>
      <c r="G102" s="1691"/>
      <c r="H102" s="181">
        <v>10</v>
      </c>
      <c r="I102" s="177"/>
      <c r="J102" s="178"/>
      <c r="K102" s="157">
        <f t="shared" si="8"/>
        <v>100</v>
      </c>
      <c r="L102" s="157">
        <f t="shared" si="9"/>
        <v>200</v>
      </c>
      <c r="M102" s="157">
        <f t="shared" si="10"/>
        <v>300</v>
      </c>
      <c r="N102" s="157">
        <f t="shared" si="11"/>
        <v>400</v>
      </c>
      <c r="O102" s="1030"/>
      <c r="P102" s="967"/>
      <c r="Q102" s="586"/>
      <c r="R102" s="968"/>
      <c r="S102" s="589"/>
      <c r="T102" s="589"/>
      <c r="U102" s="589"/>
    </row>
    <row r="103" spans="1:21" ht="15" customHeight="1" x14ac:dyDescent="0.35">
      <c r="A103" s="116"/>
      <c r="B103" s="117"/>
      <c r="C103" s="117"/>
      <c r="D103" s="179"/>
      <c r="E103" s="180"/>
      <c r="F103" s="1692"/>
      <c r="G103" s="1693"/>
      <c r="H103" s="182"/>
      <c r="I103" s="183"/>
      <c r="J103" s="178"/>
      <c r="K103" s="157">
        <f t="shared" si="8"/>
        <v>100</v>
      </c>
      <c r="L103" s="157">
        <f t="shared" si="9"/>
        <v>200</v>
      </c>
      <c r="M103" s="157">
        <f t="shared" si="10"/>
        <v>300</v>
      </c>
      <c r="N103" s="157">
        <f t="shared" si="11"/>
        <v>400</v>
      </c>
      <c r="O103" s="1030"/>
      <c r="P103" s="967"/>
      <c r="Q103" s="586"/>
      <c r="R103" s="968"/>
      <c r="S103" s="589"/>
      <c r="T103" s="589"/>
      <c r="U103" s="589"/>
    </row>
    <row r="104" spans="1:21" x14ac:dyDescent="0.35">
      <c r="A104" s="184"/>
      <c r="B104" s="185"/>
      <c r="C104" s="185"/>
      <c r="D104" s="179"/>
      <c r="E104" s="180"/>
      <c r="F104" s="186"/>
      <c r="G104" s="186"/>
      <c r="H104" s="187"/>
      <c r="I104" s="177"/>
      <c r="J104" s="178"/>
      <c r="K104" s="157">
        <f t="shared" si="8"/>
        <v>100</v>
      </c>
      <c r="L104" s="157">
        <f t="shared" si="9"/>
        <v>200</v>
      </c>
      <c r="M104" s="157">
        <f t="shared" si="10"/>
        <v>300</v>
      </c>
      <c r="N104" s="157">
        <f t="shared" si="11"/>
        <v>400</v>
      </c>
      <c r="O104" s="1030"/>
      <c r="P104" s="967"/>
      <c r="Q104" s="586"/>
      <c r="R104" s="968"/>
      <c r="S104" s="589"/>
      <c r="T104" s="589"/>
      <c r="U104" s="589"/>
    </row>
    <row r="105" spans="1:21" ht="15.5" x14ac:dyDescent="0.35">
      <c r="A105" s="116"/>
      <c r="B105" s="117"/>
      <c r="C105" s="1713"/>
      <c r="D105" s="1714"/>
      <c r="E105" s="188"/>
      <c r="F105" s="1715" t="s">
        <v>5</v>
      </c>
      <c r="G105" s="1715"/>
      <c r="H105" s="189">
        <f>IF(ISNUMBER(H103),H103*H101,H102*H101)</f>
        <v>0</v>
      </c>
      <c r="I105" s="190"/>
      <c r="J105" s="191"/>
      <c r="K105" s="157">
        <f t="shared" si="8"/>
        <v>100</v>
      </c>
      <c r="L105" s="157">
        <f t="shared" si="9"/>
        <v>200</v>
      </c>
      <c r="M105" s="157">
        <f t="shared" si="10"/>
        <v>300</v>
      </c>
      <c r="N105" s="157">
        <f t="shared" si="11"/>
        <v>400</v>
      </c>
      <c r="O105" s="1030"/>
      <c r="P105" s="967"/>
      <c r="Q105" s="586"/>
      <c r="R105" s="968"/>
      <c r="S105" s="589"/>
      <c r="T105" s="589"/>
      <c r="U105" s="589"/>
    </row>
    <row r="106" spans="1:21" x14ac:dyDescent="0.35">
      <c r="K106" s="157">
        <f t="shared" si="8"/>
        <v>100</v>
      </c>
      <c r="L106" s="157">
        <f t="shared" si="9"/>
        <v>200</v>
      </c>
      <c r="M106" s="157">
        <f t="shared" si="10"/>
        <v>300</v>
      </c>
      <c r="N106" s="157">
        <f t="shared" si="11"/>
        <v>400</v>
      </c>
      <c r="O106" s="967"/>
      <c r="P106" s="967"/>
      <c r="Q106" s="586"/>
      <c r="R106" s="968"/>
      <c r="S106" s="589"/>
      <c r="T106" s="589"/>
      <c r="U106" s="589"/>
    </row>
    <row r="107" spans="1:21" ht="7.5" customHeight="1" x14ac:dyDescent="0.35">
      <c r="A107" s="116"/>
      <c r="B107" s="117"/>
      <c r="C107" s="117"/>
      <c r="D107" s="116"/>
      <c r="E107" s="116"/>
      <c r="F107" s="118"/>
      <c r="G107" s="119"/>
      <c r="H107" s="116"/>
      <c r="I107" s="120"/>
      <c r="J107" s="121"/>
      <c r="K107" s="157">
        <f t="shared" si="8"/>
        <v>100</v>
      </c>
      <c r="L107" s="157">
        <f t="shared" si="9"/>
        <v>200</v>
      </c>
      <c r="M107" s="157">
        <f t="shared" si="10"/>
        <v>300</v>
      </c>
      <c r="N107" s="157">
        <f t="shared" si="11"/>
        <v>400</v>
      </c>
      <c r="O107" s="968"/>
      <c r="P107" s="968"/>
      <c r="Q107" s="586"/>
      <c r="R107" s="968"/>
      <c r="S107" s="589"/>
      <c r="T107" s="589"/>
      <c r="U107" s="589"/>
    </row>
    <row r="108" spans="1:21" ht="15.5" x14ac:dyDescent="0.35">
      <c r="A108" s="124"/>
      <c r="B108" s="125"/>
      <c r="C108" s="126" t="s">
        <v>4758</v>
      </c>
      <c r="D108" s="126" t="s">
        <v>5468</v>
      </c>
      <c r="E108" s="126"/>
      <c r="F108" s="129" t="str">
        <f>IF($F$3=1,O108,"")</f>
        <v>A.2.2 Gebäudekonzept</v>
      </c>
      <c r="G108" s="130"/>
      <c r="H108" s="131"/>
      <c r="I108" s="520" t="s">
        <v>23</v>
      </c>
      <c r="J108" s="130"/>
      <c r="K108" s="157">
        <f t="shared" ref="K108:K171" si="15">IF($J108=$K$41,K107+1,K107+0)</f>
        <v>100</v>
      </c>
      <c r="L108" s="157">
        <f t="shared" ref="L108:L171" si="16">IF($J108=$L$41,L107+1,L107+0)</f>
        <v>200</v>
      </c>
      <c r="M108" s="157">
        <f t="shared" ref="M108:M171" si="17">IF($J108=$M$41,M107+1,M107+0)</f>
        <v>300</v>
      </c>
      <c r="N108" s="157">
        <f t="shared" ref="N108:N171" si="18">IF($J108=$N$41,N107+1,N107+0)</f>
        <v>400</v>
      </c>
      <c r="O108" s="967" t="str">
        <f>CONCATENATE(C108," ",D108)</f>
        <v>A.2.2 Gebäudekonzept</v>
      </c>
      <c r="P108" s="966"/>
      <c r="Q108" s="586"/>
      <c r="R108" s="968"/>
      <c r="S108" s="589"/>
      <c r="T108" s="589"/>
      <c r="U108" s="589"/>
    </row>
    <row r="109" spans="1:21" x14ac:dyDescent="0.35">
      <c r="A109" s="124"/>
      <c r="B109" s="134"/>
      <c r="C109" s="135"/>
      <c r="D109" s="136"/>
      <c r="E109" s="136"/>
      <c r="F109" s="137"/>
      <c r="G109" s="138"/>
      <c r="H109" s="124"/>
      <c r="I109" s="139"/>
      <c r="J109" s="140"/>
      <c r="K109" s="157">
        <f t="shared" si="15"/>
        <v>100</v>
      </c>
      <c r="L109" s="157">
        <f t="shared" si="16"/>
        <v>200</v>
      </c>
      <c r="M109" s="157">
        <f t="shared" si="17"/>
        <v>300</v>
      </c>
      <c r="N109" s="157">
        <f t="shared" si="18"/>
        <v>400</v>
      </c>
      <c r="O109" s="968"/>
      <c r="P109" s="966"/>
      <c r="Q109" s="586"/>
      <c r="R109" s="968"/>
      <c r="S109" s="589"/>
      <c r="T109" s="589"/>
      <c r="U109" s="589"/>
    </row>
    <row r="110" spans="1:21" x14ac:dyDescent="0.35">
      <c r="A110" s="142"/>
      <c r="B110" s="35"/>
      <c r="C110" s="143"/>
      <c r="D110" s="1685" t="s">
        <v>18</v>
      </c>
      <c r="E110" s="1686"/>
      <c r="F110" s="144" t="s">
        <v>19</v>
      </c>
      <c r="G110" s="145" t="s">
        <v>0</v>
      </c>
      <c r="H110" s="146" t="s">
        <v>20</v>
      </c>
      <c r="I110" s="147" t="s">
        <v>1</v>
      </c>
      <c r="J110" s="147" t="s">
        <v>4375</v>
      </c>
      <c r="K110" s="157">
        <f t="shared" si="15"/>
        <v>100</v>
      </c>
      <c r="L110" s="157">
        <f t="shared" si="16"/>
        <v>200</v>
      </c>
      <c r="M110" s="157">
        <f t="shared" si="17"/>
        <v>300</v>
      </c>
      <c r="N110" s="157">
        <f t="shared" si="18"/>
        <v>400</v>
      </c>
      <c r="O110" s="587"/>
      <c r="P110" s="967"/>
      <c r="Q110" s="586"/>
      <c r="R110" s="968"/>
      <c r="S110" s="589"/>
      <c r="T110" s="589"/>
      <c r="U110" s="589"/>
    </row>
    <row r="111" spans="1:21" ht="24" x14ac:dyDescent="0.35">
      <c r="A111" s="123"/>
      <c r="B111" s="35"/>
      <c r="C111" s="151"/>
      <c r="D111" s="1708" t="s">
        <v>4656</v>
      </c>
      <c r="E111" s="1709"/>
      <c r="F111" s="152" t="s">
        <v>4542</v>
      </c>
      <c r="G111" s="153">
        <f t="shared" ref="G111:G115" si="19">IF($H$2=1,S111,IF($H$2=2,T111,U111))</f>
        <v>0.2</v>
      </c>
      <c r="H111" s="154"/>
      <c r="I111" s="155"/>
      <c r="J111" s="156"/>
      <c r="K111" s="157">
        <f t="shared" si="15"/>
        <v>100</v>
      </c>
      <c r="L111" s="157">
        <f t="shared" si="16"/>
        <v>200</v>
      </c>
      <c r="M111" s="157">
        <f t="shared" si="17"/>
        <v>300</v>
      </c>
      <c r="N111" s="157">
        <f t="shared" si="18"/>
        <v>400</v>
      </c>
      <c r="O111" s="967" t="str">
        <f>CONCATENATE(O108," | ",F111)</f>
        <v>A.2.2 Gebäudekonzept | Konzept beinhaltet zu allen genannten Themen qualitative Ziele</v>
      </c>
      <c r="P111" s="967"/>
      <c r="Q111" s="586"/>
      <c r="R111" s="968"/>
      <c r="S111" s="595">
        <v>0</v>
      </c>
      <c r="T111" s="1049">
        <v>0.14000000000000001</v>
      </c>
      <c r="U111" s="198">
        <v>0.2</v>
      </c>
    </row>
    <row r="112" spans="1:21" ht="24" x14ac:dyDescent="0.35">
      <c r="A112" s="123"/>
      <c r="B112" s="35"/>
      <c r="C112" s="151"/>
      <c r="D112" s="1708"/>
      <c r="E112" s="1709"/>
      <c r="F112" s="152" t="s">
        <v>4543</v>
      </c>
      <c r="G112" s="153">
        <f t="shared" si="19"/>
        <v>0.5</v>
      </c>
      <c r="H112" s="154"/>
      <c r="I112" s="158"/>
      <c r="J112" s="156"/>
      <c r="K112" s="157">
        <f t="shared" si="15"/>
        <v>100</v>
      </c>
      <c r="L112" s="157">
        <f t="shared" si="16"/>
        <v>200</v>
      </c>
      <c r="M112" s="157">
        <f t="shared" si="17"/>
        <v>300</v>
      </c>
      <c r="N112" s="157">
        <f t="shared" si="18"/>
        <v>400</v>
      </c>
      <c r="O112" s="967" t="str">
        <f>CONCATENATE(O108," | ",F112)</f>
        <v>A.2.2 Gebäudekonzept | Konzept beinhaltet zu allen genannten Themen quantitative Ziele</v>
      </c>
      <c r="P112" s="967"/>
      <c r="Q112" s="586"/>
      <c r="R112" s="968"/>
      <c r="S112" s="595">
        <v>0</v>
      </c>
      <c r="T112" s="1049">
        <v>0.35</v>
      </c>
      <c r="U112" s="198">
        <v>0.5</v>
      </c>
    </row>
    <row r="113" spans="1:21" ht="24" x14ac:dyDescent="0.35">
      <c r="A113" s="123"/>
      <c r="B113" s="35"/>
      <c r="C113" s="151"/>
      <c r="D113" s="1708"/>
      <c r="E113" s="1709"/>
      <c r="F113" s="152" t="s">
        <v>5269</v>
      </c>
      <c r="G113" s="153">
        <f t="shared" si="19"/>
        <v>0.1</v>
      </c>
      <c r="H113" s="154"/>
      <c r="I113" s="158"/>
      <c r="J113" s="156"/>
      <c r="K113" s="157">
        <f t="shared" si="15"/>
        <v>100</v>
      </c>
      <c r="L113" s="157">
        <f t="shared" si="16"/>
        <v>200</v>
      </c>
      <c r="M113" s="157">
        <f t="shared" si="17"/>
        <v>300</v>
      </c>
      <c r="N113" s="157">
        <f t="shared" si="18"/>
        <v>400</v>
      </c>
      <c r="O113" s="967" t="str">
        <f>CONCATENATE(O108," | ",F113)</f>
        <v>A.2.2 Gebäudekonzept | Externe Interessensvertreter:innen wurden bei Konzepterstellung eingebunden</v>
      </c>
      <c r="P113" s="967"/>
      <c r="Q113" s="586"/>
      <c r="R113" s="968"/>
      <c r="S113" s="595">
        <v>0</v>
      </c>
      <c r="T113" s="1049">
        <v>7.0000000000000007E-2</v>
      </c>
      <c r="U113" s="198">
        <v>0.1</v>
      </c>
    </row>
    <row r="114" spans="1:21" x14ac:dyDescent="0.35">
      <c r="A114" s="123">
        <v>3.2</v>
      </c>
      <c r="B114" s="35"/>
      <c r="C114" s="151"/>
      <c r="D114" s="1708"/>
      <c r="E114" s="1709"/>
      <c r="F114" s="152" t="s">
        <v>24</v>
      </c>
      <c r="G114" s="153">
        <f t="shared" si="19"/>
        <v>0.1</v>
      </c>
      <c r="H114" s="154"/>
      <c r="I114" s="158"/>
      <c r="J114" s="156"/>
      <c r="K114" s="157">
        <f t="shared" si="15"/>
        <v>100</v>
      </c>
      <c r="L114" s="157">
        <f t="shared" si="16"/>
        <v>200</v>
      </c>
      <c r="M114" s="157">
        <f t="shared" si="17"/>
        <v>300</v>
      </c>
      <c r="N114" s="157">
        <f t="shared" si="18"/>
        <v>400</v>
      </c>
      <c r="O114" s="967" t="str">
        <f>CONCATENATE(O108," | ",F114)</f>
        <v>A.2.2 Gebäudekonzept | Konzept von Steuerungsgruppe beschlossen</v>
      </c>
      <c r="P114" s="967"/>
      <c r="Q114" s="586"/>
      <c r="R114" s="968"/>
      <c r="S114" s="595">
        <v>0</v>
      </c>
      <c r="T114" s="1049">
        <v>7.0000000000000007E-2</v>
      </c>
      <c r="U114" s="198">
        <v>0.1</v>
      </c>
    </row>
    <row r="115" spans="1:21" x14ac:dyDescent="0.35">
      <c r="A115" s="123"/>
      <c r="B115" s="35"/>
      <c r="C115" s="151"/>
      <c r="D115" s="1708"/>
      <c r="E115" s="1709"/>
      <c r="F115" s="152" t="s">
        <v>5399</v>
      </c>
      <c r="G115" s="153">
        <f t="shared" si="19"/>
        <v>0.1</v>
      </c>
      <c r="H115" s="154"/>
      <c r="I115" s="158"/>
      <c r="J115" s="156"/>
      <c r="K115" s="157">
        <f t="shared" si="15"/>
        <v>100</v>
      </c>
      <c r="L115" s="157">
        <f t="shared" si="16"/>
        <v>200</v>
      </c>
      <c r="M115" s="157">
        <f t="shared" si="17"/>
        <v>300</v>
      </c>
      <c r="N115" s="157">
        <f t="shared" si="18"/>
        <v>400</v>
      </c>
      <c r="O115" s="967" t="str">
        <f>CONCATENATE(O108," | ",F115)</f>
        <v>A.2.2 Gebäudekonzept | Konzept an relevante Stakeholder kommuniziert</v>
      </c>
      <c r="P115" s="967"/>
      <c r="Q115" s="586"/>
      <c r="R115" s="968"/>
      <c r="S115" s="595">
        <v>0</v>
      </c>
      <c r="T115" s="1049">
        <v>7.0000000000000007E-2</v>
      </c>
      <c r="U115" s="198">
        <v>0.1</v>
      </c>
    </row>
    <row r="116" spans="1:21" x14ac:dyDescent="0.35">
      <c r="A116" s="116"/>
      <c r="B116" s="35"/>
      <c r="C116" s="117"/>
      <c r="D116" s="1708"/>
      <c r="E116" s="1709"/>
      <c r="F116" s="159"/>
      <c r="G116" s="160"/>
      <c r="H116" s="161"/>
      <c r="I116" s="162"/>
      <c r="J116" s="164"/>
      <c r="K116" s="157">
        <f t="shared" si="15"/>
        <v>100</v>
      </c>
      <c r="L116" s="157">
        <f t="shared" si="16"/>
        <v>200</v>
      </c>
      <c r="M116" s="157">
        <f t="shared" si="17"/>
        <v>300</v>
      </c>
      <c r="N116" s="157">
        <f t="shared" si="18"/>
        <v>400</v>
      </c>
      <c r="O116" s="967"/>
      <c r="P116" s="967"/>
      <c r="Q116" s="586"/>
      <c r="R116" s="968"/>
      <c r="S116" s="589"/>
      <c r="T116" s="589"/>
      <c r="U116" s="589"/>
    </row>
    <row r="117" spans="1:21" x14ac:dyDescent="0.35">
      <c r="A117" s="116"/>
      <c r="B117" s="35"/>
      <c r="C117" s="117"/>
      <c r="D117" s="1708"/>
      <c r="E117" s="1709"/>
      <c r="F117" s="593" t="str">
        <f>IF($G$2=1,R117,"Weiteres Kriterium in der Nutzung")</f>
        <v>Weiteres Kriterium in der Nutzung</v>
      </c>
      <c r="G117" s="153">
        <f t="shared" ref="G117:G118" si="20">IF($H$2=1,S117,IF($H$2=2,T117,U117))</f>
        <v>0</v>
      </c>
      <c r="H117" s="154"/>
      <c r="I117" s="158"/>
      <c r="J117" s="156"/>
      <c r="K117" s="157">
        <f t="shared" si="15"/>
        <v>100</v>
      </c>
      <c r="L117" s="157">
        <f t="shared" si="16"/>
        <v>200</v>
      </c>
      <c r="M117" s="157">
        <f t="shared" si="17"/>
        <v>300</v>
      </c>
      <c r="N117" s="157">
        <f t="shared" si="18"/>
        <v>400</v>
      </c>
      <c r="O117" s="967" t="str">
        <f>CONCATENATE(O108," | ",F117)</f>
        <v>A.2.2 Gebäudekonzept | Weiteres Kriterium in der Nutzung</v>
      </c>
      <c r="P117" s="967"/>
      <c r="Q117" s="586"/>
      <c r="R117" s="968" t="s">
        <v>5502</v>
      </c>
      <c r="S117" s="588">
        <v>0.5</v>
      </c>
      <c r="T117" s="588">
        <v>0.15</v>
      </c>
      <c r="U117" s="588">
        <v>0</v>
      </c>
    </row>
    <row r="118" spans="1:21" x14ac:dyDescent="0.35">
      <c r="A118" s="116"/>
      <c r="B118" s="35"/>
      <c r="C118" s="117"/>
      <c r="D118" s="1708"/>
      <c r="E118" s="1709"/>
      <c r="F118" s="593" t="str">
        <f>IF($G$2=1,R118,"Weiteres Kriterium in der Nutzung")</f>
        <v>Weiteres Kriterium in der Nutzung</v>
      </c>
      <c r="G118" s="153">
        <f t="shared" si="20"/>
        <v>0</v>
      </c>
      <c r="H118" s="154"/>
      <c r="I118" s="158"/>
      <c r="J118" s="156"/>
      <c r="K118" s="157">
        <f t="shared" si="15"/>
        <v>100</v>
      </c>
      <c r="L118" s="157">
        <f t="shared" si="16"/>
        <v>200</v>
      </c>
      <c r="M118" s="157">
        <f t="shared" si="17"/>
        <v>300</v>
      </c>
      <c r="N118" s="157">
        <f t="shared" si="18"/>
        <v>400</v>
      </c>
      <c r="O118" s="967" t="str">
        <f>CONCATENATE(O108," | ",F118)</f>
        <v>A.2.2 Gebäudekonzept | Weiteres Kriterium in der Nutzung</v>
      </c>
      <c r="P118" s="967"/>
      <c r="Q118" s="586"/>
      <c r="R118" s="968" t="s">
        <v>5472</v>
      </c>
      <c r="S118" s="588">
        <v>0.5</v>
      </c>
      <c r="T118" s="588">
        <v>0.15</v>
      </c>
      <c r="U118" s="588">
        <v>0</v>
      </c>
    </row>
    <row r="119" spans="1:21" x14ac:dyDescent="0.35">
      <c r="A119" s="123"/>
      <c r="B119" s="35"/>
      <c r="C119" s="151"/>
      <c r="D119" s="1708"/>
      <c r="E119" s="1709"/>
      <c r="F119" s="165"/>
      <c r="G119" s="160"/>
      <c r="H119" s="161"/>
      <c r="I119" s="166"/>
      <c r="J119" s="167"/>
      <c r="K119" s="157">
        <f t="shared" si="15"/>
        <v>100</v>
      </c>
      <c r="L119" s="157">
        <f t="shared" si="16"/>
        <v>200</v>
      </c>
      <c r="M119" s="157">
        <f t="shared" si="17"/>
        <v>300</v>
      </c>
      <c r="N119" s="157">
        <f t="shared" si="18"/>
        <v>400</v>
      </c>
      <c r="O119" s="959"/>
      <c r="P119" s="967"/>
      <c r="Q119" s="586"/>
      <c r="R119" s="968"/>
      <c r="S119" s="589"/>
      <c r="T119" s="589"/>
      <c r="U119" s="589"/>
    </row>
    <row r="120" spans="1:21" x14ac:dyDescent="0.35">
      <c r="A120" s="116"/>
      <c r="B120" s="35"/>
      <c r="C120" s="117"/>
      <c r="D120" s="1708"/>
      <c r="E120" s="1709"/>
      <c r="F120" s="159"/>
      <c r="G120" s="160"/>
      <c r="H120" s="168"/>
      <c r="I120" s="162"/>
      <c r="J120" s="164"/>
      <c r="K120" s="157">
        <f t="shared" si="15"/>
        <v>100</v>
      </c>
      <c r="L120" s="157">
        <f t="shared" si="16"/>
        <v>200</v>
      </c>
      <c r="M120" s="157">
        <f t="shared" si="17"/>
        <v>300</v>
      </c>
      <c r="N120" s="157">
        <f t="shared" si="18"/>
        <v>400</v>
      </c>
      <c r="O120" s="959"/>
      <c r="P120" s="967"/>
      <c r="Q120" s="586"/>
      <c r="R120" s="968"/>
      <c r="S120" s="589"/>
      <c r="T120" s="589"/>
      <c r="U120" s="589"/>
    </row>
    <row r="121" spans="1:21" x14ac:dyDescent="0.35">
      <c r="A121" s="116"/>
      <c r="B121" s="117"/>
      <c r="C121" s="117"/>
      <c r="D121" s="1708"/>
      <c r="E121" s="1709"/>
      <c r="F121" s="159"/>
      <c r="G121" s="160"/>
      <c r="H121" s="168"/>
      <c r="I121" s="162"/>
      <c r="J121" s="164"/>
      <c r="K121" s="157">
        <f t="shared" si="15"/>
        <v>100</v>
      </c>
      <c r="L121" s="157">
        <f t="shared" si="16"/>
        <v>200</v>
      </c>
      <c r="M121" s="157">
        <f t="shared" si="17"/>
        <v>300</v>
      </c>
      <c r="N121" s="157">
        <f t="shared" si="18"/>
        <v>400</v>
      </c>
      <c r="O121" s="959"/>
      <c r="P121" s="967"/>
      <c r="Q121" s="586"/>
      <c r="R121" s="968"/>
      <c r="S121" s="589"/>
      <c r="T121" s="589"/>
      <c r="U121" s="589"/>
    </row>
    <row r="122" spans="1:21" x14ac:dyDescent="0.35">
      <c r="A122" s="116"/>
      <c r="B122" s="117"/>
      <c r="C122" s="117"/>
      <c r="D122" s="1708"/>
      <c r="E122" s="1709"/>
      <c r="F122" s="169"/>
      <c r="G122" s="170"/>
      <c r="H122" s="171"/>
      <c r="I122" s="172"/>
      <c r="J122" s="173"/>
      <c r="K122" s="157">
        <f t="shared" si="15"/>
        <v>100</v>
      </c>
      <c r="L122" s="157">
        <f t="shared" si="16"/>
        <v>200</v>
      </c>
      <c r="M122" s="157">
        <f t="shared" si="17"/>
        <v>300</v>
      </c>
      <c r="N122" s="157">
        <f t="shared" si="18"/>
        <v>400</v>
      </c>
      <c r="O122" s="959"/>
      <c r="P122" s="967"/>
      <c r="Q122" s="586"/>
      <c r="R122" s="968"/>
      <c r="S122" s="589"/>
      <c r="T122" s="589"/>
      <c r="U122" s="589"/>
    </row>
    <row r="123" spans="1:21" ht="28.5" customHeight="1" x14ac:dyDescent="0.35">
      <c r="A123" s="116"/>
      <c r="B123" s="117"/>
      <c r="C123" s="117"/>
      <c r="D123" s="174"/>
      <c r="E123" s="175"/>
      <c r="F123" s="1689" t="s">
        <v>2</v>
      </c>
      <c r="G123" s="1689"/>
      <c r="H123" s="176">
        <f>IF(O123&gt;1,"Zielerreichung übersteigt 100%!",O123)</f>
        <v>0</v>
      </c>
      <c r="I123" s="177"/>
      <c r="J123" s="178"/>
      <c r="K123" s="157">
        <f t="shared" si="15"/>
        <v>100</v>
      </c>
      <c r="L123" s="157">
        <f t="shared" si="16"/>
        <v>200</v>
      </c>
      <c r="M123" s="157">
        <f t="shared" si="17"/>
        <v>300</v>
      </c>
      <c r="N123" s="157">
        <f t="shared" si="18"/>
        <v>400</v>
      </c>
      <c r="O123" s="959">
        <f>SUM(H111:H122)</f>
        <v>0</v>
      </c>
      <c r="P123" s="967"/>
      <c r="Q123" s="586"/>
      <c r="R123" s="968"/>
      <c r="S123" s="589"/>
      <c r="T123" s="589"/>
      <c r="U123" s="589"/>
    </row>
    <row r="124" spans="1:21" x14ac:dyDescent="0.35">
      <c r="A124" s="116"/>
      <c r="B124" s="117"/>
      <c r="C124" s="117"/>
      <c r="D124" s="179"/>
      <c r="E124" s="180"/>
      <c r="F124" s="1690" t="s">
        <v>3</v>
      </c>
      <c r="G124" s="1691"/>
      <c r="H124" s="181">
        <v>10</v>
      </c>
      <c r="I124" s="177"/>
      <c r="J124" s="178"/>
      <c r="K124" s="157">
        <f t="shared" si="15"/>
        <v>100</v>
      </c>
      <c r="L124" s="157">
        <f t="shared" si="16"/>
        <v>200</v>
      </c>
      <c r="M124" s="157">
        <f t="shared" si="17"/>
        <v>300</v>
      </c>
      <c r="N124" s="157">
        <f t="shared" si="18"/>
        <v>400</v>
      </c>
      <c r="O124" s="1030"/>
      <c r="P124" s="967"/>
      <c r="Q124" s="586"/>
      <c r="R124" s="968"/>
      <c r="S124" s="589"/>
      <c r="T124" s="589"/>
      <c r="U124" s="589"/>
    </row>
    <row r="125" spans="1:21" ht="15" customHeight="1" x14ac:dyDescent="0.35">
      <c r="A125" s="116"/>
      <c r="B125" s="117"/>
      <c r="C125" s="117"/>
      <c r="D125" s="179"/>
      <c r="E125" s="180"/>
      <c r="F125" s="1692"/>
      <c r="G125" s="1693"/>
      <c r="H125" s="182"/>
      <c r="I125" s="183"/>
      <c r="J125" s="178"/>
      <c r="K125" s="157">
        <f t="shared" si="15"/>
        <v>100</v>
      </c>
      <c r="L125" s="157">
        <f t="shared" si="16"/>
        <v>200</v>
      </c>
      <c r="M125" s="157">
        <f t="shared" si="17"/>
        <v>300</v>
      </c>
      <c r="N125" s="157">
        <f t="shared" si="18"/>
        <v>400</v>
      </c>
      <c r="O125" s="1030"/>
      <c r="P125" s="967"/>
      <c r="Q125" s="586"/>
      <c r="R125" s="968"/>
      <c r="S125" s="589"/>
      <c r="T125" s="589"/>
      <c r="U125" s="589"/>
    </row>
    <row r="126" spans="1:21" x14ac:dyDescent="0.35">
      <c r="A126" s="184"/>
      <c r="B126" s="185"/>
      <c r="C126" s="185"/>
      <c r="D126" s="179"/>
      <c r="E126" s="180"/>
      <c r="F126" s="186"/>
      <c r="G126" s="186"/>
      <c r="H126" s="187"/>
      <c r="I126" s="177"/>
      <c r="J126" s="178"/>
      <c r="K126" s="157">
        <f t="shared" si="15"/>
        <v>100</v>
      </c>
      <c r="L126" s="157">
        <f t="shared" si="16"/>
        <v>200</v>
      </c>
      <c r="M126" s="157">
        <f t="shared" si="17"/>
        <v>300</v>
      </c>
      <c r="N126" s="157">
        <f t="shared" si="18"/>
        <v>400</v>
      </c>
      <c r="O126" s="1030"/>
      <c r="P126" s="967"/>
      <c r="Q126" s="586"/>
      <c r="R126" s="968"/>
      <c r="S126" s="589"/>
      <c r="T126" s="589"/>
      <c r="U126" s="589"/>
    </row>
    <row r="127" spans="1:21" ht="15.75" customHeight="1" x14ac:dyDescent="0.35">
      <c r="A127" s="116"/>
      <c r="B127" s="185"/>
      <c r="C127" s="1713"/>
      <c r="D127" s="1714"/>
      <c r="E127" s="188"/>
      <c r="F127" s="1715" t="s">
        <v>5</v>
      </c>
      <c r="G127" s="1715"/>
      <c r="H127" s="189">
        <f>IF(ISNUMBER(H125),H125*H123,H124*H123)</f>
        <v>0</v>
      </c>
      <c r="I127" s="190"/>
      <c r="J127" s="191"/>
      <c r="K127" s="157">
        <f t="shared" si="15"/>
        <v>100</v>
      </c>
      <c r="L127" s="157">
        <f t="shared" si="16"/>
        <v>200</v>
      </c>
      <c r="M127" s="157">
        <f t="shared" si="17"/>
        <v>300</v>
      </c>
      <c r="N127" s="157">
        <f t="shared" si="18"/>
        <v>400</v>
      </c>
      <c r="O127" s="1030"/>
      <c r="P127" s="967"/>
      <c r="Q127" s="586"/>
      <c r="R127" s="968"/>
      <c r="S127" s="589"/>
      <c r="T127" s="589"/>
      <c r="U127" s="589"/>
    </row>
    <row r="128" spans="1:21" x14ac:dyDescent="0.35">
      <c r="B128" s="185"/>
      <c r="K128" s="157">
        <f t="shared" si="15"/>
        <v>100</v>
      </c>
      <c r="L128" s="157">
        <f t="shared" si="16"/>
        <v>200</v>
      </c>
      <c r="M128" s="157">
        <f t="shared" si="17"/>
        <v>300</v>
      </c>
      <c r="N128" s="157">
        <f t="shared" si="18"/>
        <v>400</v>
      </c>
      <c r="O128" s="967"/>
      <c r="P128" s="967"/>
      <c r="Q128" s="586"/>
      <c r="R128" s="968"/>
      <c r="S128" s="589"/>
      <c r="T128" s="589"/>
      <c r="U128" s="589"/>
    </row>
    <row r="129" spans="1:21" ht="7.5" customHeight="1" x14ac:dyDescent="0.35">
      <c r="A129" s="116"/>
      <c r="B129" s="117"/>
      <c r="C129" s="117"/>
      <c r="D129" s="116"/>
      <c r="E129" s="116"/>
      <c r="F129" s="118"/>
      <c r="G129" s="119"/>
      <c r="H129" s="116"/>
      <c r="I129" s="120"/>
      <c r="J129" s="121"/>
      <c r="K129" s="157">
        <f t="shared" si="15"/>
        <v>100</v>
      </c>
      <c r="L129" s="157">
        <f t="shared" si="16"/>
        <v>200</v>
      </c>
      <c r="M129" s="157">
        <f t="shared" si="17"/>
        <v>300</v>
      </c>
      <c r="N129" s="157">
        <f t="shared" si="18"/>
        <v>400</v>
      </c>
      <c r="O129" s="968"/>
      <c r="P129" s="968"/>
      <c r="Q129" s="586"/>
      <c r="R129" s="968"/>
      <c r="S129" s="589"/>
      <c r="T129" s="589"/>
      <c r="U129" s="589"/>
    </row>
    <row r="130" spans="1:21" ht="15.5" x14ac:dyDescent="0.35">
      <c r="A130" s="124"/>
      <c r="B130" s="125"/>
      <c r="C130" s="126" t="s">
        <v>4759</v>
      </c>
      <c r="D130" s="127" t="s">
        <v>5416</v>
      </c>
      <c r="E130" s="128"/>
      <c r="F130" s="129" t="str">
        <f>IF($F$3=1,O130,"")</f>
        <v>A.2.3 Versorgungskonzept</v>
      </c>
      <c r="G130" s="130"/>
      <c r="H130" s="131"/>
      <c r="I130" s="520" t="s">
        <v>23</v>
      </c>
      <c r="J130" s="130"/>
      <c r="K130" s="157">
        <f t="shared" si="15"/>
        <v>100</v>
      </c>
      <c r="L130" s="157">
        <f t="shared" si="16"/>
        <v>200</v>
      </c>
      <c r="M130" s="157">
        <f t="shared" si="17"/>
        <v>300</v>
      </c>
      <c r="N130" s="157">
        <f t="shared" si="18"/>
        <v>400</v>
      </c>
      <c r="O130" s="967" t="str">
        <f>CONCATENATE(C130," ",D130)</f>
        <v>A.2.3 Versorgungskonzept</v>
      </c>
      <c r="P130" s="966"/>
      <c r="Q130" s="586"/>
      <c r="R130" s="968"/>
      <c r="S130" s="589"/>
      <c r="T130" s="589"/>
      <c r="U130" s="589"/>
    </row>
    <row r="131" spans="1:21" x14ac:dyDescent="0.35">
      <c r="A131" s="124"/>
      <c r="B131" s="134"/>
      <c r="C131" s="135"/>
      <c r="D131" s="136"/>
      <c r="E131" s="136"/>
      <c r="F131" s="137"/>
      <c r="G131" s="138"/>
      <c r="H131" s="124"/>
      <c r="I131" s="139"/>
      <c r="J131" s="140"/>
      <c r="K131" s="157">
        <f t="shared" si="15"/>
        <v>100</v>
      </c>
      <c r="L131" s="157">
        <f t="shared" si="16"/>
        <v>200</v>
      </c>
      <c r="M131" s="157">
        <f t="shared" si="17"/>
        <v>300</v>
      </c>
      <c r="N131" s="157">
        <f t="shared" si="18"/>
        <v>400</v>
      </c>
      <c r="O131" s="968"/>
      <c r="P131" s="966"/>
      <c r="Q131" s="586"/>
      <c r="R131" s="968"/>
      <c r="S131" s="589"/>
      <c r="T131" s="589"/>
      <c r="U131" s="589"/>
    </row>
    <row r="132" spans="1:21" x14ac:dyDescent="0.35">
      <c r="A132" s="142"/>
      <c r="B132" s="35"/>
      <c r="C132" s="143"/>
      <c r="D132" s="1685" t="s">
        <v>18</v>
      </c>
      <c r="E132" s="1686"/>
      <c r="F132" s="144" t="s">
        <v>19</v>
      </c>
      <c r="G132" s="145" t="s">
        <v>0</v>
      </c>
      <c r="H132" s="146" t="s">
        <v>20</v>
      </c>
      <c r="I132" s="147" t="s">
        <v>1</v>
      </c>
      <c r="J132" s="147" t="s">
        <v>4375</v>
      </c>
      <c r="K132" s="157">
        <f t="shared" si="15"/>
        <v>100</v>
      </c>
      <c r="L132" s="157">
        <f t="shared" si="16"/>
        <v>200</v>
      </c>
      <c r="M132" s="157">
        <f t="shared" si="17"/>
        <v>300</v>
      </c>
      <c r="N132" s="157">
        <f t="shared" si="18"/>
        <v>400</v>
      </c>
      <c r="O132" s="587"/>
      <c r="P132" s="967"/>
      <c r="Q132" s="586"/>
      <c r="R132" s="968"/>
      <c r="S132" s="589"/>
      <c r="T132" s="589"/>
      <c r="U132" s="589"/>
    </row>
    <row r="133" spans="1:21" ht="24" x14ac:dyDescent="0.35">
      <c r="A133" s="123"/>
      <c r="B133" s="35"/>
      <c r="C133" s="151"/>
      <c r="D133" s="1687" t="s">
        <v>4657</v>
      </c>
      <c r="E133" s="1688"/>
      <c r="F133" s="152" t="s">
        <v>4542</v>
      </c>
      <c r="G133" s="153">
        <f t="shared" ref="G133:G140" si="21">IF($H$2=1,S133,IF($H$2=2,T133,U133))</f>
        <v>0.2</v>
      </c>
      <c r="H133" s="154"/>
      <c r="I133" s="155"/>
      <c r="J133" s="156"/>
      <c r="K133" s="157">
        <f t="shared" si="15"/>
        <v>100</v>
      </c>
      <c r="L133" s="157">
        <f t="shared" si="16"/>
        <v>200</v>
      </c>
      <c r="M133" s="157">
        <f t="shared" si="17"/>
        <v>300</v>
      </c>
      <c r="N133" s="157">
        <f t="shared" si="18"/>
        <v>400</v>
      </c>
      <c r="O133" s="967" t="str">
        <f>CONCATENATE(O130," | ",F133)</f>
        <v>A.2.3 Versorgungskonzept | Konzept beinhaltet zu allen genannten Themen qualitative Ziele</v>
      </c>
      <c r="P133" s="967"/>
      <c r="Q133" s="586"/>
      <c r="R133" s="968"/>
      <c r="S133" s="595">
        <v>0</v>
      </c>
      <c r="T133" s="1049">
        <v>0.14000000000000001</v>
      </c>
      <c r="U133" s="198">
        <v>0.2</v>
      </c>
    </row>
    <row r="134" spans="1:21" ht="24" x14ac:dyDescent="0.35">
      <c r="A134" s="123"/>
      <c r="B134" s="35"/>
      <c r="C134" s="151"/>
      <c r="D134" s="1687"/>
      <c r="E134" s="1688"/>
      <c r="F134" s="152" t="s">
        <v>4543</v>
      </c>
      <c r="G134" s="153">
        <f t="shared" si="21"/>
        <v>0.5</v>
      </c>
      <c r="H134" s="154"/>
      <c r="I134" s="155"/>
      <c r="J134" s="156"/>
      <c r="K134" s="157">
        <f t="shared" si="15"/>
        <v>100</v>
      </c>
      <c r="L134" s="157">
        <f t="shared" si="16"/>
        <v>200</v>
      </c>
      <c r="M134" s="157">
        <f t="shared" si="17"/>
        <v>300</v>
      </c>
      <c r="N134" s="157">
        <f t="shared" si="18"/>
        <v>400</v>
      </c>
      <c r="O134" s="967" t="str">
        <f>CONCATENATE(O130," | ",F134)</f>
        <v>A.2.3 Versorgungskonzept | Konzept beinhaltet zu allen genannten Themen quantitative Ziele</v>
      </c>
      <c r="P134" s="967"/>
      <c r="Q134" s="586"/>
      <c r="R134" s="968"/>
      <c r="S134" s="595">
        <v>0</v>
      </c>
      <c r="T134" s="1049">
        <v>0.35</v>
      </c>
      <c r="U134" s="198">
        <v>0.5</v>
      </c>
    </row>
    <row r="135" spans="1:21" ht="24" x14ac:dyDescent="0.35">
      <c r="A135" s="123"/>
      <c r="B135" s="35"/>
      <c r="C135" s="151"/>
      <c r="D135" s="1687"/>
      <c r="E135" s="1688"/>
      <c r="F135" s="152" t="s">
        <v>5269</v>
      </c>
      <c r="G135" s="153">
        <f t="shared" si="21"/>
        <v>0.1</v>
      </c>
      <c r="H135" s="154"/>
      <c r="I135" s="158"/>
      <c r="J135" s="156"/>
      <c r="K135" s="157">
        <f t="shared" si="15"/>
        <v>100</v>
      </c>
      <c r="L135" s="157">
        <f t="shared" si="16"/>
        <v>200</v>
      </c>
      <c r="M135" s="157">
        <f t="shared" si="17"/>
        <v>300</v>
      </c>
      <c r="N135" s="157">
        <f t="shared" si="18"/>
        <v>400</v>
      </c>
      <c r="O135" s="967" t="str">
        <f>CONCATENATE(O130," | ",F135)</f>
        <v>A.2.3 Versorgungskonzept | Externe Interessensvertreter:innen wurden bei Konzepterstellung eingebunden</v>
      </c>
      <c r="P135" s="967"/>
      <c r="Q135" s="586"/>
      <c r="R135" s="968"/>
      <c r="S135" s="595">
        <v>0</v>
      </c>
      <c r="T135" s="1049">
        <v>7.0000000000000007E-2</v>
      </c>
      <c r="U135" s="198">
        <v>0.1</v>
      </c>
    </row>
    <row r="136" spans="1:21" x14ac:dyDescent="0.35">
      <c r="A136" s="123">
        <v>3.2</v>
      </c>
      <c r="B136" s="35"/>
      <c r="C136" s="151"/>
      <c r="D136" s="1687"/>
      <c r="E136" s="1688"/>
      <c r="F136" s="152" t="s">
        <v>24</v>
      </c>
      <c r="G136" s="153">
        <f t="shared" si="21"/>
        <v>0.1</v>
      </c>
      <c r="H136" s="154"/>
      <c r="I136" s="158"/>
      <c r="J136" s="156"/>
      <c r="K136" s="157">
        <f t="shared" si="15"/>
        <v>100</v>
      </c>
      <c r="L136" s="157">
        <f t="shared" si="16"/>
        <v>200</v>
      </c>
      <c r="M136" s="157">
        <f t="shared" si="17"/>
        <v>300</v>
      </c>
      <c r="N136" s="157">
        <f t="shared" si="18"/>
        <v>400</v>
      </c>
      <c r="O136" s="967" t="str">
        <f>CONCATENATE(O130," | ",F136)</f>
        <v>A.2.3 Versorgungskonzept | Konzept von Steuerungsgruppe beschlossen</v>
      </c>
      <c r="P136" s="967"/>
      <c r="Q136" s="586"/>
      <c r="R136" s="968"/>
      <c r="S136" s="595">
        <v>0</v>
      </c>
      <c r="T136" s="1049">
        <v>7.0000000000000007E-2</v>
      </c>
      <c r="U136" s="198">
        <v>0.1</v>
      </c>
    </row>
    <row r="137" spans="1:21" x14ac:dyDescent="0.35">
      <c r="A137" s="123"/>
      <c r="B137" s="35"/>
      <c r="C137" s="151"/>
      <c r="D137" s="1687"/>
      <c r="E137" s="1688"/>
      <c r="F137" s="152" t="s">
        <v>5399</v>
      </c>
      <c r="G137" s="153">
        <f t="shared" si="21"/>
        <v>0.1</v>
      </c>
      <c r="H137" s="154"/>
      <c r="I137" s="158"/>
      <c r="J137" s="156"/>
      <c r="K137" s="157">
        <f t="shared" si="15"/>
        <v>100</v>
      </c>
      <c r="L137" s="157">
        <f t="shared" si="16"/>
        <v>200</v>
      </c>
      <c r="M137" s="157">
        <f t="shared" si="17"/>
        <v>300</v>
      </c>
      <c r="N137" s="157">
        <f t="shared" si="18"/>
        <v>400</v>
      </c>
      <c r="O137" s="967" t="str">
        <f>CONCATENATE(O130," | ",F137)</f>
        <v>A.2.3 Versorgungskonzept | Konzept an relevante Stakeholder kommuniziert</v>
      </c>
      <c r="P137" s="967"/>
      <c r="Q137" s="586"/>
      <c r="R137" s="968"/>
      <c r="S137" s="595">
        <v>0</v>
      </c>
      <c r="T137" s="1049">
        <v>7.0000000000000007E-2</v>
      </c>
      <c r="U137" s="198">
        <v>0.1</v>
      </c>
    </row>
    <row r="138" spans="1:21" x14ac:dyDescent="0.35">
      <c r="A138" s="116"/>
      <c r="B138" s="35"/>
      <c r="C138" s="117"/>
      <c r="D138" s="1687"/>
      <c r="E138" s="1688"/>
      <c r="F138" s="159"/>
      <c r="G138" s="160"/>
      <c r="H138" s="161"/>
      <c r="I138" s="162"/>
      <c r="J138" s="167"/>
      <c r="K138" s="157">
        <f t="shared" si="15"/>
        <v>100</v>
      </c>
      <c r="L138" s="157">
        <f t="shared" si="16"/>
        <v>200</v>
      </c>
      <c r="M138" s="157">
        <f t="shared" si="17"/>
        <v>300</v>
      </c>
      <c r="N138" s="157">
        <f t="shared" si="18"/>
        <v>400</v>
      </c>
      <c r="O138" s="967"/>
      <c r="P138" s="967"/>
      <c r="Q138" s="586"/>
      <c r="R138" s="968"/>
      <c r="S138" s="589"/>
      <c r="T138" s="589"/>
      <c r="U138" s="589"/>
    </row>
    <row r="139" spans="1:21" x14ac:dyDescent="0.35">
      <c r="A139" s="116"/>
      <c r="B139" s="35"/>
      <c r="C139" s="117"/>
      <c r="D139" s="1687"/>
      <c r="E139" s="1688"/>
      <c r="F139" s="593" t="str">
        <f>IF($G$2=1,R139,"Weiteres Kriterium in der Nutzung")</f>
        <v>Weiteres Kriterium in der Nutzung</v>
      </c>
      <c r="G139" s="153">
        <f t="shared" si="21"/>
        <v>0</v>
      </c>
      <c r="H139" s="154"/>
      <c r="I139" s="158"/>
      <c r="J139" s="156"/>
      <c r="K139" s="157">
        <f t="shared" si="15"/>
        <v>100</v>
      </c>
      <c r="L139" s="157">
        <f t="shared" si="16"/>
        <v>200</v>
      </c>
      <c r="M139" s="157">
        <f t="shared" si="17"/>
        <v>300</v>
      </c>
      <c r="N139" s="157">
        <f t="shared" si="18"/>
        <v>400</v>
      </c>
      <c r="O139" s="967" t="str">
        <f>CONCATENATE(O130," | ",F139)</f>
        <v>A.2.3 Versorgungskonzept | Weiteres Kriterium in der Nutzung</v>
      </c>
      <c r="P139" s="967"/>
      <c r="Q139" s="586"/>
      <c r="R139" s="968" t="s">
        <v>5503</v>
      </c>
      <c r="S139" s="588">
        <v>0.5</v>
      </c>
      <c r="T139" s="588">
        <v>0.15</v>
      </c>
      <c r="U139" s="588">
        <v>0</v>
      </c>
    </row>
    <row r="140" spans="1:21" x14ac:dyDescent="0.35">
      <c r="A140" s="116"/>
      <c r="B140" s="35"/>
      <c r="C140" s="117"/>
      <c r="D140" s="1687"/>
      <c r="E140" s="1688"/>
      <c r="F140" s="593" t="str">
        <f>IF($G$2=1,R140,"Weiteres Kriterium in der Nutzung")</f>
        <v>Weiteres Kriterium in der Nutzung</v>
      </c>
      <c r="G140" s="153">
        <f t="shared" si="21"/>
        <v>0</v>
      </c>
      <c r="H140" s="154"/>
      <c r="I140" s="158"/>
      <c r="J140" s="156"/>
      <c r="K140" s="157">
        <f t="shared" si="15"/>
        <v>100</v>
      </c>
      <c r="L140" s="157">
        <f t="shared" si="16"/>
        <v>200</v>
      </c>
      <c r="M140" s="157">
        <f t="shared" si="17"/>
        <v>300</v>
      </c>
      <c r="N140" s="157">
        <f t="shared" si="18"/>
        <v>400</v>
      </c>
      <c r="O140" s="967" t="str">
        <f>CONCATENATE(O131," | ",F140)</f>
        <v xml:space="preserve"> | Weiteres Kriterium in der Nutzung</v>
      </c>
      <c r="P140" s="967"/>
      <c r="Q140" s="586"/>
      <c r="R140" s="968" t="s">
        <v>5473</v>
      </c>
      <c r="S140" s="588">
        <v>0.5</v>
      </c>
      <c r="T140" s="588">
        <v>0.15</v>
      </c>
      <c r="U140" s="588">
        <v>0</v>
      </c>
    </row>
    <row r="141" spans="1:21" x14ac:dyDescent="0.35">
      <c r="A141" s="123"/>
      <c r="B141" s="35"/>
      <c r="C141" s="151"/>
      <c r="D141" s="1687"/>
      <c r="E141" s="1688"/>
      <c r="F141" s="165"/>
      <c r="G141" s="160"/>
      <c r="H141" s="161"/>
      <c r="I141" s="166"/>
      <c r="J141" s="167"/>
      <c r="K141" s="157">
        <f t="shared" si="15"/>
        <v>100</v>
      </c>
      <c r="L141" s="157">
        <f t="shared" si="16"/>
        <v>200</v>
      </c>
      <c r="M141" s="157">
        <f t="shared" si="17"/>
        <v>300</v>
      </c>
      <c r="N141" s="157">
        <f t="shared" si="18"/>
        <v>400</v>
      </c>
      <c r="O141" s="959"/>
      <c r="P141" s="967"/>
      <c r="Q141" s="586"/>
      <c r="R141" s="968"/>
      <c r="S141" s="589"/>
      <c r="T141" s="589"/>
      <c r="U141" s="589"/>
    </row>
    <row r="142" spans="1:21" x14ac:dyDescent="0.35">
      <c r="A142" s="116"/>
      <c r="B142" s="35"/>
      <c r="C142" s="117"/>
      <c r="D142" s="1687"/>
      <c r="E142" s="1688"/>
      <c r="F142" s="159"/>
      <c r="G142" s="160"/>
      <c r="H142" s="168"/>
      <c r="I142" s="162"/>
      <c r="J142" s="164"/>
      <c r="K142" s="157">
        <f t="shared" si="15"/>
        <v>100</v>
      </c>
      <c r="L142" s="157">
        <f t="shared" si="16"/>
        <v>200</v>
      </c>
      <c r="M142" s="157">
        <f t="shared" si="17"/>
        <v>300</v>
      </c>
      <c r="N142" s="157">
        <f t="shared" si="18"/>
        <v>400</v>
      </c>
      <c r="O142" s="959"/>
      <c r="P142" s="967"/>
      <c r="Q142" s="586"/>
      <c r="R142" s="968"/>
      <c r="S142" s="589"/>
      <c r="T142" s="589"/>
      <c r="U142" s="589"/>
    </row>
    <row r="143" spans="1:21" x14ac:dyDescent="0.35">
      <c r="A143" s="116"/>
      <c r="B143" s="117"/>
      <c r="C143" s="117"/>
      <c r="D143" s="1687"/>
      <c r="E143" s="1688"/>
      <c r="F143" s="159"/>
      <c r="G143" s="160"/>
      <c r="H143" s="168"/>
      <c r="I143" s="162"/>
      <c r="J143" s="164"/>
      <c r="K143" s="157">
        <f t="shared" si="15"/>
        <v>100</v>
      </c>
      <c r="L143" s="157">
        <f t="shared" si="16"/>
        <v>200</v>
      </c>
      <c r="M143" s="157">
        <f t="shared" si="17"/>
        <v>300</v>
      </c>
      <c r="N143" s="157">
        <f t="shared" si="18"/>
        <v>400</v>
      </c>
      <c r="O143" s="959"/>
      <c r="P143" s="967"/>
      <c r="Q143" s="586"/>
      <c r="R143" s="968"/>
      <c r="S143" s="589"/>
      <c r="T143" s="589"/>
      <c r="U143" s="589"/>
    </row>
    <row r="144" spans="1:21" x14ac:dyDescent="0.35">
      <c r="A144" s="116"/>
      <c r="B144" s="117"/>
      <c r="C144" s="117"/>
      <c r="D144" s="1687"/>
      <c r="E144" s="1688"/>
      <c r="F144" s="169"/>
      <c r="G144" s="170"/>
      <c r="H144" s="171"/>
      <c r="I144" s="172"/>
      <c r="J144" s="173"/>
      <c r="K144" s="157">
        <f t="shared" si="15"/>
        <v>100</v>
      </c>
      <c r="L144" s="157">
        <f t="shared" si="16"/>
        <v>200</v>
      </c>
      <c r="M144" s="157">
        <f t="shared" si="17"/>
        <v>300</v>
      </c>
      <c r="N144" s="157">
        <f t="shared" si="18"/>
        <v>400</v>
      </c>
      <c r="O144" s="959"/>
      <c r="P144" s="967"/>
      <c r="Q144" s="586"/>
      <c r="R144" s="968"/>
      <c r="S144" s="589"/>
      <c r="T144" s="589"/>
      <c r="U144" s="589"/>
    </row>
    <row r="145" spans="1:21" ht="28.5" customHeight="1" x14ac:dyDescent="0.35">
      <c r="A145" s="116"/>
      <c r="B145" s="117"/>
      <c r="C145" s="117"/>
      <c r="D145" s="174"/>
      <c r="E145" s="175"/>
      <c r="F145" s="1689" t="s">
        <v>2</v>
      </c>
      <c r="G145" s="1689"/>
      <c r="H145" s="176">
        <f>IF(O145&gt;1,"Zielerreichung übersteigt 100%!",O145)</f>
        <v>0</v>
      </c>
      <c r="I145" s="177"/>
      <c r="J145" s="178"/>
      <c r="K145" s="157">
        <f t="shared" si="15"/>
        <v>100</v>
      </c>
      <c r="L145" s="157">
        <f t="shared" si="16"/>
        <v>200</v>
      </c>
      <c r="M145" s="157">
        <f t="shared" si="17"/>
        <v>300</v>
      </c>
      <c r="N145" s="157">
        <f t="shared" si="18"/>
        <v>400</v>
      </c>
      <c r="O145" s="959">
        <f>SUM(H133:H144)</f>
        <v>0</v>
      </c>
      <c r="P145" s="967"/>
      <c r="Q145" s="586"/>
      <c r="R145" s="968"/>
      <c r="S145" s="589"/>
      <c r="T145" s="589"/>
      <c r="U145" s="589"/>
    </row>
    <row r="146" spans="1:21" x14ac:dyDescent="0.35">
      <c r="A146" s="116"/>
      <c r="B146" s="117"/>
      <c r="C146" s="117"/>
      <c r="D146" s="179"/>
      <c r="E146" s="180"/>
      <c r="F146" s="1690" t="s">
        <v>3</v>
      </c>
      <c r="G146" s="1691"/>
      <c r="H146" s="181">
        <v>10</v>
      </c>
      <c r="I146" s="177"/>
      <c r="J146" s="178"/>
      <c r="K146" s="157">
        <f t="shared" si="15"/>
        <v>100</v>
      </c>
      <c r="L146" s="157">
        <f t="shared" si="16"/>
        <v>200</v>
      </c>
      <c r="M146" s="157">
        <f t="shared" si="17"/>
        <v>300</v>
      </c>
      <c r="N146" s="157">
        <f t="shared" si="18"/>
        <v>400</v>
      </c>
      <c r="O146" s="1030"/>
      <c r="P146" s="967"/>
      <c r="Q146" s="586"/>
      <c r="R146" s="968"/>
      <c r="S146" s="589"/>
      <c r="T146" s="589"/>
      <c r="U146" s="589"/>
    </row>
    <row r="147" spans="1:21" ht="15" customHeight="1" x14ac:dyDescent="0.35">
      <c r="A147" s="116"/>
      <c r="B147" s="117"/>
      <c r="C147" s="117"/>
      <c r="D147" s="179"/>
      <c r="E147" s="180"/>
      <c r="F147" s="1692"/>
      <c r="G147" s="1693"/>
      <c r="H147" s="182"/>
      <c r="I147" s="183"/>
      <c r="J147" s="178"/>
      <c r="K147" s="157">
        <f t="shared" si="15"/>
        <v>100</v>
      </c>
      <c r="L147" s="157">
        <f t="shared" si="16"/>
        <v>200</v>
      </c>
      <c r="M147" s="157">
        <f t="shared" si="17"/>
        <v>300</v>
      </c>
      <c r="N147" s="157">
        <f t="shared" si="18"/>
        <v>400</v>
      </c>
      <c r="O147" s="1030"/>
      <c r="P147" s="967"/>
      <c r="Q147" s="586"/>
      <c r="R147" s="968"/>
      <c r="S147" s="589"/>
      <c r="T147" s="589"/>
      <c r="U147" s="589"/>
    </row>
    <row r="148" spans="1:21" x14ac:dyDescent="0.35">
      <c r="A148" s="184"/>
      <c r="B148" s="185"/>
      <c r="C148" s="185"/>
      <c r="D148" s="179"/>
      <c r="E148" s="180"/>
      <c r="F148" s="186"/>
      <c r="G148" s="186"/>
      <c r="H148" s="187"/>
      <c r="I148" s="177"/>
      <c r="J148" s="178"/>
      <c r="K148" s="157">
        <f t="shared" si="15"/>
        <v>100</v>
      </c>
      <c r="L148" s="157">
        <f t="shared" si="16"/>
        <v>200</v>
      </c>
      <c r="M148" s="157">
        <f t="shared" si="17"/>
        <v>300</v>
      </c>
      <c r="N148" s="157">
        <f t="shared" si="18"/>
        <v>400</v>
      </c>
      <c r="O148" s="1030"/>
      <c r="P148" s="967"/>
      <c r="Q148" s="586"/>
      <c r="R148" s="968"/>
      <c r="S148" s="589"/>
      <c r="T148" s="589"/>
      <c r="U148" s="589"/>
    </row>
    <row r="149" spans="1:21" ht="15.5" x14ac:dyDescent="0.35">
      <c r="A149" s="116"/>
      <c r="B149" s="117"/>
      <c r="C149" s="1713"/>
      <c r="D149" s="1714"/>
      <c r="E149" s="188"/>
      <c r="F149" s="1715" t="s">
        <v>5</v>
      </c>
      <c r="G149" s="1715"/>
      <c r="H149" s="189">
        <f>IF(ISNUMBER(H147),H147*H145,H146*H145)</f>
        <v>0</v>
      </c>
      <c r="I149" s="190"/>
      <c r="J149" s="191"/>
      <c r="K149" s="157">
        <f t="shared" si="15"/>
        <v>100</v>
      </c>
      <c r="L149" s="157">
        <f t="shared" si="16"/>
        <v>200</v>
      </c>
      <c r="M149" s="157">
        <f t="shared" si="17"/>
        <v>300</v>
      </c>
      <c r="N149" s="157">
        <f t="shared" si="18"/>
        <v>400</v>
      </c>
      <c r="O149" s="1030"/>
      <c r="P149" s="967"/>
      <c r="Q149" s="586"/>
      <c r="R149" s="968"/>
      <c r="S149" s="589"/>
      <c r="T149" s="589"/>
      <c r="U149" s="589"/>
    </row>
    <row r="150" spans="1:21" x14ac:dyDescent="0.35">
      <c r="K150" s="157">
        <f t="shared" si="15"/>
        <v>100</v>
      </c>
      <c r="L150" s="157">
        <f t="shared" si="16"/>
        <v>200</v>
      </c>
      <c r="M150" s="157">
        <f t="shared" si="17"/>
        <v>300</v>
      </c>
      <c r="N150" s="157">
        <f t="shared" si="18"/>
        <v>400</v>
      </c>
      <c r="O150" s="967"/>
      <c r="P150" s="967"/>
      <c r="Q150" s="586"/>
      <c r="R150" s="968"/>
      <c r="S150" s="589"/>
      <c r="T150" s="589"/>
      <c r="U150" s="589"/>
    </row>
    <row r="151" spans="1:21" ht="7.5" customHeight="1" x14ac:dyDescent="0.35">
      <c r="A151" s="116"/>
      <c r="B151" s="117"/>
      <c r="C151" s="117"/>
      <c r="D151" s="116"/>
      <c r="E151" s="116"/>
      <c r="F151" s="118"/>
      <c r="G151" s="119"/>
      <c r="H151" s="116"/>
      <c r="I151" s="120"/>
      <c r="J151" s="121"/>
      <c r="K151" s="157">
        <f t="shared" si="15"/>
        <v>100</v>
      </c>
      <c r="L151" s="157">
        <f t="shared" si="16"/>
        <v>200</v>
      </c>
      <c r="M151" s="157">
        <f t="shared" si="17"/>
        <v>300</v>
      </c>
      <c r="N151" s="157">
        <f t="shared" si="18"/>
        <v>400</v>
      </c>
      <c r="O151" s="968"/>
      <c r="P151" s="968"/>
      <c r="Q151" s="586"/>
      <c r="R151" s="968"/>
      <c r="S151" s="589"/>
      <c r="T151" s="589"/>
      <c r="U151" s="589"/>
    </row>
    <row r="152" spans="1:21" ht="15.5" x14ac:dyDescent="0.35">
      <c r="A152" s="124"/>
      <c r="B152" s="125"/>
      <c r="C152" s="126" t="s">
        <v>4760</v>
      </c>
      <c r="D152" s="127" t="s">
        <v>31</v>
      </c>
      <c r="E152" s="128"/>
      <c r="F152" s="129" t="str">
        <f>IF($F$3=1,O152,"")</f>
        <v>A.2.4 Mobilitätskonzept</v>
      </c>
      <c r="G152" s="130"/>
      <c r="H152" s="131"/>
      <c r="I152" s="520" t="s">
        <v>23</v>
      </c>
      <c r="J152" s="130"/>
      <c r="K152" s="157">
        <f t="shared" si="15"/>
        <v>100</v>
      </c>
      <c r="L152" s="157">
        <f t="shared" si="16"/>
        <v>200</v>
      </c>
      <c r="M152" s="157">
        <f t="shared" si="17"/>
        <v>300</v>
      </c>
      <c r="N152" s="157">
        <f t="shared" si="18"/>
        <v>400</v>
      </c>
      <c r="O152" s="967" t="str">
        <f>CONCATENATE(C152," ",D152)</f>
        <v>A.2.4 Mobilitätskonzept</v>
      </c>
      <c r="P152" s="966"/>
      <c r="Q152" s="586"/>
      <c r="R152" s="968"/>
      <c r="S152" s="589"/>
      <c r="T152" s="589"/>
      <c r="U152" s="589"/>
    </row>
    <row r="153" spans="1:21" x14ac:dyDescent="0.35">
      <c r="A153" s="124"/>
      <c r="B153" s="134"/>
      <c r="C153" s="135"/>
      <c r="D153" s="136"/>
      <c r="E153" s="136"/>
      <c r="F153" s="137"/>
      <c r="G153" s="138"/>
      <c r="H153" s="124"/>
      <c r="I153" s="139"/>
      <c r="J153" s="140"/>
      <c r="K153" s="157">
        <f t="shared" si="15"/>
        <v>100</v>
      </c>
      <c r="L153" s="157">
        <f t="shared" si="16"/>
        <v>200</v>
      </c>
      <c r="M153" s="157">
        <f t="shared" si="17"/>
        <v>300</v>
      </c>
      <c r="N153" s="157">
        <f t="shared" si="18"/>
        <v>400</v>
      </c>
      <c r="O153" s="968"/>
      <c r="P153" s="966"/>
      <c r="Q153" s="586"/>
      <c r="R153" s="968"/>
      <c r="S153" s="589"/>
      <c r="T153" s="589"/>
      <c r="U153" s="589"/>
    </row>
    <row r="154" spans="1:21" x14ac:dyDescent="0.35">
      <c r="A154" s="142"/>
      <c r="B154" s="35"/>
      <c r="C154" s="143"/>
      <c r="D154" s="1685" t="s">
        <v>18</v>
      </c>
      <c r="E154" s="1686"/>
      <c r="F154" s="144" t="s">
        <v>19</v>
      </c>
      <c r="G154" s="145" t="s">
        <v>0</v>
      </c>
      <c r="H154" s="146" t="s">
        <v>20</v>
      </c>
      <c r="I154" s="147" t="s">
        <v>1</v>
      </c>
      <c r="J154" s="147" t="s">
        <v>4375</v>
      </c>
      <c r="K154" s="157">
        <f t="shared" si="15"/>
        <v>100</v>
      </c>
      <c r="L154" s="157">
        <f t="shared" si="16"/>
        <v>200</v>
      </c>
      <c r="M154" s="157">
        <f t="shared" si="17"/>
        <v>300</v>
      </c>
      <c r="N154" s="157">
        <f t="shared" si="18"/>
        <v>400</v>
      </c>
      <c r="O154" s="587"/>
      <c r="P154" s="967"/>
      <c r="Q154" s="586"/>
      <c r="R154" s="968"/>
      <c r="S154" s="589"/>
      <c r="T154" s="589"/>
      <c r="U154" s="589"/>
    </row>
    <row r="155" spans="1:21" ht="24" x14ac:dyDescent="0.35">
      <c r="A155" s="123"/>
      <c r="B155" s="35"/>
      <c r="C155" s="151"/>
      <c r="D155" s="1687" t="s">
        <v>4658</v>
      </c>
      <c r="E155" s="1688"/>
      <c r="F155" s="152" t="s">
        <v>4542</v>
      </c>
      <c r="G155" s="153">
        <f t="shared" ref="G155:G159" si="22">IF($H$2=1,S155,IF($H$2=2,T155,U155))</f>
        <v>0.2</v>
      </c>
      <c r="H155" s="154"/>
      <c r="I155" s="155"/>
      <c r="J155" s="156"/>
      <c r="K155" s="157">
        <f t="shared" si="15"/>
        <v>100</v>
      </c>
      <c r="L155" s="157">
        <f t="shared" si="16"/>
        <v>200</v>
      </c>
      <c r="M155" s="157">
        <f t="shared" si="17"/>
        <v>300</v>
      </c>
      <c r="N155" s="157">
        <f t="shared" si="18"/>
        <v>400</v>
      </c>
      <c r="O155" s="967" t="str">
        <f>CONCATENATE(O152," | ",F155)</f>
        <v>A.2.4 Mobilitätskonzept | Konzept beinhaltet zu allen genannten Themen qualitative Ziele</v>
      </c>
      <c r="P155" s="967"/>
      <c r="Q155" s="586"/>
      <c r="R155" s="968"/>
      <c r="S155" s="595">
        <v>0</v>
      </c>
      <c r="T155" s="1049">
        <v>0.14000000000000001</v>
      </c>
      <c r="U155" s="198">
        <v>0.2</v>
      </c>
    </row>
    <row r="156" spans="1:21" ht="24" x14ac:dyDescent="0.35">
      <c r="A156" s="123"/>
      <c r="B156" s="35"/>
      <c r="C156" s="151"/>
      <c r="D156" s="1687"/>
      <c r="E156" s="1688"/>
      <c r="F156" s="152" t="s">
        <v>4543</v>
      </c>
      <c r="G156" s="153">
        <f t="shared" si="22"/>
        <v>0.5</v>
      </c>
      <c r="H156" s="154"/>
      <c r="I156" s="158"/>
      <c r="J156" s="156"/>
      <c r="K156" s="157">
        <f t="shared" si="15"/>
        <v>100</v>
      </c>
      <c r="L156" s="157">
        <f t="shared" si="16"/>
        <v>200</v>
      </c>
      <c r="M156" s="157">
        <f t="shared" si="17"/>
        <v>300</v>
      </c>
      <c r="N156" s="157">
        <f t="shared" si="18"/>
        <v>400</v>
      </c>
      <c r="O156" s="967" t="str">
        <f>CONCATENATE(O152," | ",F156)</f>
        <v>A.2.4 Mobilitätskonzept | Konzept beinhaltet zu allen genannten Themen quantitative Ziele</v>
      </c>
      <c r="P156" s="967"/>
      <c r="Q156" s="586"/>
      <c r="R156" s="968"/>
      <c r="S156" s="595">
        <v>0</v>
      </c>
      <c r="T156" s="1049">
        <v>0.35</v>
      </c>
      <c r="U156" s="198">
        <v>0.5</v>
      </c>
    </row>
    <row r="157" spans="1:21" ht="24" x14ac:dyDescent="0.35">
      <c r="A157" s="123"/>
      <c r="B157" s="35"/>
      <c r="C157" s="151"/>
      <c r="D157" s="1687"/>
      <c r="E157" s="1688"/>
      <c r="F157" s="152" t="s">
        <v>4544</v>
      </c>
      <c r="G157" s="153">
        <f t="shared" si="22"/>
        <v>0.1</v>
      </c>
      <c r="H157" s="154"/>
      <c r="I157" s="158"/>
      <c r="J157" s="156"/>
      <c r="K157" s="157">
        <f t="shared" si="15"/>
        <v>100</v>
      </c>
      <c r="L157" s="157">
        <f t="shared" si="16"/>
        <v>200</v>
      </c>
      <c r="M157" s="157">
        <f t="shared" si="17"/>
        <v>300</v>
      </c>
      <c r="N157" s="157">
        <f t="shared" si="18"/>
        <v>400</v>
      </c>
      <c r="O157" s="967" t="str">
        <f>CONCATENATE(O152," | ",F157)</f>
        <v>A.2.4 Mobilitätskonzept | Externe Interessensvertreter wurden bei Konzepterstellung eingebunden</v>
      </c>
      <c r="P157" s="967"/>
      <c r="Q157" s="586"/>
      <c r="R157" s="968"/>
      <c r="S157" s="595">
        <v>0</v>
      </c>
      <c r="T157" s="1049">
        <v>7.0000000000000007E-2</v>
      </c>
      <c r="U157" s="198">
        <v>0.1</v>
      </c>
    </row>
    <row r="158" spans="1:21" x14ac:dyDescent="0.35">
      <c r="A158" s="123">
        <v>3.2</v>
      </c>
      <c r="B158" s="35"/>
      <c r="C158" s="151"/>
      <c r="D158" s="1687"/>
      <c r="E158" s="1688"/>
      <c r="F158" s="152" t="s">
        <v>24</v>
      </c>
      <c r="G158" s="153">
        <f t="shared" si="22"/>
        <v>0.1</v>
      </c>
      <c r="H158" s="154"/>
      <c r="I158" s="158"/>
      <c r="J158" s="156"/>
      <c r="K158" s="157">
        <f t="shared" si="15"/>
        <v>100</v>
      </c>
      <c r="L158" s="157">
        <f t="shared" si="16"/>
        <v>200</v>
      </c>
      <c r="M158" s="157">
        <f t="shared" si="17"/>
        <v>300</v>
      </c>
      <c r="N158" s="157">
        <f t="shared" si="18"/>
        <v>400</v>
      </c>
      <c r="O158" s="967" t="str">
        <f>CONCATENATE(O152," | ",F158)</f>
        <v>A.2.4 Mobilitätskonzept | Konzept von Steuerungsgruppe beschlossen</v>
      </c>
      <c r="P158" s="967"/>
      <c r="Q158" s="586"/>
      <c r="R158" s="968"/>
      <c r="S158" s="595">
        <v>0</v>
      </c>
      <c r="T158" s="1049">
        <v>7.0000000000000007E-2</v>
      </c>
      <c r="U158" s="198">
        <v>0.1</v>
      </c>
    </row>
    <row r="159" spans="1:21" x14ac:dyDescent="0.35">
      <c r="A159" s="123"/>
      <c r="B159" s="35"/>
      <c r="C159" s="151"/>
      <c r="D159" s="1687"/>
      <c r="E159" s="1688"/>
      <c r="F159" s="152" t="s">
        <v>5399</v>
      </c>
      <c r="G159" s="153">
        <f t="shared" si="22"/>
        <v>0.1</v>
      </c>
      <c r="H159" s="154"/>
      <c r="I159" s="158"/>
      <c r="J159" s="156"/>
      <c r="K159" s="157">
        <f t="shared" si="15"/>
        <v>100</v>
      </c>
      <c r="L159" s="157">
        <f t="shared" si="16"/>
        <v>200</v>
      </c>
      <c r="M159" s="157">
        <f t="shared" si="17"/>
        <v>300</v>
      </c>
      <c r="N159" s="157">
        <f t="shared" si="18"/>
        <v>400</v>
      </c>
      <c r="O159" s="967" t="str">
        <f>CONCATENATE(O152," | ",F159)</f>
        <v>A.2.4 Mobilitätskonzept | Konzept an relevante Stakeholder kommuniziert</v>
      </c>
      <c r="P159" s="967"/>
      <c r="Q159" s="586"/>
      <c r="R159" s="968"/>
      <c r="S159" s="595">
        <v>0</v>
      </c>
      <c r="T159" s="1049">
        <v>7.0000000000000007E-2</v>
      </c>
      <c r="U159" s="198">
        <v>0.1</v>
      </c>
    </row>
    <row r="160" spans="1:21" x14ac:dyDescent="0.35">
      <c r="A160" s="116"/>
      <c r="B160" s="35"/>
      <c r="C160" s="117"/>
      <c r="D160" s="1687"/>
      <c r="E160" s="1688"/>
      <c r="F160" s="159"/>
      <c r="G160" s="160"/>
      <c r="H160" s="161"/>
      <c r="I160" s="162"/>
      <c r="J160" s="163"/>
      <c r="K160" s="157">
        <f t="shared" si="15"/>
        <v>100</v>
      </c>
      <c r="L160" s="157">
        <f t="shared" si="16"/>
        <v>200</v>
      </c>
      <c r="M160" s="157">
        <f t="shared" si="17"/>
        <v>300</v>
      </c>
      <c r="N160" s="157">
        <f t="shared" si="18"/>
        <v>400</v>
      </c>
      <c r="O160" s="967"/>
      <c r="P160" s="967"/>
      <c r="Q160" s="586"/>
      <c r="R160" s="968"/>
      <c r="S160" s="589"/>
      <c r="T160" s="589"/>
      <c r="U160" s="589"/>
    </row>
    <row r="161" spans="1:21" x14ac:dyDescent="0.35">
      <c r="A161" s="116"/>
      <c r="B161" s="35"/>
      <c r="C161" s="117"/>
      <c r="D161" s="1687"/>
      <c r="E161" s="1688"/>
      <c r="F161" s="593" t="str">
        <f>IF($G$2=1,R161,"Weiteres Kriterium in der Nutzung")</f>
        <v>Weiteres Kriterium in der Nutzung</v>
      </c>
      <c r="G161" s="153">
        <f t="shared" ref="G161:G162" si="23">IF($H$2=1,S161,IF($H$2=2,T161,U161))</f>
        <v>0</v>
      </c>
      <c r="H161" s="154"/>
      <c r="I161" s="158"/>
      <c r="J161" s="156"/>
      <c r="K161" s="157">
        <f t="shared" si="15"/>
        <v>100</v>
      </c>
      <c r="L161" s="157">
        <f t="shared" si="16"/>
        <v>200</v>
      </c>
      <c r="M161" s="157">
        <f t="shared" si="17"/>
        <v>300</v>
      </c>
      <c r="N161" s="157">
        <f t="shared" si="18"/>
        <v>400</v>
      </c>
      <c r="O161" s="967" t="str">
        <f>CONCATENATE(O152," | ",F161)</f>
        <v>A.2.4 Mobilitätskonzept | Weiteres Kriterium in der Nutzung</v>
      </c>
      <c r="P161" s="967"/>
      <c r="Q161" s="586"/>
      <c r="R161" s="968" t="s">
        <v>5504</v>
      </c>
      <c r="S161" s="588">
        <v>0.5</v>
      </c>
      <c r="T161" s="588">
        <v>0.15</v>
      </c>
      <c r="U161" s="588">
        <v>0</v>
      </c>
    </row>
    <row r="162" spans="1:21" x14ac:dyDescent="0.35">
      <c r="A162" s="116"/>
      <c r="B162" s="35"/>
      <c r="C162" s="117"/>
      <c r="D162" s="1687"/>
      <c r="E162" s="1688"/>
      <c r="F162" s="593" t="str">
        <f>IF($G$2=1,R162,"Weiteres Kriterium in der Nutzung")</f>
        <v>Weiteres Kriterium in der Nutzung</v>
      </c>
      <c r="G162" s="153">
        <f t="shared" si="23"/>
        <v>0</v>
      </c>
      <c r="H162" s="154"/>
      <c r="I162" s="158"/>
      <c r="J162" s="156"/>
      <c r="K162" s="157">
        <f t="shared" si="15"/>
        <v>100</v>
      </c>
      <c r="L162" s="157">
        <f t="shared" si="16"/>
        <v>200</v>
      </c>
      <c r="M162" s="157">
        <f t="shared" si="17"/>
        <v>300</v>
      </c>
      <c r="N162" s="157">
        <f t="shared" si="18"/>
        <v>400</v>
      </c>
      <c r="O162" s="967" t="str">
        <f>CONCATENATE(O152," | ",F162)</f>
        <v>A.2.4 Mobilitätskonzept | Weiteres Kriterium in der Nutzung</v>
      </c>
      <c r="P162" s="967"/>
      <c r="Q162" s="586"/>
      <c r="R162" s="968" t="s">
        <v>5474</v>
      </c>
      <c r="S162" s="588">
        <v>0.5</v>
      </c>
      <c r="T162" s="588">
        <v>0.15</v>
      </c>
      <c r="U162" s="588">
        <v>0</v>
      </c>
    </row>
    <row r="163" spans="1:21" x14ac:dyDescent="0.35">
      <c r="A163" s="123"/>
      <c r="B163" s="35"/>
      <c r="C163" s="151"/>
      <c r="D163" s="1687"/>
      <c r="E163" s="1688"/>
      <c r="F163" s="165"/>
      <c r="G163" s="160"/>
      <c r="H163" s="161"/>
      <c r="I163" s="166"/>
      <c r="J163" s="167"/>
      <c r="K163" s="157">
        <f t="shared" si="15"/>
        <v>100</v>
      </c>
      <c r="L163" s="157">
        <f t="shared" si="16"/>
        <v>200</v>
      </c>
      <c r="M163" s="157">
        <f t="shared" si="17"/>
        <v>300</v>
      </c>
      <c r="N163" s="157">
        <f t="shared" si="18"/>
        <v>400</v>
      </c>
      <c r="O163" s="959"/>
      <c r="P163" s="967"/>
      <c r="Q163" s="586"/>
      <c r="R163" s="968"/>
      <c r="S163" s="589"/>
      <c r="T163" s="589"/>
      <c r="U163" s="589"/>
    </row>
    <row r="164" spans="1:21" x14ac:dyDescent="0.35">
      <c r="A164" s="116"/>
      <c r="B164" s="35"/>
      <c r="C164" s="117"/>
      <c r="D164" s="1687"/>
      <c r="E164" s="1688"/>
      <c r="F164" s="159"/>
      <c r="G164" s="160"/>
      <c r="H164" s="168"/>
      <c r="I164" s="162"/>
      <c r="J164" s="164"/>
      <c r="K164" s="157">
        <f t="shared" si="15"/>
        <v>100</v>
      </c>
      <c r="L164" s="157">
        <f t="shared" si="16"/>
        <v>200</v>
      </c>
      <c r="M164" s="157">
        <f t="shared" si="17"/>
        <v>300</v>
      </c>
      <c r="N164" s="157">
        <f t="shared" si="18"/>
        <v>400</v>
      </c>
      <c r="O164" s="959"/>
      <c r="P164" s="967"/>
      <c r="Q164" s="586"/>
      <c r="R164" s="968"/>
      <c r="S164" s="589"/>
      <c r="T164" s="589"/>
      <c r="U164" s="589"/>
    </row>
    <row r="165" spans="1:21" x14ac:dyDescent="0.35">
      <c r="A165" s="116"/>
      <c r="B165" s="117"/>
      <c r="C165" s="117"/>
      <c r="D165" s="1687"/>
      <c r="E165" s="1688"/>
      <c r="F165" s="159"/>
      <c r="G165" s="160"/>
      <c r="H165" s="168"/>
      <c r="I165" s="162"/>
      <c r="J165" s="164"/>
      <c r="K165" s="157">
        <f t="shared" si="15"/>
        <v>100</v>
      </c>
      <c r="L165" s="157">
        <f t="shared" si="16"/>
        <v>200</v>
      </c>
      <c r="M165" s="157">
        <f t="shared" si="17"/>
        <v>300</v>
      </c>
      <c r="N165" s="157">
        <f t="shared" si="18"/>
        <v>400</v>
      </c>
      <c r="O165" s="959"/>
      <c r="P165" s="967"/>
      <c r="Q165" s="586"/>
      <c r="R165" s="968"/>
      <c r="S165" s="589"/>
      <c r="T165" s="589"/>
      <c r="U165" s="589"/>
    </row>
    <row r="166" spans="1:21" x14ac:dyDescent="0.35">
      <c r="A166" s="116"/>
      <c r="B166" s="117"/>
      <c r="C166" s="117"/>
      <c r="D166" s="1687"/>
      <c r="E166" s="1688"/>
      <c r="F166" s="169"/>
      <c r="G166" s="170"/>
      <c r="H166" s="171"/>
      <c r="I166" s="172"/>
      <c r="J166" s="173"/>
      <c r="K166" s="157">
        <f t="shared" si="15"/>
        <v>100</v>
      </c>
      <c r="L166" s="157">
        <f t="shared" si="16"/>
        <v>200</v>
      </c>
      <c r="M166" s="157">
        <f t="shared" si="17"/>
        <v>300</v>
      </c>
      <c r="N166" s="157">
        <f t="shared" si="18"/>
        <v>400</v>
      </c>
      <c r="O166" s="959"/>
      <c r="P166" s="967"/>
      <c r="Q166" s="586"/>
      <c r="R166" s="968"/>
      <c r="S166" s="589"/>
      <c r="T166" s="589"/>
      <c r="U166" s="589"/>
    </row>
    <row r="167" spans="1:21" ht="28.5" customHeight="1" x14ac:dyDescent="0.35">
      <c r="A167" s="116"/>
      <c r="B167" s="117"/>
      <c r="C167" s="117"/>
      <c r="D167" s="174"/>
      <c r="E167" s="175"/>
      <c r="F167" s="1689" t="s">
        <v>2</v>
      </c>
      <c r="G167" s="1689"/>
      <c r="H167" s="176">
        <f>IF(O167&gt;1,"Zielerreichung übersteigt 100%!",O167)</f>
        <v>0</v>
      </c>
      <c r="I167" s="177"/>
      <c r="J167" s="178"/>
      <c r="K167" s="157">
        <f t="shared" si="15"/>
        <v>100</v>
      </c>
      <c r="L167" s="157">
        <f t="shared" si="16"/>
        <v>200</v>
      </c>
      <c r="M167" s="157">
        <f t="shared" si="17"/>
        <v>300</v>
      </c>
      <c r="N167" s="157">
        <f t="shared" si="18"/>
        <v>400</v>
      </c>
      <c r="O167" s="959">
        <f>SUM(H155:H166)</f>
        <v>0</v>
      </c>
      <c r="P167" s="967"/>
      <c r="Q167" s="586"/>
      <c r="R167" s="968"/>
      <c r="S167" s="589"/>
      <c r="T167" s="589"/>
      <c r="U167" s="589"/>
    </row>
    <row r="168" spans="1:21" x14ac:dyDescent="0.35">
      <c r="A168" s="116"/>
      <c r="B168" s="117"/>
      <c r="C168" s="117"/>
      <c r="D168" s="179"/>
      <c r="E168" s="180"/>
      <c r="F168" s="1690" t="s">
        <v>3</v>
      </c>
      <c r="G168" s="1691"/>
      <c r="H168" s="181">
        <v>10</v>
      </c>
      <c r="I168" s="177"/>
      <c r="J168" s="178"/>
      <c r="K168" s="157">
        <f t="shared" si="15"/>
        <v>100</v>
      </c>
      <c r="L168" s="157">
        <f t="shared" si="16"/>
        <v>200</v>
      </c>
      <c r="M168" s="157">
        <f t="shared" si="17"/>
        <v>300</v>
      </c>
      <c r="N168" s="157">
        <f t="shared" si="18"/>
        <v>400</v>
      </c>
      <c r="O168" s="1030"/>
      <c r="P168" s="967"/>
      <c r="Q168" s="586"/>
      <c r="R168" s="968"/>
      <c r="S168" s="589"/>
      <c r="T168" s="589"/>
      <c r="U168" s="589"/>
    </row>
    <row r="169" spans="1:21" ht="15" customHeight="1" x14ac:dyDescent="0.35">
      <c r="A169" s="116"/>
      <c r="B169" s="117"/>
      <c r="C169" s="117"/>
      <c r="D169" s="179"/>
      <c r="E169" s="180"/>
      <c r="F169" s="1692"/>
      <c r="G169" s="1693"/>
      <c r="H169" s="182"/>
      <c r="I169" s="183"/>
      <c r="J169" s="178"/>
      <c r="K169" s="157">
        <f t="shared" si="15"/>
        <v>100</v>
      </c>
      <c r="L169" s="157">
        <f t="shared" si="16"/>
        <v>200</v>
      </c>
      <c r="M169" s="157">
        <f t="shared" si="17"/>
        <v>300</v>
      </c>
      <c r="N169" s="157">
        <f t="shared" si="18"/>
        <v>400</v>
      </c>
      <c r="O169" s="1030"/>
      <c r="P169" s="967"/>
      <c r="Q169" s="586"/>
      <c r="R169" s="968"/>
      <c r="S169" s="589"/>
      <c r="T169" s="589"/>
      <c r="U169" s="589"/>
    </row>
    <row r="170" spans="1:21" x14ac:dyDescent="0.35">
      <c r="A170" s="184"/>
      <c r="B170" s="185"/>
      <c r="C170" s="185"/>
      <c r="D170" s="179"/>
      <c r="E170" s="180"/>
      <c r="F170" s="186"/>
      <c r="G170" s="186"/>
      <c r="H170" s="187"/>
      <c r="I170" s="177"/>
      <c r="J170" s="178"/>
      <c r="K170" s="157">
        <f t="shared" si="15"/>
        <v>100</v>
      </c>
      <c r="L170" s="157">
        <f t="shared" si="16"/>
        <v>200</v>
      </c>
      <c r="M170" s="157">
        <f t="shared" si="17"/>
        <v>300</v>
      </c>
      <c r="N170" s="157">
        <f t="shared" si="18"/>
        <v>400</v>
      </c>
      <c r="O170" s="1030"/>
      <c r="P170" s="967"/>
      <c r="Q170" s="586"/>
      <c r="R170" s="968"/>
      <c r="S170" s="589"/>
      <c r="T170" s="589"/>
      <c r="U170" s="589"/>
    </row>
    <row r="171" spans="1:21" ht="15.75" customHeight="1" x14ac:dyDescent="0.35">
      <c r="A171" s="116"/>
      <c r="B171" s="185"/>
      <c r="C171" s="1713"/>
      <c r="D171" s="1714"/>
      <c r="E171" s="188"/>
      <c r="F171" s="1715" t="s">
        <v>5</v>
      </c>
      <c r="G171" s="1715"/>
      <c r="H171" s="189">
        <f>IF(ISNUMBER(H169),H169*H167,H168*H167)</f>
        <v>0</v>
      </c>
      <c r="I171" s="190"/>
      <c r="J171" s="191"/>
      <c r="K171" s="157">
        <f t="shared" si="15"/>
        <v>100</v>
      </c>
      <c r="L171" s="157">
        <f t="shared" si="16"/>
        <v>200</v>
      </c>
      <c r="M171" s="157">
        <f t="shared" si="17"/>
        <v>300</v>
      </c>
      <c r="N171" s="157">
        <f t="shared" si="18"/>
        <v>400</v>
      </c>
      <c r="O171" s="1030"/>
      <c r="P171" s="967"/>
      <c r="Q171" s="586"/>
      <c r="R171" s="968"/>
      <c r="S171" s="589"/>
      <c r="T171" s="589"/>
      <c r="U171" s="589"/>
    </row>
    <row r="172" spans="1:21" ht="15.75" customHeight="1" x14ac:dyDescent="0.35">
      <c r="A172" s="116"/>
      <c r="B172" s="185"/>
      <c r="C172" s="199"/>
      <c r="D172" s="200"/>
      <c r="E172" s="201"/>
      <c r="F172" s="202"/>
      <c r="G172" s="202"/>
      <c r="H172" s="203"/>
      <c r="I172" s="177"/>
      <c r="J172" s="178"/>
      <c r="K172" s="157">
        <f t="shared" ref="K172:K235" si="24">IF($J172=$K$41,K171+1,K171+0)</f>
        <v>100</v>
      </c>
      <c r="L172" s="157">
        <f t="shared" ref="L172:L235" si="25">IF($J172=$L$41,L171+1,L171+0)</f>
        <v>200</v>
      </c>
      <c r="M172" s="157">
        <f t="shared" ref="M172:M235" si="26">IF($J172=$M$41,M171+1,M171+0)</f>
        <v>300</v>
      </c>
      <c r="N172" s="157">
        <f t="shared" ref="N172:N235" si="27">IF($J172=$N$41,N171+1,N171+0)</f>
        <v>400</v>
      </c>
      <c r="O172" s="1030"/>
      <c r="P172" s="967"/>
      <c r="Q172" s="586"/>
      <c r="R172" s="968"/>
      <c r="S172" s="589"/>
      <c r="T172" s="589"/>
      <c r="U172" s="589"/>
    </row>
    <row r="173" spans="1:21" ht="15.5" x14ac:dyDescent="0.35">
      <c r="A173" s="124"/>
      <c r="B173" s="125"/>
      <c r="C173" s="126" t="s">
        <v>4761</v>
      </c>
      <c r="D173" s="127" t="s">
        <v>5417</v>
      </c>
      <c r="E173" s="128"/>
      <c r="F173" s="129" t="str">
        <f>IF($F$3=1,O173,"")</f>
        <v>A.2.5 Schrittweise Umsetzung der Konzepte *</v>
      </c>
      <c r="G173" s="204"/>
      <c r="H173" s="205"/>
      <c r="I173" s="520" t="s">
        <v>23</v>
      </c>
      <c r="J173" s="130"/>
      <c r="K173" s="157">
        <f t="shared" si="24"/>
        <v>100</v>
      </c>
      <c r="L173" s="157">
        <f t="shared" si="25"/>
        <v>200</v>
      </c>
      <c r="M173" s="157">
        <f t="shared" si="26"/>
        <v>300</v>
      </c>
      <c r="N173" s="157">
        <f t="shared" si="27"/>
        <v>400</v>
      </c>
      <c r="O173" s="967" t="str">
        <f>CONCATENATE(C173," ",D173)</f>
        <v>A.2.5 Schrittweise Umsetzung der Konzepte *</v>
      </c>
      <c r="P173" s="966"/>
      <c r="Q173" s="586"/>
      <c r="R173" s="968"/>
      <c r="S173" s="589"/>
      <c r="T173" s="589"/>
      <c r="U173" s="589"/>
    </row>
    <row r="174" spans="1:21" x14ac:dyDescent="0.35">
      <c r="A174" s="124"/>
      <c r="B174" s="134"/>
      <c r="C174" s="135"/>
      <c r="D174" s="136"/>
      <c r="E174" s="136"/>
      <c r="F174" s="137"/>
      <c r="G174" s="138"/>
      <c r="H174" s="124"/>
      <c r="I174" s="139"/>
      <c r="J174" s="140"/>
      <c r="K174" s="157">
        <f t="shared" si="24"/>
        <v>100</v>
      </c>
      <c r="L174" s="157">
        <f t="shared" si="25"/>
        <v>200</v>
      </c>
      <c r="M174" s="157">
        <f t="shared" si="26"/>
        <v>300</v>
      </c>
      <c r="N174" s="157">
        <f t="shared" si="27"/>
        <v>400</v>
      </c>
      <c r="O174" s="968"/>
      <c r="P174" s="966"/>
      <c r="Q174" s="586"/>
      <c r="R174" s="968"/>
      <c r="S174" s="589"/>
      <c r="T174" s="589"/>
      <c r="U174" s="589"/>
    </row>
    <row r="175" spans="1:21" x14ac:dyDescent="0.35">
      <c r="A175" s="142"/>
      <c r="B175" s="35"/>
      <c r="C175" s="143"/>
      <c r="D175" s="1685" t="s">
        <v>18</v>
      </c>
      <c r="E175" s="1686"/>
      <c r="F175" s="144" t="s">
        <v>19</v>
      </c>
      <c r="G175" s="145" t="s">
        <v>0</v>
      </c>
      <c r="H175" s="146" t="s">
        <v>20</v>
      </c>
      <c r="I175" s="147" t="s">
        <v>1</v>
      </c>
      <c r="J175" s="147" t="s">
        <v>4375</v>
      </c>
      <c r="K175" s="157">
        <f t="shared" si="24"/>
        <v>100</v>
      </c>
      <c r="L175" s="157">
        <f t="shared" si="25"/>
        <v>200</v>
      </c>
      <c r="M175" s="157">
        <f t="shared" si="26"/>
        <v>300</v>
      </c>
      <c r="N175" s="157">
        <f t="shared" si="27"/>
        <v>400</v>
      </c>
      <c r="O175" s="587"/>
      <c r="P175" s="967"/>
      <c r="Q175" s="586"/>
      <c r="R175" s="968"/>
      <c r="S175" s="589"/>
      <c r="T175" s="589"/>
      <c r="U175" s="589"/>
    </row>
    <row r="176" spans="1:21" ht="24" x14ac:dyDescent="0.35">
      <c r="A176" s="123"/>
      <c r="B176" s="35"/>
      <c r="C176" s="151"/>
      <c r="D176" s="1687" t="s">
        <v>4737</v>
      </c>
      <c r="E176" s="1688"/>
      <c r="F176" s="152" t="s">
        <v>4545</v>
      </c>
      <c r="G176" s="153">
        <f t="shared" ref="G176:G177" si="28">IF($H$2=1,S176,IF($H$2=2,T176,U176))</f>
        <v>0.3</v>
      </c>
      <c r="H176" s="154"/>
      <c r="I176" s="155"/>
      <c r="J176" s="156"/>
      <c r="K176" s="157">
        <f t="shared" si="24"/>
        <v>100</v>
      </c>
      <c r="L176" s="157">
        <f t="shared" si="25"/>
        <v>200</v>
      </c>
      <c r="M176" s="157">
        <f t="shared" si="26"/>
        <v>300</v>
      </c>
      <c r="N176" s="157">
        <f t="shared" si="27"/>
        <v>400</v>
      </c>
      <c r="O176" s="967" t="str">
        <f>CONCATENATE(O173," | ",F176)</f>
        <v>A.2.5 Schrittweise Umsetzung der Konzepte * | Städtebauliches Konzept zeigt eine plausible schrittweise Umsetzung auf</v>
      </c>
      <c r="P176" s="967"/>
      <c r="Q176" s="586"/>
      <c r="R176" s="968"/>
      <c r="S176" s="588">
        <v>0</v>
      </c>
      <c r="T176" s="588">
        <v>0.3</v>
      </c>
      <c r="U176" s="588">
        <v>0.3</v>
      </c>
    </row>
    <row r="177" spans="1:21" ht="48" x14ac:dyDescent="0.35">
      <c r="A177" s="123"/>
      <c r="B177" s="35"/>
      <c r="C177" s="151"/>
      <c r="D177" s="1687"/>
      <c r="E177" s="1688"/>
      <c r="F177" s="152" t="s">
        <v>4546</v>
      </c>
      <c r="G177" s="153">
        <f t="shared" si="28"/>
        <v>0.7</v>
      </c>
      <c r="H177" s="154"/>
      <c r="I177" s="155"/>
      <c r="J177" s="156"/>
      <c r="K177" s="157">
        <f t="shared" si="24"/>
        <v>100</v>
      </c>
      <c r="L177" s="157">
        <f t="shared" si="25"/>
        <v>200</v>
      </c>
      <c r="M177" s="157">
        <f t="shared" si="26"/>
        <v>300</v>
      </c>
      <c r="N177" s="157">
        <f t="shared" si="27"/>
        <v>400</v>
      </c>
      <c r="O177" s="967" t="str">
        <f>CONCATENATE(O173," | ",F177)</f>
        <v>A.2.5 Schrittweise Umsetzung der Konzepte * | Die Zwischenstände weisen eine gute Qualität in Hinblick auf die definierten Ziele auf (z.B. bezüglich Aufenthaltsqualität, Erreichbarkeit, Energieversorgung, etc.)</v>
      </c>
      <c r="P177" s="967"/>
      <c r="Q177" s="586"/>
      <c r="R177" s="968"/>
      <c r="S177" s="588">
        <v>0</v>
      </c>
      <c r="T177" s="588">
        <v>0.7</v>
      </c>
      <c r="U177" s="588">
        <v>0.7</v>
      </c>
    </row>
    <row r="178" spans="1:21" x14ac:dyDescent="0.35">
      <c r="A178" s="123"/>
      <c r="B178" s="35"/>
      <c r="C178" s="151"/>
      <c r="D178" s="1687"/>
      <c r="E178" s="1688"/>
      <c r="F178" s="159"/>
      <c r="G178" s="160"/>
      <c r="H178" s="161"/>
      <c r="I178" s="166"/>
      <c r="J178" s="164"/>
      <c r="K178" s="157">
        <f t="shared" si="24"/>
        <v>100</v>
      </c>
      <c r="L178" s="157">
        <f t="shared" si="25"/>
        <v>200</v>
      </c>
      <c r="M178" s="157">
        <f t="shared" si="26"/>
        <v>300</v>
      </c>
      <c r="N178" s="157">
        <f t="shared" si="27"/>
        <v>400</v>
      </c>
      <c r="O178" s="967"/>
      <c r="P178" s="967"/>
      <c r="Q178" s="586"/>
      <c r="R178" s="968"/>
      <c r="S178" s="589"/>
      <c r="T178" s="589"/>
      <c r="U178" s="589"/>
    </row>
    <row r="179" spans="1:21" x14ac:dyDescent="0.35">
      <c r="A179" s="123">
        <v>3.2</v>
      </c>
      <c r="B179" s="35"/>
      <c r="C179" s="151"/>
      <c r="D179" s="1687"/>
      <c r="E179" s="1688"/>
      <c r="F179" s="1083" t="s">
        <v>5475</v>
      </c>
      <c r="G179" s="1082" t="s">
        <v>2048</v>
      </c>
      <c r="H179" s="161"/>
      <c r="I179" s="166"/>
      <c r="J179" s="164"/>
      <c r="K179" s="157">
        <f t="shared" si="24"/>
        <v>100</v>
      </c>
      <c r="L179" s="157">
        <f t="shared" si="25"/>
        <v>200</v>
      </c>
      <c r="M179" s="157">
        <f t="shared" si="26"/>
        <v>300</v>
      </c>
      <c r="N179" s="157">
        <f t="shared" si="27"/>
        <v>400</v>
      </c>
      <c r="O179" s="967"/>
      <c r="P179" s="967"/>
      <c r="Q179" s="586"/>
      <c r="R179" s="968"/>
      <c r="S179" s="589"/>
      <c r="T179" s="589"/>
      <c r="U179" s="589"/>
    </row>
    <row r="180" spans="1:21" x14ac:dyDescent="0.35">
      <c r="A180" s="123"/>
      <c r="B180" s="35"/>
      <c r="C180" s="151"/>
      <c r="D180" s="1687"/>
      <c r="E180" s="1688"/>
      <c r="F180" s="159"/>
      <c r="G180" s="160"/>
      <c r="H180" s="161"/>
      <c r="I180" s="166"/>
      <c r="J180" s="164"/>
      <c r="K180" s="157">
        <f t="shared" si="24"/>
        <v>100</v>
      </c>
      <c r="L180" s="157">
        <f t="shared" si="25"/>
        <v>200</v>
      </c>
      <c r="M180" s="157">
        <f t="shared" si="26"/>
        <v>300</v>
      </c>
      <c r="N180" s="157">
        <f t="shared" si="27"/>
        <v>400</v>
      </c>
      <c r="O180" s="967"/>
      <c r="P180" s="967"/>
      <c r="Q180" s="586"/>
      <c r="R180" s="968"/>
      <c r="S180" s="589"/>
      <c r="T180" s="589"/>
      <c r="U180" s="589"/>
    </row>
    <row r="181" spans="1:21" x14ac:dyDescent="0.35">
      <c r="A181" s="116"/>
      <c r="B181" s="35"/>
      <c r="C181" s="117"/>
      <c r="D181" s="1687"/>
      <c r="E181" s="1688"/>
      <c r="F181" s="159"/>
      <c r="G181" s="160"/>
      <c r="H181" s="161"/>
      <c r="I181" s="162"/>
      <c r="J181" s="164"/>
      <c r="K181" s="157">
        <f t="shared" si="24"/>
        <v>100</v>
      </c>
      <c r="L181" s="157">
        <f t="shared" si="25"/>
        <v>200</v>
      </c>
      <c r="M181" s="157">
        <f t="shared" si="26"/>
        <v>300</v>
      </c>
      <c r="N181" s="157">
        <f t="shared" si="27"/>
        <v>400</v>
      </c>
      <c r="O181" s="959"/>
      <c r="P181" s="967"/>
      <c r="Q181" s="586"/>
      <c r="R181" s="968"/>
      <c r="S181" s="589"/>
      <c r="T181" s="589"/>
      <c r="U181" s="589"/>
    </row>
    <row r="182" spans="1:21" x14ac:dyDescent="0.35">
      <c r="A182" s="116"/>
      <c r="B182" s="35"/>
      <c r="C182" s="117"/>
      <c r="D182" s="1687"/>
      <c r="E182" s="1688"/>
      <c r="F182" s="159"/>
      <c r="G182" s="160"/>
      <c r="H182" s="161"/>
      <c r="I182" s="162"/>
      <c r="J182" s="164"/>
      <c r="K182" s="157">
        <f t="shared" si="24"/>
        <v>100</v>
      </c>
      <c r="L182" s="157">
        <f t="shared" si="25"/>
        <v>200</v>
      </c>
      <c r="M182" s="157">
        <f t="shared" si="26"/>
        <v>300</v>
      </c>
      <c r="N182" s="157">
        <f t="shared" si="27"/>
        <v>400</v>
      </c>
      <c r="O182" s="959"/>
      <c r="P182" s="967"/>
      <c r="Q182" s="586"/>
      <c r="R182" s="968"/>
      <c r="S182" s="589"/>
      <c r="T182" s="589"/>
      <c r="U182" s="589"/>
    </row>
    <row r="183" spans="1:21" x14ac:dyDescent="0.35">
      <c r="A183" s="116"/>
      <c r="B183" s="35"/>
      <c r="C183" s="117"/>
      <c r="D183" s="1687"/>
      <c r="E183" s="1688"/>
      <c r="F183" s="159"/>
      <c r="G183" s="160"/>
      <c r="H183" s="161"/>
      <c r="I183" s="162"/>
      <c r="J183" s="164"/>
      <c r="K183" s="157">
        <f t="shared" si="24"/>
        <v>100</v>
      </c>
      <c r="L183" s="157">
        <f t="shared" si="25"/>
        <v>200</v>
      </c>
      <c r="M183" s="157">
        <f t="shared" si="26"/>
        <v>300</v>
      </c>
      <c r="N183" s="157">
        <f t="shared" si="27"/>
        <v>400</v>
      </c>
      <c r="O183" s="959"/>
      <c r="P183" s="967"/>
      <c r="Q183" s="586"/>
      <c r="R183" s="968"/>
      <c r="S183" s="589"/>
      <c r="T183" s="589"/>
      <c r="U183" s="589"/>
    </row>
    <row r="184" spans="1:21" x14ac:dyDescent="0.35">
      <c r="A184" s="123"/>
      <c r="B184" s="35"/>
      <c r="C184" s="151"/>
      <c r="D184" s="1687"/>
      <c r="E184" s="1688"/>
      <c r="F184" s="165"/>
      <c r="G184" s="160"/>
      <c r="H184" s="161"/>
      <c r="I184" s="166"/>
      <c r="J184" s="167"/>
      <c r="K184" s="157">
        <f t="shared" si="24"/>
        <v>100</v>
      </c>
      <c r="L184" s="157">
        <f t="shared" si="25"/>
        <v>200</v>
      </c>
      <c r="M184" s="157">
        <f t="shared" si="26"/>
        <v>300</v>
      </c>
      <c r="N184" s="157">
        <f t="shared" si="27"/>
        <v>400</v>
      </c>
      <c r="O184" s="959"/>
      <c r="P184" s="967"/>
      <c r="Q184" s="586"/>
      <c r="R184" s="968"/>
      <c r="S184" s="589"/>
      <c r="T184" s="589"/>
      <c r="U184" s="589"/>
    </row>
    <row r="185" spans="1:21" x14ac:dyDescent="0.35">
      <c r="A185" s="116"/>
      <c r="B185" s="35"/>
      <c r="C185" s="117"/>
      <c r="D185" s="1687"/>
      <c r="E185" s="1688"/>
      <c r="F185" s="159"/>
      <c r="G185" s="160"/>
      <c r="H185" s="168"/>
      <c r="I185" s="162"/>
      <c r="J185" s="164"/>
      <c r="K185" s="157">
        <f t="shared" si="24"/>
        <v>100</v>
      </c>
      <c r="L185" s="157">
        <f t="shared" si="25"/>
        <v>200</v>
      </c>
      <c r="M185" s="157">
        <f t="shared" si="26"/>
        <v>300</v>
      </c>
      <c r="N185" s="157">
        <f t="shared" si="27"/>
        <v>400</v>
      </c>
      <c r="O185" s="959"/>
      <c r="P185" s="967"/>
      <c r="Q185" s="586"/>
      <c r="R185" s="968"/>
      <c r="S185" s="589"/>
      <c r="T185" s="589"/>
      <c r="U185" s="589"/>
    </row>
    <row r="186" spans="1:21" x14ac:dyDescent="0.35">
      <c r="A186" s="116"/>
      <c r="B186" s="117"/>
      <c r="C186" s="117"/>
      <c r="D186" s="1687"/>
      <c r="E186" s="1688"/>
      <c r="F186" s="159"/>
      <c r="G186" s="160"/>
      <c r="H186" s="168"/>
      <c r="I186" s="162"/>
      <c r="J186" s="164"/>
      <c r="K186" s="157">
        <f t="shared" si="24"/>
        <v>100</v>
      </c>
      <c r="L186" s="157">
        <f t="shared" si="25"/>
        <v>200</v>
      </c>
      <c r="M186" s="157">
        <f t="shared" si="26"/>
        <v>300</v>
      </c>
      <c r="N186" s="157">
        <f t="shared" si="27"/>
        <v>400</v>
      </c>
      <c r="O186" s="959"/>
      <c r="P186" s="967"/>
      <c r="Q186" s="586"/>
      <c r="R186" s="968"/>
      <c r="S186" s="589"/>
      <c r="T186" s="589"/>
      <c r="U186" s="589"/>
    </row>
    <row r="187" spans="1:21" x14ac:dyDescent="0.35">
      <c r="A187" s="116"/>
      <c r="B187" s="117"/>
      <c r="C187" s="117"/>
      <c r="D187" s="1687"/>
      <c r="E187" s="1688"/>
      <c r="F187" s="169"/>
      <c r="G187" s="170"/>
      <c r="H187" s="171"/>
      <c r="I187" s="172"/>
      <c r="J187" s="173"/>
      <c r="K187" s="157">
        <f t="shared" si="24"/>
        <v>100</v>
      </c>
      <c r="L187" s="157">
        <f t="shared" si="25"/>
        <v>200</v>
      </c>
      <c r="M187" s="157">
        <f t="shared" si="26"/>
        <v>300</v>
      </c>
      <c r="N187" s="157">
        <f t="shared" si="27"/>
        <v>400</v>
      </c>
      <c r="O187" s="959"/>
      <c r="P187" s="967"/>
      <c r="Q187" s="586"/>
      <c r="R187" s="968"/>
      <c r="S187" s="589"/>
      <c r="T187" s="589"/>
      <c r="U187" s="589"/>
    </row>
    <row r="188" spans="1:21" ht="28.5" customHeight="1" x14ac:dyDescent="0.35">
      <c r="A188" s="116"/>
      <c r="B188" s="117"/>
      <c r="C188" s="117"/>
      <c r="D188" s="174"/>
      <c r="E188" s="175"/>
      <c r="F188" s="1689" t="s">
        <v>2</v>
      </c>
      <c r="G188" s="1689"/>
      <c r="H188" s="176">
        <f>IF(O188&gt;1,"Zielerreichung übersteigt 100%!",O188)</f>
        <v>0</v>
      </c>
      <c r="I188" s="177"/>
      <c r="J188" s="178"/>
      <c r="K188" s="157">
        <f t="shared" si="24"/>
        <v>100</v>
      </c>
      <c r="L188" s="157">
        <f t="shared" si="25"/>
        <v>200</v>
      </c>
      <c r="M188" s="157">
        <f t="shared" si="26"/>
        <v>300</v>
      </c>
      <c r="N188" s="157">
        <f t="shared" si="27"/>
        <v>400</v>
      </c>
      <c r="O188" s="959">
        <f>SUM(H176:H187)</f>
        <v>0</v>
      </c>
      <c r="P188" s="967"/>
      <c r="Q188" s="586"/>
      <c r="R188" s="968"/>
      <c r="S188" s="589"/>
      <c r="T188" s="589"/>
      <c r="U188" s="589"/>
    </row>
    <row r="189" spans="1:21" x14ac:dyDescent="0.35">
      <c r="A189" s="116"/>
      <c r="B189" s="117"/>
      <c r="C189" s="117"/>
      <c r="D189" s="179"/>
      <c r="E189" s="180"/>
      <c r="F189" s="1690" t="s">
        <v>3</v>
      </c>
      <c r="G189" s="1691"/>
      <c r="H189" s="1084">
        <v>5</v>
      </c>
      <c r="I189" s="177"/>
      <c r="J189" s="178"/>
      <c r="K189" s="157">
        <f t="shared" si="24"/>
        <v>100</v>
      </c>
      <c r="L189" s="157">
        <f t="shared" si="25"/>
        <v>200</v>
      </c>
      <c r="M189" s="157">
        <f t="shared" si="26"/>
        <v>300</v>
      </c>
      <c r="N189" s="157">
        <f t="shared" si="27"/>
        <v>400</v>
      </c>
      <c r="O189" s="1030"/>
      <c r="P189" s="967"/>
      <c r="Q189" s="586"/>
      <c r="R189" s="968"/>
      <c r="S189" s="589"/>
      <c r="T189" s="589"/>
      <c r="U189" s="589"/>
    </row>
    <row r="190" spans="1:21" x14ac:dyDescent="0.35">
      <c r="A190" s="116"/>
      <c r="B190" s="117"/>
      <c r="C190" s="117"/>
      <c r="D190" s="179"/>
      <c r="E190" s="180"/>
      <c r="F190" s="1700" t="s">
        <v>5493</v>
      </c>
      <c r="G190" s="1701"/>
      <c r="H190" s="1089" t="str">
        <f>IF(G179="ja",0,(IF($H$2=1,0,"")))</f>
        <v/>
      </c>
      <c r="I190" s="206"/>
      <c r="J190" s="178"/>
      <c r="K190" s="157">
        <f t="shared" si="24"/>
        <v>100</v>
      </c>
      <c r="L190" s="157">
        <f t="shared" si="25"/>
        <v>200</v>
      </c>
      <c r="M190" s="157">
        <f t="shared" si="26"/>
        <v>300</v>
      </c>
      <c r="N190" s="157">
        <f t="shared" si="27"/>
        <v>400</v>
      </c>
      <c r="O190" s="1030"/>
      <c r="P190" s="967"/>
      <c r="Q190" s="586"/>
      <c r="R190" s="968"/>
      <c r="S190" s="589"/>
      <c r="T190" s="589"/>
      <c r="U190" s="589"/>
    </row>
    <row r="191" spans="1:21" x14ac:dyDescent="0.35">
      <c r="A191" s="184"/>
      <c r="B191" s="185"/>
      <c r="C191" s="185"/>
      <c r="D191" s="179"/>
      <c r="E191" s="180"/>
      <c r="F191" s="186"/>
      <c r="G191" s="186"/>
      <c r="H191" s="187"/>
      <c r="I191" s="177"/>
      <c r="J191" s="178"/>
      <c r="K191" s="157">
        <f t="shared" si="24"/>
        <v>100</v>
      </c>
      <c r="L191" s="157">
        <f t="shared" si="25"/>
        <v>200</v>
      </c>
      <c r="M191" s="157">
        <f t="shared" si="26"/>
        <v>300</v>
      </c>
      <c r="N191" s="157">
        <f t="shared" si="27"/>
        <v>400</v>
      </c>
      <c r="O191" s="1030"/>
      <c r="P191" s="967"/>
      <c r="Q191" s="586"/>
      <c r="R191" s="968"/>
      <c r="S191" s="589"/>
      <c r="T191" s="589"/>
      <c r="U191" s="589"/>
    </row>
    <row r="192" spans="1:21" ht="15.5" x14ac:dyDescent="0.35">
      <c r="A192" s="116"/>
      <c r="B192" s="117"/>
      <c r="C192" s="1713"/>
      <c r="D192" s="1714"/>
      <c r="E192" s="188"/>
      <c r="F192" s="1715" t="s">
        <v>5</v>
      </c>
      <c r="G192" s="1715"/>
      <c r="H192" s="189">
        <f>IF(ISNUMBER(H190),H190*H188,H189*H188)</f>
        <v>0</v>
      </c>
      <c r="I192" s="190"/>
      <c r="J192" s="191"/>
      <c r="K192" s="157">
        <f t="shared" si="24"/>
        <v>100</v>
      </c>
      <c r="L192" s="157">
        <f t="shared" si="25"/>
        <v>200</v>
      </c>
      <c r="M192" s="157">
        <f t="shared" si="26"/>
        <v>300</v>
      </c>
      <c r="N192" s="157">
        <f t="shared" si="27"/>
        <v>400</v>
      </c>
      <c r="O192" s="1030"/>
      <c r="P192" s="967"/>
      <c r="Q192" s="586"/>
      <c r="R192" s="968"/>
      <c r="S192" s="589"/>
      <c r="T192" s="589"/>
      <c r="U192" s="589"/>
    </row>
    <row r="193" spans="1:21" x14ac:dyDescent="0.35">
      <c r="B193" s="185"/>
      <c r="K193" s="157">
        <f t="shared" si="24"/>
        <v>100</v>
      </c>
      <c r="L193" s="157">
        <f t="shared" si="25"/>
        <v>200</v>
      </c>
      <c r="M193" s="157">
        <f t="shared" si="26"/>
        <v>300</v>
      </c>
      <c r="N193" s="157">
        <f t="shared" si="27"/>
        <v>400</v>
      </c>
      <c r="O193" s="967"/>
      <c r="P193" s="967"/>
      <c r="Q193" s="586"/>
      <c r="R193" s="968"/>
      <c r="S193" s="589"/>
      <c r="T193" s="589"/>
      <c r="U193" s="589"/>
    </row>
    <row r="194" spans="1:21" ht="7.5" customHeight="1" x14ac:dyDescent="0.35">
      <c r="A194" s="116"/>
      <c r="B194" s="117"/>
      <c r="C194" s="117"/>
      <c r="D194" s="116"/>
      <c r="E194" s="116"/>
      <c r="F194" s="118"/>
      <c r="G194" s="119"/>
      <c r="H194" s="116"/>
      <c r="I194" s="120"/>
      <c r="J194" s="121"/>
      <c r="K194" s="157">
        <f t="shared" si="24"/>
        <v>100</v>
      </c>
      <c r="L194" s="157">
        <f t="shared" si="25"/>
        <v>200</v>
      </c>
      <c r="M194" s="157">
        <f t="shared" si="26"/>
        <v>300</v>
      </c>
      <c r="N194" s="157">
        <f t="shared" si="27"/>
        <v>400</v>
      </c>
      <c r="O194" s="968"/>
      <c r="P194" s="968"/>
      <c r="Q194" s="586"/>
      <c r="R194" s="968"/>
      <c r="S194" s="589"/>
      <c r="T194" s="589"/>
      <c r="U194" s="589"/>
    </row>
    <row r="195" spans="1:21" ht="15.5" x14ac:dyDescent="0.35">
      <c r="A195" s="16"/>
      <c r="B195" s="111" t="s">
        <v>4762</v>
      </c>
      <c r="C195" s="111" t="s">
        <v>2052</v>
      </c>
      <c r="D195" s="112"/>
      <c r="E195" s="112"/>
      <c r="F195" s="112" t="str">
        <f>IF($F$3=1,O195,"")</f>
        <v>A.3 Ziele übertragen und verbindlich machen</v>
      </c>
      <c r="G195" s="112"/>
      <c r="H195" s="112"/>
      <c r="I195" s="113"/>
      <c r="J195" s="114"/>
      <c r="K195" s="157">
        <f t="shared" si="24"/>
        <v>100</v>
      </c>
      <c r="L195" s="157">
        <f t="shared" si="25"/>
        <v>200</v>
      </c>
      <c r="M195" s="157">
        <f t="shared" si="26"/>
        <v>300</v>
      </c>
      <c r="N195" s="157">
        <f t="shared" si="27"/>
        <v>400</v>
      </c>
      <c r="O195" s="967" t="str">
        <f>CONCATENATE(B195," ",C195)</f>
        <v>A.3 Ziele übertragen und verbindlich machen</v>
      </c>
      <c r="P195" s="958"/>
      <c r="Q195" s="586"/>
      <c r="R195" s="968"/>
      <c r="S195" s="589"/>
      <c r="T195" s="589"/>
      <c r="U195" s="589"/>
    </row>
    <row r="196" spans="1:21" x14ac:dyDescent="0.35">
      <c r="B196" s="185"/>
      <c r="K196" s="157">
        <f t="shared" si="24"/>
        <v>100</v>
      </c>
      <c r="L196" s="157">
        <f t="shared" si="25"/>
        <v>200</v>
      </c>
      <c r="M196" s="157">
        <f t="shared" si="26"/>
        <v>300</v>
      </c>
      <c r="N196" s="157">
        <f t="shared" si="27"/>
        <v>400</v>
      </c>
      <c r="O196" s="967"/>
      <c r="P196" s="967"/>
      <c r="Q196" s="586"/>
      <c r="R196" s="968"/>
      <c r="S196" s="589"/>
      <c r="T196" s="589"/>
      <c r="U196" s="589"/>
    </row>
    <row r="197" spans="1:21" ht="7.5" customHeight="1" x14ac:dyDescent="0.35">
      <c r="A197" s="116"/>
      <c r="B197" s="117"/>
      <c r="C197" s="117"/>
      <c r="D197" s="116"/>
      <c r="E197" s="116"/>
      <c r="F197" s="118"/>
      <c r="G197" s="119"/>
      <c r="H197" s="116"/>
      <c r="I197" s="120"/>
      <c r="J197" s="121"/>
      <c r="K197" s="157">
        <f t="shared" si="24"/>
        <v>100</v>
      </c>
      <c r="L197" s="157">
        <f t="shared" si="25"/>
        <v>200</v>
      </c>
      <c r="M197" s="157">
        <f t="shared" si="26"/>
        <v>300</v>
      </c>
      <c r="N197" s="157">
        <f t="shared" si="27"/>
        <v>400</v>
      </c>
      <c r="O197" s="968"/>
      <c r="P197" s="968"/>
      <c r="Q197" s="586"/>
      <c r="R197" s="968"/>
      <c r="S197" s="589"/>
      <c r="T197" s="589"/>
      <c r="U197" s="589"/>
    </row>
    <row r="198" spans="1:21" ht="15.5" x14ac:dyDescent="0.35">
      <c r="A198" s="124"/>
      <c r="B198" s="125"/>
      <c r="C198" s="126" t="s">
        <v>4763</v>
      </c>
      <c r="D198" s="127" t="s">
        <v>5418</v>
      </c>
      <c r="E198" s="128"/>
      <c r="F198" s="129" t="str">
        <f>IF($F$3=1,O198,"")</f>
        <v>A.3.1 Grundeigentümerverbindliche Instrumente *</v>
      </c>
      <c r="G198" s="130"/>
      <c r="H198" s="131"/>
      <c r="I198" s="520" t="s">
        <v>23</v>
      </c>
      <c r="J198" s="130"/>
      <c r="K198" s="157">
        <f t="shared" si="24"/>
        <v>100</v>
      </c>
      <c r="L198" s="157">
        <f t="shared" si="25"/>
        <v>200</v>
      </c>
      <c r="M198" s="157">
        <f t="shared" si="26"/>
        <v>300</v>
      </c>
      <c r="N198" s="157">
        <f t="shared" si="27"/>
        <v>400</v>
      </c>
      <c r="O198" s="967" t="str">
        <f>CONCATENATE(C198," ",D198)</f>
        <v>A.3.1 Grundeigentümerverbindliche Instrumente *</v>
      </c>
      <c r="P198" s="966"/>
      <c r="Q198" s="586"/>
      <c r="R198" s="968"/>
      <c r="S198" s="589"/>
      <c r="T198" s="589"/>
      <c r="U198" s="589"/>
    </row>
    <row r="199" spans="1:21" x14ac:dyDescent="0.35">
      <c r="A199" s="124"/>
      <c r="B199" s="134"/>
      <c r="C199" s="135"/>
      <c r="D199" s="136"/>
      <c r="E199" s="136"/>
      <c r="F199" s="137"/>
      <c r="G199" s="138"/>
      <c r="H199" s="124"/>
      <c r="I199" s="139"/>
      <c r="J199" s="140"/>
      <c r="K199" s="157">
        <f t="shared" si="24"/>
        <v>100</v>
      </c>
      <c r="L199" s="157">
        <f t="shared" si="25"/>
        <v>200</v>
      </c>
      <c r="M199" s="157">
        <f t="shared" si="26"/>
        <v>300</v>
      </c>
      <c r="N199" s="157">
        <f t="shared" si="27"/>
        <v>400</v>
      </c>
      <c r="O199" s="968"/>
      <c r="P199" s="966"/>
      <c r="Q199" s="586"/>
      <c r="R199" s="968"/>
      <c r="S199" s="589"/>
      <c r="T199" s="589"/>
      <c r="U199" s="589"/>
    </row>
    <row r="200" spans="1:21" x14ac:dyDescent="0.35">
      <c r="A200" s="142"/>
      <c r="B200" s="35"/>
      <c r="C200" s="143"/>
      <c r="D200" s="1685" t="s">
        <v>18</v>
      </c>
      <c r="E200" s="1686"/>
      <c r="F200" s="144" t="s">
        <v>19</v>
      </c>
      <c r="G200" s="145" t="s">
        <v>0</v>
      </c>
      <c r="H200" s="146" t="s">
        <v>20</v>
      </c>
      <c r="I200" s="147" t="s">
        <v>1</v>
      </c>
      <c r="J200" s="147" t="s">
        <v>4375</v>
      </c>
      <c r="K200" s="157">
        <f t="shared" si="24"/>
        <v>100</v>
      </c>
      <c r="L200" s="157">
        <f t="shared" si="25"/>
        <v>200</v>
      </c>
      <c r="M200" s="157">
        <f t="shared" si="26"/>
        <v>300</v>
      </c>
      <c r="N200" s="157">
        <f t="shared" si="27"/>
        <v>400</v>
      </c>
      <c r="O200" s="587"/>
      <c r="P200" s="967"/>
      <c r="Q200" s="586"/>
      <c r="R200" s="968"/>
      <c r="S200" s="589"/>
      <c r="T200" s="589"/>
      <c r="U200" s="589"/>
    </row>
    <row r="201" spans="1:21" ht="24" x14ac:dyDescent="0.35">
      <c r="A201" s="123"/>
      <c r="B201" s="35"/>
      <c r="C201" s="151"/>
      <c r="D201" s="1687" t="s">
        <v>5277</v>
      </c>
      <c r="E201" s="1688"/>
      <c r="F201" s="152" t="s">
        <v>2053</v>
      </c>
      <c r="G201" s="153">
        <f t="shared" ref="G201:G204" si="29">IF($H$2=1,S201,IF($H$2=2,T201,U201))</f>
        <v>0.2</v>
      </c>
      <c r="H201" s="154"/>
      <c r="I201" s="155"/>
      <c r="J201" s="156"/>
      <c r="K201" s="157">
        <f t="shared" si="24"/>
        <v>100</v>
      </c>
      <c r="L201" s="157">
        <f t="shared" si="25"/>
        <v>200</v>
      </c>
      <c r="M201" s="157">
        <f t="shared" si="26"/>
        <v>300</v>
      </c>
      <c r="N201" s="157">
        <f t="shared" si="27"/>
        <v>400</v>
      </c>
      <c r="O201" s="967" t="str">
        <f>CONCATENATE(O198," | ",F201)</f>
        <v>A.3.1 Grundeigentümerverbindliche Instrumente * | Qualitätskriterien, welche über grundeigentümliche Instrumente überbunden werden können, sind bekannt</v>
      </c>
      <c r="P201" s="967"/>
      <c r="Q201" s="586"/>
      <c r="R201" s="968"/>
      <c r="S201" s="588">
        <v>0</v>
      </c>
      <c r="T201" s="588">
        <v>0.2</v>
      </c>
      <c r="U201" s="588">
        <v>0.2</v>
      </c>
    </row>
    <row r="202" spans="1:21" ht="48" x14ac:dyDescent="0.35">
      <c r="A202" s="123"/>
      <c r="B202" s="35"/>
      <c r="C202" s="151"/>
      <c r="D202" s="1687"/>
      <c r="E202" s="1688"/>
      <c r="F202" s="152" t="s">
        <v>2054</v>
      </c>
      <c r="G202" s="153">
        <f t="shared" si="29"/>
        <v>0.2</v>
      </c>
      <c r="H202" s="154"/>
      <c r="I202" s="155"/>
      <c r="J202" s="156"/>
      <c r="K202" s="157">
        <f t="shared" si="24"/>
        <v>100</v>
      </c>
      <c r="L202" s="157">
        <f t="shared" si="25"/>
        <v>200</v>
      </c>
      <c r="M202" s="157">
        <f t="shared" si="26"/>
        <v>300</v>
      </c>
      <c r="N202" s="157">
        <f t="shared" si="27"/>
        <v>400</v>
      </c>
      <c r="O202" s="967" t="str">
        <f>CONCATENATE(O198," | ",F202)</f>
        <v>A.3.1 Grundeigentümerverbindliche Instrumente * | Städtebauliche Ziele wurden – im Rahmen der Möglichkeiten – in den Flächenwidmungsplan bzw. Bebauungsplan integriert (z.B. Art der Begrünung in Bauplatzerklärung enthalten)</v>
      </c>
      <c r="P202" s="967"/>
      <c r="Q202" s="586"/>
      <c r="R202" s="968"/>
      <c r="S202" s="588">
        <v>0</v>
      </c>
      <c r="T202" s="588">
        <v>0.2</v>
      </c>
      <c r="U202" s="588">
        <v>0.2</v>
      </c>
    </row>
    <row r="203" spans="1:21" ht="48" x14ac:dyDescent="0.35">
      <c r="A203" s="123"/>
      <c r="B203" s="35"/>
      <c r="C203" s="151"/>
      <c r="D203" s="1687"/>
      <c r="E203" s="1688"/>
      <c r="F203" s="152" t="s">
        <v>2055</v>
      </c>
      <c r="G203" s="153">
        <f t="shared" si="29"/>
        <v>0.3</v>
      </c>
      <c r="H203" s="154"/>
      <c r="I203" s="155"/>
      <c r="J203" s="156"/>
      <c r="K203" s="157">
        <f t="shared" si="24"/>
        <v>100</v>
      </c>
      <c r="L203" s="157">
        <f t="shared" si="25"/>
        <v>200</v>
      </c>
      <c r="M203" s="157">
        <f t="shared" si="26"/>
        <v>300</v>
      </c>
      <c r="N203" s="157">
        <f t="shared" si="27"/>
        <v>400</v>
      </c>
      <c r="O203" s="967" t="str">
        <f>CONCATENATE(O198," | ",F203)</f>
        <v>A.3.1 Grundeigentümerverbindliche Instrumente * | Energieorientierte Ziele wurden – im Rahmen der Möglichkeiten – in den Flächenwidmungsplan bzw. Bebauungsplan integriert (z.B. Art der Wärmeversorgung in Bauplatzerklärung enthalten)</v>
      </c>
      <c r="P203" s="967"/>
      <c r="Q203" s="586"/>
      <c r="R203" s="968"/>
      <c r="S203" s="588">
        <v>0</v>
      </c>
      <c r="T203" s="588">
        <v>0.3</v>
      </c>
      <c r="U203" s="588">
        <v>0.3</v>
      </c>
    </row>
    <row r="204" spans="1:21" ht="48" x14ac:dyDescent="0.35">
      <c r="A204" s="123">
        <v>3.2</v>
      </c>
      <c r="B204" s="35"/>
      <c r="C204" s="151"/>
      <c r="D204" s="1687"/>
      <c r="E204" s="1688"/>
      <c r="F204" s="152" t="s">
        <v>2056</v>
      </c>
      <c r="G204" s="153">
        <f t="shared" si="29"/>
        <v>0.3</v>
      </c>
      <c r="H204" s="154"/>
      <c r="I204" s="158"/>
      <c r="J204" s="156"/>
      <c r="K204" s="157">
        <f t="shared" si="24"/>
        <v>100</v>
      </c>
      <c r="L204" s="157">
        <f t="shared" si="25"/>
        <v>200</v>
      </c>
      <c r="M204" s="157">
        <f t="shared" si="26"/>
        <v>300</v>
      </c>
      <c r="N204" s="157">
        <f t="shared" si="27"/>
        <v>400</v>
      </c>
      <c r="O204" s="967" t="str">
        <f>CONCATENATE(O198," | ",F204)</f>
        <v>A.3.1 Grundeigentümerverbindliche Instrumente * | Mobilitätsrelevante Ziele wurden – im Rahmen der Möglichkeiten – in den Flächenwidmungsplan bzw. Bebauungsplan integriert (z.B. Parkplatzbeschränkung in Bauplatzerklärung vorhanden)</v>
      </c>
      <c r="P204" s="967"/>
      <c r="Q204" s="586"/>
      <c r="R204" s="968"/>
      <c r="S204" s="588">
        <v>0</v>
      </c>
      <c r="T204" s="588">
        <v>0.3</v>
      </c>
      <c r="U204" s="588">
        <v>0.3</v>
      </c>
    </row>
    <row r="205" spans="1:21" x14ac:dyDescent="0.35">
      <c r="A205" s="123"/>
      <c r="B205" s="35"/>
      <c r="C205" s="151"/>
      <c r="D205" s="1687"/>
      <c r="E205" s="1688"/>
      <c r="F205" s="159"/>
      <c r="G205" s="160"/>
      <c r="H205" s="161"/>
      <c r="I205" s="166"/>
      <c r="J205" s="164"/>
      <c r="K205" s="157">
        <f t="shared" si="24"/>
        <v>100</v>
      </c>
      <c r="L205" s="157">
        <f t="shared" si="25"/>
        <v>200</v>
      </c>
      <c r="M205" s="157">
        <f t="shared" si="26"/>
        <v>300</v>
      </c>
      <c r="N205" s="157">
        <f t="shared" si="27"/>
        <v>400</v>
      </c>
      <c r="O205" s="967"/>
      <c r="P205" s="967"/>
      <c r="Q205" s="586"/>
      <c r="R205" s="968"/>
      <c r="S205" s="589"/>
      <c r="T205" s="589"/>
      <c r="U205" s="589"/>
    </row>
    <row r="206" spans="1:21" ht="24" x14ac:dyDescent="0.35">
      <c r="A206" s="116"/>
      <c r="B206" s="35"/>
      <c r="C206" s="117"/>
      <c r="D206" s="1687"/>
      <c r="E206" s="1688"/>
      <c r="F206" s="1083" t="s">
        <v>5476</v>
      </c>
      <c r="G206" s="1082" t="s">
        <v>2048</v>
      </c>
      <c r="H206" s="161"/>
      <c r="I206" s="162"/>
      <c r="J206" s="164"/>
      <c r="K206" s="157">
        <f t="shared" si="24"/>
        <v>100</v>
      </c>
      <c r="L206" s="157">
        <f t="shared" si="25"/>
        <v>200</v>
      </c>
      <c r="M206" s="157">
        <f t="shared" si="26"/>
        <v>300</v>
      </c>
      <c r="N206" s="157">
        <f t="shared" si="27"/>
        <v>400</v>
      </c>
      <c r="O206" s="959"/>
      <c r="P206" s="967"/>
      <c r="Q206" s="586"/>
      <c r="R206" s="968"/>
      <c r="S206" s="589"/>
      <c r="T206" s="589"/>
      <c r="U206" s="589"/>
    </row>
    <row r="207" spans="1:21" x14ac:dyDescent="0.35">
      <c r="A207" s="116"/>
      <c r="B207" s="35"/>
      <c r="C207" s="117"/>
      <c r="D207" s="1687"/>
      <c r="E207" s="1688"/>
      <c r="F207" s="159"/>
      <c r="G207" s="160"/>
      <c r="H207" s="161"/>
      <c r="I207" s="162"/>
      <c r="J207" s="164"/>
      <c r="K207" s="157">
        <f t="shared" si="24"/>
        <v>100</v>
      </c>
      <c r="L207" s="157">
        <f t="shared" si="25"/>
        <v>200</v>
      </c>
      <c r="M207" s="157">
        <f t="shared" si="26"/>
        <v>300</v>
      </c>
      <c r="N207" s="157">
        <f t="shared" si="27"/>
        <v>400</v>
      </c>
      <c r="O207" s="959"/>
      <c r="P207" s="967"/>
      <c r="Q207" s="586"/>
      <c r="R207" s="968"/>
      <c r="S207" s="589"/>
      <c r="T207" s="589"/>
      <c r="U207" s="589"/>
    </row>
    <row r="208" spans="1:21" x14ac:dyDescent="0.35">
      <c r="A208" s="116"/>
      <c r="B208" s="35"/>
      <c r="C208" s="117"/>
      <c r="D208" s="1687"/>
      <c r="E208" s="1688"/>
      <c r="F208" s="159"/>
      <c r="G208" s="160"/>
      <c r="H208" s="161"/>
      <c r="I208" s="162"/>
      <c r="J208" s="164"/>
      <c r="K208" s="157">
        <f t="shared" si="24"/>
        <v>100</v>
      </c>
      <c r="L208" s="157">
        <f t="shared" si="25"/>
        <v>200</v>
      </c>
      <c r="M208" s="157">
        <f t="shared" si="26"/>
        <v>300</v>
      </c>
      <c r="N208" s="157">
        <f t="shared" si="27"/>
        <v>400</v>
      </c>
      <c r="O208" s="959"/>
      <c r="P208" s="967"/>
      <c r="Q208" s="586"/>
      <c r="R208" s="968"/>
      <c r="S208" s="589"/>
      <c r="T208" s="589"/>
      <c r="U208" s="589"/>
    </row>
    <row r="209" spans="1:21" x14ac:dyDescent="0.35">
      <c r="A209" s="123"/>
      <c r="B209" s="35"/>
      <c r="C209" s="151"/>
      <c r="D209" s="1687"/>
      <c r="E209" s="1688"/>
      <c r="F209" s="165"/>
      <c r="G209" s="160"/>
      <c r="H209" s="161"/>
      <c r="I209" s="166"/>
      <c r="J209" s="167"/>
      <c r="K209" s="157">
        <f t="shared" si="24"/>
        <v>100</v>
      </c>
      <c r="L209" s="157">
        <f t="shared" si="25"/>
        <v>200</v>
      </c>
      <c r="M209" s="157">
        <f t="shared" si="26"/>
        <v>300</v>
      </c>
      <c r="N209" s="157">
        <f t="shared" si="27"/>
        <v>400</v>
      </c>
      <c r="O209" s="959"/>
      <c r="P209" s="967"/>
      <c r="Q209" s="586"/>
      <c r="R209" s="968"/>
      <c r="S209" s="589"/>
      <c r="T209" s="589"/>
      <c r="U209" s="589"/>
    </row>
    <row r="210" spans="1:21" x14ac:dyDescent="0.35">
      <c r="A210" s="116"/>
      <c r="B210" s="35"/>
      <c r="C210" s="117"/>
      <c r="D210" s="1687"/>
      <c r="E210" s="1688"/>
      <c r="F210" s="159"/>
      <c r="G210" s="160"/>
      <c r="H210" s="168"/>
      <c r="I210" s="162"/>
      <c r="J210" s="164"/>
      <c r="K210" s="157">
        <f t="shared" si="24"/>
        <v>100</v>
      </c>
      <c r="L210" s="157">
        <f t="shared" si="25"/>
        <v>200</v>
      </c>
      <c r="M210" s="157">
        <f t="shared" si="26"/>
        <v>300</v>
      </c>
      <c r="N210" s="157">
        <f t="shared" si="27"/>
        <v>400</v>
      </c>
      <c r="O210" s="959"/>
      <c r="P210" s="967"/>
      <c r="Q210" s="586"/>
      <c r="R210" s="968"/>
      <c r="S210" s="589"/>
      <c r="T210" s="589"/>
      <c r="U210" s="589"/>
    </row>
    <row r="211" spans="1:21" x14ac:dyDescent="0.35">
      <c r="A211" s="116"/>
      <c r="B211" s="117"/>
      <c r="C211" s="117"/>
      <c r="D211" s="1687"/>
      <c r="E211" s="1688"/>
      <c r="F211" s="159"/>
      <c r="G211" s="160"/>
      <c r="H211" s="168"/>
      <c r="I211" s="162"/>
      <c r="J211" s="164"/>
      <c r="K211" s="157">
        <f t="shared" si="24"/>
        <v>100</v>
      </c>
      <c r="L211" s="157">
        <f t="shared" si="25"/>
        <v>200</v>
      </c>
      <c r="M211" s="157">
        <f t="shared" si="26"/>
        <v>300</v>
      </c>
      <c r="N211" s="157">
        <f t="shared" si="27"/>
        <v>400</v>
      </c>
      <c r="O211" s="959"/>
      <c r="P211" s="967"/>
      <c r="Q211" s="586"/>
      <c r="R211" s="968"/>
      <c r="S211" s="589"/>
      <c r="T211" s="589"/>
      <c r="U211" s="589"/>
    </row>
    <row r="212" spans="1:21" x14ac:dyDescent="0.35">
      <c r="A212" s="116"/>
      <c r="B212" s="117"/>
      <c r="C212" s="117"/>
      <c r="D212" s="1687"/>
      <c r="E212" s="1688"/>
      <c r="F212" s="169"/>
      <c r="G212" s="170"/>
      <c r="H212" s="171"/>
      <c r="I212" s="172"/>
      <c r="J212" s="173"/>
      <c r="K212" s="157">
        <f t="shared" si="24"/>
        <v>100</v>
      </c>
      <c r="L212" s="157">
        <f t="shared" si="25"/>
        <v>200</v>
      </c>
      <c r="M212" s="157">
        <f t="shared" si="26"/>
        <v>300</v>
      </c>
      <c r="N212" s="157">
        <f t="shared" si="27"/>
        <v>400</v>
      </c>
      <c r="O212" s="959"/>
      <c r="P212" s="967"/>
      <c r="Q212" s="586"/>
      <c r="R212" s="968"/>
      <c r="S212" s="589"/>
      <c r="T212" s="589"/>
      <c r="U212" s="589"/>
    </row>
    <row r="213" spans="1:21" ht="28.5" customHeight="1" x14ac:dyDescent="0.35">
      <c r="A213" s="116"/>
      <c r="B213" s="117"/>
      <c r="C213" s="117"/>
      <c r="D213" s="174"/>
      <c r="E213" s="175"/>
      <c r="F213" s="1689" t="s">
        <v>2</v>
      </c>
      <c r="G213" s="1689"/>
      <c r="H213" s="176">
        <f>IF(O213&gt;1,"Zielerreichung übersteigt 100%!",O213)</f>
        <v>0</v>
      </c>
      <c r="I213" s="177"/>
      <c r="J213" s="178"/>
      <c r="K213" s="157">
        <f t="shared" si="24"/>
        <v>100</v>
      </c>
      <c r="L213" s="157">
        <f t="shared" si="25"/>
        <v>200</v>
      </c>
      <c r="M213" s="157">
        <f t="shared" si="26"/>
        <v>300</v>
      </c>
      <c r="N213" s="157">
        <f t="shared" si="27"/>
        <v>400</v>
      </c>
      <c r="O213" s="959">
        <f>SUM(H201:H212)</f>
        <v>0</v>
      </c>
      <c r="P213" s="967"/>
      <c r="Q213" s="586"/>
      <c r="R213" s="968"/>
      <c r="S213" s="589"/>
      <c r="T213" s="589"/>
      <c r="U213" s="589"/>
    </row>
    <row r="214" spans="1:21" x14ac:dyDescent="0.35">
      <c r="A214" s="116"/>
      <c r="B214" s="117"/>
      <c r="C214" s="117"/>
      <c r="D214" s="179"/>
      <c r="E214" s="180"/>
      <c r="F214" s="1690" t="s">
        <v>3</v>
      </c>
      <c r="G214" s="1691"/>
      <c r="H214" s="1084">
        <v>5</v>
      </c>
      <c r="I214" s="1"/>
      <c r="J214" s="178"/>
      <c r="K214" s="157">
        <f t="shared" si="24"/>
        <v>100</v>
      </c>
      <c r="L214" s="157">
        <f t="shared" si="25"/>
        <v>200</v>
      </c>
      <c r="M214" s="157">
        <f t="shared" si="26"/>
        <v>300</v>
      </c>
      <c r="N214" s="157">
        <f t="shared" si="27"/>
        <v>400</v>
      </c>
      <c r="O214" s="1030"/>
      <c r="P214" s="967"/>
      <c r="Q214" s="586"/>
      <c r="R214" s="968"/>
      <c r="S214" s="589"/>
      <c r="T214" s="589"/>
      <c r="U214" s="589"/>
    </row>
    <row r="215" spans="1:21" x14ac:dyDescent="0.35">
      <c r="A215" s="116"/>
      <c r="B215" s="117"/>
      <c r="C215" s="117"/>
      <c r="D215" s="179"/>
      <c r="E215" s="180"/>
      <c r="F215" s="1700" t="s">
        <v>5493</v>
      </c>
      <c r="G215" s="1701"/>
      <c r="H215" s="1089" t="str">
        <f>IF(G206="ja",1,(IF($H$2=1,0,"")))</f>
        <v/>
      </c>
      <c r="I215" s="206"/>
      <c r="J215" s="178"/>
      <c r="K215" s="157">
        <f t="shared" si="24"/>
        <v>100</v>
      </c>
      <c r="L215" s="157">
        <f t="shared" si="25"/>
        <v>200</v>
      </c>
      <c r="M215" s="157">
        <f t="shared" si="26"/>
        <v>300</v>
      </c>
      <c r="N215" s="157">
        <f t="shared" si="27"/>
        <v>400</v>
      </c>
      <c r="O215" s="1030"/>
      <c r="P215" s="967"/>
      <c r="Q215" s="586"/>
      <c r="R215" s="968"/>
      <c r="S215" s="589"/>
      <c r="T215" s="589"/>
      <c r="U215" s="589"/>
    </row>
    <row r="216" spans="1:21" x14ac:dyDescent="0.35">
      <c r="A216" s="184"/>
      <c r="B216" s="185"/>
      <c r="C216" s="185"/>
      <c r="D216" s="179"/>
      <c r="E216" s="180"/>
      <c r="F216" s="186"/>
      <c r="G216" s="186"/>
      <c r="H216" s="187"/>
      <c r="I216" s="177"/>
      <c r="J216" s="178"/>
      <c r="K216" s="157">
        <f t="shared" si="24"/>
        <v>100</v>
      </c>
      <c r="L216" s="157">
        <f t="shared" si="25"/>
        <v>200</v>
      </c>
      <c r="M216" s="157">
        <f t="shared" si="26"/>
        <v>300</v>
      </c>
      <c r="N216" s="157">
        <f t="shared" si="27"/>
        <v>400</v>
      </c>
      <c r="O216" s="1030"/>
      <c r="P216" s="967"/>
      <c r="Q216" s="586"/>
      <c r="R216" s="968"/>
      <c r="S216" s="589"/>
      <c r="T216" s="589"/>
      <c r="U216" s="589"/>
    </row>
    <row r="217" spans="1:21" ht="15.5" x14ac:dyDescent="0.35">
      <c r="A217" s="116"/>
      <c r="B217" s="117"/>
      <c r="C217" s="1713"/>
      <c r="D217" s="1714"/>
      <c r="E217" s="188"/>
      <c r="F217" s="1715" t="s">
        <v>5</v>
      </c>
      <c r="G217" s="1715"/>
      <c r="H217" s="189">
        <f>IF(ISNUMBER(H215),H215*H213,H214*H213)</f>
        <v>0</v>
      </c>
      <c r="I217" s="190"/>
      <c r="J217" s="191"/>
      <c r="K217" s="157">
        <f t="shared" si="24"/>
        <v>100</v>
      </c>
      <c r="L217" s="157">
        <f t="shared" si="25"/>
        <v>200</v>
      </c>
      <c r="M217" s="157">
        <f t="shared" si="26"/>
        <v>300</v>
      </c>
      <c r="N217" s="157">
        <f t="shared" si="27"/>
        <v>400</v>
      </c>
      <c r="O217" s="1030"/>
      <c r="P217" s="967"/>
      <c r="Q217" s="586"/>
      <c r="R217" s="968"/>
      <c r="S217" s="589"/>
      <c r="T217" s="589"/>
      <c r="U217" s="589"/>
    </row>
    <row r="218" spans="1:21" x14ac:dyDescent="0.35">
      <c r="K218" s="157">
        <f t="shared" si="24"/>
        <v>100</v>
      </c>
      <c r="L218" s="157">
        <f t="shared" si="25"/>
        <v>200</v>
      </c>
      <c r="M218" s="157">
        <f t="shared" si="26"/>
        <v>300</v>
      </c>
      <c r="N218" s="157">
        <f t="shared" si="27"/>
        <v>400</v>
      </c>
      <c r="O218" s="967"/>
      <c r="P218" s="967"/>
      <c r="Q218" s="586"/>
      <c r="R218" s="968"/>
      <c r="S218" s="589"/>
      <c r="T218" s="589"/>
      <c r="U218" s="589"/>
    </row>
    <row r="219" spans="1:21" ht="7.5" customHeight="1" x14ac:dyDescent="0.35">
      <c r="A219" s="116"/>
      <c r="B219" s="117"/>
      <c r="C219" s="117"/>
      <c r="D219" s="116"/>
      <c r="E219" s="116"/>
      <c r="F219" s="118"/>
      <c r="G219" s="119"/>
      <c r="H219" s="116"/>
      <c r="I219" s="120"/>
      <c r="J219" s="121"/>
      <c r="K219" s="157">
        <f t="shared" si="24"/>
        <v>100</v>
      </c>
      <c r="L219" s="157">
        <f t="shared" si="25"/>
        <v>200</v>
      </c>
      <c r="M219" s="157">
        <f t="shared" si="26"/>
        <v>300</v>
      </c>
      <c r="N219" s="157">
        <f t="shared" si="27"/>
        <v>400</v>
      </c>
      <c r="O219" s="968"/>
      <c r="P219" s="968"/>
      <c r="Q219" s="586"/>
      <c r="R219" s="968"/>
      <c r="S219" s="589"/>
      <c r="T219" s="589"/>
      <c r="U219" s="589"/>
    </row>
    <row r="220" spans="1:21" ht="15.5" x14ac:dyDescent="0.35">
      <c r="A220" s="124"/>
      <c r="B220" s="125"/>
      <c r="C220" s="126" t="s">
        <v>4764</v>
      </c>
      <c r="D220" s="127" t="s">
        <v>5419</v>
      </c>
      <c r="E220" s="128"/>
      <c r="F220" s="129" t="str">
        <f>IF($F$3=1,O220,"")</f>
        <v>A.3.2 Kauf- bzw. Mietverträge Flächen *</v>
      </c>
      <c r="G220" s="130"/>
      <c r="H220" s="131"/>
      <c r="I220" s="520" t="s">
        <v>23</v>
      </c>
      <c r="J220" s="130"/>
      <c r="K220" s="157">
        <f t="shared" si="24"/>
        <v>100</v>
      </c>
      <c r="L220" s="157">
        <f t="shared" si="25"/>
        <v>200</v>
      </c>
      <c r="M220" s="157">
        <f t="shared" si="26"/>
        <v>300</v>
      </c>
      <c r="N220" s="157">
        <f t="shared" si="27"/>
        <v>400</v>
      </c>
      <c r="O220" s="967" t="str">
        <f>CONCATENATE(C220," ",D220)</f>
        <v>A.3.2 Kauf- bzw. Mietverträge Flächen *</v>
      </c>
      <c r="P220" s="966"/>
      <c r="Q220" s="586"/>
      <c r="R220" s="968"/>
      <c r="S220" s="589"/>
      <c r="T220" s="589"/>
      <c r="U220" s="589"/>
    </row>
    <row r="221" spans="1:21" x14ac:dyDescent="0.35">
      <c r="A221" s="124"/>
      <c r="B221" s="134"/>
      <c r="C221" s="135"/>
      <c r="D221" s="136"/>
      <c r="E221" s="136"/>
      <c r="F221" s="137"/>
      <c r="G221" s="138"/>
      <c r="H221" s="124"/>
      <c r="I221" s="139"/>
      <c r="J221" s="140"/>
      <c r="K221" s="157">
        <f t="shared" si="24"/>
        <v>100</v>
      </c>
      <c r="L221" s="157">
        <f t="shared" si="25"/>
        <v>200</v>
      </c>
      <c r="M221" s="157">
        <f t="shared" si="26"/>
        <v>300</v>
      </c>
      <c r="N221" s="157">
        <f t="shared" si="27"/>
        <v>400</v>
      </c>
      <c r="O221" s="968"/>
      <c r="P221" s="966"/>
      <c r="Q221" s="586"/>
      <c r="R221" s="968"/>
      <c r="S221" s="589"/>
      <c r="T221" s="589"/>
      <c r="U221" s="589"/>
    </row>
    <row r="222" spans="1:21" x14ac:dyDescent="0.35">
      <c r="A222" s="142"/>
      <c r="B222" s="35"/>
      <c r="C222" s="143"/>
      <c r="D222" s="1685" t="s">
        <v>18</v>
      </c>
      <c r="E222" s="1686"/>
      <c r="F222" s="144" t="s">
        <v>19</v>
      </c>
      <c r="G222" s="145" t="s">
        <v>0</v>
      </c>
      <c r="H222" s="146" t="s">
        <v>20</v>
      </c>
      <c r="I222" s="147" t="s">
        <v>1</v>
      </c>
      <c r="J222" s="147" t="s">
        <v>4375</v>
      </c>
      <c r="K222" s="157">
        <f t="shared" si="24"/>
        <v>100</v>
      </c>
      <c r="L222" s="157">
        <f t="shared" si="25"/>
        <v>200</v>
      </c>
      <c r="M222" s="157">
        <f t="shared" si="26"/>
        <v>300</v>
      </c>
      <c r="N222" s="157">
        <f t="shared" si="27"/>
        <v>400</v>
      </c>
      <c r="O222" s="587"/>
      <c r="P222" s="967"/>
      <c r="Q222" s="586"/>
      <c r="R222" s="968"/>
      <c r="S222" s="589"/>
      <c r="T222" s="589"/>
      <c r="U222" s="589"/>
    </row>
    <row r="223" spans="1:21" ht="24" x14ac:dyDescent="0.35">
      <c r="A223" s="123"/>
      <c r="B223" s="35"/>
      <c r="C223" s="151"/>
      <c r="D223" s="1687" t="s">
        <v>5275</v>
      </c>
      <c r="E223" s="1688"/>
      <c r="F223" s="152" t="s">
        <v>2057</v>
      </c>
      <c r="G223" s="153">
        <f t="shared" ref="G223:G224" si="30">IF($H$2=1,S223,IF($H$2=2,T223,U223))</f>
        <v>0.2</v>
      </c>
      <c r="H223" s="154"/>
      <c r="I223" s="155"/>
      <c r="J223" s="156"/>
      <c r="K223" s="157">
        <f t="shared" si="24"/>
        <v>100</v>
      </c>
      <c r="L223" s="157">
        <f t="shared" si="25"/>
        <v>200</v>
      </c>
      <c r="M223" s="157">
        <f t="shared" si="26"/>
        <v>300</v>
      </c>
      <c r="N223" s="157">
        <f t="shared" si="27"/>
        <v>400</v>
      </c>
      <c r="O223" s="967" t="str">
        <f>CONCATENATE(O220," | ",F223)</f>
        <v>A.3.2 Kauf- bzw. Mietverträge Flächen * | Qualitätskriterien, welche über Kauf- bzw. Mietverträge von Flächen überbunden werden können, sind bekannt</v>
      </c>
      <c r="P223" s="967"/>
      <c r="Q223" s="586"/>
      <c r="R223" s="968"/>
      <c r="S223" s="588">
        <v>0</v>
      </c>
      <c r="T223" s="588">
        <v>0.2</v>
      </c>
      <c r="U223" s="588">
        <v>0.2</v>
      </c>
    </row>
    <row r="224" spans="1:21" ht="48" x14ac:dyDescent="0.35">
      <c r="A224" s="123"/>
      <c r="B224" s="35"/>
      <c r="C224" s="151"/>
      <c r="D224" s="1687"/>
      <c r="E224" s="1688"/>
      <c r="F224" s="152" t="s">
        <v>4547</v>
      </c>
      <c r="G224" s="153">
        <f t="shared" si="30"/>
        <v>0.8</v>
      </c>
      <c r="H224" s="154"/>
      <c r="I224" s="158"/>
      <c r="J224" s="156"/>
      <c r="K224" s="157">
        <f t="shared" si="24"/>
        <v>100</v>
      </c>
      <c r="L224" s="157">
        <f t="shared" si="25"/>
        <v>200</v>
      </c>
      <c r="M224" s="157">
        <f t="shared" si="26"/>
        <v>300</v>
      </c>
      <c r="N224" s="157">
        <f t="shared" si="27"/>
        <v>400</v>
      </c>
      <c r="O224" s="967" t="str">
        <f>CONCATENATE(O220," | ",F224)</f>
        <v>A.3.2 Kauf- bzw. Mietverträge Flächen * | Relevante Bestimmungen für die Zielerreichung wurden bei Verkäufen (oder langfristigen Vermietungen) in allen relevanten Verträgen mit allen Käufern bzw. Mietern berücksichtigt (Bewertung in Abhängigkeit der Anzahl)</v>
      </c>
      <c r="P224" s="967"/>
      <c r="Q224" s="586"/>
      <c r="R224" s="968"/>
      <c r="S224" s="588">
        <v>0</v>
      </c>
      <c r="T224" s="588">
        <v>0.8</v>
      </c>
      <c r="U224" s="588">
        <v>0.8</v>
      </c>
    </row>
    <row r="225" spans="1:21" x14ac:dyDescent="0.35">
      <c r="A225" s="123"/>
      <c r="B225" s="35"/>
      <c r="C225" s="151"/>
      <c r="D225" s="1687"/>
      <c r="E225" s="1688"/>
      <c r="F225" s="159"/>
      <c r="G225" s="160"/>
      <c r="H225" s="161"/>
      <c r="I225" s="166"/>
      <c r="J225" s="164"/>
      <c r="K225" s="157">
        <f t="shared" si="24"/>
        <v>100</v>
      </c>
      <c r="L225" s="157">
        <f t="shared" si="25"/>
        <v>200</v>
      </c>
      <c r="M225" s="157">
        <f t="shared" si="26"/>
        <v>300</v>
      </c>
      <c r="N225" s="157">
        <f t="shared" si="27"/>
        <v>400</v>
      </c>
      <c r="O225" s="967"/>
      <c r="P225" s="967"/>
      <c r="Q225" s="586"/>
      <c r="R225" s="968"/>
      <c r="S225" s="589"/>
      <c r="T225" s="589"/>
      <c r="U225" s="589"/>
    </row>
    <row r="226" spans="1:21" ht="36" x14ac:dyDescent="0.35">
      <c r="A226" s="123">
        <v>3.2</v>
      </c>
      <c r="B226" s="35"/>
      <c r="C226" s="151"/>
      <c r="D226" s="1687"/>
      <c r="E226" s="1688"/>
      <c r="F226" s="1083" t="s">
        <v>5477</v>
      </c>
      <c r="G226" s="1082" t="s">
        <v>2048</v>
      </c>
      <c r="H226" s="161"/>
      <c r="I226" s="166"/>
      <c r="J226" s="164"/>
      <c r="K226" s="157">
        <f t="shared" si="24"/>
        <v>100</v>
      </c>
      <c r="L226" s="157">
        <f t="shared" si="25"/>
        <v>200</v>
      </c>
      <c r="M226" s="157">
        <f t="shared" si="26"/>
        <v>300</v>
      </c>
      <c r="N226" s="157">
        <f t="shared" si="27"/>
        <v>400</v>
      </c>
      <c r="O226" s="967"/>
      <c r="P226" s="967"/>
      <c r="Q226" s="586"/>
      <c r="R226" s="968"/>
      <c r="S226" s="589"/>
      <c r="T226" s="589"/>
      <c r="U226" s="589"/>
    </row>
    <row r="227" spans="1:21" x14ac:dyDescent="0.35">
      <c r="A227" s="123"/>
      <c r="B227" s="35"/>
      <c r="C227" s="151"/>
      <c r="D227" s="1687"/>
      <c r="E227" s="1688"/>
      <c r="F227" s="159"/>
      <c r="G227" s="160"/>
      <c r="H227" s="161"/>
      <c r="I227" s="166"/>
      <c r="J227" s="164"/>
      <c r="K227" s="157">
        <f t="shared" si="24"/>
        <v>100</v>
      </c>
      <c r="L227" s="157">
        <f t="shared" si="25"/>
        <v>200</v>
      </c>
      <c r="M227" s="157">
        <f t="shared" si="26"/>
        <v>300</v>
      </c>
      <c r="N227" s="157">
        <f t="shared" si="27"/>
        <v>400</v>
      </c>
      <c r="O227" s="967"/>
      <c r="P227" s="967"/>
      <c r="Q227" s="586"/>
      <c r="R227" s="968"/>
      <c r="S227" s="589"/>
      <c r="T227" s="589"/>
      <c r="U227" s="589"/>
    </row>
    <row r="228" spans="1:21" x14ac:dyDescent="0.35">
      <c r="A228" s="116"/>
      <c r="B228" s="35"/>
      <c r="C228" s="117"/>
      <c r="D228" s="1687"/>
      <c r="E228" s="1688"/>
      <c r="F228" s="159"/>
      <c r="G228" s="160"/>
      <c r="H228" s="161"/>
      <c r="I228" s="162"/>
      <c r="J228" s="164"/>
      <c r="K228" s="157">
        <f t="shared" si="24"/>
        <v>100</v>
      </c>
      <c r="L228" s="157">
        <f t="shared" si="25"/>
        <v>200</v>
      </c>
      <c r="M228" s="157">
        <f t="shared" si="26"/>
        <v>300</v>
      </c>
      <c r="N228" s="157">
        <f t="shared" si="27"/>
        <v>400</v>
      </c>
      <c r="O228" s="959"/>
      <c r="P228" s="967"/>
      <c r="Q228" s="586"/>
      <c r="R228" s="968"/>
      <c r="S228" s="589"/>
      <c r="T228" s="589"/>
      <c r="U228" s="589"/>
    </row>
    <row r="229" spans="1:21" x14ac:dyDescent="0.35">
      <c r="A229" s="116"/>
      <c r="B229" s="35"/>
      <c r="C229" s="117"/>
      <c r="D229" s="1687"/>
      <c r="E229" s="1688"/>
      <c r="F229" s="159"/>
      <c r="G229" s="160"/>
      <c r="H229" s="161"/>
      <c r="I229" s="162"/>
      <c r="J229" s="164"/>
      <c r="K229" s="157">
        <f t="shared" si="24"/>
        <v>100</v>
      </c>
      <c r="L229" s="157">
        <f t="shared" si="25"/>
        <v>200</v>
      </c>
      <c r="M229" s="157">
        <f t="shared" si="26"/>
        <v>300</v>
      </c>
      <c r="N229" s="157">
        <f t="shared" si="27"/>
        <v>400</v>
      </c>
      <c r="O229" s="959"/>
      <c r="P229" s="967"/>
      <c r="Q229" s="586"/>
      <c r="R229" s="968"/>
      <c r="S229" s="589"/>
      <c r="T229" s="589"/>
      <c r="U229" s="589"/>
    </row>
    <row r="230" spans="1:21" x14ac:dyDescent="0.35">
      <c r="A230" s="116"/>
      <c r="B230" s="35"/>
      <c r="C230" s="117"/>
      <c r="D230" s="1687"/>
      <c r="E230" s="1688"/>
      <c r="F230" s="159"/>
      <c r="G230" s="160"/>
      <c r="H230" s="161"/>
      <c r="I230" s="162"/>
      <c r="J230" s="164"/>
      <c r="K230" s="157">
        <f t="shared" si="24"/>
        <v>100</v>
      </c>
      <c r="L230" s="157">
        <f t="shared" si="25"/>
        <v>200</v>
      </c>
      <c r="M230" s="157">
        <f t="shared" si="26"/>
        <v>300</v>
      </c>
      <c r="N230" s="157">
        <f t="shared" si="27"/>
        <v>400</v>
      </c>
      <c r="O230" s="959"/>
      <c r="P230" s="967"/>
      <c r="Q230" s="586"/>
      <c r="R230" s="968"/>
      <c r="S230" s="589"/>
      <c r="T230" s="589"/>
      <c r="U230" s="589"/>
    </row>
    <row r="231" spans="1:21" x14ac:dyDescent="0.35">
      <c r="A231" s="123"/>
      <c r="B231" s="35"/>
      <c r="C231" s="151"/>
      <c r="D231" s="1687"/>
      <c r="E231" s="1688"/>
      <c r="F231" s="165"/>
      <c r="G231" s="160"/>
      <c r="H231" s="161"/>
      <c r="I231" s="166"/>
      <c r="J231" s="167"/>
      <c r="K231" s="157">
        <f t="shared" si="24"/>
        <v>100</v>
      </c>
      <c r="L231" s="157">
        <f t="shared" si="25"/>
        <v>200</v>
      </c>
      <c r="M231" s="157">
        <f t="shared" si="26"/>
        <v>300</v>
      </c>
      <c r="N231" s="157">
        <f t="shared" si="27"/>
        <v>400</v>
      </c>
      <c r="O231" s="959"/>
      <c r="P231" s="967"/>
      <c r="Q231" s="586"/>
      <c r="R231" s="968"/>
      <c r="S231" s="589"/>
      <c r="T231" s="589"/>
      <c r="U231" s="589"/>
    </row>
    <row r="232" spans="1:21" x14ac:dyDescent="0.35">
      <c r="A232" s="116"/>
      <c r="B232" s="35"/>
      <c r="C232" s="117"/>
      <c r="D232" s="1687"/>
      <c r="E232" s="1688"/>
      <c r="F232" s="159"/>
      <c r="G232" s="160"/>
      <c r="H232" s="168"/>
      <c r="I232" s="162"/>
      <c r="J232" s="164"/>
      <c r="K232" s="157">
        <f t="shared" si="24"/>
        <v>100</v>
      </c>
      <c r="L232" s="157">
        <f t="shared" si="25"/>
        <v>200</v>
      </c>
      <c r="M232" s="157">
        <f t="shared" si="26"/>
        <v>300</v>
      </c>
      <c r="N232" s="157">
        <f t="shared" si="27"/>
        <v>400</v>
      </c>
      <c r="O232" s="959"/>
      <c r="P232" s="967"/>
      <c r="Q232" s="586"/>
      <c r="R232" s="968"/>
      <c r="S232" s="589"/>
      <c r="T232" s="589"/>
      <c r="U232" s="589"/>
    </row>
    <row r="233" spans="1:21" x14ac:dyDescent="0.35">
      <c r="A233" s="116"/>
      <c r="B233" s="117"/>
      <c r="C233" s="117"/>
      <c r="D233" s="1687"/>
      <c r="E233" s="1688"/>
      <c r="F233" s="159"/>
      <c r="G233" s="160"/>
      <c r="H233" s="168"/>
      <c r="I233" s="162"/>
      <c r="J233" s="164"/>
      <c r="K233" s="157">
        <f t="shared" si="24"/>
        <v>100</v>
      </c>
      <c r="L233" s="157">
        <f t="shared" si="25"/>
        <v>200</v>
      </c>
      <c r="M233" s="157">
        <f t="shared" si="26"/>
        <v>300</v>
      </c>
      <c r="N233" s="157">
        <f t="shared" si="27"/>
        <v>400</v>
      </c>
      <c r="O233" s="959"/>
      <c r="P233" s="967"/>
      <c r="Q233" s="586"/>
      <c r="R233" s="968"/>
      <c r="S233" s="589"/>
      <c r="T233" s="589"/>
      <c r="U233" s="589"/>
    </row>
    <row r="234" spans="1:21" x14ac:dyDescent="0.35">
      <c r="A234" s="116"/>
      <c r="B234" s="117"/>
      <c r="C234" s="117"/>
      <c r="D234" s="1687"/>
      <c r="E234" s="1688"/>
      <c r="F234" s="169"/>
      <c r="G234" s="170"/>
      <c r="H234" s="171"/>
      <c r="I234" s="172"/>
      <c r="J234" s="173"/>
      <c r="K234" s="157">
        <f t="shared" si="24"/>
        <v>100</v>
      </c>
      <c r="L234" s="157">
        <f t="shared" si="25"/>
        <v>200</v>
      </c>
      <c r="M234" s="157">
        <f t="shared" si="26"/>
        <v>300</v>
      </c>
      <c r="N234" s="157">
        <f t="shared" si="27"/>
        <v>400</v>
      </c>
      <c r="O234" s="959"/>
      <c r="P234" s="967"/>
      <c r="Q234" s="586"/>
      <c r="R234" s="968"/>
      <c r="S234" s="589"/>
      <c r="T234" s="589"/>
      <c r="U234" s="589"/>
    </row>
    <row r="235" spans="1:21" ht="28.5" customHeight="1" x14ac:dyDescent="0.35">
      <c r="A235" s="116"/>
      <c r="B235" s="117"/>
      <c r="C235" s="117"/>
      <c r="D235" s="174"/>
      <c r="E235" s="175"/>
      <c r="F235" s="1689" t="s">
        <v>2</v>
      </c>
      <c r="G235" s="1689"/>
      <c r="H235" s="176">
        <f>IF(O235&gt;1,"Zielerreichung übersteigt 100%!",O235)</f>
        <v>0</v>
      </c>
      <c r="I235" s="177"/>
      <c r="J235" s="178"/>
      <c r="K235" s="157">
        <f t="shared" si="24"/>
        <v>100</v>
      </c>
      <c r="L235" s="157">
        <f t="shared" si="25"/>
        <v>200</v>
      </c>
      <c r="M235" s="157">
        <f t="shared" si="26"/>
        <v>300</v>
      </c>
      <c r="N235" s="157">
        <f t="shared" si="27"/>
        <v>400</v>
      </c>
      <c r="O235" s="959">
        <f>SUM(H223:H234)</f>
        <v>0</v>
      </c>
      <c r="P235" s="967"/>
      <c r="Q235" s="586"/>
      <c r="R235" s="968"/>
      <c r="S235" s="589"/>
      <c r="T235" s="589"/>
      <c r="U235" s="589"/>
    </row>
    <row r="236" spans="1:21" x14ac:dyDescent="0.35">
      <c r="A236" s="116"/>
      <c r="B236" s="117"/>
      <c r="C236" s="117"/>
      <c r="D236" s="179"/>
      <c r="E236" s="180"/>
      <c r="F236" s="1690" t="s">
        <v>3</v>
      </c>
      <c r="G236" s="1691"/>
      <c r="H236" s="181">
        <v>5</v>
      </c>
      <c r="I236" s="1"/>
      <c r="J236" s="178"/>
      <c r="K236" s="157">
        <f t="shared" ref="K236:K299" si="31">IF($J236=$K$41,K235+1,K235+0)</f>
        <v>100</v>
      </c>
      <c r="L236" s="157">
        <f t="shared" ref="L236:L299" si="32">IF($J236=$L$41,L235+1,L235+0)</f>
        <v>200</v>
      </c>
      <c r="M236" s="157">
        <f t="shared" ref="M236:M299" si="33">IF($J236=$M$41,M235+1,M235+0)</f>
        <v>300</v>
      </c>
      <c r="N236" s="157">
        <f t="shared" ref="N236:N299" si="34">IF($J236=$N$41,N235+1,N235+0)</f>
        <v>400</v>
      </c>
      <c r="O236" s="1030"/>
      <c r="P236" s="967"/>
      <c r="Q236" s="586"/>
      <c r="R236" s="968"/>
      <c r="S236" s="589"/>
      <c r="T236" s="589"/>
      <c r="U236" s="589"/>
    </row>
    <row r="237" spans="1:21" x14ac:dyDescent="0.35">
      <c r="A237" s="116"/>
      <c r="B237" s="117"/>
      <c r="C237" s="117"/>
      <c r="D237" s="179"/>
      <c r="E237" s="180"/>
      <c r="F237" s="1700" t="s">
        <v>5493</v>
      </c>
      <c r="G237" s="1701"/>
      <c r="H237" s="1089" t="str">
        <f>IF(G226="ja",1,(IF($H$2=1,0,"")))</f>
        <v/>
      </c>
      <c r="I237" s="206"/>
      <c r="J237" s="178"/>
      <c r="K237" s="157">
        <f t="shared" si="31"/>
        <v>100</v>
      </c>
      <c r="L237" s="157">
        <f t="shared" si="32"/>
        <v>200</v>
      </c>
      <c r="M237" s="157">
        <f t="shared" si="33"/>
        <v>300</v>
      </c>
      <c r="N237" s="157">
        <f t="shared" si="34"/>
        <v>400</v>
      </c>
      <c r="O237" s="1030"/>
      <c r="P237" s="967"/>
      <c r="Q237" s="586"/>
      <c r="R237" s="968"/>
      <c r="S237" s="589"/>
      <c r="T237" s="589"/>
      <c r="U237" s="589"/>
    </row>
    <row r="238" spans="1:21" x14ac:dyDescent="0.35">
      <c r="A238" s="184"/>
      <c r="B238" s="185"/>
      <c r="C238" s="185"/>
      <c r="D238" s="179"/>
      <c r="E238" s="180"/>
      <c r="F238" s="186"/>
      <c r="G238" s="186"/>
      <c r="H238" s="187"/>
      <c r="I238" s="177"/>
      <c r="J238" s="178"/>
      <c r="K238" s="157">
        <f t="shared" si="31"/>
        <v>100</v>
      </c>
      <c r="L238" s="157">
        <f t="shared" si="32"/>
        <v>200</v>
      </c>
      <c r="M238" s="157">
        <f t="shared" si="33"/>
        <v>300</v>
      </c>
      <c r="N238" s="157">
        <f t="shared" si="34"/>
        <v>400</v>
      </c>
      <c r="O238" s="1030"/>
      <c r="P238" s="967"/>
      <c r="Q238" s="586"/>
      <c r="R238" s="968"/>
      <c r="S238" s="589"/>
      <c r="T238" s="589"/>
      <c r="U238" s="589"/>
    </row>
    <row r="239" spans="1:21" ht="15.75" customHeight="1" x14ac:dyDescent="0.35">
      <c r="A239" s="116"/>
      <c r="B239" s="185"/>
      <c r="C239" s="1713"/>
      <c r="D239" s="1714"/>
      <c r="E239" s="188"/>
      <c r="F239" s="1715" t="s">
        <v>5</v>
      </c>
      <c r="G239" s="1715"/>
      <c r="H239" s="189">
        <f>IF(ISNUMBER(H237),H237*H235,H236*H235)</f>
        <v>0</v>
      </c>
      <c r="I239" s="190"/>
      <c r="J239" s="191"/>
      <c r="K239" s="157">
        <f t="shared" si="31"/>
        <v>100</v>
      </c>
      <c r="L239" s="157">
        <f t="shared" si="32"/>
        <v>200</v>
      </c>
      <c r="M239" s="157">
        <f t="shared" si="33"/>
        <v>300</v>
      </c>
      <c r="N239" s="157">
        <f t="shared" si="34"/>
        <v>400</v>
      </c>
      <c r="O239" s="1030"/>
      <c r="P239" s="967"/>
      <c r="Q239" s="586"/>
      <c r="R239" s="968"/>
      <c r="S239" s="589"/>
      <c r="T239" s="589"/>
      <c r="U239" s="589"/>
    </row>
    <row r="240" spans="1:21" x14ac:dyDescent="0.35">
      <c r="B240" s="185"/>
      <c r="K240" s="157">
        <f t="shared" si="31"/>
        <v>100</v>
      </c>
      <c r="L240" s="157">
        <f t="shared" si="32"/>
        <v>200</v>
      </c>
      <c r="M240" s="157">
        <f t="shared" si="33"/>
        <v>300</v>
      </c>
      <c r="N240" s="157">
        <f t="shared" si="34"/>
        <v>400</v>
      </c>
      <c r="O240" s="967"/>
      <c r="P240" s="967"/>
      <c r="Q240" s="586"/>
      <c r="R240" s="968"/>
      <c r="S240" s="589"/>
      <c r="T240" s="589"/>
      <c r="U240" s="589"/>
    </row>
    <row r="241" spans="1:21" ht="7.5" customHeight="1" x14ac:dyDescent="0.35">
      <c r="A241" s="116"/>
      <c r="B241" s="117"/>
      <c r="C241" s="117"/>
      <c r="D241" s="116"/>
      <c r="E241" s="116"/>
      <c r="F241" s="118"/>
      <c r="G241" s="119"/>
      <c r="H241" s="116"/>
      <c r="I241" s="120"/>
      <c r="J241" s="121"/>
      <c r="K241" s="157">
        <f t="shared" si="31"/>
        <v>100</v>
      </c>
      <c r="L241" s="157">
        <f t="shared" si="32"/>
        <v>200</v>
      </c>
      <c r="M241" s="157">
        <f t="shared" si="33"/>
        <v>300</v>
      </c>
      <c r="N241" s="157">
        <f t="shared" si="34"/>
        <v>400</v>
      </c>
      <c r="O241" s="968"/>
      <c r="P241" s="968"/>
      <c r="Q241" s="586"/>
      <c r="R241" s="968"/>
      <c r="S241" s="589"/>
      <c r="T241" s="589"/>
      <c r="U241" s="589"/>
    </row>
    <row r="242" spans="1:21" ht="15.5" x14ac:dyDescent="0.35">
      <c r="A242" s="124"/>
      <c r="B242" s="125"/>
      <c r="C242" s="126" t="s">
        <v>4765</v>
      </c>
      <c r="D242" s="127" t="s">
        <v>5596</v>
      </c>
      <c r="E242" s="128"/>
      <c r="F242" s="129" t="str">
        <f>IF($F$3=1,O242,"")</f>
        <v>A.3.3 Auswahl- bzw. Planungsverfahren | Werterhaltungsstrategie</v>
      </c>
      <c r="G242" s="130"/>
      <c r="H242" s="131"/>
      <c r="I242" s="520" t="s">
        <v>23</v>
      </c>
      <c r="J242" s="130"/>
      <c r="K242" s="157">
        <f t="shared" si="31"/>
        <v>100</v>
      </c>
      <c r="L242" s="157">
        <f t="shared" si="32"/>
        <v>200</v>
      </c>
      <c r="M242" s="157">
        <f t="shared" si="33"/>
        <v>300</v>
      </c>
      <c r="N242" s="157">
        <f t="shared" si="34"/>
        <v>400</v>
      </c>
      <c r="O242" s="967" t="str">
        <f>CONCATENATE(C242," ",D242)</f>
        <v>A.3.3 Auswahl- bzw. Planungsverfahren | Werterhaltungsstrategie</v>
      </c>
      <c r="P242" s="966"/>
      <c r="Q242" s="586"/>
      <c r="R242" s="968"/>
      <c r="S242" s="589"/>
      <c r="T242" s="589"/>
      <c r="U242" s="589"/>
    </row>
    <row r="243" spans="1:21" x14ac:dyDescent="0.35">
      <c r="A243" s="124"/>
      <c r="B243" s="134"/>
      <c r="C243" s="135"/>
      <c r="D243" s="136"/>
      <c r="E243" s="136"/>
      <c r="F243" s="137"/>
      <c r="G243" s="138"/>
      <c r="H243" s="124"/>
      <c r="I243" s="139"/>
      <c r="J243" s="140"/>
      <c r="K243" s="157">
        <f t="shared" si="31"/>
        <v>100</v>
      </c>
      <c r="L243" s="157">
        <f t="shared" si="32"/>
        <v>200</v>
      </c>
      <c r="M243" s="157">
        <f t="shared" si="33"/>
        <v>300</v>
      </c>
      <c r="N243" s="157">
        <f t="shared" si="34"/>
        <v>400</v>
      </c>
      <c r="O243" s="968"/>
      <c r="P243" s="966"/>
      <c r="Q243" s="586"/>
      <c r="R243" s="968"/>
      <c r="S243" s="589"/>
      <c r="T243" s="589"/>
      <c r="U243" s="589"/>
    </row>
    <row r="244" spans="1:21" x14ac:dyDescent="0.35">
      <c r="A244" s="142"/>
      <c r="B244" s="35"/>
      <c r="C244" s="143"/>
      <c r="D244" s="1685" t="s">
        <v>18</v>
      </c>
      <c r="E244" s="1686"/>
      <c r="F244" s="144" t="s">
        <v>19</v>
      </c>
      <c r="G244" s="145" t="s">
        <v>0</v>
      </c>
      <c r="H244" s="146" t="s">
        <v>20</v>
      </c>
      <c r="I244" s="147" t="s">
        <v>1</v>
      </c>
      <c r="J244" s="147" t="s">
        <v>4375</v>
      </c>
      <c r="K244" s="157">
        <f t="shared" si="31"/>
        <v>100</v>
      </c>
      <c r="L244" s="157">
        <f t="shared" si="32"/>
        <v>200</v>
      </c>
      <c r="M244" s="157">
        <f t="shared" si="33"/>
        <v>300</v>
      </c>
      <c r="N244" s="157">
        <f t="shared" si="34"/>
        <v>400</v>
      </c>
      <c r="O244" s="587"/>
      <c r="P244" s="967"/>
      <c r="Q244" s="586"/>
      <c r="R244" s="968"/>
      <c r="S244" s="589"/>
      <c r="T244" s="589"/>
      <c r="U244" s="589"/>
    </row>
    <row r="245" spans="1:21" ht="36" x14ac:dyDescent="0.35">
      <c r="A245" s="123"/>
      <c r="B245" s="35"/>
      <c r="C245" s="151"/>
      <c r="D245" s="1716" t="s">
        <v>5272</v>
      </c>
      <c r="E245" s="1688"/>
      <c r="F245" s="152" t="s">
        <v>4548</v>
      </c>
      <c r="G245" s="153">
        <f t="shared" ref="G245:G247" si="35">IF($H$2=1,S245,IF($H$2=2,T245,U245))</f>
        <v>0.1</v>
      </c>
      <c r="H245" s="154"/>
      <c r="I245" s="155"/>
      <c r="J245" s="156"/>
      <c r="K245" s="157">
        <f t="shared" si="31"/>
        <v>100</v>
      </c>
      <c r="L245" s="157">
        <f t="shared" si="32"/>
        <v>200</v>
      </c>
      <c r="M245" s="157">
        <f t="shared" si="33"/>
        <v>300</v>
      </c>
      <c r="N245" s="157">
        <f t="shared" si="34"/>
        <v>400</v>
      </c>
      <c r="O245" s="967" t="str">
        <f>CONCATENATE(O242," | ",F245)</f>
        <v>A.3.3 Auswahl- bzw. Planungsverfahren | Werterhaltungsstrategie | Energie und Klimaschutz relevante Qualitätskriterien, welche beim Auswahl- bzw. Planungsverfahren berücksichtigt werden sollten, sind bekannt</v>
      </c>
      <c r="P245" s="967"/>
      <c r="Q245" s="586"/>
      <c r="R245" s="968"/>
      <c r="S245" s="588">
        <v>0</v>
      </c>
      <c r="T245" s="588">
        <v>7.0000000000000007E-2</v>
      </c>
      <c r="U245" s="588">
        <v>0.1</v>
      </c>
    </row>
    <row r="246" spans="1:21" ht="96" x14ac:dyDescent="0.35">
      <c r="A246" s="123"/>
      <c r="B246" s="35"/>
      <c r="C246" s="151"/>
      <c r="D246" s="1687"/>
      <c r="E246" s="1688"/>
      <c r="F246" s="152" t="s">
        <v>5270</v>
      </c>
      <c r="G246" s="153">
        <f t="shared" si="35"/>
        <v>0.1</v>
      </c>
      <c r="H246" s="154"/>
      <c r="I246" s="158"/>
      <c r="J246" s="156"/>
      <c r="K246" s="157">
        <f t="shared" si="31"/>
        <v>100</v>
      </c>
      <c r="L246" s="157">
        <f t="shared" si="32"/>
        <v>200</v>
      </c>
      <c r="M246" s="157">
        <f t="shared" si="33"/>
        <v>300</v>
      </c>
      <c r="N246" s="157">
        <f t="shared" si="34"/>
        <v>400</v>
      </c>
      <c r="O246" s="967" t="str">
        <f>CONCATENATE(O242," | ",F246)</f>
        <v>A.3.3 Auswahl- bzw. Planungsverfahren | Werterhaltungsstrategie | Das Auswahl- bzw. Planungsverfahren (städtebaulicher Wettbewerb, kooperatives Planungsverfahren, …) ist geeignet. „Geeignet“ bedeutet in diesem Zusammenhang, dass das Verfahren die Integration verschiedener Themen ermöglicht und dass die Expert:innengruppe/Entscheidungsträger aufgrund ihrer Zusammensetzung und ihres Know-hows die Energie und Klimaschutz relevanten Kriterien bewerten können</v>
      </c>
      <c r="P246" s="967"/>
      <c r="Q246" s="586"/>
      <c r="R246" s="968"/>
      <c r="S246" s="588">
        <v>0</v>
      </c>
      <c r="T246" s="588">
        <v>7.0000000000000007E-2</v>
      </c>
      <c r="U246" s="588">
        <v>0.1</v>
      </c>
    </row>
    <row r="247" spans="1:21" ht="36" x14ac:dyDescent="0.35">
      <c r="A247" s="123"/>
      <c r="B247" s="35"/>
      <c r="C247" s="151"/>
      <c r="D247" s="1687"/>
      <c r="E247" s="1688"/>
      <c r="F247" s="152" t="s">
        <v>4549</v>
      </c>
      <c r="G247" s="153">
        <f t="shared" si="35"/>
        <v>0.8</v>
      </c>
      <c r="H247" s="154"/>
      <c r="I247" s="158"/>
      <c r="J247" s="156"/>
      <c r="K247" s="157">
        <f t="shared" si="31"/>
        <v>100</v>
      </c>
      <c r="L247" s="157">
        <f t="shared" si="32"/>
        <v>200</v>
      </c>
      <c r="M247" s="157">
        <f t="shared" si="33"/>
        <v>300</v>
      </c>
      <c r="N247" s="157">
        <f t="shared" si="34"/>
        <v>400</v>
      </c>
      <c r="O247" s="967" t="str">
        <f>CONCATENATE(O242," | ",F247)</f>
        <v>A.3.3 Auswahl- bzw. Planungsverfahren | Werterhaltungsstrategie | Relevante Bestimmungen für die Zielerreichung wurden beim Auswahl- bzw. Planungsverfahren vorgegeben und bei der Jurierung eigens bewertet</v>
      </c>
      <c r="P247" s="967"/>
      <c r="Q247" s="586"/>
      <c r="R247" s="968"/>
      <c r="S247" s="588">
        <v>0</v>
      </c>
      <c r="T247" s="588">
        <v>0.56000000000000005</v>
      </c>
      <c r="U247" s="588">
        <v>0.8</v>
      </c>
    </row>
    <row r="248" spans="1:21" x14ac:dyDescent="0.35">
      <c r="A248" s="123">
        <v>3.2</v>
      </c>
      <c r="B248" s="35"/>
      <c r="C248" s="151"/>
      <c r="D248" s="1687"/>
      <c r="E248" s="1688"/>
      <c r="F248" s="159"/>
      <c r="G248" s="160"/>
      <c r="H248" s="161"/>
      <c r="I248" s="166"/>
      <c r="J248" s="164"/>
      <c r="K248" s="157">
        <f t="shared" si="31"/>
        <v>100</v>
      </c>
      <c r="L248" s="157">
        <f t="shared" si="32"/>
        <v>200</v>
      </c>
      <c r="M248" s="157">
        <f t="shared" si="33"/>
        <v>300</v>
      </c>
      <c r="N248" s="157">
        <f t="shared" si="34"/>
        <v>400</v>
      </c>
      <c r="O248" s="967"/>
      <c r="P248" s="967"/>
      <c r="Q248" s="586"/>
      <c r="R248" s="968"/>
      <c r="S248" s="589"/>
      <c r="T248" s="589"/>
      <c r="U248" s="589"/>
    </row>
    <row r="249" spans="1:21" x14ac:dyDescent="0.35">
      <c r="A249" s="123"/>
      <c r="B249" s="35"/>
      <c r="C249" s="151"/>
      <c r="D249" s="1687"/>
      <c r="E249" s="1688"/>
      <c r="F249" s="1103" t="str">
        <f>IF($G$2=1,R249,"Weiteres Kriterium in der Nutzung")</f>
        <v>Weiteres Kriterium in der Nutzung</v>
      </c>
      <c r="G249" s="1086">
        <f t="shared" ref="G249" si="36">IF($H$2=1,S249,IF($H$2=2,T249,U249))</f>
        <v>0</v>
      </c>
      <c r="H249" s="154"/>
      <c r="I249" s="158"/>
      <c r="J249" s="156"/>
      <c r="K249" s="157">
        <f t="shared" si="31"/>
        <v>100</v>
      </c>
      <c r="L249" s="157">
        <f t="shared" si="32"/>
        <v>200</v>
      </c>
      <c r="M249" s="157">
        <f t="shared" si="33"/>
        <v>300</v>
      </c>
      <c r="N249" s="157">
        <f t="shared" si="34"/>
        <v>400</v>
      </c>
      <c r="O249" s="967" t="str">
        <f>CONCATENATE(O244," | ",F249)</f>
        <v xml:space="preserve"> | Weiteres Kriterium in der Nutzung</v>
      </c>
      <c r="P249" s="967"/>
      <c r="Q249" s="586"/>
      <c r="R249" s="1085" t="s">
        <v>5524</v>
      </c>
      <c r="S249" s="588">
        <v>1</v>
      </c>
      <c r="T249" s="588">
        <v>0.3</v>
      </c>
      <c r="U249" s="588">
        <v>0</v>
      </c>
    </row>
    <row r="250" spans="1:21" x14ac:dyDescent="0.35">
      <c r="A250" s="116"/>
      <c r="B250" s="35"/>
      <c r="C250" s="117"/>
      <c r="D250" s="1687"/>
      <c r="E250" s="1688"/>
      <c r="F250" s="159"/>
      <c r="G250" s="160"/>
      <c r="H250" s="161"/>
      <c r="I250" s="162"/>
      <c r="J250" s="164"/>
      <c r="K250" s="157">
        <f t="shared" si="31"/>
        <v>100</v>
      </c>
      <c r="L250" s="157">
        <f t="shared" si="32"/>
        <v>200</v>
      </c>
      <c r="M250" s="157">
        <f t="shared" si="33"/>
        <v>300</v>
      </c>
      <c r="N250" s="157">
        <f t="shared" si="34"/>
        <v>400</v>
      </c>
      <c r="O250" s="959"/>
      <c r="P250" s="967"/>
      <c r="Q250" s="586"/>
      <c r="R250" s="968"/>
      <c r="S250" s="589"/>
      <c r="T250" s="589"/>
      <c r="U250" s="589"/>
    </row>
    <row r="251" spans="1:21" x14ac:dyDescent="0.35">
      <c r="A251" s="116"/>
      <c r="B251" s="35"/>
      <c r="C251" s="117"/>
      <c r="D251" s="1687"/>
      <c r="E251" s="1688"/>
      <c r="F251" s="159"/>
      <c r="G251" s="160"/>
      <c r="H251" s="161"/>
      <c r="I251" s="162"/>
      <c r="J251" s="164"/>
      <c r="K251" s="157">
        <f t="shared" si="31"/>
        <v>100</v>
      </c>
      <c r="L251" s="157">
        <f t="shared" si="32"/>
        <v>200</v>
      </c>
      <c r="M251" s="157">
        <f t="shared" si="33"/>
        <v>300</v>
      </c>
      <c r="N251" s="157">
        <f t="shared" si="34"/>
        <v>400</v>
      </c>
      <c r="O251" s="959"/>
      <c r="P251" s="967"/>
      <c r="Q251" s="586"/>
      <c r="R251" s="968"/>
      <c r="S251" s="589"/>
      <c r="T251" s="589"/>
      <c r="U251" s="589"/>
    </row>
    <row r="252" spans="1:21" x14ac:dyDescent="0.35">
      <c r="A252" s="116"/>
      <c r="B252" s="35"/>
      <c r="C252" s="117"/>
      <c r="D252" s="1687"/>
      <c r="E252" s="1688"/>
      <c r="F252" s="159"/>
      <c r="G252" s="160"/>
      <c r="H252" s="161"/>
      <c r="I252" s="162"/>
      <c r="J252" s="164"/>
      <c r="K252" s="157">
        <f t="shared" si="31"/>
        <v>100</v>
      </c>
      <c r="L252" s="157">
        <f t="shared" si="32"/>
        <v>200</v>
      </c>
      <c r="M252" s="157">
        <f t="shared" si="33"/>
        <v>300</v>
      </c>
      <c r="N252" s="157">
        <f t="shared" si="34"/>
        <v>400</v>
      </c>
      <c r="O252" s="959"/>
      <c r="P252" s="967"/>
      <c r="Q252" s="586"/>
      <c r="R252" s="968"/>
      <c r="S252" s="589"/>
      <c r="T252" s="589"/>
      <c r="U252" s="589"/>
    </row>
    <row r="253" spans="1:21" x14ac:dyDescent="0.35">
      <c r="A253" s="123"/>
      <c r="B253" s="35"/>
      <c r="C253" s="151"/>
      <c r="D253" s="1687"/>
      <c r="E253" s="1688"/>
      <c r="F253" s="165"/>
      <c r="G253" s="160"/>
      <c r="H253" s="161"/>
      <c r="I253" s="166"/>
      <c r="J253" s="167"/>
      <c r="K253" s="157">
        <f t="shared" si="31"/>
        <v>100</v>
      </c>
      <c r="L253" s="157">
        <f t="shared" si="32"/>
        <v>200</v>
      </c>
      <c r="M253" s="157">
        <f t="shared" si="33"/>
        <v>300</v>
      </c>
      <c r="N253" s="157">
        <f t="shared" si="34"/>
        <v>400</v>
      </c>
      <c r="O253" s="959"/>
      <c r="P253" s="967"/>
      <c r="Q253" s="586"/>
      <c r="R253" s="968"/>
      <c r="S253" s="589"/>
      <c r="T253" s="589"/>
      <c r="U253" s="589"/>
    </row>
    <row r="254" spans="1:21" x14ac:dyDescent="0.35">
      <c r="A254" s="116"/>
      <c r="B254" s="35"/>
      <c r="C254" s="117"/>
      <c r="D254" s="1687"/>
      <c r="E254" s="1688"/>
      <c r="F254" s="159"/>
      <c r="G254" s="160"/>
      <c r="H254" s="168"/>
      <c r="I254" s="162"/>
      <c r="J254" s="164"/>
      <c r="K254" s="157">
        <f t="shared" si="31"/>
        <v>100</v>
      </c>
      <c r="L254" s="157">
        <f t="shared" si="32"/>
        <v>200</v>
      </c>
      <c r="M254" s="157">
        <f t="shared" si="33"/>
        <v>300</v>
      </c>
      <c r="N254" s="157">
        <f t="shared" si="34"/>
        <v>400</v>
      </c>
      <c r="O254" s="959"/>
      <c r="P254" s="967"/>
      <c r="Q254" s="586"/>
      <c r="R254" s="968"/>
      <c r="S254" s="589"/>
      <c r="T254" s="589"/>
      <c r="U254" s="589"/>
    </row>
    <row r="255" spans="1:21" x14ac:dyDescent="0.35">
      <c r="A255" s="116"/>
      <c r="B255" s="117"/>
      <c r="C255" s="117"/>
      <c r="D255" s="1687"/>
      <c r="E255" s="1688"/>
      <c r="F255" s="159"/>
      <c r="G255" s="160"/>
      <c r="H255" s="168"/>
      <c r="I255" s="162"/>
      <c r="J255" s="164"/>
      <c r="K255" s="157">
        <f t="shared" si="31"/>
        <v>100</v>
      </c>
      <c r="L255" s="157">
        <f t="shared" si="32"/>
        <v>200</v>
      </c>
      <c r="M255" s="157">
        <f t="shared" si="33"/>
        <v>300</v>
      </c>
      <c r="N255" s="157">
        <f t="shared" si="34"/>
        <v>400</v>
      </c>
      <c r="O255" s="959"/>
      <c r="P255" s="967"/>
      <c r="Q255" s="586"/>
      <c r="R255" s="968"/>
      <c r="S255" s="589"/>
      <c r="T255" s="589"/>
      <c r="U255" s="589"/>
    </row>
    <row r="256" spans="1:21" x14ac:dyDescent="0.35">
      <c r="A256" s="116"/>
      <c r="B256" s="117"/>
      <c r="C256" s="117"/>
      <c r="D256" s="1687"/>
      <c r="E256" s="1688"/>
      <c r="F256" s="169"/>
      <c r="G256" s="170"/>
      <c r="H256" s="171"/>
      <c r="I256" s="172"/>
      <c r="J256" s="173"/>
      <c r="K256" s="157">
        <f t="shared" si="31"/>
        <v>100</v>
      </c>
      <c r="L256" s="157">
        <f t="shared" si="32"/>
        <v>200</v>
      </c>
      <c r="M256" s="157">
        <f t="shared" si="33"/>
        <v>300</v>
      </c>
      <c r="N256" s="157">
        <f t="shared" si="34"/>
        <v>400</v>
      </c>
      <c r="O256" s="959"/>
      <c r="P256" s="967"/>
      <c r="Q256" s="586"/>
      <c r="R256" s="968"/>
      <c r="S256" s="589"/>
      <c r="T256" s="589"/>
      <c r="U256" s="589"/>
    </row>
    <row r="257" spans="1:21" ht="28.5" customHeight="1" x14ac:dyDescent="0.35">
      <c r="A257" s="116"/>
      <c r="B257" s="117"/>
      <c r="C257" s="117"/>
      <c r="D257" s="174"/>
      <c r="E257" s="175"/>
      <c r="F257" s="1689" t="s">
        <v>2</v>
      </c>
      <c r="G257" s="1689"/>
      <c r="H257" s="176">
        <f>IF(O257&gt;1,"Zielerreichung übersteigt 100%!",O257)</f>
        <v>0</v>
      </c>
      <c r="I257" s="177"/>
      <c r="J257" s="178"/>
      <c r="K257" s="157">
        <f t="shared" si="31"/>
        <v>100</v>
      </c>
      <c r="L257" s="157">
        <f t="shared" si="32"/>
        <v>200</v>
      </c>
      <c r="M257" s="157">
        <f t="shared" si="33"/>
        <v>300</v>
      </c>
      <c r="N257" s="157">
        <f t="shared" si="34"/>
        <v>400</v>
      </c>
      <c r="O257" s="959">
        <f>SUM(H245:H256)</f>
        <v>0</v>
      </c>
      <c r="P257" s="967"/>
      <c r="Q257" s="586"/>
      <c r="R257" s="968"/>
      <c r="S257" s="589"/>
      <c r="T257" s="589"/>
      <c r="U257" s="589"/>
    </row>
    <row r="258" spans="1:21" x14ac:dyDescent="0.35">
      <c r="A258" s="116"/>
      <c r="B258" s="117"/>
      <c r="C258" s="117"/>
      <c r="D258" s="179"/>
      <c r="E258" s="180"/>
      <c r="F258" s="1690" t="s">
        <v>3</v>
      </c>
      <c r="G258" s="1691"/>
      <c r="H258" s="181">
        <v>5</v>
      </c>
      <c r="I258" s="177"/>
      <c r="J258" s="178"/>
      <c r="K258" s="157">
        <f t="shared" si="31"/>
        <v>100</v>
      </c>
      <c r="L258" s="157">
        <f t="shared" si="32"/>
        <v>200</v>
      </c>
      <c r="M258" s="157">
        <f t="shared" si="33"/>
        <v>300</v>
      </c>
      <c r="N258" s="157">
        <f t="shared" si="34"/>
        <v>400</v>
      </c>
      <c r="O258" s="1030"/>
      <c r="P258" s="967"/>
      <c r="Q258" s="586"/>
      <c r="R258" s="968"/>
      <c r="S258" s="589"/>
      <c r="T258" s="589"/>
      <c r="U258" s="589"/>
    </row>
    <row r="259" spans="1:21" x14ac:dyDescent="0.35">
      <c r="A259" s="116"/>
      <c r="B259" s="117"/>
      <c r="C259" s="117"/>
      <c r="D259" s="179"/>
      <c r="E259" s="180"/>
      <c r="F259" s="1700" t="s">
        <v>5494</v>
      </c>
      <c r="G259" s="1701"/>
      <c r="H259" s="1089" t="str">
        <f>IF($H$2=1,25,"")</f>
        <v/>
      </c>
      <c r="I259" s="183"/>
      <c r="J259" s="178"/>
      <c r="K259" s="157">
        <f t="shared" si="31"/>
        <v>100</v>
      </c>
      <c r="L259" s="157">
        <f t="shared" si="32"/>
        <v>200</v>
      </c>
      <c r="M259" s="157">
        <f t="shared" si="33"/>
        <v>300</v>
      </c>
      <c r="N259" s="157">
        <f t="shared" si="34"/>
        <v>400</v>
      </c>
      <c r="O259" s="1030"/>
      <c r="P259" s="967"/>
      <c r="Q259" s="586"/>
      <c r="R259" s="968"/>
      <c r="S259" s="589"/>
      <c r="T259" s="589"/>
      <c r="U259" s="589"/>
    </row>
    <row r="260" spans="1:21" x14ac:dyDescent="0.35">
      <c r="A260" s="184"/>
      <c r="B260" s="185"/>
      <c r="C260" s="185"/>
      <c r="D260" s="179"/>
      <c r="E260" s="180"/>
      <c r="F260" s="186"/>
      <c r="G260" s="186"/>
      <c r="H260" s="187"/>
      <c r="I260" s="177"/>
      <c r="J260" s="178"/>
      <c r="K260" s="157">
        <f t="shared" si="31"/>
        <v>100</v>
      </c>
      <c r="L260" s="157">
        <f t="shared" si="32"/>
        <v>200</v>
      </c>
      <c r="M260" s="157">
        <f t="shared" si="33"/>
        <v>300</v>
      </c>
      <c r="N260" s="157">
        <f t="shared" si="34"/>
        <v>400</v>
      </c>
      <c r="O260" s="1030"/>
      <c r="P260" s="967"/>
      <c r="Q260" s="586"/>
      <c r="R260" s="968"/>
      <c r="S260" s="589"/>
      <c r="T260" s="589"/>
      <c r="U260" s="589"/>
    </row>
    <row r="261" spans="1:21" ht="15.5" x14ac:dyDescent="0.35">
      <c r="A261" s="116"/>
      <c r="B261" s="117"/>
      <c r="C261" s="1713"/>
      <c r="D261" s="1714"/>
      <c r="E261" s="188"/>
      <c r="F261" s="1715" t="s">
        <v>5</v>
      </c>
      <c r="G261" s="1715"/>
      <c r="H261" s="189">
        <f>IF(ISNUMBER(H259),H259*H257,H258*H257)</f>
        <v>0</v>
      </c>
      <c r="I261" s="190"/>
      <c r="J261" s="191"/>
      <c r="K261" s="157">
        <f t="shared" si="31"/>
        <v>100</v>
      </c>
      <c r="L261" s="157">
        <f t="shared" si="32"/>
        <v>200</v>
      </c>
      <c r="M261" s="157">
        <f t="shared" si="33"/>
        <v>300</v>
      </c>
      <c r="N261" s="157">
        <f t="shared" si="34"/>
        <v>400</v>
      </c>
      <c r="O261" s="1030"/>
      <c r="P261" s="967"/>
      <c r="Q261" s="586"/>
      <c r="R261" s="968"/>
      <c r="S261" s="589"/>
      <c r="T261" s="589"/>
      <c r="U261" s="589"/>
    </row>
    <row r="262" spans="1:21" x14ac:dyDescent="0.35">
      <c r="K262" s="157">
        <f t="shared" si="31"/>
        <v>100</v>
      </c>
      <c r="L262" s="157">
        <f t="shared" si="32"/>
        <v>200</v>
      </c>
      <c r="M262" s="157">
        <f t="shared" si="33"/>
        <v>300</v>
      </c>
      <c r="N262" s="157">
        <f t="shared" si="34"/>
        <v>400</v>
      </c>
      <c r="O262" s="967"/>
      <c r="P262" s="967"/>
      <c r="Q262" s="586"/>
      <c r="R262" s="968"/>
      <c r="S262" s="589"/>
      <c r="T262" s="589"/>
      <c r="U262" s="589"/>
    </row>
    <row r="263" spans="1:21" ht="7.5" customHeight="1" x14ac:dyDescent="0.35">
      <c r="A263" s="116"/>
      <c r="B263" s="117"/>
      <c r="C263" s="117"/>
      <c r="D263" s="116"/>
      <c r="E263" s="116"/>
      <c r="F263" s="118"/>
      <c r="G263" s="119"/>
      <c r="H263" s="116"/>
      <c r="I263" s="120"/>
      <c r="J263" s="121"/>
      <c r="K263" s="157">
        <f t="shared" si="31"/>
        <v>100</v>
      </c>
      <c r="L263" s="157">
        <f t="shared" si="32"/>
        <v>200</v>
      </c>
      <c r="M263" s="157">
        <f t="shared" si="33"/>
        <v>300</v>
      </c>
      <c r="N263" s="157">
        <f t="shared" si="34"/>
        <v>400</v>
      </c>
      <c r="O263" s="968"/>
      <c r="P263" s="968"/>
      <c r="Q263" s="586"/>
      <c r="R263" s="968"/>
      <c r="S263" s="589"/>
      <c r="T263" s="589"/>
      <c r="U263" s="589"/>
    </row>
    <row r="264" spans="1:21" x14ac:dyDescent="0.35">
      <c r="B264" s="185"/>
      <c r="K264" s="157">
        <f t="shared" si="31"/>
        <v>100</v>
      </c>
      <c r="L264" s="157">
        <f t="shared" si="32"/>
        <v>200</v>
      </c>
      <c r="M264" s="157">
        <f t="shared" si="33"/>
        <v>300</v>
      </c>
      <c r="N264" s="157">
        <f t="shared" si="34"/>
        <v>400</v>
      </c>
      <c r="O264" s="967"/>
      <c r="P264" s="967"/>
      <c r="Q264" s="586"/>
      <c r="R264" s="968"/>
      <c r="S264" s="589"/>
      <c r="T264" s="589"/>
      <c r="U264" s="589"/>
    </row>
    <row r="265" spans="1:21" ht="7.5" customHeight="1" x14ac:dyDescent="0.35">
      <c r="A265" s="116"/>
      <c r="B265" s="117"/>
      <c r="C265" s="117"/>
      <c r="D265" s="116"/>
      <c r="E265" s="116"/>
      <c r="F265" s="118"/>
      <c r="G265" s="119"/>
      <c r="H265" s="116"/>
      <c r="I265" s="120"/>
      <c r="J265" s="121"/>
      <c r="K265" s="157">
        <f t="shared" si="31"/>
        <v>100</v>
      </c>
      <c r="L265" s="157">
        <f t="shared" si="32"/>
        <v>200</v>
      </c>
      <c r="M265" s="157">
        <f t="shared" si="33"/>
        <v>300</v>
      </c>
      <c r="N265" s="157">
        <f t="shared" si="34"/>
        <v>400</v>
      </c>
      <c r="O265" s="968"/>
      <c r="P265" s="968"/>
      <c r="Q265" s="586"/>
      <c r="R265" s="968"/>
      <c r="S265" s="589"/>
      <c r="T265" s="589"/>
      <c r="U265" s="589"/>
    </row>
    <row r="266" spans="1:21" ht="15.5" x14ac:dyDescent="0.35">
      <c r="A266" s="124"/>
      <c r="B266" s="125"/>
      <c r="C266" s="126" t="s">
        <v>4766</v>
      </c>
      <c r="D266" s="127" t="s">
        <v>5420</v>
      </c>
      <c r="E266" s="128"/>
      <c r="F266" s="129" t="str">
        <f>IF($F$3=1,O266,"")</f>
        <v>A.3.4 Ausschreibungen</v>
      </c>
      <c r="G266" s="130"/>
      <c r="H266" s="131"/>
      <c r="I266" s="520" t="s">
        <v>23</v>
      </c>
      <c r="J266" s="130"/>
      <c r="K266" s="157">
        <f t="shared" si="31"/>
        <v>100</v>
      </c>
      <c r="L266" s="157">
        <f t="shared" si="32"/>
        <v>200</v>
      </c>
      <c r="M266" s="157">
        <f t="shared" si="33"/>
        <v>300</v>
      </c>
      <c r="N266" s="157">
        <f t="shared" si="34"/>
        <v>400</v>
      </c>
      <c r="O266" s="967" t="str">
        <f>CONCATENATE(C266," ",D266)</f>
        <v>A.3.4 Ausschreibungen</v>
      </c>
      <c r="P266" s="966"/>
      <c r="Q266" s="586"/>
      <c r="R266" s="968"/>
      <c r="S266" s="589"/>
      <c r="T266" s="589"/>
      <c r="U266" s="589"/>
    </row>
    <row r="267" spans="1:21" x14ac:dyDescent="0.35">
      <c r="A267" s="124"/>
      <c r="B267" s="134"/>
      <c r="C267" s="135"/>
      <c r="D267" s="136"/>
      <c r="E267" s="136"/>
      <c r="F267" s="137"/>
      <c r="G267" s="138"/>
      <c r="H267" s="124"/>
      <c r="I267" s="139"/>
      <c r="J267" s="140"/>
      <c r="K267" s="157">
        <f t="shared" si="31"/>
        <v>100</v>
      </c>
      <c r="L267" s="157">
        <f t="shared" si="32"/>
        <v>200</v>
      </c>
      <c r="M267" s="157">
        <f t="shared" si="33"/>
        <v>300</v>
      </c>
      <c r="N267" s="157">
        <f t="shared" si="34"/>
        <v>400</v>
      </c>
      <c r="O267" s="968"/>
      <c r="P267" s="966"/>
      <c r="Q267" s="586"/>
      <c r="R267" s="968"/>
      <c r="S267" s="589"/>
      <c r="T267" s="589"/>
      <c r="U267" s="589"/>
    </row>
    <row r="268" spans="1:21" x14ac:dyDescent="0.35">
      <c r="A268" s="142"/>
      <c r="B268" s="35"/>
      <c r="C268" s="143"/>
      <c r="D268" s="1685" t="s">
        <v>18</v>
      </c>
      <c r="E268" s="1686"/>
      <c r="F268" s="144" t="s">
        <v>19</v>
      </c>
      <c r="G268" s="145" t="s">
        <v>0</v>
      </c>
      <c r="H268" s="146" t="s">
        <v>20</v>
      </c>
      <c r="I268" s="147" t="s">
        <v>1</v>
      </c>
      <c r="J268" s="147" t="s">
        <v>4375</v>
      </c>
      <c r="K268" s="157">
        <f t="shared" si="31"/>
        <v>100</v>
      </c>
      <c r="L268" s="157">
        <f t="shared" si="32"/>
        <v>200</v>
      </c>
      <c r="M268" s="157">
        <f t="shared" si="33"/>
        <v>300</v>
      </c>
      <c r="N268" s="157">
        <f t="shared" si="34"/>
        <v>400</v>
      </c>
      <c r="O268" s="587"/>
      <c r="P268" s="967"/>
      <c r="Q268" s="586"/>
      <c r="R268" s="968"/>
      <c r="S268" s="589"/>
      <c r="T268" s="589"/>
      <c r="U268" s="589"/>
    </row>
    <row r="269" spans="1:21" ht="36" x14ac:dyDescent="0.35">
      <c r="A269" s="123"/>
      <c r="B269" s="35"/>
      <c r="C269" s="151"/>
      <c r="D269" s="1687" t="s">
        <v>4659</v>
      </c>
      <c r="E269" s="1688"/>
      <c r="F269" s="152" t="s">
        <v>4550</v>
      </c>
      <c r="G269" s="153">
        <f t="shared" ref="G269:G271" si="37">IF($H$2=1,S269,IF($H$2=2,T269,U269))</f>
        <v>0.1</v>
      </c>
      <c r="H269" s="154"/>
      <c r="I269" s="155"/>
      <c r="J269" s="156"/>
      <c r="K269" s="157">
        <f t="shared" si="31"/>
        <v>100</v>
      </c>
      <c r="L269" s="157">
        <f t="shared" si="32"/>
        <v>200</v>
      </c>
      <c r="M269" s="157">
        <f t="shared" si="33"/>
        <v>300</v>
      </c>
      <c r="N269" s="157">
        <f t="shared" si="34"/>
        <v>400</v>
      </c>
      <c r="O269" s="967" t="str">
        <f>CONCATENATE(O266," | ",F269)</f>
        <v>A.3.4 Ausschreibungen | Energie und Klimaschutz relevante Qualitätskriterien, welche bei Ausschreibungen berücksichtigt werden sollten, sind bekannt</v>
      </c>
      <c r="P269" s="967"/>
      <c r="Q269" s="586"/>
      <c r="R269" s="968"/>
      <c r="S269" s="588">
        <v>0</v>
      </c>
      <c r="T269" s="588">
        <v>0.1</v>
      </c>
      <c r="U269" s="588">
        <v>0.1</v>
      </c>
    </row>
    <row r="270" spans="1:21" ht="48" x14ac:dyDescent="0.35">
      <c r="A270" s="123"/>
      <c r="B270" s="35"/>
      <c r="C270" s="151"/>
      <c r="D270" s="1687"/>
      <c r="E270" s="1688"/>
      <c r="F270" s="152" t="s">
        <v>4551</v>
      </c>
      <c r="G270" s="153">
        <f t="shared" si="37"/>
        <v>0.1</v>
      </c>
      <c r="H270" s="154"/>
      <c r="I270" s="158"/>
      <c r="J270" s="156"/>
      <c r="K270" s="157">
        <f t="shared" si="31"/>
        <v>100</v>
      </c>
      <c r="L270" s="157">
        <f t="shared" si="32"/>
        <v>200</v>
      </c>
      <c r="M270" s="157">
        <f t="shared" si="33"/>
        <v>300</v>
      </c>
      <c r="N270" s="157">
        <f t="shared" si="34"/>
        <v>400</v>
      </c>
      <c r="O270" s="967" t="str">
        <f>CONCATENATE(O266," | ",F270)</f>
        <v>A.3.4 Ausschreibungen | Das Ausschreibeverfahren ist dazu geeignet. „Geeignet“ bedeutet in diesem Zusammenhang, dass die Abweichung von Standardtexten möglich ist und die Vergabe nach dem Bestbieterprinzip erfolgt</v>
      </c>
      <c r="P270" s="967"/>
      <c r="Q270" s="586"/>
      <c r="R270" s="968"/>
      <c r="S270" s="588">
        <v>0</v>
      </c>
      <c r="T270" s="588">
        <v>0.1</v>
      </c>
      <c r="U270" s="588">
        <v>0.1</v>
      </c>
    </row>
    <row r="271" spans="1:21" ht="48" x14ac:dyDescent="0.35">
      <c r="A271" s="123"/>
      <c r="B271" s="35"/>
      <c r="C271" s="151"/>
      <c r="D271" s="1687"/>
      <c r="E271" s="1688"/>
      <c r="F271" s="152" t="s">
        <v>4552</v>
      </c>
      <c r="G271" s="153">
        <f t="shared" si="37"/>
        <v>0.8</v>
      </c>
      <c r="H271" s="154"/>
      <c r="I271" s="158"/>
      <c r="J271" s="156"/>
      <c r="K271" s="157">
        <f t="shared" si="31"/>
        <v>100</v>
      </c>
      <c r="L271" s="157">
        <f t="shared" si="32"/>
        <v>200</v>
      </c>
      <c r="M271" s="157">
        <f t="shared" si="33"/>
        <v>300</v>
      </c>
      <c r="N271" s="157">
        <f t="shared" si="34"/>
        <v>400</v>
      </c>
      <c r="O271" s="967" t="str">
        <f>CONCATENATE(O266," | ",F271)</f>
        <v>A.3.4 Ausschreibungen | Relevante Bestimmungen für die Zielerreichung wurden bei allen relevanten Ausschreibungen vorgegeben und bei der Vergabe eigens bewertet (Bewertung in Abhängigkeit der Anzahl)</v>
      </c>
      <c r="P271" s="967"/>
      <c r="Q271" s="586"/>
      <c r="R271" s="968"/>
      <c r="S271" s="588">
        <v>0</v>
      </c>
      <c r="T271" s="588">
        <v>0.8</v>
      </c>
      <c r="U271" s="588">
        <v>0.8</v>
      </c>
    </row>
    <row r="272" spans="1:21" x14ac:dyDescent="0.35">
      <c r="A272" s="123">
        <v>3.2</v>
      </c>
      <c r="B272" s="35"/>
      <c r="C272" s="151"/>
      <c r="D272" s="1687"/>
      <c r="E272" s="1688"/>
      <c r="F272" s="159"/>
      <c r="G272" s="160"/>
      <c r="H272" s="161"/>
      <c r="I272" s="166"/>
      <c r="J272" s="164"/>
      <c r="K272" s="157">
        <f t="shared" si="31"/>
        <v>100</v>
      </c>
      <c r="L272" s="157">
        <f t="shared" si="32"/>
        <v>200</v>
      </c>
      <c r="M272" s="157">
        <f t="shared" si="33"/>
        <v>300</v>
      </c>
      <c r="N272" s="157">
        <f t="shared" si="34"/>
        <v>400</v>
      </c>
      <c r="O272" s="967"/>
      <c r="P272" s="967"/>
      <c r="Q272" s="586"/>
      <c r="R272" s="968"/>
      <c r="S272" s="589"/>
      <c r="T272" s="589"/>
      <c r="U272" s="589"/>
    </row>
    <row r="273" spans="1:21" x14ac:dyDescent="0.35">
      <c r="A273" s="123"/>
      <c r="B273" s="35"/>
      <c r="C273" s="151"/>
      <c r="D273" s="1687"/>
      <c r="E273" s="1688"/>
      <c r="F273" s="159"/>
      <c r="G273" s="160"/>
      <c r="H273" s="161"/>
      <c r="I273" s="166"/>
      <c r="J273" s="164"/>
      <c r="K273" s="157">
        <f t="shared" si="31"/>
        <v>100</v>
      </c>
      <c r="L273" s="157">
        <f t="shared" si="32"/>
        <v>200</v>
      </c>
      <c r="M273" s="157">
        <f t="shared" si="33"/>
        <v>300</v>
      </c>
      <c r="N273" s="157">
        <f t="shared" si="34"/>
        <v>400</v>
      </c>
      <c r="O273" s="967"/>
      <c r="P273" s="967"/>
      <c r="Q273" s="586"/>
      <c r="R273" s="968"/>
      <c r="S273" s="589"/>
      <c r="T273" s="589"/>
      <c r="U273" s="589"/>
    </row>
    <row r="274" spans="1:21" x14ac:dyDescent="0.35">
      <c r="A274" s="116"/>
      <c r="B274" s="35"/>
      <c r="C274" s="117"/>
      <c r="D274" s="1687"/>
      <c r="E274" s="1688"/>
      <c r="F274" s="159"/>
      <c r="G274" s="160"/>
      <c r="H274" s="161"/>
      <c r="I274" s="162"/>
      <c r="J274" s="164"/>
      <c r="K274" s="157">
        <f t="shared" si="31"/>
        <v>100</v>
      </c>
      <c r="L274" s="157">
        <f t="shared" si="32"/>
        <v>200</v>
      </c>
      <c r="M274" s="157">
        <f t="shared" si="33"/>
        <v>300</v>
      </c>
      <c r="N274" s="157">
        <f t="shared" si="34"/>
        <v>400</v>
      </c>
      <c r="O274" s="959"/>
      <c r="P274" s="967"/>
      <c r="Q274" s="586"/>
      <c r="R274" s="968"/>
      <c r="S274" s="589"/>
      <c r="T274" s="589"/>
      <c r="U274" s="589"/>
    </row>
    <row r="275" spans="1:21" x14ac:dyDescent="0.35">
      <c r="A275" s="116"/>
      <c r="B275" s="35"/>
      <c r="C275" s="117"/>
      <c r="D275" s="1687"/>
      <c r="E275" s="1688"/>
      <c r="F275" s="159"/>
      <c r="G275" s="160"/>
      <c r="H275" s="161"/>
      <c r="I275" s="162"/>
      <c r="J275" s="164"/>
      <c r="K275" s="157">
        <f t="shared" si="31"/>
        <v>100</v>
      </c>
      <c r="L275" s="157">
        <f t="shared" si="32"/>
        <v>200</v>
      </c>
      <c r="M275" s="157">
        <f t="shared" si="33"/>
        <v>300</v>
      </c>
      <c r="N275" s="157">
        <f t="shared" si="34"/>
        <v>400</v>
      </c>
      <c r="O275" s="959"/>
      <c r="P275" s="967"/>
      <c r="Q275" s="586"/>
      <c r="R275" s="968"/>
      <c r="S275" s="589"/>
      <c r="T275" s="589"/>
      <c r="U275" s="589"/>
    </row>
    <row r="276" spans="1:21" x14ac:dyDescent="0.35">
      <c r="A276" s="116"/>
      <c r="B276" s="35"/>
      <c r="C276" s="117"/>
      <c r="D276" s="1687"/>
      <c r="E276" s="1688"/>
      <c r="F276" s="159"/>
      <c r="G276" s="160"/>
      <c r="H276" s="161"/>
      <c r="I276" s="162"/>
      <c r="J276" s="164"/>
      <c r="K276" s="157">
        <f t="shared" si="31"/>
        <v>100</v>
      </c>
      <c r="L276" s="157">
        <f t="shared" si="32"/>
        <v>200</v>
      </c>
      <c r="M276" s="157">
        <f t="shared" si="33"/>
        <v>300</v>
      </c>
      <c r="N276" s="157">
        <f t="shared" si="34"/>
        <v>400</v>
      </c>
      <c r="O276" s="959"/>
      <c r="P276" s="967"/>
      <c r="Q276" s="586"/>
      <c r="R276" s="968"/>
      <c r="S276" s="589"/>
      <c r="T276" s="589"/>
      <c r="U276" s="589"/>
    </row>
    <row r="277" spans="1:21" x14ac:dyDescent="0.35">
      <c r="A277" s="123"/>
      <c r="B277" s="35"/>
      <c r="C277" s="151"/>
      <c r="D277" s="1687"/>
      <c r="E277" s="1688"/>
      <c r="F277" s="165"/>
      <c r="G277" s="160"/>
      <c r="H277" s="161"/>
      <c r="I277" s="166"/>
      <c r="J277" s="167"/>
      <c r="K277" s="157">
        <f t="shared" si="31"/>
        <v>100</v>
      </c>
      <c r="L277" s="157">
        <f t="shared" si="32"/>
        <v>200</v>
      </c>
      <c r="M277" s="157">
        <f t="shared" si="33"/>
        <v>300</v>
      </c>
      <c r="N277" s="157">
        <f t="shared" si="34"/>
        <v>400</v>
      </c>
      <c r="O277" s="959"/>
      <c r="P277" s="967"/>
      <c r="Q277" s="586"/>
      <c r="R277" s="968"/>
      <c r="S277" s="589"/>
      <c r="T277" s="589"/>
      <c r="U277" s="589"/>
    </row>
    <row r="278" spans="1:21" x14ac:dyDescent="0.35">
      <c r="A278" s="116"/>
      <c r="B278" s="35"/>
      <c r="C278" s="117"/>
      <c r="D278" s="1687"/>
      <c r="E278" s="1688"/>
      <c r="F278" s="159"/>
      <c r="G278" s="160"/>
      <c r="H278" s="168"/>
      <c r="I278" s="162"/>
      <c r="J278" s="164"/>
      <c r="K278" s="157">
        <f t="shared" si="31"/>
        <v>100</v>
      </c>
      <c r="L278" s="157">
        <f t="shared" si="32"/>
        <v>200</v>
      </c>
      <c r="M278" s="157">
        <f t="shared" si="33"/>
        <v>300</v>
      </c>
      <c r="N278" s="157">
        <f t="shared" si="34"/>
        <v>400</v>
      </c>
      <c r="O278" s="959"/>
      <c r="P278" s="967"/>
      <c r="Q278" s="586"/>
      <c r="R278" s="968"/>
      <c r="S278" s="589"/>
      <c r="T278" s="589"/>
      <c r="U278" s="589"/>
    </row>
    <row r="279" spans="1:21" x14ac:dyDescent="0.35">
      <c r="A279" s="116"/>
      <c r="B279" s="117"/>
      <c r="C279" s="117"/>
      <c r="D279" s="1687"/>
      <c r="E279" s="1688"/>
      <c r="F279" s="159"/>
      <c r="G279" s="160"/>
      <c r="H279" s="168"/>
      <c r="I279" s="162"/>
      <c r="J279" s="164"/>
      <c r="K279" s="157">
        <f t="shared" si="31"/>
        <v>100</v>
      </c>
      <c r="L279" s="157">
        <f t="shared" si="32"/>
        <v>200</v>
      </c>
      <c r="M279" s="157">
        <f t="shared" si="33"/>
        <v>300</v>
      </c>
      <c r="N279" s="157">
        <f t="shared" si="34"/>
        <v>400</v>
      </c>
      <c r="O279" s="959"/>
      <c r="P279" s="967"/>
      <c r="Q279" s="586"/>
      <c r="R279" s="968"/>
      <c r="S279" s="589"/>
      <c r="T279" s="589"/>
      <c r="U279" s="589"/>
    </row>
    <row r="280" spans="1:21" x14ac:dyDescent="0.35">
      <c r="A280" s="116"/>
      <c r="B280" s="117"/>
      <c r="C280" s="117"/>
      <c r="D280" s="1687"/>
      <c r="E280" s="1688"/>
      <c r="F280" s="169"/>
      <c r="G280" s="170"/>
      <c r="H280" s="171"/>
      <c r="I280" s="172"/>
      <c r="J280" s="173"/>
      <c r="K280" s="157">
        <f t="shared" si="31"/>
        <v>100</v>
      </c>
      <c r="L280" s="157">
        <f t="shared" si="32"/>
        <v>200</v>
      </c>
      <c r="M280" s="157">
        <f t="shared" si="33"/>
        <v>300</v>
      </c>
      <c r="N280" s="157">
        <f t="shared" si="34"/>
        <v>400</v>
      </c>
      <c r="O280" s="959"/>
      <c r="P280" s="967"/>
      <c r="Q280" s="586"/>
      <c r="R280" s="968"/>
      <c r="S280" s="589"/>
      <c r="T280" s="589"/>
      <c r="U280" s="589"/>
    </row>
    <row r="281" spans="1:21" ht="28.5" customHeight="1" x14ac:dyDescent="0.35">
      <c r="A281" s="116"/>
      <c r="B281" s="117"/>
      <c r="C281" s="117"/>
      <c r="D281" s="174"/>
      <c r="E281" s="175"/>
      <c r="F281" s="1689" t="s">
        <v>2</v>
      </c>
      <c r="G281" s="1689"/>
      <c r="H281" s="176">
        <f>IF(O281&gt;1,"Zielerreichung übersteigt 100%!",O281)</f>
        <v>0</v>
      </c>
      <c r="I281" s="177"/>
      <c r="J281" s="178"/>
      <c r="K281" s="157">
        <f t="shared" si="31"/>
        <v>100</v>
      </c>
      <c r="L281" s="157">
        <f t="shared" si="32"/>
        <v>200</v>
      </c>
      <c r="M281" s="157">
        <f t="shared" si="33"/>
        <v>300</v>
      </c>
      <c r="N281" s="157">
        <f t="shared" si="34"/>
        <v>400</v>
      </c>
      <c r="O281" s="959">
        <f>SUM(H269:H280)</f>
        <v>0</v>
      </c>
      <c r="P281" s="967"/>
      <c r="Q281" s="586"/>
      <c r="R281" s="968"/>
      <c r="S281" s="589"/>
      <c r="T281" s="589"/>
      <c r="U281" s="589"/>
    </row>
    <row r="282" spans="1:21" x14ac:dyDescent="0.35">
      <c r="A282" s="116"/>
      <c r="B282" s="117"/>
      <c r="C282" s="117"/>
      <c r="D282" s="179"/>
      <c r="E282" s="180"/>
      <c r="F282" s="1690" t="s">
        <v>3</v>
      </c>
      <c r="G282" s="1691"/>
      <c r="H282" s="181">
        <v>5</v>
      </c>
      <c r="I282" s="177"/>
      <c r="J282" s="178"/>
      <c r="K282" s="157">
        <f t="shared" si="31"/>
        <v>100</v>
      </c>
      <c r="L282" s="157">
        <f t="shared" si="32"/>
        <v>200</v>
      </c>
      <c r="M282" s="157">
        <f t="shared" si="33"/>
        <v>300</v>
      </c>
      <c r="N282" s="157">
        <f t="shared" si="34"/>
        <v>400</v>
      </c>
      <c r="O282" s="1030"/>
      <c r="P282" s="967"/>
      <c r="Q282" s="586"/>
      <c r="R282" s="968"/>
      <c r="S282" s="589"/>
      <c r="T282" s="589"/>
      <c r="U282" s="589"/>
    </row>
    <row r="283" spans="1:21" x14ac:dyDescent="0.35">
      <c r="A283" s="116"/>
      <c r="B283" s="117"/>
      <c r="C283" s="117"/>
      <c r="D283" s="179"/>
      <c r="E283" s="180"/>
      <c r="F283" s="1700" t="s">
        <v>5494</v>
      </c>
      <c r="G283" s="1701"/>
      <c r="H283" s="1084" t="str">
        <f>IF($H$2=1,0,"")</f>
        <v/>
      </c>
      <c r="I283" s="183"/>
      <c r="J283" s="178"/>
      <c r="K283" s="157">
        <f t="shared" si="31"/>
        <v>100</v>
      </c>
      <c r="L283" s="157">
        <f t="shared" si="32"/>
        <v>200</v>
      </c>
      <c r="M283" s="157">
        <f t="shared" si="33"/>
        <v>300</v>
      </c>
      <c r="N283" s="157">
        <f t="shared" si="34"/>
        <v>400</v>
      </c>
      <c r="O283" s="1030"/>
      <c r="P283" s="967"/>
      <c r="Q283" s="586"/>
      <c r="R283" s="968"/>
      <c r="S283" s="589"/>
      <c r="T283" s="589"/>
      <c r="U283" s="589"/>
    </row>
    <row r="284" spans="1:21" x14ac:dyDescent="0.35">
      <c r="A284" s="184"/>
      <c r="B284" s="185"/>
      <c r="C284" s="185"/>
      <c r="D284" s="179"/>
      <c r="E284" s="180"/>
      <c r="F284" s="186"/>
      <c r="G284" s="186"/>
      <c r="H284" s="187"/>
      <c r="I284" s="177"/>
      <c r="J284" s="178"/>
      <c r="K284" s="157">
        <f t="shared" si="31"/>
        <v>100</v>
      </c>
      <c r="L284" s="157">
        <f t="shared" si="32"/>
        <v>200</v>
      </c>
      <c r="M284" s="157">
        <f t="shared" si="33"/>
        <v>300</v>
      </c>
      <c r="N284" s="157">
        <f t="shared" si="34"/>
        <v>400</v>
      </c>
      <c r="O284" s="1030"/>
      <c r="P284" s="967"/>
      <c r="Q284" s="586"/>
      <c r="R284" s="968"/>
      <c r="S284" s="589"/>
      <c r="T284" s="589"/>
      <c r="U284" s="589"/>
    </row>
    <row r="285" spans="1:21" ht="15.5" x14ac:dyDescent="0.35">
      <c r="A285" s="116"/>
      <c r="B285" s="117"/>
      <c r="C285" s="1713"/>
      <c r="D285" s="1714"/>
      <c r="E285" s="188"/>
      <c r="F285" s="1715" t="s">
        <v>5</v>
      </c>
      <c r="G285" s="1715"/>
      <c r="H285" s="189">
        <f>IF(ISNUMBER(H283),H283*H281,H282*H281)</f>
        <v>0</v>
      </c>
      <c r="I285" s="190"/>
      <c r="J285" s="191"/>
      <c r="K285" s="157">
        <f t="shared" si="31"/>
        <v>100</v>
      </c>
      <c r="L285" s="157">
        <f t="shared" si="32"/>
        <v>200</v>
      </c>
      <c r="M285" s="157">
        <f t="shared" si="33"/>
        <v>300</v>
      </c>
      <c r="N285" s="157">
        <f t="shared" si="34"/>
        <v>400</v>
      </c>
      <c r="O285" s="1030"/>
      <c r="P285" s="967"/>
      <c r="Q285" s="586"/>
      <c r="R285" s="968"/>
      <c r="S285" s="589"/>
      <c r="T285" s="589"/>
      <c r="U285" s="589"/>
    </row>
    <row r="286" spans="1:21" x14ac:dyDescent="0.35">
      <c r="K286" s="157">
        <f t="shared" si="31"/>
        <v>100</v>
      </c>
      <c r="L286" s="157">
        <f t="shared" si="32"/>
        <v>200</v>
      </c>
      <c r="M286" s="157">
        <f t="shared" si="33"/>
        <v>300</v>
      </c>
      <c r="N286" s="157">
        <f t="shared" si="34"/>
        <v>400</v>
      </c>
      <c r="O286" s="967"/>
      <c r="P286" s="967"/>
      <c r="Q286" s="586"/>
      <c r="R286" s="968"/>
      <c r="S286" s="589"/>
      <c r="T286" s="589"/>
      <c r="U286" s="589"/>
    </row>
    <row r="287" spans="1:21" ht="7.5" customHeight="1" x14ac:dyDescent="0.35">
      <c r="A287" s="116"/>
      <c r="B287" s="117"/>
      <c r="C287" s="117"/>
      <c r="D287" s="116"/>
      <c r="E287" s="116"/>
      <c r="F287" s="118"/>
      <c r="G287" s="119"/>
      <c r="H287" s="116"/>
      <c r="I287" s="120"/>
      <c r="J287" s="121"/>
      <c r="K287" s="157">
        <f t="shared" si="31"/>
        <v>100</v>
      </c>
      <c r="L287" s="157">
        <f t="shared" si="32"/>
        <v>200</v>
      </c>
      <c r="M287" s="157">
        <f t="shared" si="33"/>
        <v>300</v>
      </c>
      <c r="N287" s="157">
        <f t="shared" si="34"/>
        <v>400</v>
      </c>
      <c r="O287" s="968"/>
      <c r="P287" s="968"/>
      <c r="Q287" s="586"/>
      <c r="R287" s="968"/>
      <c r="S287" s="589"/>
      <c r="T287" s="589"/>
      <c r="U287" s="589"/>
    </row>
    <row r="288" spans="1:21" ht="15.5" x14ac:dyDescent="0.35">
      <c r="A288" s="124"/>
      <c r="B288" s="125"/>
      <c r="C288" s="126" t="s">
        <v>4767</v>
      </c>
      <c r="D288" s="127" t="s">
        <v>5421</v>
      </c>
      <c r="E288" s="128"/>
      <c r="F288" s="129" t="str">
        <f>IF($F$3=1,O288,"")</f>
        <v>A.3.5 Kauf- bzw. Mietverträge Wohneinheiten</v>
      </c>
      <c r="G288" s="130"/>
      <c r="H288" s="131"/>
      <c r="I288" s="520" t="s">
        <v>23</v>
      </c>
      <c r="J288" s="130"/>
      <c r="K288" s="157">
        <f t="shared" si="31"/>
        <v>100</v>
      </c>
      <c r="L288" s="157">
        <f t="shared" si="32"/>
        <v>200</v>
      </c>
      <c r="M288" s="157">
        <f t="shared" si="33"/>
        <v>300</v>
      </c>
      <c r="N288" s="157">
        <f t="shared" si="34"/>
        <v>400</v>
      </c>
      <c r="O288" s="967" t="str">
        <f>CONCATENATE(C288," ",D288)</f>
        <v>A.3.5 Kauf- bzw. Mietverträge Wohneinheiten</v>
      </c>
      <c r="P288" s="966"/>
      <c r="Q288" s="586"/>
      <c r="R288" s="968"/>
      <c r="S288" s="589"/>
      <c r="T288" s="589"/>
      <c r="U288" s="589"/>
    </row>
    <row r="289" spans="1:21" x14ac:dyDescent="0.35">
      <c r="A289" s="124"/>
      <c r="B289" s="134"/>
      <c r="C289" s="135"/>
      <c r="D289" s="136"/>
      <c r="E289" s="136"/>
      <c r="F289" s="137"/>
      <c r="G289" s="138"/>
      <c r="H289" s="124"/>
      <c r="I289" s="139"/>
      <c r="J289" s="140"/>
      <c r="K289" s="157">
        <f t="shared" si="31"/>
        <v>100</v>
      </c>
      <c r="L289" s="157">
        <f t="shared" si="32"/>
        <v>200</v>
      </c>
      <c r="M289" s="157">
        <f t="shared" si="33"/>
        <v>300</v>
      </c>
      <c r="N289" s="157">
        <f t="shared" si="34"/>
        <v>400</v>
      </c>
      <c r="O289" s="968"/>
      <c r="P289" s="966"/>
      <c r="Q289" s="586"/>
      <c r="R289" s="968"/>
      <c r="S289" s="589"/>
      <c r="T289" s="589"/>
      <c r="U289" s="589"/>
    </row>
    <row r="290" spans="1:21" x14ac:dyDescent="0.35">
      <c r="A290" s="142"/>
      <c r="B290" s="35"/>
      <c r="C290" s="143"/>
      <c r="D290" s="1685" t="s">
        <v>18</v>
      </c>
      <c r="E290" s="1686"/>
      <c r="F290" s="144" t="s">
        <v>19</v>
      </c>
      <c r="G290" s="145" t="s">
        <v>0</v>
      </c>
      <c r="H290" s="146" t="s">
        <v>20</v>
      </c>
      <c r="I290" s="147" t="s">
        <v>1</v>
      </c>
      <c r="J290" s="147" t="s">
        <v>4375</v>
      </c>
      <c r="K290" s="157">
        <f t="shared" si="31"/>
        <v>100</v>
      </c>
      <c r="L290" s="157">
        <f t="shared" si="32"/>
        <v>200</v>
      </c>
      <c r="M290" s="157">
        <f t="shared" si="33"/>
        <v>300</v>
      </c>
      <c r="N290" s="157">
        <f t="shared" si="34"/>
        <v>400</v>
      </c>
      <c r="O290" s="587"/>
      <c r="P290" s="967"/>
      <c r="Q290" s="586"/>
      <c r="R290" s="968"/>
      <c r="S290" s="589"/>
      <c r="T290" s="589"/>
      <c r="U290" s="589"/>
    </row>
    <row r="291" spans="1:21" ht="48" x14ac:dyDescent="0.35">
      <c r="A291" s="123"/>
      <c r="B291" s="35"/>
      <c r="C291" s="151"/>
      <c r="D291" s="1687" t="s">
        <v>4719</v>
      </c>
      <c r="E291" s="1688"/>
      <c r="F291" s="1023" t="s">
        <v>5363</v>
      </c>
      <c r="G291" s="153">
        <f t="shared" ref="G291:G292" si="38">IF($H$2=1,S291,IF($H$2=2,T291,U291))</f>
        <v>0.2</v>
      </c>
      <c r="H291" s="154"/>
      <c r="I291" s="155"/>
      <c r="J291" s="156"/>
      <c r="K291" s="157">
        <f t="shared" si="31"/>
        <v>100</v>
      </c>
      <c r="L291" s="157">
        <f t="shared" si="32"/>
        <v>200</v>
      </c>
      <c r="M291" s="157">
        <f t="shared" si="33"/>
        <v>300</v>
      </c>
      <c r="N291" s="157">
        <f t="shared" si="34"/>
        <v>400</v>
      </c>
      <c r="O291" s="967" t="str">
        <f>CONCATENATE(O288," | ",F291)</f>
        <v>A.3.5 Kauf- bzw. Mietverträge Wohneinheiten | Qualitätskriterien, welche über Kauf- bzw. Mietverträge von Wohneinheiten überbunden werden können, sind bekannt (z.B. Teilnahme an gemeinschaftlicher PV-Anlage)</v>
      </c>
      <c r="P291" s="967"/>
      <c r="Q291" s="586"/>
      <c r="R291" s="968"/>
      <c r="S291" s="588">
        <v>0</v>
      </c>
      <c r="T291" s="588">
        <v>0.2</v>
      </c>
      <c r="U291" s="588">
        <v>0.2</v>
      </c>
    </row>
    <row r="292" spans="1:21" ht="72" x14ac:dyDescent="0.35">
      <c r="A292" s="123"/>
      <c r="B292" s="35"/>
      <c r="C292" s="151"/>
      <c r="D292" s="1687"/>
      <c r="E292" s="1688"/>
      <c r="F292" s="1023" t="s">
        <v>5478</v>
      </c>
      <c r="G292" s="153">
        <f t="shared" si="38"/>
        <v>0.8</v>
      </c>
      <c r="H292" s="154"/>
      <c r="I292" s="155"/>
      <c r="J292" s="156"/>
      <c r="K292" s="157">
        <f t="shared" si="31"/>
        <v>100</v>
      </c>
      <c r="L292" s="157">
        <f t="shared" si="32"/>
        <v>200</v>
      </c>
      <c r="M292" s="157">
        <f t="shared" si="33"/>
        <v>300</v>
      </c>
      <c r="N292" s="157">
        <f t="shared" si="34"/>
        <v>400</v>
      </c>
      <c r="O292" s="967" t="str">
        <f>CONCATENATE(O288," | ",F292)</f>
        <v>A.3.5 Kauf- bzw. Mietverträge Wohneinheiten | Relevante Bestimmungen/Informationen für die Zielerreichung wurden in allen Miet-, Nutzungs- und Kaufverträgen bzw. in angehängten Dokumenten (z.B. Hausordnung, Wärme- bzw. Energieliefervertrag) berücksichtigt bzw. wurden die entsprechenden Textpassagen vorbereitet</v>
      </c>
      <c r="P292" s="967"/>
      <c r="Q292" s="586"/>
      <c r="R292" s="968"/>
      <c r="S292" s="588">
        <v>0</v>
      </c>
      <c r="T292" s="588">
        <v>0.8</v>
      </c>
      <c r="U292" s="588">
        <v>0.8</v>
      </c>
    </row>
    <row r="293" spans="1:21" x14ac:dyDescent="0.35">
      <c r="A293" s="123"/>
      <c r="B293" s="35"/>
      <c r="C293" s="151"/>
      <c r="D293" s="1687"/>
      <c r="E293" s="1688"/>
      <c r="F293" s="159"/>
      <c r="G293" s="160"/>
      <c r="H293" s="161"/>
      <c r="I293" s="166"/>
      <c r="J293" s="164"/>
      <c r="K293" s="157">
        <f t="shared" si="31"/>
        <v>100</v>
      </c>
      <c r="L293" s="157">
        <f t="shared" si="32"/>
        <v>200</v>
      </c>
      <c r="M293" s="157">
        <f t="shared" si="33"/>
        <v>300</v>
      </c>
      <c r="N293" s="157">
        <f t="shared" si="34"/>
        <v>400</v>
      </c>
      <c r="O293" s="967"/>
      <c r="P293" s="967"/>
      <c r="Q293" s="586"/>
      <c r="R293" s="968"/>
      <c r="S293" s="589"/>
      <c r="T293" s="589"/>
      <c r="U293" s="589"/>
    </row>
    <row r="294" spans="1:21" x14ac:dyDescent="0.35">
      <c r="A294" s="123">
        <v>3.2</v>
      </c>
      <c r="B294" s="35"/>
      <c r="C294" s="151"/>
      <c r="D294" s="1687"/>
      <c r="E294" s="1688"/>
      <c r="F294" s="593" t="str">
        <f>IF($G$2=1,R294,"Weiteres Kriterium in der Nutzung")</f>
        <v>Weiteres Kriterium in der Nutzung</v>
      </c>
      <c r="G294" s="153">
        <f t="shared" ref="G294" si="39">IF($H$2=1,S294,IF($H$2=2,T294,U294))</f>
        <v>0</v>
      </c>
      <c r="H294" s="154"/>
      <c r="I294" s="158"/>
      <c r="J294" s="156"/>
      <c r="K294" s="157">
        <f t="shared" si="31"/>
        <v>100</v>
      </c>
      <c r="L294" s="157">
        <f t="shared" si="32"/>
        <v>200</v>
      </c>
      <c r="M294" s="157">
        <f t="shared" si="33"/>
        <v>300</v>
      </c>
      <c r="N294" s="157">
        <f t="shared" si="34"/>
        <v>400</v>
      </c>
      <c r="O294" s="967" t="str">
        <f>CONCATENATE(O288," | ",F294)</f>
        <v>A.3.5 Kauf- bzw. Mietverträge Wohneinheiten | Weiteres Kriterium in der Nutzung</v>
      </c>
      <c r="P294" s="967"/>
      <c r="Q294" s="586"/>
      <c r="R294" s="968" t="s">
        <v>5598</v>
      </c>
      <c r="S294" s="588">
        <v>1</v>
      </c>
      <c r="T294" s="588">
        <v>0</v>
      </c>
      <c r="U294" s="588">
        <v>0</v>
      </c>
    </row>
    <row r="295" spans="1:21" x14ac:dyDescent="0.35">
      <c r="A295" s="123"/>
      <c r="B295" s="35"/>
      <c r="C295" s="151"/>
      <c r="D295" s="1687"/>
      <c r="E295" s="1688"/>
      <c r="F295" s="159"/>
      <c r="G295" s="160"/>
      <c r="H295" s="161"/>
      <c r="I295" s="162"/>
      <c r="J295" s="164"/>
      <c r="K295" s="157">
        <f t="shared" si="31"/>
        <v>100</v>
      </c>
      <c r="L295" s="157">
        <f t="shared" si="32"/>
        <v>200</v>
      </c>
      <c r="M295" s="157">
        <f t="shared" si="33"/>
        <v>300</v>
      </c>
      <c r="N295" s="157">
        <f t="shared" si="34"/>
        <v>400</v>
      </c>
      <c r="O295" s="967"/>
      <c r="P295" s="967"/>
      <c r="Q295" s="586"/>
      <c r="R295" s="968"/>
      <c r="S295" s="588"/>
      <c r="T295" s="588"/>
      <c r="U295" s="588"/>
    </row>
    <row r="296" spans="1:21" x14ac:dyDescent="0.35">
      <c r="A296" s="116"/>
      <c r="B296" s="35"/>
      <c r="C296" s="117"/>
      <c r="D296" s="1687"/>
      <c r="E296" s="1688"/>
      <c r="F296" s="159"/>
      <c r="G296" s="160"/>
      <c r="H296" s="161"/>
      <c r="I296" s="162"/>
      <c r="J296" s="164"/>
      <c r="K296" s="157">
        <f t="shared" si="31"/>
        <v>100</v>
      </c>
      <c r="L296" s="157">
        <f t="shared" si="32"/>
        <v>200</v>
      </c>
      <c r="M296" s="157">
        <f t="shared" si="33"/>
        <v>300</v>
      </c>
      <c r="N296" s="157">
        <f t="shared" si="34"/>
        <v>400</v>
      </c>
      <c r="O296" s="959"/>
      <c r="P296" s="967"/>
      <c r="Q296" s="586"/>
      <c r="R296" s="968"/>
      <c r="S296" s="589"/>
      <c r="T296" s="589"/>
      <c r="U296" s="589"/>
    </row>
    <row r="297" spans="1:21" x14ac:dyDescent="0.35">
      <c r="A297" s="116"/>
      <c r="B297" s="35"/>
      <c r="C297" s="117"/>
      <c r="D297" s="1687"/>
      <c r="E297" s="1688"/>
      <c r="F297" s="159"/>
      <c r="G297" s="160"/>
      <c r="H297" s="161"/>
      <c r="I297" s="162"/>
      <c r="J297" s="164"/>
      <c r="K297" s="157">
        <f t="shared" si="31"/>
        <v>100</v>
      </c>
      <c r="L297" s="157">
        <f t="shared" si="32"/>
        <v>200</v>
      </c>
      <c r="M297" s="157">
        <f t="shared" si="33"/>
        <v>300</v>
      </c>
      <c r="N297" s="157">
        <f t="shared" si="34"/>
        <v>400</v>
      </c>
      <c r="O297" s="959"/>
      <c r="P297" s="967"/>
      <c r="Q297" s="586"/>
      <c r="R297" s="968"/>
      <c r="S297" s="589"/>
      <c r="T297" s="589"/>
      <c r="U297" s="589"/>
    </row>
    <row r="298" spans="1:21" x14ac:dyDescent="0.35">
      <c r="A298" s="116"/>
      <c r="B298" s="35"/>
      <c r="C298" s="117"/>
      <c r="D298" s="1687"/>
      <c r="E298" s="1688"/>
      <c r="F298" s="159"/>
      <c r="G298" s="160"/>
      <c r="H298" s="161"/>
      <c r="I298" s="162"/>
      <c r="J298" s="164"/>
      <c r="K298" s="157">
        <f t="shared" si="31"/>
        <v>100</v>
      </c>
      <c r="L298" s="157">
        <f t="shared" si="32"/>
        <v>200</v>
      </c>
      <c r="M298" s="157">
        <f t="shared" si="33"/>
        <v>300</v>
      </c>
      <c r="N298" s="157">
        <f t="shared" si="34"/>
        <v>400</v>
      </c>
      <c r="O298" s="959"/>
      <c r="P298" s="967"/>
      <c r="Q298" s="586"/>
      <c r="R298" s="968"/>
      <c r="S298" s="589"/>
      <c r="T298" s="589"/>
      <c r="U298" s="589"/>
    </row>
    <row r="299" spans="1:21" x14ac:dyDescent="0.35">
      <c r="A299" s="123"/>
      <c r="B299" s="35"/>
      <c r="C299" s="151"/>
      <c r="D299" s="1687"/>
      <c r="E299" s="1688"/>
      <c r="F299" s="165"/>
      <c r="G299" s="160"/>
      <c r="H299" s="161"/>
      <c r="I299" s="166"/>
      <c r="J299" s="167"/>
      <c r="K299" s="157">
        <f t="shared" si="31"/>
        <v>100</v>
      </c>
      <c r="L299" s="157">
        <f t="shared" si="32"/>
        <v>200</v>
      </c>
      <c r="M299" s="157">
        <f t="shared" si="33"/>
        <v>300</v>
      </c>
      <c r="N299" s="157">
        <f t="shared" si="34"/>
        <v>400</v>
      </c>
      <c r="O299" s="959"/>
      <c r="P299" s="967"/>
      <c r="Q299" s="586"/>
      <c r="R299" s="968"/>
      <c r="S299" s="589"/>
      <c r="T299" s="589"/>
      <c r="U299" s="589"/>
    </row>
    <row r="300" spans="1:21" x14ac:dyDescent="0.35">
      <c r="A300" s="116"/>
      <c r="B300" s="35"/>
      <c r="C300" s="117"/>
      <c r="D300" s="1687"/>
      <c r="E300" s="1688"/>
      <c r="F300" s="159"/>
      <c r="G300" s="160"/>
      <c r="H300" s="168"/>
      <c r="I300" s="162"/>
      <c r="J300" s="164"/>
      <c r="K300" s="157">
        <f t="shared" ref="K300:K363" si="40">IF($J300=$K$41,K299+1,K299+0)</f>
        <v>100</v>
      </c>
      <c r="L300" s="157">
        <f t="shared" ref="L300:L363" si="41">IF($J300=$L$41,L299+1,L299+0)</f>
        <v>200</v>
      </c>
      <c r="M300" s="157">
        <f t="shared" ref="M300:M363" si="42">IF($J300=$M$41,M299+1,M299+0)</f>
        <v>300</v>
      </c>
      <c r="N300" s="157">
        <f t="shared" ref="N300:N363" si="43">IF($J300=$N$41,N299+1,N299+0)</f>
        <v>400</v>
      </c>
      <c r="O300" s="959"/>
      <c r="P300" s="967"/>
      <c r="Q300" s="586"/>
      <c r="R300" s="968"/>
      <c r="S300" s="589"/>
      <c r="T300" s="589"/>
      <c r="U300" s="589"/>
    </row>
    <row r="301" spans="1:21" x14ac:dyDescent="0.35">
      <c r="A301" s="116"/>
      <c r="B301" s="117"/>
      <c r="C301" s="117"/>
      <c r="D301" s="1687"/>
      <c r="E301" s="1688"/>
      <c r="F301" s="159"/>
      <c r="G301" s="160"/>
      <c r="H301" s="168"/>
      <c r="I301" s="162"/>
      <c r="J301" s="164"/>
      <c r="K301" s="157">
        <f t="shared" si="40"/>
        <v>100</v>
      </c>
      <c r="L301" s="157">
        <f t="shared" si="41"/>
        <v>200</v>
      </c>
      <c r="M301" s="157">
        <f t="shared" si="42"/>
        <v>300</v>
      </c>
      <c r="N301" s="157">
        <f t="shared" si="43"/>
        <v>400</v>
      </c>
      <c r="O301" s="959"/>
      <c r="P301" s="967"/>
      <c r="Q301" s="586"/>
      <c r="R301" s="968"/>
      <c r="S301" s="589"/>
      <c r="T301" s="589"/>
      <c r="U301" s="589"/>
    </row>
    <row r="302" spans="1:21" x14ac:dyDescent="0.35">
      <c r="A302" s="116"/>
      <c r="B302" s="117"/>
      <c r="C302" s="117"/>
      <c r="D302" s="1687"/>
      <c r="E302" s="1688"/>
      <c r="F302" s="169"/>
      <c r="G302" s="170"/>
      <c r="H302" s="171"/>
      <c r="I302" s="172"/>
      <c r="J302" s="173"/>
      <c r="K302" s="157">
        <f t="shared" si="40"/>
        <v>100</v>
      </c>
      <c r="L302" s="157">
        <f t="shared" si="41"/>
        <v>200</v>
      </c>
      <c r="M302" s="157">
        <f t="shared" si="42"/>
        <v>300</v>
      </c>
      <c r="N302" s="157">
        <f t="shared" si="43"/>
        <v>400</v>
      </c>
      <c r="O302" s="959"/>
      <c r="P302" s="967"/>
      <c r="Q302" s="586"/>
      <c r="R302" s="968"/>
      <c r="S302" s="589"/>
      <c r="T302" s="589"/>
      <c r="U302" s="589"/>
    </row>
    <row r="303" spans="1:21" ht="28.5" customHeight="1" x14ac:dyDescent="0.35">
      <c r="A303" s="116"/>
      <c r="B303" s="117"/>
      <c r="C303" s="117"/>
      <c r="D303" s="174"/>
      <c r="E303" s="175"/>
      <c r="F303" s="1689" t="s">
        <v>2</v>
      </c>
      <c r="G303" s="1689"/>
      <c r="H303" s="176">
        <f>IF(O303&gt;1,"Zielerreichung übersteigt 100%!",O303)</f>
        <v>0</v>
      </c>
      <c r="I303" s="177"/>
      <c r="J303" s="178"/>
      <c r="K303" s="157">
        <f t="shared" si="40"/>
        <v>100</v>
      </c>
      <c r="L303" s="157">
        <f t="shared" si="41"/>
        <v>200</v>
      </c>
      <c r="M303" s="157">
        <f t="shared" si="42"/>
        <v>300</v>
      </c>
      <c r="N303" s="157">
        <f t="shared" si="43"/>
        <v>400</v>
      </c>
      <c r="O303" s="959">
        <f>SUM(H291:H302)</f>
        <v>0</v>
      </c>
      <c r="P303" s="967"/>
      <c r="Q303" s="586"/>
      <c r="R303" s="968"/>
      <c r="S303" s="589"/>
      <c r="T303" s="589"/>
      <c r="U303" s="589"/>
    </row>
    <row r="304" spans="1:21" x14ac:dyDescent="0.35">
      <c r="A304" s="116"/>
      <c r="B304" s="117"/>
      <c r="C304" s="117"/>
      <c r="D304" s="179"/>
      <c r="E304" s="180"/>
      <c r="F304" s="1690" t="s">
        <v>3</v>
      </c>
      <c r="G304" s="1691"/>
      <c r="H304" s="181">
        <v>5</v>
      </c>
      <c r="I304" s="177"/>
      <c r="J304" s="178"/>
      <c r="K304" s="157">
        <f t="shared" si="40"/>
        <v>100</v>
      </c>
      <c r="L304" s="157">
        <f t="shared" si="41"/>
        <v>200</v>
      </c>
      <c r="M304" s="157">
        <f t="shared" si="42"/>
        <v>300</v>
      </c>
      <c r="N304" s="157">
        <f t="shared" si="43"/>
        <v>400</v>
      </c>
      <c r="O304" s="1030"/>
      <c r="P304" s="967"/>
      <c r="Q304" s="586"/>
      <c r="R304" s="968"/>
      <c r="S304" s="589"/>
      <c r="T304" s="589"/>
      <c r="U304" s="589"/>
    </row>
    <row r="305" spans="1:21" ht="15" customHeight="1" x14ac:dyDescent="0.35">
      <c r="A305" s="116"/>
      <c r="B305" s="117"/>
      <c r="C305" s="117"/>
      <c r="D305" s="179"/>
      <c r="E305" s="180"/>
      <c r="F305" s="1692"/>
      <c r="G305" s="1693"/>
      <c r="H305" s="182"/>
      <c r="I305" s="183"/>
      <c r="J305" s="178"/>
      <c r="K305" s="157">
        <f t="shared" si="40"/>
        <v>100</v>
      </c>
      <c r="L305" s="157">
        <f t="shared" si="41"/>
        <v>200</v>
      </c>
      <c r="M305" s="157">
        <f t="shared" si="42"/>
        <v>300</v>
      </c>
      <c r="N305" s="157">
        <f t="shared" si="43"/>
        <v>400</v>
      </c>
      <c r="O305" s="1030"/>
      <c r="P305" s="967"/>
      <c r="Q305" s="586"/>
      <c r="R305" s="968"/>
      <c r="S305" s="589"/>
      <c r="T305" s="589"/>
      <c r="U305" s="589"/>
    </row>
    <row r="306" spans="1:21" x14ac:dyDescent="0.35">
      <c r="A306" s="184"/>
      <c r="B306" s="185"/>
      <c r="C306" s="185"/>
      <c r="D306" s="179"/>
      <c r="E306" s="180"/>
      <c r="F306" s="186"/>
      <c r="G306" s="186"/>
      <c r="H306" s="187"/>
      <c r="I306" s="177"/>
      <c r="J306" s="178"/>
      <c r="K306" s="157">
        <f t="shared" si="40"/>
        <v>100</v>
      </c>
      <c r="L306" s="157">
        <f t="shared" si="41"/>
        <v>200</v>
      </c>
      <c r="M306" s="157">
        <f t="shared" si="42"/>
        <v>300</v>
      </c>
      <c r="N306" s="157">
        <f t="shared" si="43"/>
        <v>400</v>
      </c>
      <c r="O306" s="1030"/>
      <c r="P306" s="967"/>
      <c r="Q306" s="586"/>
      <c r="R306" s="968"/>
      <c r="S306" s="589"/>
      <c r="T306" s="589"/>
      <c r="U306" s="589"/>
    </row>
    <row r="307" spans="1:21" ht="15.75" customHeight="1" x14ac:dyDescent="0.35">
      <c r="A307" s="116"/>
      <c r="B307" s="185"/>
      <c r="C307" s="1713"/>
      <c r="D307" s="1714"/>
      <c r="E307" s="188"/>
      <c r="F307" s="1715" t="s">
        <v>5</v>
      </c>
      <c r="G307" s="1715"/>
      <c r="H307" s="189">
        <f>IF(ISNUMBER(H305),H305*H303,H304*H303)</f>
        <v>0</v>
      </c>
      <c r="I307" s="190"/>
      <c r="J307" s="191"/>
      <c r="K307" s="157">
        <f t="shared" si="40"/>
        <v>100</v>
      </c>
      <c r="L307" s="157">
        <f t="shared" si="41"/>
        <v>200</v>
      </c>
      <c r="M307" s="157">
        <f t="shared" si="42"/>
        <v>300</v>
      </c>
      <c r="N307" s="157">
        <f t="shared" si="43"/>
        <v>400</v>
      </c>
      <c r="O307" s="1030"/>
      <c r="P307" s="967"/>
      <c r="Q307" s="586"/>
      <c r="R307" s="968"/>
      <c r="S307" s="589"/>
      <c r="T307" s="589"/>
      <c r="U307" s="589"/>
    </row>
    <row r="308" spans="1:21" x14ac:dyDescent="0.35">
      <c r="B308" s="185"/>
      <c r="K308" s="157">
        <f t="shared" si="40"/>
        <v>100</v>
      </c>
      <c r="L308" s="157">
        <f t="shared" si="41"/>
        <v>200</v>
      </c>
      <c r="M308" s="157">
        <f t="shared" si="42"/>
        <v>300</v>
      </c>
      <c r="N308" s="157">
        <f t="shared" si="43"/>
        <v>400</v>
      </c>
      <c r="O308" s="967"/>
      <c r="P308" s="967"/>
      <c r="Q308" s="586"/>
      <c r="R308" s="968"/>
      <c r="S308" s="589"/>
      <c r="T308" s="589"/>
      <c r="U308" s="589"/>
    </row>
    <row r="309" spans="1:21" ht="7.5" customHeight="1" x14ac:dyDescent="0.35">
      <c r="A309" s="116"/>
      <c r="B309" s="117"/>
      <c r="C309" s="117"/>
      <c r="D309" s="116"/>
      <c r="E309" s="116"/>
      <c r="F309" s="118"/>
      <c r="G309" s="119"/>
      <c r="H309" s="116"/>
      <c r="I309" s="120"/>
      <c r="J309" s="121"/>
      <c r="K309" s="157">
        <f t="shared" si="40"/>
        <v>100</v>
      </c>
      <c r="L309" s="157">
        <f t="shared" si="41"/>
        <v>200</v>
      </c>
      <c r="M309" s="157">
        <f t="shared" si="42"/>
        <v>300</v>
      </c>
      <c r="N309" s="157">
        <f t="shared" si="43"/>
        <v>400</v>
      </c>
      <c r="O309" s="968"/>
      <c r="P309" s="968"/>
      <c r="Q309" s="586"/>
      <c r="R309" s="968"/>
      <c r="S309" s="589"/>
      <c r="T309" s="589"/>
      <c r="U309" s="589"/>
    </row>
    <row r="310" spans="1:21" ht="15.5" x14ac:dyDescent="0.35">
      <c r="A310" s="124"/>
      <c r="B310" s="125"/>
      <c r="C310" s="126" t="s">
        <v>4768</v>
      </c>
      <c r="D310" s="127" t="s">
        <v>5422</v>
      </c>
      <c r="E310" s="128"/>
      <c r="F310" s="129" t="str">
        <f>IF($F$3=1,O310,"")</f>
        <v>A.3.6 Förderungen</v>
      </c>
      <c r="G310" s="130"/>
      <c r="H310" s="131"/>
      <c r="I310" s="520" t="s">
        <v>23</v>
      </c>
      <c r="J310" s="130"/>
      <c r="K310" s="157">
        <f t="shared" si="40"/>
        <v>100</v>
      </c>
      <c r="L310" s="157">
        <f t="shared" si="41"/>
        <v>200</v>
      </c>
      <c r="M310" s="157">
        <f t="shared" si="42"/>
        <v>300</v>
      </c>
      <c r="N310" s="157">
        <f t="shared" si="43"/>
        <v>400</v>
      </c>
      <c r="O310" s="967" t="str">
        <f>CONCATENATE(C310," ",D310)</f>
        <v>A.3.6 Förderungen</v>
      </c>
      <c r="P310" s="966"/>
      <c r="Q310" s="586"/>
      <c r="R310" s="968"/>
      <c r="S310" s="589"/>
      <c r="T310" s="589"/>
      <c r="U310" s="589"/>
    </row>
    <row r="311" spans="1:21" x14ac:dyDescent="0.35">
      <c r="A311" s="124"/>
      <c r="B311" s="134"/>
      <c r="C311" s="135"/>
      <c r="D311" s="136"/>
      <c r="E311" s="136"/>
      <c r="F311" s="137"/>
      <c r="G311" s="138"/>
      <c r="H311" s="124"/>
      <c r="I311" s="139"/>
      <c r="J311" s="140"/>
      <c r="K311" s="157">
        <f t="shared" si="40"/>
        <v>100</v>
      </c>
      <c r="L311" s="157">
        <f t="shared" si="41"/>
        <v>200</v>
      </c>
      <c r="M311" s="157">
        <f t="shared" si="42"/>
        <v>300</v>
      </c>
      <c r="N311" s="157">
        <f t="shared" si="43"/>
        <v>400</v>
      </c>
      <c r="O311" s="968"/>
      <c r="P311" s="966"/>
      <c r="Q311" s="586"/>
      <c r="R311" s="968"/>
      <c r="S311" s="589"/>
      <c r="T311" s="589"/>
      <c r="U311" s="589"/>
    </row>
    <row r="312" spans="1:21" x14ac:dyDescent="0.35">
      <c r="A312" s="142"/>
      <c r="B312" s="35"/>
      <c r="C312" s="143"/>
      <c r="D312" s="1685" t="s">
        <v>18</v>
      </c>
      <c r="E312" s="1686"/>
      <c r="F312" s="144" t="s">
        <v>19</v>
      </c>
      <c r="G312" s="145" t="s">
        <v>0</v>
      </c>
      <c r="H312" s="146" t="s">
        <v>20</v>
      </c>
      <c r="I312" s="147" t="s">
        <v>1</v>
      </c>
      <c r="J312" s="147" t="s">
        <v>4375</v>
      </c>
      <c r="K312" s="157">
        <f t="shared" si="40"/>
        <v>100</v>
      </c>
      <c r="L312" s="157">
        <f t="shared" si="41"/>
        <v>200</v>
      </c>
      <c r="M312" s="157">
        <f t="shared" si="42"/>
        <v>300</v>
      </c>
      <c r="N312" s="157">
        <f t="shared" si="43"/>
        <v>400</v>
      </c>
      <c r="O312" s="587"/>
      <c r="P312" s="967"/>
      <c r="Q312" s="586"/>
      <c r="R312" s="968"/>
      <c r="S312" s="589"/>
      <c r="T312" s="589"/>
      <c r="U312" s="589"/>
    </row>
    <row r="313" spans="1:21" ht="48" x14ac:dyDescent="0.35">
      <c r="A313" s="123"/>
      <c r="B313" s="35"/>
      <c r="C313" s="151"/>
      <c r="D313" s="1687" t="s">
        <v>4660</v>
      </c>
      <c r="E313" s="1688"/>
      <c r="F313" s="152" t="s">
        <v>4553</v>
      </c>
      <c r="G313" s="153">
        <f t="shared" ref="G313" si="44">IF($H$2=1,S313,IF($H$2=2,T313,U313))</f>
        <v>1</v>
      </c>
      <c r="H313" s="154"/>
      <c r="I313" s="155"/>
      <c r="J313" s="156"/>
      <c r="K313" s="157">
        <f t="shared" si="40"/>
        <v>100</v>
      </c>
      <c r="L313" s="157">
        <f t="shared" si="41"/>
        <v>200</v>
      </c>
      <c r="M313" s="157">
        <f t="shared" si="42"/>
        <v>300</v>
      </c>
      <c r="N313" s="157">
        <f t="shared" si="43"/>
        <v>400</v>
      </c>
      <c r="O313" s="967" t="str">
        <f>CONCATENATE(O310," | ",F313)</f>
        <v>A.3.6 Förderungen | Energie und Klimaschutz relevante Förderungen und die damit verbundenen Qualitätssicherungsverfahren wurden in Anspruch genommen bzw. wurden Projekte eingereicht</v>
      </c>
      <c r="P313" s="967"/>
      <c r="Q313" s="586"/>
      <c r="R313" s="968"/>
      <c r="S313" s="588">
        <v>0</v>
      </c>
      <c r="T313" s="588">
        <v>1</v>
      </c>
      <c r="U313" s="588">
        <v>1</v>
      </c>
    </row>
    <row r="314" spans="1:21" x14ac:dyDescent="0.35">
      <c r="A314" s="123"/>
      <c r="B314" s="35"/>
      <c r="C314" s="151"/>
      <c r="D314" s="1687"/>
      <c r="E314" s="1688"/>
      <c r="F314" s="159"/>
      <c r="G314" s="160"/>
      <c r="H314" s="161"/>
      <c r="I314" s="166"/>
      <c r="J314" s="164"/>
      <c r="K314" s="157">
        <f t="shared" si="40"/>
        <v>100</v>
      </c>
      <c r="L314" s="157">
        <f t="shared" si="41"/>
        <v>200</v>
      </c>
      <c r="M314" s="157">
        <f t="shared" si="42"/>
        <v>300</v>
      </c>
      <c r="N314" s="157">
        <f t="shared" si="43"/>
        <v>400</v>
      </c>
      <c r="O314" s="967"/>
      <c r="P314" s="967"/>
      <c r="Q314" s="586"/>
      <c r="R314" s="968"/>
      <c r="S314" s="588"/>
      <c r="T314" s="588"/>
      <c r="U314" s="588"/>
    </row>
    <row r="315" spans="1:21" x14ac:dyDescent="0.35">
      <c r="A315" s="123"/>
      <c r="B315" s="35"/>
      <c r="C315" s="151"/>
      <c r="D315" s="1687"/>
      <c r="E315" s="1688"/>
      <c r="F315" s="159"/>
      <c r="G315" s="160"/>
      <c r="H315" s="161"/>
      <c r="I315" s="166"/>
      <c r="J315" s="164"/>
      <c r="K315" s="157">
        <f t="shared" si="40"/>
        <v>100</v>
      </c>
      <c r="L315" s="157">
        <f t="shared" si="41"/>
        <v>200</v>
      </c>
      <c r="M315" s="157">
        <f t="shared" si="42"/>
        <v>300</v>
      </c>
      <c r="N315" s="157">
        <f t="shared" si="43"/>
        <v>400</v>
      </c>
      <c r="O315" s="967"/>
      <c r="P315" s="967"/>
      <c r="Q315" s="586"/>
      <c r="R315" s="968"/>
      <c r="S315" s="589"/>
      <c r="T315" s="589"/>
      <c r="U315" s="589"/>
    </row>
    <row r="316" spans="1:21" x14ac:dyDescent="0.35">
      <c r="A316" s="123">
        <v>3.2</v>
      </c>
      <c r="B316" s="35"/>
      <c r="C316" s="151"/>
      <c r="D316" s="1687"/>
      <c r="E316" s="1688"/>
      <c r="F316" s="159"/>
      <c r="G316" s="160"/>
      <c r="H316" s="161"/>
      <c r="I316" s="166"/>
      <c r="J316" s="164"/>
      <c r="K316" s="157">
        <f t="shared" si="40"/>
        <v>100</v>
      </c>
      <c r="L316" s="157">
        <f t="shared" si="41"/>
        <v>200</v>
      </c>
      <c r="M316" s="157">
        <f t="shared" si="42"/>
        <v>300</v>
      </c>
      <c r="N316" s="157">
        <f t="shared" si="43"/>
        <v>400</v>
      </c>
      <c r="O316" s="967"/>
      <c r="P316" s="967"/>
      <c r="Q316" s="586"/>
      <c r="R316" s="968"/>
      <c r="S316" s="589"/>
      <c r="T316" s="589"/>
      <c r="U316" s="589"/>
    </row>
    <row r="317" spans="1:21" x14ac:dyDescent="0.35">
      <c r="A317" s="123"/>
      <c r="B317" s="35"/>
      <c r="C317" s="151"/>
      <c r="D317" s="1687"/>
      <c r="E317" s="1688"/>
      <c r="F317" s="159"/>
      <c r="G317" s="160"/>
      <c r="H317" s="161"/>
      <c r="I317" s="166"/>
      <c r="J317" s="164"/>
      <c r="K317" s="157">
        <f t="shared" si="40"/>
        <v>100</v>
      </c>
      <c r="L317" s="157">
        <f t="shared" si="41"/>
        <v>200</v>
      </c>
      <c r="M317" s="157">
        <f t="shared" si="42"/>
        <v>300</v>
      </c>
      <c r="N317" s="157">
        <f t="shared" si="43"/>
        <v>400</v>
      </c>
      <c r="O317" s="967"/>
      <c r="P317" s="967"/>
      <c r="Q317" s="586"/>
      <c r="R317" s="968"/>
      <c r="S317" s="589"/>
      <c r="T317" s="589"/>
      <c r="U317" s="589"/>
    </row>
    <row r="318" spans="1:21" x14ac:dyDescent="0.35">
      <c r="A318" s="116"/>
      <c r="B318" s="35"/>
      <c r="C318" s="117"/>
      <c r="D318" s="1687"/>
      <c r="E318" s="1688"/>
      <c r="F318" s="159"/>
      <c r="G318" s="160"/>
      <c r="H318" s="161"/>
      <c r="I318" s="162"/>
      <c r="J318" s="164"/>
      <c r="K318" s="157">
        <f t="shared" si="40"/>
        <v>100</v>
      </c>
      <c r="L318" s="157">
        <f t="shared" si="41"/>
        <v>200</v>
      </c>
      <c r="M318" s="157">
        <f t="shared" si="42"/>
        <v>300</v>
      </c>
      <c r="N318" s="157">
        <f t="shared" si="43"/>
        <v>400</v>
      </c>
      <c r="O318" s="959"/>
      <c r="P318" s="967"/>
      <c r="Q318" s="586"/>
      <c r="R318" s="968"/>
      <c r="S318" s="589"/>
      <c r="T318" s="589"/>
      <c r="U318" s="589"/>
    </row>
    <row r="319" spans="1:21" x14ac:dyDescent="0.35">
      <c r="A319" s="116"/>
      <c r="B319" s="35"/>
      <c r="C319" s="117"/>
      <c r="D319" s="1687"/>
      <c r="E319" s="1688"/>
      <c r="F319" s="159"/>
      <c r="G319" s="160"/>
      <c r="H319" s="161"/>
      <c r="I319" s="162"/>
      <c r="J319" s="164"/>
      <c r="K319" s="157">
        <f t="shared" si="40"/>
        <v>100</v>
      </c>
      <c r="L319" s="157">
        <f t="shared" si="41"/>
        <v>200</v>
      </c>
      <c r="M319" s="157">
        <f t="shared" si="42"/>
        <v>300</v>
      </c>
      <c r="N319" s="157">
        <f t="shared" si="43"/>
        <v>400</v>
      </c>
      <c r="O319" s="959"/>
      <c r="P319" s="967"/>
      <c r="Q319" s="586"/>
      <c r="R319" s="968"/>
      <c r="S319" s="589"/>
      <c r="T319" s="589"/>
      <c r="U319" s="589"/>
    </row>
    <row r="320" spans="1:21" x14ac:dyDescent="0.35">
      <c r="A320" s="116"/>
      <c r="B320" s="35"/>
      <c r="C320" s="117"/>
      <c r="D320" s="1687"/>
      <c r="E320" s="1688"/>
      <c r="F320" s="159"/>
      <c r="G320" s="160"/>
      <c r="H320" s="161"/>
      <c r="I320" s="162"/>
      <c r="J320" s="164"/>
      <c r="K320" s="157">
        <f t="shared" si="40"/>
        <v>100</v>
      </c>
      <c r="L320" s="157">
        <f t="shared" si="41"/>
        <v>200</v>
      </c>
      <c r="M320" s="157">
        <f t="shared" si="42"/>
        <v>300</v>
      </c>
      <c r="N320" s="157">
        <f t="shared" si="43"/>
        <v>400</v>
      </c>
      <c r="O320" s="959"/>
      <c r="P320" s="967"/>
      <c r="Q320" s="586"/>
      <c r="R320" s="968"/>
      <c r="S320" s="589"/>
      <c r="T320" s="589"/>
      <c r="U320" s="589"/>
    </row>
    <row r="321" spans="1:21" x14ac:dyDescent="0.35">
      <c r="A321" s="123"/>
      <c r="B321" s="35"/>
      <c r="C321" s="151"/>
      <c r="D321" s="1687"/>
      <c r="E321" s="1688"/>
      <c r="F321" s="165"/>
      <c r="G321" s="160"/>
      <c r="H321" s="161"/>
      <c r="I321" s="166"/>
      <c r="J321" s="167"/>
      <c r="K321" s="157">
        <f t="shared" si="40"/>
        <v>100</v>
      </c>
      <c r="L321" s="157">
        <f t="shared" si="41"/>
        <v>200</v>
      </c>
      <c r="M321" s="157">
        <f t="shared" si="42"/>
        <v>300</v>
      </c>
      <c r="N321" s="157">
        <f t="shared" si="43"/>
        <v>400</v>
      </c>
      <c r="O321" s="959"/>
      <c r="P321" s="967"/>
      <c r="Q321" s="586"/>
      <c r="R321" s="968"/>
      <c r="S321" s="589"/>
      <c r="T321" s="589"/>
      <c r="U321" s="589"/>
    </row>
    <row r="322" spans="1:21" x14ac:dyDescent="0.35">
      <c r="A322" s="116"/>
      <c r="B322" s="35"/>
      <c r="C322" s="117"/>
      <c r="D322" s="1687"/>
      <c r="E322" s="1688"/>
      <c r="F322" s="159"/>
      <c r="G322" s="160"/>
      <c r="H322" s="168"/>
      <c r="I322" s="162"/>
      <c r="J322" s="164"/>
      <c r="K322" s="157">
        <f t="shared" si="40"/>
        <v>100</v>
      </c>
      <c r="L322" s="157">
        <f t="shared" si="41"/>
        <v>200</v>
      </c>
      <c r="M322" s="157">
        <f t="shared" si="42"/>
        <v>300</v>
      </c>
      <c r="N322" s="157">
        <f t="shared" si="43"/>
        <v>400</v>
      </c>
      <c r="O322" s="959"/>
      <c r="P322" s="967"/>
      <c r="Q322" s="586"/>
      <c r="R322" s="968"/>
      <c r="S322" s="589"/>
      <c r="T322" s="589"/>
      <c r="U322" s="589"/>
    </row>
    <row r="323" spans="1:21" x14ac:dyDescent="0.35">
      <c r="A323" s="116"/>
      <c r="B323" s="117"/>
      <c r="C323" s="117"/>
      <c r="D323" s="1687"/>
      <c r="E323" s="1688"/>
      <c r="F323" s="159"/>
      <c r="G323" s="160"/>
      <c r="H323" s="168"/>
      <c r="I323" s="162"/>
      <c r="J323" s="164"/>
      <c r="K323" s="157">
        <f t="shared" si="40"/>
        <v>100</v>
      </c>
      <c r="L323" s="157">
        <f t="shared" si="41"/>
        <v>200</v>
      </c>
      <c r="M323" s="157">
        <f t="shared" si="42"/>
        <v>300</v>
      </c>
      <c r="N323" s="157">
        <f t="shared" si="43"/>
        <v>400</v>
      </c>
      <c r="O323" s="959"/>
      <c r="P323" s="967"/>
      <c r="Q323" s="586"/>
      <c r="R323" s="968"/>
      <c r="S323" s="589"/>
      <c r="T323" s="589"/>
      <c r="U323" s="589"/>
    </row>
    <row r="324" spans="1:21" x14ac:dyDescent="0.35">
      <c r="A324" s="116"/>
      <c r="B324" s="117"/>
      <c r="C324" s="117"/>
      <c r="D324" s="1687"/>
      <c r="E324" s="1688"/>
      <c r="F324" s="169"/>
      <c r="G324" s="170"/>
      <c r="H324" s="171"/>
      <c r="I324" s="172"/>
      <c r="J324" s="173"/>
      <c r="K324" s="157">
        <f t="shared" si="40"/>
        <v>100</v>
      </c>
      <c r="L324" s="157">
        <f t="shared" si="41"/>
        <v>200</v>
      </c>
      <c r="M324" s="157">
        <f t="shared" si="42"/>
        <v>300</v>
      </c>
      <c r="N324" s="157">
        <f t="shared" si="43"/>
        <v>400</v>
      </c>
      <c r="O324" s="959"/>
      <c r="P324" s="967"/>
      <c r="Q324" s="586"/>
      <c r="R324" s="968"/>
      <c r="S324" s="589"/>
      <c r="T324" s="589"/>
      <c r="U324" s="589"/>
    </row>
    <row r="325" spans="1:21" ht="28.5" customHeight="1" x14ac:dyDescent="0.35">
      <c r="A325" s="116"/>
      <c r="B325" s="117"/>
      <c r="C325" s="117"/>
      <c r="D325" s="174"/>
      <c r="E325" s="175"/>
      <c r="F325" s="1689" t="s">
        <v>2</v>
      </c>
      <c r="G325" s="1689"/>
      <c r="H325" s="176">
        <f>IF(O325&gt;1,"Zielerreichung übersteigt 100%!",O325)</f>
        <v>0</v>
      </c>
      <c r="I325" s="177"/>
      <c r="J325" s="178"/>
      <c r="K325" s="157">
        <f t="shared" si="40"/>
        <v>100</v>
      </c>
      <c r="L325" s="157">
        <f t="shared" si="41"/>
        <v>200</v>
      </c>
      <c r="M325" s="157">
        <f t="shared" si="42"/>
        <v>300</v>
      </c>
      <c r="N325" s="157">
        <f t="shared" si="43"/>
        <v>400</v>
      </c>
      <c r="O325" s="959">
        <f>SUM(H313:H324)</f>
        <v>0</v>
      </c>
      <c r="P325" s="967"/>
      <c r="Q325" s="586"/>
      <c r="R325" s="968"/>
      <c r="S325" s="589"/>
      <c r="T325" s="589"/>
      <c r="U325" s="589"/>
    </row>
    <row r="326" spans="1:21" x14ac:dyDescent="0.35">
      <c r="A326" s="116"/>
      <c r="B326" s="117"/>
      <c r="C326" s="117"/>
      <c r="D326" s="179"/>
      <c r="E326" s="180"/>
      <c r="F326" s="1690" t="s">
        <v>3</v>
      </c>
      <c r="G326" s="1691"/>
      <c r="H326" s="181">
        <v>5</v>
      </c>
      <c r="I326" s="177"/>
      <c r="J326" s="178"/>
      <c r="K326" s="157">
        <f t="shared" si="40"/>
        <v>100</v>
      </c>
      <c r="L326" s="157">
        <f t="shared" si="41"/>
        <v>200</v>
      </c>
      <c r="M326" s="157">
        <f t="shared" si="42"/>
        <v>300</v>
      </c>
      <c r="N326" s="157">
        <f t="shared" si="43"/>
        <v>400</v>
      </c>
      <c r="O326" s="1030"/>
      <c r="P326" s="967"/>
      <c r="Q326" s="586"/>
      <c r="R326" s="968"/>
      <c r="S326" s="589"/>
      <c r="T326" s="589"/>
      <c r="U326" s="589"/>
    </row>
    <row r="327" spans="1:21" x14ac:dyDescent="0.35">
      <c r="A327" s="116"/>
      <c r="B327" s="117"/>
      <c r="C327" s="117"/>
      <c r="D327" s="179"/>
      <c r="E327" s="180"/>
      <c r="F327" s="1700" t="s">
        <v>5494</v>
      </c>
      <c r="G327" s="1701"/>
      <c r="H327" s="1084" t="str">
        <f>IF($H$2=1,0,"")</f>
        <v/>
      </c>
      <c r="I327" s="183"/>
      <c r="J327" s="178"/>
      <c r="K327" s="157">
        <f t="shared" si="40"/>
        <v>100</v>
      </c>
      <c r="L327" s="157">
        <f t="shared" si="41"/>
        <v>200</v>
      </c>
      <c r="M327" s="157">
        <f t="shared" si="42"/>
        <v>300</v>
      </c>
      <c r="N327" s="157">
        <f t="shared" si="43"/>
        <v>400</v>
      </c>
      <c r="O327" s="1030"/>
      <c r="P327" s="967"/>
      <c r="Q327" s="586"/>
      <c r="R327" s="968"/>
      <c r="S327" s="589"/>
      <c r="T327" s="589"/>
      <c r="U327" s="589"/>
    </row>
    <row r="328" spans="1:21" x14ac:dyDescent="0.35">
      <c r="A328" s="184"/>
      <c r="B328" s="185"/>
      <c r="C328" s="185"/>
      <c r="D328" s="179"/>
      <c r="E328" s="180"/>
      <c r="F328" s="186"/>
      <c r="G328" s="186"/>
      <c r="H328" s="187"/>
      <c r="I328" s="177"/>
      <c r="J328" s="178"/>
      <c r="K328" s="157">
        <f t="shared" si="40"/>
        <v>100</v>
      </c>
      <c r="L328" s="157">
        <f t="shared" si="41"/>
        <v>200</v>
      </c>
      <c r="M328" s="157">
        <f t="shared" si="42"/>
        <v>300</v>
      </c>
      <c r="N328" s="157">
        <f t="shared" si="43"/>
        <v>400</v>
      </c>
      <c r="O328" s="1030"/>
      <c r="P328" s="967"/>
      <c r="Q328" s="586"/>
      <c r="R328" s="968"/>
      <c r="S328" s="589"/>
      <c r="T328" s="589"/>
      <c r="U328" s="589"/>
    </row>
    <row r="329" spans="1:21" ht="15.75" customHeight="1" x14ac:dyDescent="0.35">
      <c r="A329" s="116"/>
      <c r="B329" s="185"/>
      <c r="C329" s="1713"/>
      <c r="D329" s="1714"/>
      <c r="E329" s="188"/>
      <c r="F329" s="1715" t="s">
        <v>5</v>
      </c>
      <c r="G329" s="1715"/>
      <c r="H329" s="189">
        <f>IF(ISNUMBER(H327),H327*H325,H326*H325)</f>
        <v>0</v>
      </c>
      <c r="I329" s="190"/>
      <c r="J329" s="191"/>
      <c r="K329" s="157">
        <f t="shared" si="40"/>
        <v>100</v>
      </c>
      <c r="L329" s="157">
        <f t="shared" si="41"/>
        <v>200</v>
      </c>
      <c r="M329" s="157">
        <f t="shared" si="42"/>
        <v>300</v>
      </c>
      <c r="N329" s="157">
        <f t="shared" si="43"/>
        <v>400</v>
      </c>
      <c r="O329" s="1030"/>
      <c r="P329" s="967"/>
      <c r="Q329" s="586"/>
      <c r="R329" s="968"/>
      <c r="S329" s="589"/>
      <c r="T329" s="589"/>
      <c r="U329" s="589"/>
    </row>
    <row r="330" spans="1:21" ht="15.75" customHeight="1" x14ac:dyDescent="0.35">
      <c r="A330" s="116"/>
      <c r="B330" s="185"/>
      <c r="C330" s="199"/>
      <c r="D330" s="200"/>
      <c r="E330" s="201"/>
      <c r="F330" s="202"/>
      <c r="G330" s="202"/>
      <c r="H330" s="203"/>
      <c r="I330" s="177"/>
      <c r="J330" s="178"/>
      <c r="K330" s="157">
        <f t="shared" si="40"/>
        <v>100</v>
      </c>
      <c r="L330" s="157">
        <f t="shared" si="41"/>
        <v>200</v>
      </c>
      <c r="M330" s="157">
        <f t="shared" si="42"/>
        <v>300</v>
      </c>
      <c r="N330" s="157">
        <f t="shared" si="43"/>
        <v>400</v>
      </c>
      <c r="O330" s="1030"/>
      <c r="P330" s="967"/>
      <c r="Q330" s="586"/>
      <c r="R330" s="968"/>
      <c r="S330" s="589"/>
      <c r="T330" s="589"/>
      <c r="U330" s="589"/>
    </row>
    <row r="331" spans="1:21" ht="15.75" customHeight="1" x14ac:dyDescent="0.35">
      <c r="A331" s="116"/>
      <c r="B331" s="185"/>
      <c r="C331" s="199"/>
      <c r="D331" s="200"/>
      <c r="E331" s="201"/>
      <c r="F331" s="202"/>
      <c r="G331" s="202"/>
      <c r="H331" s="203"/>
      <c r="I331" s="177"/>
      <c r="J331" s="178"/>
      <c r="K331" s="157">
        <f t="shared" si="40"/>
        <v>100</v>
      </c>
      <c r="L331" s="157">
        <f t="shared" si="41"/>
        <v>200</v>
      </c>
      <c r="M331" s="157">
        <f t="shared" si="42"/>
        <v>300</v>
      </c>
      <c r="N331" s="157">
        <f t="shared" si="43"/>
        <v>400</v>
      </c>
      <c r="O331" s="1030"/>
      <c r="P331" s="967"/>
      <c r="Q331" s="586"/>
      <c r="R331" s="968"/>
      <c r="S331" s="589"/>
      <c r="T331" s="589"/>
      <c r="U331" s="589"/>
    </row>
    <row r="332" spans="1:21" ht="15.5" x14ac:dyDescent="0.35">
      <c r="A332" s="16"/>
      <c r="B332" s="111" t="s">
        <v>4769</v>
      </c>
      <c r="C332" s="111" t="s">
        <v>2058</v>
      </c>
      <c r="D332" s="112"/>
      <c r="E332" s="112"/>
      <c r="F332" s="112" t="str">
        <f>IF($F$3=1,O332,"")</f>
        <v>A.4 Monitoring installieren</v>
      </c>
      <c r="G332" s="112"/>
      <c r="H332" s="112"/>
      <c r="I332" s="113"/>
      <c r="J332" s="114"/>
      <c r="K332" s="157">
        <f t="shared" si="40"/>
        <v>100</v>
      </c>
      <c r="L332" s="157">
        <f t="shared" si="41"/>
        <v>200</v>
      </c>
      <c r="M332" s="157">
        <f t="shared" si="42"/>
        <v>300</v>
      </c>
      <c r="N332" s="157">
        <f t="shared" si="43"/>
        <v>400</v>
      </c>
      <c r="O332" s="967" t="str">
        <f>CONCATENATE(B332," ",C332)</f>
        <v>A.4 Monitoring installieren</v>
      </c>
      <c r="P332" s="958"/>
      <c r="Q332" s="586"/>
      <c r="R332" s="968"/>
      <c r="S332" s="589"/>
      <c r="T332" s="589"/>
      <c r="U332" s="589"/>
    </row>
    <row r="333" spans="1:21" x14ac:dyDescent="0.35">
      <c r="B333" s="185"/>
      <c r="K333" s="157">
        <f t="shared" si="40"/>
        <v>100</v>
      </c>
      <c r="L333" s="157">
        <f t="shared" si="41"/>
        <v>200</v>
      </c>
      <c r="M333" s="157">
        <f t="shared" si="42"/>
        <v>300</v>
      </c>
      <c r="N333" s="157">
        <f t="shared" si="43"/>
        <v>400</v>
      </c>
      <c r="O333" s="967"/>
      <c r="P333" s="967"/>
      <c r="Q333" s="586"/>
      <c r="R333" s="968"/>
      <c r="S333" s="589"/>
      <c r="T333" s="589"/>
      <c r="U333" s="589"/>
    </row>
    <row r="334" spans="1:21" ht="7.5" customHeight="1" x14ac:dyDescent="0.35">
      <c r="A334" s="116"/>
      <c r="B334" s="117"/>
      <c r="C334" s="117"/>
      <c r="D334" s="116"/>
      <c r="E334" s="116"/>
      <c r="F334" s="118"/>
      <c r="G334" s="119"/>
      <c r="H334" s="116"/>
      <c r="I334" s="120"/>
      <c r="J334" s="121"/>
      <c r="K334" s="157">
        <f t="shared" si="40"/>
        <v>100</v>
      </c>
      <c r="L334" s="157">
        <f t="shared" si="41"/>
        <v>200</v>
      </c>
      <c r="M334" s="157">
        <f t="shared" si="42"/>
        <v>300</v>
      </c>
      <c r="N334" s="157">
        <f t="shared" si="43"/>
        <v>400</v>
      </c>
      <c r="O334" s="968"/>
      <c r="P334" s="968"/>
      <c r="Q334" s="586"/>
      <c r="R334" s="968"/>
      <c r="S334" s="589"/>
      <c r="T334" s="589"/>
      <c r="U334" s="589"/>
    </row>
    <row r="335" spans="1:21" ht="15.5" x14ac:dyDescent="0.35">
      <c r="A335" s="124"/>
      <c r="B335" s="125"/>
      <c r="C335" s="126" t="s">
        <v>4770</v>
      </c>
      <c r="D335" s="127" t="s">
        <v>5423</v>
      </c>
      <c r="E335" s="128"/>
      <c r="F335" s="129" t="str">
        <f>IF($F$3=1,O335,"")</f>
        <v>A.4.1 Miet- und Eigentümerbefragung</v>
      </c>
      <c r="G335" s="130"/>
      <c r="H335" s="131"/>
      <c r="I335" s="520" t="s">
        <v>23</v>
      </c>
      <c r="J335" s="130"/>
      <c r="K335" s="157">
        <f t="shared" si="40"/>
        <v>100</v>
      </c>
      <c r="L335" s="157">
        <f t="shared" si="41"/>
        <v>200</v>
      </c>
      <c r="M335" s="157">
        <f t="shared" si="42"/>
        <v>300</v>
      </c>
      <c r="N335" s="157">
        <f t="shared" si="43"/>
        <v>400</v>
      </c>
      <c r="O335" s="967" t="str">
        <f>CONCATENATE(C335," ",D335)</f>
        <v>A.4.1 Miet- und Eigentümerbefragung</v>
      </c>
      <c r="P335" s="966"/>
      <c r="Q335" s="586"/>
      <c r="R335" s="968"/>
      <c r="S335" s="589"/>
      <c r="T335" s="589"/>
      <c r="U335" s="589"/>
    </row>
    <row r="336" spans="1:21" x14ac:dyDescent="0.35">
      <c r="A336" s="124"/>
      <c r="B336" s="134"/>
      <c r="C336" s="135"/>
      <c r="D336" s="136"/>
      <c r="E336" s="136"/>
      <c r="F336" s="137"/>
      <c r="G336" s="138"/>
      <c r="H336" s="124"/>
      <c r="I336" s="139"/>
      <c r="J336" s="140"/>
      <c r="K336" s="157">
        <f t="shared" si="40"/>
        <v>100</v>
      </c>
      <c r="L336" s="157">
        <f t="shared" si="41"/>
        <v>200</v>
      </c>
      <c r="M336" s="157">
        <f t="shared" si="42"/>
        <v>300</v>
      </c>
      <c r="N336" s="157">
        <f t="shared" si="43"/>
        <v>400</v>
      </c>
      <c r="O336" s="968"/>
      <c r="P336" s="966"/>
      <c r="Q336" s="586"/>
      <c r="R336" s="968"/>
      <c r="S336" s="589"/>
      <c r="T336" s="589"/>
      <c r="U336" s="589"/>
    </row>
    <row r="337" spans="1:21" x14ac:dyDescent="0.35">
      <c r="A337" s="142"/>
      <c r="B337" s="35"/>
      <c r="C337" s="143"/>
      <c r="D337" s="1685" t="s">
        <v>18</v>
      </c>
      <c r="E337" s="1686"/>
      <c r="F337" s="144" t="s">
        <v>19</v>
      </c>
      <c r="G337" s="145" t="s">
        <v>0</v>
      </c>
      <c r="H337" s="146" t="s">
        <v>20</v>
      </c>
      <c r="I337" s="147" t="s">
        <v>1</v>
      </c>
      <c r="J337" s="147" t="s">
        <v>4375</v>
      </c>
      <c r="K337" s="157">
        <f t="shared" si="40"/>
        <v>100</v>
      </c>
      <c r="L337" s="157">
        <f t="shared" si="41"/>
        <v>200</v>
      </c>
      <c r="M337" s="157">
        <f t="shared" si="42"/>
        <v>300</v>
      </c>
      <c r="N337" s="157">
        <f t="shared" si="43"/>
        <v>400</v>
      </c>
      <c r="O337" s="587"/>
      <c r="P337" s="967"/>
      <c r="Q337" s="586"/>
      <c r="R337" s="968"/>
      <c r="S337" s="589"/>
      <c r="T337" s="589"/>
      <c r="U337" s="589"/>
    </row>
    <row r="338" spans="1:21" ht="48" x14ac:dyDescent="0.35">
      <c r="A338" s="123"/>
      <c r="B338" s="35"/>
      <c r="C338" s="151"/>
      <c r="D338" s="1687" t="s">
        <v>5320</v>
      </c>
      <c r="E338" s="1688"/>
      <c r="F338" s="1023" t="s">
        <v>5364</v>
      </c>
      <c r="G338" s="153">
        <f t="shared" ref="G338" si="45">IF($H$2=1,S338,IF($H$2=2,T338,U338))</f>
        <v>1</v>
      </c>
      <c r="H338" s="154"/>
      <c r="I338" s="155"/>
      <c r="J338" s="156"/>
      <c r="K338" s="157">
        <f t="shared" si="40"/>
        <v>100</v>
      </c>
      <c r="L338" s="157">
        <f t="shared" si="41"/>
        <v>200</v>
      </c>
      <c r="M338" s="157">
        <f t="shared" si="42"/>
        <v>300</v>
      </c>
      <c r="N338" s="157">
        <f t="shared" si="43"/>
        <v>400</v>
      </c>
      <c r="O338" s="967" t="str">
        <f>CONCATENATE(O335," | ",F338)</f>
        <v>A.4.1 Miet- und Eigentümerbefragung | Konzept für die Erfassung und Auswertung der Zufriedenheit der Mieter:innen, Nutzer:innen und Eigentümer liegt vor bzw. wurde dieses in Auftrag gegeben</v>
      </c>
      <c r="P338" s="967"/>
      <c r="Q338" s="586"/>
      <c r="R338" s="968"/>
      <c r="S338" s="588">
        <v>0</v>
      </c>
      <c r="T338" s="588">
        <v>1</v>
      </c>
      <c r="U338" s="588">
        <v>1</v>
      </c>
    </row>
    <row r="339" spans="1:21" x14ac:dyDescent="0.35">
      <c r="A339" s="123"/>
      <c r="B339" s="35"/>
      <c r="C339" s="151"/>
      <c r="D339" s="1687"/>
      <c r="E339" s="1688"/>
      <c r="F339" s="159"/>
      <c r="G339" s="160"/>
      <c r="H339" s="161"/>
      <c r="I339" s="166"/>
      <c r="J339" s="164"/>
      <c r="K339" s="157">
        <f t="shared" si="40"/>
        <v>100</v>
      </c>
      <c r="L339" s="157">
        <f t="shared" si="41"/>
        <v>200</v>
      </c>
      <c r="M339" s="157">
        <f t="shared" si="42"/>
        <v>300</v>
      </c>
      <c r="N339" s="157">
        <f t="shared" si="43"/>
        <v>400</v>
      </c>
      <c r="O339" s="967"/>
      <c r="P339" s="967"/>
      <c r="Q339" s="586"/>
      <c r="R339" s="968"/>
      <c r="S339" s="589"/>
      <c r="T339" s="589"/>
      <c r="U339" s="589"/>
    </row>
    <row r="340" spans="1:21" x14ac:dyDescent="0.35">
      <c r="A340" s="123"/>
      <c r="B340" s="35"/>
      <c r="C340" s="151"/>
      <c r="D340" s="1687"/>
      <c r="E340" s="1688"/>
      <c r="F340" s="159"/>
      <c r="G340" s="160"/>
      <c r="H340" s="161"/>
      <c r="I340" s="166"/>
      <c r="J340" s="164"/>
      <c r="K340" s="157">
        <f t="shared" si="40"/>
        <v>100</v>
      </c>
      <c r="L340" s="157">
        <f t="shared" si="41"/>
        <v>200</v>
      </c>
      <c r="M340" s="157">
        <f t="shared" si="42"/>
        <v>300</v>
      </c>
      <c r="N340" s="157">
        <f t="shared" si="43"/>
        <v>400</v>
      </c>
      <c r="O340" s="967"/>
      <c r="P340" s="967"/>
      <c r="Q340" s="586"/>
      <c r="R340" s="968"/>
      <c r="S340" s="588"/>
      <c r="T340" s="588"/>
      <c r="U340" s="588"/>
    </row>
    <row r="341" spans="1:21" x14ac:dyDescent="0.35">
      <c r="A341" s="123">
        <v>3.2</v>
      </c>
      <c r="B341" s="35"/>
      <c r="C341" s="151"/>
      <c r="D341" s="1687"/>
      <c r="E341" s="1688"/>
      <c r="F341" s="159"/>
      <c r="G341" s="160"/>
      <c r="H341" s="161"/>
      <c r="I341" s="166"/>
      <c r="J341" s="164"/>
      <c r="K341" s="157">
        <f t="shared" si="40"/>
        <v>100</v>
      </c>
      <c r="L341" s="157">
        <f t="shared" si="41"/>
        <v>200</v>
      </c>
      <c r="M341" s="157">
        <f t="shared" si="42"/>
        <v>300</v>
      </c>
      <c r="N341" s="157">
        <f t="shared" si="43"/>
        <v>400</v>
      </c>
      <c r="O341" s="967"/>
      <c r="P341" s="967"/>
      <c r="Q341" s="586"/>
      <c r="R341" s="968"/>
      <c r="S341" s="589"/>
      <c r="T341" s="589"/>
      <c r="U341" s="589"/>
    </row>
    <row r="342" spans="1:21" x14ac:dyDescent="0.35">
      <c r="A342" s="123"/>
      <c r="B342" s="35"/>
      <c r="C342" s="151"/>
      <c r="D342" s="1687"/>
      <c r="E342" s="1688"/>
      <c r="F342" s="159"/>
      <c r="G342" s="160"/>
      <c r="H342" s="161"/>
      <c r="I342" s="166"/>
      <c r="J342" s="164"/>
      <c r="K342" s="157">
        <f t="shared" si="40"/>
        <v>100</v>
      </c>
      <c r="L342" s="157">
        <f t="shared" si="41"/>
        <v>200</v>
      </c>
      <c r="M342" s="157">
        <f t="shared" si="42"/>
        <v>300</v>
      </c>
      <c r="N342" s="157">
        <f t="shared" si="43"/>
        <v>400</v>
      </c>
      <c r="O342" s="967"/>
      <c r="P342" s="967"/>
      <c r="Q342" s="586"/>
      <c r="R342" s="968"/>
      <c r="S342" s="589"/>
      <c r="T342" s="589"/>
      <c r="U342" s="589"/>
    </row>
    <row r="343" spans="1:21" x14ac:dyDescent="0.35">
      <c r="A343" s="116"/>
      <c r="B343" s="35"/>
      <c r="C343" s="117"/>
      <c r="D343" s="1687"/>
      <c r="E343" s="1688"/>
      <c r="F343" s="159"/>
      <c r="G343" s="160"/>
      <c r="H343" s="161"/>
      <c r="I343" s="162"/>
      <c r="J343" s="164"/>
      <c r="K343" s="157">
        <f t="shared" si="40"/>
        <v>100</v>
      </c>
      <c r="L343" s="157">
        <f t="shared" si="41"/>
        <v>200</v>
      </c>
      <c r="M343" s="157">
        <f t="shared" si="42"/>
        <v>300</v>
      </c>
      <c r="N343" s="157">
        <f t="shared" si="43"/>
        <v>400</v>
      </c>
      <c r="O343" s="959"/>
      <c r="P343" s="967"/>
      <c r="Q343" s="586"/>
      <c r="R343" s="968"/>
      <c r="S343" s="589"/>
      <c r="T343" s="589"/>
      <c r="U343" s="589"/>
    </row>
    <row r="344" spans="1:21" x14ac:dyDescent="0.35">
      <c r="A344" s="116"/>
      <c r="B344" s="35"/>
      <c r="C344" s="117"/>
      <c r="D344" s="1687"/>
      <c r="E344" s="1688"/>
      <c r="F344" s="159"/>
      <c r="G344" s="160"/>
      <c r="H344" s="161"/>
      <c r="I344" s="162"/>
      <c r="J344" s="164"/>
      <c r="K344" s="157">
        <f t="shared" si="40"/>
        <v>100</v>
      </c>
      <c r="L344" s="157">
        <f t="shared" si="41"/>
        <v>200</v>
      </c>
      <c r="M344" s="157">
        <f t="shared" si="42"/>
        <v>300</v>
      </c>
      <c r="N344" s="157">
        <f t="shared" si="43"/>
        <v>400</v>
      </c>
      <c r="O344" s="959"/>
      <c r="P344" s="967"/>
      <c r="Q344" s="586"/>
      <c r="R344" s="968"/>
      <c r="S344" s="589"/>
      <c r="T344" s="589"/>
      <c r="U344" s="589"/>
    </row>
    <row r="345" spans="1:21" x14ac:dyDescent="0.35">
      <c r="A345" s="116"/>
      <c r="B345" s="35"/>
      <c r="C345" s="117"/>
      <c r="D345" s="1687"/>
      <c r="E345" s="1688"/>
      <c r="F345" s="159"/>
      <c r="G345" s="160"/>
      <c r="H345" s="161"/>
      <c r="I345" s="162"/>
      <c r="J345" s="164"/>
      <c r="K345" s="157">
        <f t="shared" si="40"/>
        <v>100</v>
      </c>
      <c r="L345" s="157">
        <f t="shared" si="41"/>
        <v>200</v>
      </c>
      <c r="M345" s="157">
        <f t="shared" si="42"/>
        <v>300</v>
      </c>
      <c r="N345" s="157">
        <f t="shared" si="43"/>
        <v>400</v>
      </c>
      <c r="O345" s="959"/>
      <c r="P345" s="967"/>
      <c r="Q345" s="586"/>
      <c r="R345" s="968"/>
      <c r="S345" s="589"/>
      <c r="T345" s="589"/>
      <c r="U345" s="589"/>
    </row>
    <row r="346" spans="1:21" x14ac:dyDescent="0.35">
      <c r="A346" s="123"/>
      <c r="B346" s="35"/>
      <c r="C346" s="151"/>
      <c r="D346" s="1687"/>
      <c r="E346" s="1688"/>
      <c r="F346" s="165"/>
      <c r="G346" s="160"/>
      <c r="H346" s="161"/>
      <c r="I346" s="166"/>
      <c r="J346" s="167"/>
      <c r="K346" s="157">
        <f t="shared" si="40"/>
        <v>100</v>
      </c>
      <c r="L346" s="157">
        <f t="shared" si="41"/>
        <v>200</v>
      </c>
      <c r="M346" s="157">
        <f t="shared" si="42"/>
        <v>300</v>
      </c>
      <c r="N346" s="157">
        <f t="shared" si="43"/>
        <v>400</v>
      </c>
      <c r="O346" s="959"/>
      <c r="P346" s="967"/>
      <c r="Q346" s="586"/>
      <c r="R346" s="968"/>
      <c r="S346" s="589"/>
      <c r="T346" s="589"/>
      <c r="U346" s="589"/>
    </row>
    <row r="347" spans="1:21" x14ac:dyDescent="0.35">
      <c r="A347" s="116"/>
      <c r="B347" s="35"/>
      <c r="C347" s="117"/>
      <c r="D347" s="1687"/>
      <c r="E347" s="1688"/>
      <c r="F347" s="159"/>
      <c r="G347" s="160"/>
      <c r="H347" s="168"/>
      <c r="I347" s="162"/>
      <c r="J347" s="164"/>
      <c r="K347" s="157">
        <f t="shared" si="40"/>
        <v>100</v>
      </c>
      <c r="L347" s="157">
        <f t="shared" si="41"/>
        <v>200</v>
      </c>
      <c r="M347" s="157">
        <f t="shared" si="42"/>
        <v>300</v>
      </c>
      <c r="N347" s="157">
        <f t="shared" si="43"/>
        <v>400</v>
      </c>
      <c r="O347" s="959"/>
      <c r="P347" s="967"/>
      <c r="Q347" s="586"/>
      <c r="R347" s="968"/>
      <c r="S347" s="589"/>
      <c r="T347" s="589"/>
      <c r="U347" s="589"/>
    </row>
    <row r="348" spans="1:21" x14ac:dyDescent="0.35">
      <c r="A348" s="116"/>
      <c r="B348" s="117"/>
      <c r="C348" s="117"/>
      <c r="D348" s="1687"/>
      <c r="E348" s="1688"/>
      <c r="F348" s="159"/>
      <c r="G348" s="160"/>
      <c r="H348" s="168"/>
      <c r="I348" s="162"/>
      <c r="J348" s="164"/>
      <c r="K348" s="157">
        <f t="shared" si="40"/>
        <v>100</v>
      </c>
      <c r="L348" s="157">
        <f t="shared" si="41"/>
        <v>200</v>
      </c>
      <c r="M348" s="157">
        <f t="shared" si="42"/>
        <v>300</v>
      </c>
      <c r="N348" s="157">
        <f t="shared" si="43"/>
        <v>400</v>
      </c>
      <c r="O348" s="959"/>
      <c r="P348" s="967"/>
      <c r="Q348" s="586"/>
      <c r="R348" s="968"/>
      <c r="S348" s="589"/>
      <c r="T348" s="589"/>
      <c r="U348" s="589"/>
    </row>
    <row r="349" spans="1:21" x14ac:dyDescent="0.35">
      <c r="A349" s="116"/>
      <c r="B349" s="117"/>
      <c r="C349" s="117"/>
      <c r="D349" s="1687"/>
      <c r="E349" s="1688"/>
      <c r="F349" s="169"/>
      <c r="G349" s="170"/>
      <c r="H349" s="171"/>
      <c r="I349" s="172"/>
      <c r="J349" s="173"/>
      <c r="K349" s="157">
        <f t="shared" si="40"/>
        <v>100</v>
      </c>
      <c r="L349" s="157">
        <f t="shared" si="41"/>
        <v>200</v>
      </c>
      <c r="M349" s="157">
        <f t="shared" si="42"/>
        <v>300</v>
      </c>
      <c r="N349" s="157">
        <f t="shared" si="43"/>
        <v>400</v>
      </c>
      <c r="O349" s="959"/>
      <c r="P349" s="967"/>
      <c r="Q349" s="586"/>
      <c r="R349" s="968"/>
      <c r="S349" s="589"/>
      <c r="T349" s="589"/>
      <c r="U349" s="589"/>
    </row>
    <row r="350" spans="1:21" ht="28.5" customHeight="1" x14ac:dyDescent="0.35">
      <c r="A350" s="116"/>
      <c r="B350" s="117"/>
      <c r="C350" s="117"/>
      <c r="D350" s="174"/>
      <c r="E350" s="175"/>
      <c r="F350" s="1689" t="s">
        <v>2</v>
      </c>
      <c r="G350" s="1689"/>
      <c r="H350" s="176">
        <f>IF(O350&gt;1,"Zielerreichung übersteigt 100%!",O350)</f>
        <v>0</v>
      </c>
      <c r="I350" s="177"/>
      <c r="J350" s="178"/>
      <c r="K350" s="157">
        <f t="shared" si="40"/>
        <v>100</v>
      </c>
      <c r="L350" s="157">
        <f t="shared" si="41"/>
        <v>200</v>
      </c>
      <c r="M350" s="157">
        <f t="shared" si="42"/>
        <v>300</v>
      </c>
      <c r="N350" s="157">
        <f t="shared" si="43"/>
        <v>400</v>
      </c>
      <c r="O350" s="959">
        <f>SUM(H338:H349)</f>
        <v>0</v>
      </c>
      <c r="P350" s="967"/>
      <c r="Q350" s="586"/>
      <c r="R350" s="968"/>
      <c r="S350" s="589"/>
      <c r="T350" s="589"/>
      <c r="U350" s="589"/>
    </row>
    <row r="351" spans="1:21" x14ac:dyDescent="0.35">
      <c r="A351" s="116"/>
      <c r="B351" s="117"/>
      <c r="C351" s="117"/>
      <c r="D351" s="179"/>
      <c r="E351" s="180"/>
      <c r="F351" s="1690" t="s">
        <v>3</v>
      </c>
      <c r="G351" s="1691"/>
      <c r="H351" s="181">
        <v>5</v>
      </c>
      <c r="I351" s="177"/>
      <c r="J351" s="178"/>
      <c r="K351" s="157">
        <f t="shared" si="40"/>
        <v>100</v>
      </c>
      <c r="L351" s="157">
        <f t="shared" si="41"/>
        <v>200</v>
      </c>
      <c r="M351" s="157">
        <f t="shared" si="42"/>
        <v>300</v>
      </c>
      <c r="N351" s="157">
        <f t="shared" si="43"/>
        <v>400</v>
      </c>
      <c r="O351" s="1030"/>
      <c r="P351" s="967"/>
      <c r="Q351" s="586"/>
      <c r="R351" s="968"/>
      <c r="S351" s="589"/>
      <c r="T351" s="589"/>
      <c r="U351" s="589"/>
    </row>
    <row r="352" spans="1:21" ht="15" customHeight="1" x14ac:dyDescent="0.35">
      <c r="A352" s="116"/>
      <c r="B352" s="117"/>
      <c r="C352" s="117"/>
      <c r="D352" s="179"/>
      <c r="E352" s="180"/>
      <c r="F352" s="1700" t="s">
        <v>5494</v>
      </c>
      <c r="G352" s="1701"/>
      <c r="H352" s="1084" t="str">
        <f>IF($H$2=1,0,"")</f>
        <v/>
      </c>
      <c r="I352" s="183"/>
      <c r="J352" s="178"/>
      <c r="K352" s="157">
        <f t="shared" si="40"/>
        <v>100</v>
      </c>
      <c r="L352" s="157">
        <f t="shared" si="41"/>
        <v>200</v>
      </c>
      <c r="M352" s="157">
        <f t="shared" si="42"/>
        <v>300</v>
      </c>
      <c r="N352" s="157">
        <f t="shared" si="43"/>
        <v>400</v>
      </c>
      <c r="O352" s="1030"/>
      <c r="P352" s="967"/>
      <c r="Q352" s="586"/>
      <c r="R352" s="968"/>
      <c r="S352" s="589"/>
      <c r="T352" s="589"/>
      <c r="U352" s="589"/>
    </row>
    <row r="353" spans="1:21" x14ac:dyDescent="0.35">
      <c r="A353" s="184"/>
      <c r="B353" s="185"/>
      <c r="C353" s="185"/>
      <c r="D353" s="179"/>
      <c r="E353" s="180"/>
      <c r="F353" s="186"/>
      <c r="G353" s="186"/>
      <c r="H353" s="187"/>
      <c r="I353" s="177"/>
      <c r="J353" s="178"/>
      <c r="K353" s="157">
        <f t="shared" si="40"/>
        <v>100</v>
      </c>
      <c r="L353" s="157">
        <f t="shared" si="41"/>
        <v>200</v>
      </c>
      <c r="M353" s="157">
        <f t="shared" si="42"/>
        <v>300</v>
      </c>
      <c r="N353" s="157">
        <f t="shared" si="43"/>
        <v>400</v>
      </c>
      <c r="O353" s="1030"/>
      <c r="P353" s="967"/>
      <c r="Q353" s="586"/>
      <c r="R353" s="968"/>
      <c r="S353" s="589"/>
      <c r="T353" s="589"/>
      <c r="U353" s="589"/>
    </row>
    <row r="354" spans="1:21" ht="15.5" x14ac:dyDescent="0.35">
      <c r="A354" s="116"/>
      <c r="B354" s="117"/>
      <c r="C354" s="1713"/>
      <c r="D354" s="1714"/>
      <c r="E354" s="188"/>
      <c r="F354" s="1715" t="s">
        <v>5</v>
      </c>
      <c r="G354" s="1715"/>
      <c r="H354" s="189">
        <f>IF(ISNUMBER(H352),H352*H350,H351*H350)</f>
        <v>0</v>
      </c>
      <c r="I354" s="190"/>
      <c r="J354" s="191"/>
      <c r="K354" s="157">
        <f t="shared" si="40"/>
        <v>100</v>
      </c>
      <c r="L354" s="157">
        <f t="shared" si="41"/>
        <v>200</v>
      </c>
      <c r="M354" s="157">
        <f t="shared" si="42"/>
        <v>300</v>
      </c>
      <c r="N354" s="157">
        <f t="shared" si="43"/>
        <v>400</v>
      </c>
      <c r="O354" s="1030"/>
      <c r="P354" s="967"/>
      <c r="Q354" s="586"/>
      <c r="R354" s="968"/>
      <c r="S354" s="589"/>
      <c r="T354" s="589"/>
      <c r="U354" s="589"/>
    </row>
    <row r="355" spans="1:21" x14ac:dyDescent="0.35">
      <c r="K355" s="157">
        <f t="shared" si="40"/>
        <v>100</v>
      </c>
      <c r="L355" s="157">
        <f t="shared" si="41"/>
        <v>200</v>
      </c>
      <c r="M355" s="157">
        <f t="shared" si="42"/>
        <v>300</v>
      </c>
      <c r="N355" s="157">
        <f t="shared" si="43"/>
        <v>400</v>
      </c>
      <c r="O355" s="967"/>
      <c r="P355" s="967"/>
      <c r="Q355" s="586"/>
      <c r="R355" s="968"/>
      <c r="S355" s="589"/>
      <c r="T355" s="589"/>
      <c r="U355" s="589"/>
    </row>
    <row r="356" spans="1:21" ht="7.5" customHeight="1" x14ac:dyDescent="0.35">
      <c r="A356" s="116"/>
      <c r="B356" s="117"/>
      <c r="C356" s="117"/>
      <c r="D356" s="116"/>
      <c r="E356" s="116"/>
      <c r="F356" s="118"/>
      <c r="G356" s="119"/>
      <c r="H356" s="116"/>
      <c r="I356" s="120"/>
      <c r="J356" s="121"/>
      <c r="K356" s="157">
        <f t="shared" si="40"/>
        <v>100</v>
      </c>
      <c r="L356" s="157">
        <f t="shared" si="41"/>
        <v>200</v>
      </c>
      <c r="M356" s="157">
        <f t="shared" si="42"/>
        <v>300</v>
      </c>
      <c r="N356" s="157">
        <f t="shared" si="43"/>
        <v>400</v>
      </c>
      <c r="O356" s="968"/>
      <c r="P356" s="968"/>
      <c r="Q356" s="586"/>
      <c r="R356" s="968"/>
      <c r="S356" s="589"/>
      <c r="T356" s="589"/>
      <c r="U356" s="589"/>
    </row>
    <row r="357" spans="1:21" ht="15.5" x14ac:dyDescent="0.35">
      <c r="A357" s="124"/>
      <c r="B357" s="125"/>
      <c r="C357" s="126" t="s">
        <v>4771</v>
      </c>
      <c r="D357" s="127" t="s">
        <v>5424</v>
      </c>
      <c r="E357" s="128"/>
      <c r="F357" s="129" t="str">
        <f>IF($F$3=1,O357,"")</f>
        <v>A.4.2 Monitoring Betriebsenergie</v>
      </c>
      <c r="G357" s="130"/>
      <c r="H357" s="131"/>
      <c r="I357" s="520" t="s">
        <v>23</v>
      </c>
      <c r="J357" s="130"/>
      <c r="K357" s="157">
        <f t="shared" si="40"/>
        <v>100</v>
      </c>
      <c r="L357" s="157">
        <f t="shared" si="41"/>
        <v>200</v>
      </c>
      <c r="M357" s="157">
        <f t="shared" si="42"/>
        <v>300</v>
      </c>
      <c r="N357" s="157">
        <f t="shared" si="43"/>
        <v>400</v>
      </c>
      <c r="O357" s="967" t="str">
        <f>CONCATENATE(C357," ",D357)</f>
        <v>A.4.2 Monitoring Betriebsenergie</v>
      </c>
      <c r="P357" s="966"/>
      <c r="Q357" s="586"/>
      <c r="R357" s="968"/>
      <c r="S357" s="589"/>
      <c r="T357" s="589"/>
      <c r="U357" s="589"/>
    </row>
    <row r="358" spans="1:21" x14ac:dyDescent="0.35">
      <c r="A358" s="124"/>
      <c r="B358" s="134"/>
      <c r="C358" s="135"/>
      <c r="D358" s="136"/>
      <c r="E358" s="136"/>
      <c r="F358" s="137"/>
      <c r="G358" s="138"/>
      <c r="H358" s="124"/>
      <c r="I358" s="139"/>
      <c r="J358" s="140"/>
      <c r="K358" s="157">
        <f t="shared" si="40"/>
        <v>100</v>
      </c>
      <c r="L358" s="157">
        <f t="shared" si="41"/>
        <v>200</v>
      </c>
      <c r="M358" s="157">
        <f t="shared" si="42"/>
        <v>300</v>
      </c>
      <c r="N358" s="157">
        <f t="shared" si="43"/>
        <v>400</v>
      </c>
      <c r="O358" s="968"/>
      <c r="P358" s="966"/>
      <c r="Q358" s="586"/>
      <c r="R358" s="968"/>
      <c r="S358" s="589"/>
      <c r="T358" s="589"/>
      <c r="U358" s="589"/>
    </row>
    <row r="359" spans="1:21" x14ac:dyDescent="0.35">
      <c r="A359" s="142"/>
      <c r="B359" s="35"/>
      <c r="C359" s="143"/>
      <c r="D359" s="1685" t="s">
        <v>18</v>
      </c>
      <c r="E359" s="1686"/>
      <c r="F359" s="144" t="s">
        <v>19</v>
      </c>
      <c r="G359" s="145" t="s">
        <v>0</v>
      </c>
      <c r="H359" s="146" t="s">
        <v>20</v>
      </c>
      <c r="I359" s="147" t="s">
        <v>1</v>
      </c>
      <c r="J359" s="147" t="s">
        <v>4375</v>
      </c>
      <c r="K359" s="157">
        <f t="shared" si="40"/>
        <v>100</v>
      </c>
      <c r="L359" s="157">
        <f t="shared" si="41"/>
        <v>200</v>
      </c>
      <c r="M359" s="157">
        <f t="shared" si="42"/>
        <v>300</v>
      </c>
      <c r="N359" s="157">
        <f t="shared" si="43"/>
        <v>400</v>
      </c>
      <c r="O359" s="587"/>
      <c r="P359" s="967"/>
      <c r="Q359" s="586"/>
      <c r="R359" s="968"/>
      <c r="S359" s="589"/>
      <c r="T359" s="589"/>
      <c r="U359" s="589"/>
    </row>
    <row r="360" spans="1:21" ht="24" x14ac:dyDescent="0.35">
      <c r="A360" s="123"/>
      <c r="B360" s="35"/>
      <c r="C360" s="151"/>
      <c r="D360" s="1687" t="s">
        <v>4661</v>
      </c>
      <c r="E360" s="1688"/>
      <c r="F360" s="152" t="s">
        <v>2059</v>
      </c>
      <c r="G360" s="153">
        <f t="shared" ref="G360:G362" si="46">IF($H$2=1,S360,IF($H$2=2,T360,U360))</f>
        <v>0.8</v>
      </c>
      <c r="H360" s="154"/>
      <c r="I360" s="155"/>
      <c r="J360" s="156"/>
      <c r="K360" s="157">
        <f t="shared" si="40"/>
        <v>100</v>
      </c>
      <c r="L360" s="157">
        <f t="shared" si="41"/>
        <v>200</v>
      </c>
      <c r="M360" s="157">
        <f t="shared" si="42"/>
        <v>300</v>
      </c>
      <c r="N360" s="157">
        <f t="shared" si="43"/>
        <v>400</v>
      </c>
      <c r="O360" s="967" t="str">
        <f>CONCATENATE(O357," | ",F360)</f>
        <v>A.4.2 Monitoring Betriebsenergie | Monitoringkonzept für die Erfassung und Auswertung der Betriebsenergie auf Siedlungsebene liegt vor</v>
      </c>
      <c r="P360" s="967"/>
      <c r="Q360" s="586"/>
      <c r="R360" s="968"/>
      <c r="S360" s="1027">
        <v>0</v>
      </c>
      <c r="T360" s="1027">
        <v>0.8</v>
      </c>
      <c r="U360" s="594">
        <v>0.8</v>
      </c>
    </row>
    <row r="361" spans="1:21" ht="36" x14ac:dyDescent="0.35">
      <c r="A361" s="123"/>
      <c r="B361" s="35"/>
      <c r="C361" s="151"/>
      <c r="D361" s="1687"/>
      <c r="E361" s="1688"/>
      <c r="F361" s="152" t="s">
        <v>4369</v>
      </c>
      <c r="G361" s="153">
        <f t="shared" si="46"/>
        <v>0.1</v>
      </c>
      <c r="H361" s="154"/>
      <c r="I361" s="155"/>
      <c r="J361" s="156"/>
      <c r="K361" s="157">
        <f t="shared" si="40"/>
        <v>100</v>
      </c>
      <c r="L361" s="157">
        <f t="shared" si="41"/>
        <v>200</v>
      </c>
      <c r="M361" s="157">
        <f t="shared" si="42"/>
        <v>300</v>
      </c>
      <c r="N361" s="157">
        <f t="shared" si="43"/>
        <v>400</v>
      </c>
      <c r="O361" s="967" t="str">
        <f>CONCATENATE(O357," | ",F361)</f>
        <v>A.4.2 Monitoring Betriebsenergie | Monitoringkonzept für die Erfassung und Auswertung der Betriebsenergie auf Gebäudeebene liegt vor (Mustergebäude)</v>
      </c>
      <c r="P361" s="967"/>
      <c r="Q361" s="586"/>
      <c r="R361" s="968"/>
      <c r="S361" s="1027">
        <v>0</v>
      </c>
      <c r="T361" s="1027">
        <v>0.1</v>
      </c>
      <c r="U361" s="594">
        <v>0.1</v>
      </c>
    </row>
    <row r="362" spans="1:21" ht="36" x14ac:dyDescent="0.35">
      <c r="A362" s="123"/>
      <c r="B362" s="35"/>
      <c r="C362" s="151"/>
      <c r="D362" s="1687"/>
      <c r="E362" s="1688"/>
      <c r="F362" s="152" t="s">
        <v>4368</v>
      </c>
      <c r="G362" s="153">
        <f t="shared" si="46"/>
        <v>0.1</v>
      </c>
      <c r="H362" s="154"/>
      <c r="I362" s="155"/>
      <c r="J362" s="156"/>
      <c r="K362" s="157">
        <f t="shared" si="40"/>
        <v>100</v>
      </c>
      <c r="L362" s="157">
        <f t="shared" si="41"/>
        <v>200</v>
      </c>
      <c r="M362" s="157">
        <f t="shared" si="42"/>
        <v>300</v>
      </c>
      <c r="N362" s="157">
        <f t="shared" si="43"/>
        <v>400</v>
      </c>
      <c r="O362" s="967" t="str">
        <f>CONCATENATE(O357," | ",F362)</f>
        <v>A.4.2 Monitoring Betriebsenergie | Monitoringkonzept für die Erfassung und Auswertung der Betriebsenergie auf Ebene der Mieteinheit liegt vor (Musterwohnung)</v>
      </c>
      <c r="P362" s="967"/>
      <c r="Q362" s="586"/>
      <c r="R362" s="968"/>
      <c r="S362" s="1027">
        <v>0</v>
      </c>
      <c r="T362" s="1027">
        <v>0.1</v>
      </c>
      <c r="U362" s="594">
        <v>0.1</v>
      </c>
    </row>
    <row r="363" spans="1:21" x14ac:dyDescent="0.35">
      <c r="A363" s="123">
        <v>3.2</v>
      </c>
      <c r="B363" s="35"/>
      <c r="C363" s="151"/>
      <c r="D363" s="1687"/>
      <c r="E363" s="1688"/>
      <c r="F363" s="159"/>
      <c r="G363" s="160"/>
      <c r="H363" s="161"/>
      <c r="I363" s="166"/>
      <c r="J363" s="164"/>
      <c r="K363" s="157">
        <f t="shared" si="40"/>
        <v>100</v>
      </c>
      <c r="L363" s="157">
        <f t="shared" si="41"/>
        <v>200</v>
      </c>
      <c r="M363" s="157">
        <f t="shared" si="42"/>
        <v>300</v>
      </c>
      <c r="N363" s="157">
        <f t="shared" si="43"/>
        <v>400</v>
      </c>
      <c r="O363" s="967"/>
      <c r="P363" s="967"/>
      <c r="Q363" s="586"/>
      <c r="R363" s="968"/>
      <c r="S363" s="1028"/>
      <c r="T363" s="1028"/>
      <c r="U363" s="589"/>
    </row>
    <row r="364" spans="1:21" x14ac:dyDescent="0.35">
      <c r="A364" s="123"/>
      <c r="B364" s="35"/>
      <c r="C364" s="151"/>
      <c r="D364" s="1687"/>
      <c r="E364" s="1688"/>
      <c r="F364" s="159"/>
      <c r="G364" s="160"/>
      <c r="H364" s="161"/>
      <c r="I364" s="162"/>
      <c r="J364" s="164"/>
      <c r="K364" s="157">
        <f t="shared" ref="K364:K427" si="47">IF($J364=$K$41,K363+1,K363+0)</f>
        <v>100</v>
      </c>
      <c r="L364" s="157">
        <f t="shared" ref="L364:L427" si="48">IF($J364=$L$41,L363+1,L363+0)</f>
        <v>200</v>
      </c>
      <c r="M364" s="157">
        <f t="shared" ref="M364:M427" si="49">IF($J364=$M$41,M363+1,M363+0)</f>
        <v>300</v>
      </c>
      <c r="N364" s="157">
        <f t="shared" ref="N364:N427" si="50">IF($J364=$N$41,N363+1,N363+0)</f>
        <v>400</v>
      </c>
      <c r="O364" s="967"/>
      <c r="P364" s="967"/>
      <c r="Q364" s="586"/>
      <c r="R364" s="968"/>
      <c r="S364" s="588"/>
      <c r="T364" s="588"/>
      <c r="U364" s="595"/>
    </row>
    <row r="365" spans="1:21" x14ac:dyDescent="0.35">
      <c r="A365" s="116"/>
      <c r="B365" s="35"/>
      <c r="C365" s="117"/>
      <c r="D365" s="1687"/>
      <c r="E365" s="1688"/>
      <c r="F365" s="159"/>
      <c r="G365" s="160"/>
      <c r="H365" s="161"/>
      <c r="I365" s="162"/>
      <c r="J365" s="164"/>
      <c r="K365" s="157">
        <f t="shared" si="47"/>
        <v>100</v>
      </c>
      <c r="L365" s="157">
        <f t="shared" si="48"/>
        <v>200</v>
      </c>
      <c r="M365" s="157">
        <f t="shared" si="49"/>
        <v>300</v>
      </c>
      <c r="N365" s="157">
        <f t="shared" si="50"/>
        <v>400</v>
      </c>
      <c r="O365" s="959"/>
      <c r="P365" s="967"/>
      <c r="Q365" s="586"/>
      <c r="R365" s="968"/>
      <c r="S365" s="589"/>
      <c r="T365" s="589"/>
      <c r="U365" s="589"/>
    </row>
    <row r="366" spans="1:21" x14ac:dyDescent="0.35">
      <c r="A366" s="116"/>
      <c r="B366" s="35"/>
      <c r="C366" s="117"/>
      <c r="D366" s="1687"/>
      <c r="E366" s="1688"/>
      <c r="F366" s="159"/>
      <c r="G366" s="160"/>
      <c r="H366" s="161"/>
      <c r="I366" s="162"/>
      <c r="J366" s="164"/>
      <c r="K366" s="157">
        <f t="shared" si="47"/>
        <v>100</v>
      </c>
      <c r="L366" s="157">
        <f t="shared" si="48"/>
        <v>200</v>
      </c>
      <c r="M366" s="157">
        <f t="shared" si="49"/>
        <v>300</v>
      </c>
      <c r="N366" s="157">
        <f t="shared" si="50"/>
        <v>400</v>
      </c>
      <c r="O366" s="959"/>
      <c r="P366" s="967"/>
      <c r="Q366" s="586"/>
      <c r="R366" s="968"/>
      <c r="S366" s="589"/>
      <c r="T366" s="589"/>
      <c r="U366" s="589"/>
    </row>
    <row r="367" spans="1:21" x14ac:dyDescent="0.35">
      <c r="A367" s="116"/>
      <c r="B367" s="35"/>
      <c r="C367" s="117"/>
      <c r="D367" s="1687"/>
      <c r="E367" s="1688"/>
      <c r="F367" s="159"/>
      <c r="G367" s="160"/>
      <c r="H367" s="161"/>
      <c r="I367" s="162"/>
      <c r="J367" s="164"/>
      <c r="K367" s="157">
        <f t="shared" si="47"/>
        <v>100</v>
      </c>
      <c r="L367" s="157">
        <f t="shared" si="48"/>
        <v>200</v>
      </c>
      <c r="M367" s="157">
        <f t="shared" si="49"/>
        <v>300</v>
      </c>
      <c r="N367" s="157">
        <f t="shared" si="50"/>
        <v>400</v>
      </c>
      <c r="O367" s="959"/>
      <c r="P367" s="967"/>
      <c r="Q367" s="586"/>
      <c r="R367" s="968"/>
      <c r="S367" s="589"/>
      <c r="T367" s="589"/>
      <c r="U367" s="589"/>
    </row>
    <row r="368" spans="1:21" x14ac:dyDescent="0.35">
      <c r="A368" s="123"/>
      <c r="B368" s="35"/>
      <c r="C368" s="151"/>
      <c r="D368" s="1687"/>
      <c r="E368" s="1688"/>
      <c r="F368" s="165"/>
      <c r="G368" s="160"/>
      <c r="H368" s="161"/>
      <c r="I368" s="166"/>
      <c r="J368" s="167"/>
      <c r="K368" s="157">
        <f t="shared" si="47"/>
        <v>100</v>
      </c>
      <c r="L368" s="157">
        <f t="shared" si="48"/>
        <v>200</v>
      </c>
      <c r="M368" s="157">
        <f t="shared" si="49"/>
        <v>300</v>
      </c>
      <c r="N368" s="157">
        <f t="shared" si="50"/>
        <v>400</v>
      </c>
      <c r="O368" s="959"/>
      <c r="P368" s="967"/>
      <c r="Q368" s="586"/>
      <c r="R368" s="968"/>
      <c r="S368" s="589"/>
      <c r="T368" s="589"/>
      <c r="U368" s="589"/>
    </row>
    <row r="369" spans="1:21" x14ac:dyDescent="0.35">
      <c r="A369" s="116"/>
      <c r="B369" s="35"/>
      <c r="C369" s="117"/>
      <c r="D369" s="1687"/>
      <c r="E369" s="1688"/>
      <c r="F369" s="159"/>
      <c r="G369" s="160"/>
      <c r="H369" s="168"/>
      <c r="I369" s="162"/>
      <c r="J369" s="164"/>
      <c r="K369" s="157">
        <f t="shared" si="47"/>
        <v>100</v>
      </c>
      <c r="L369" s="157">
        <f t="shared" si="48"/>
        <v>200</v>
      </c>
      <c r="M369" s="157">
        <f t="shared" si="49"/>
        <v>300</v>
      </c>
      <c r="N369" s="157">
        <f t="shared" si="50"/>
        <v>400</v>
      </c>
      <c r="O369" s="959"/>
      <c r="P369" s="967"/>
      <c r="Q369" s="586"/>
      <c r="R369" s="968"/>
      <c r="S369" s="589"/>
      <c r="T369" s="589"/>
      <c r="U369" s="589"/>
    </row>
    <row r="370" spans="1:21" x14ac:dyDescent="0.35">
      <c r="A370" s="116"/>
      <c r="B370" s="117"/>
      <c r="C370" s="117"/>
      <c r="D370" s="1687"/>
      <c r="E370" s="1688"/>
      <c r="F370" s="159"/>
      <c r="G370" s="160"/>
      <c r="H370" s="168"/>
      <c r="I370" s="162"/>
      <c r="J370" s="164"/>
      <c r="K370" s="157">
        <f t="shared" si="47"/>
        <v>100</v>
      </c>
      <c r="L370" s="157">
        <f t="shared" si="48"/>
        <v>200</v>
      </c>
      <c r="M370" s="157">
        <f t="shared" si="49"/>
        <v>300</v>
      </c>
      <c r="N370" s="157">
        <f t="shared" si="50"/>
        <v>400</v>
      </c>
      <c r="O370" s="959"/>
      <c r="P370" s="967"/>
      <c r="Q370" s="586"/>
      <c r="R370" s="968"/>
      <c r="S370" s="589"/>
      <c r="T370" s="589"/>
      <c r="U370" s="589"/>
    </row>
    <row r="371" spans="1:21" x14ac:dyDescent="0.35">
      <c r="A371" s="116"/>
      <c r="B371" s="117"/>
      <c r="C371" s="117"/>
      <c r="D371" s="1687"/>
      <c r="E371" s="1688"/>
      <c r="F371" s="169"/>
      <c r="G371" s="170"/>
      <c r="H371" s="171"/>
      <c r="I371" s="172"/>
      <c r="J371" s="173"/>
      <c r="K371" s="157">
        <f t="shared" si="47"/>
        <v>100</v>
      </c>
      <c r="L371" s="157">
        <f t="shared" si="48"/>
        <v>200</v>
      </c>
      <c r="M371" s="157">
        <f t="shared" si="49"/>
        <v>300</v>
      </c>
      <c r="N371" s="157">
        <f t="shared" si="50"/>
        <v>400</v>
      </c>
      <c r="O371" s="959"/>
      <c r="P371" s="967"/>
      <c r="Q371" s="586"/>
      <c r="R371" s="968"/>
      <c r="S371" s="589"/>
      <c r="T371" s="589"/>
      <c r="U371" s="589"/>
    </row>
    <row r="372" spans="1:21" ht="28.5" customHeight="1" x14ac:dyDescent="0.35">
      <c r="A372" s="116"/>
      <c r="B372" s="117"/>
      <c r="C372" s="117"/>
      <c r="D372" s="174"/>
      <c r="E372" s="175"/>
      <c r="F372" s="1689" t="s">
        <v>2</v>
      </c>
      <c r="G372" s="1689"/>
      <c r="H372" s="176">
        <f>IF(O372&gt;1,"Zielerreichung übersteigt 100%!",O372)</f>
        <v>0</v>
      </c>
      <c r="I372" s="177"/>
      <c r="J372" s="178"/>
      <c r="K372" s="157">
        <f t="shared" si="47"/>
        <v>100</v>
      </c>
      <c r="L372" s="157">
        <f t="shared" si="48"/>
        <v>200</v>
      </c>
      <c r="M372" s="157">
        <f t="shared" si="49"/>
        <v>300</v>
      </c>
      <c r="N372" s="157">
        <f t="shared" si="50"/>
        <v>400</v>
      </c>
      <c r="O372" s="959">
        <f>SUM(H360:H371)</f>
        <v>0</v>
      </c>
      <c r="P372" s="967"/>
      <c r="Q372" s="586"/>
      <c r="R372" s="968"/>
      <c r="S372" s="589"/>
      <c r="T372" s="589"/>
      <c r="U372" s="589"/>
    </row>
    <row r="373" spans="1:21" x14ac:dyDescent="0.35">
      <c r="A373" s="116"/>
      <c r="B373" s="117"/>
      <c r="C373" s="117"/>
      <c r="D373" s="179"/>
      <c r="E373" s="180"/>
      <c r="F373" s="1690" t="s">
        <v>3</v>
      </c>
      <c r="G373" s="1691"/>
      <c r="H373" s="181">
        <v>5</v>
      </c>
      <c r="I373" s="177"/>
      <c r="J373" s="178"/>
      <c r="K373" s="157">
        <f t="shared" si="47"/>
        <v>100</v>
      </c>
      <c r="L373" s="157">
        <f t="shared" si="48"/>
        <v>200</v>
      </c>
      <c r="M373" s="157">
        <f t="shared" si="49"/>
        <v>300</v>
      </c>
      <c r="N373" s="157">
        <f t="shared" si="50"/>
        <v>400</v>
      </c>
      <c r="O373" s="1030"/>
      <c r="P373" s="967"/>
      <c r="Q373" s="586"/>
      <c r="R373" s="968"/>
      <c r="S373" s="589"/>
      <c r="T373" s="589"/>
      <c r="U373" s="589"/>
    </row>
    <row r="374" spans="1:21" ht="15" customHeight="1" x14ac:dyDescent="0.35">
      <c r="A374" s="116"/>
      <c r="B374" s="117"/>
      <c r="C374" s="117"/>
      <c r="D374" s="179"/>
      <c r="E374" s="180"/>
      <c r="F374" s="1700" t="s">
        <v>5494</v>
      </c>
      <c r="G374" s="1701"/>
      <c r="H374" s="1084" t="str">
        <f>IF($H$2=1,0,"")</f>
        <v/>
      </c>
      <c r="I374" s="183"/>
      <c r="J374" s="178"/>
      <c r="K374" s="157">
        <f t="shared" si="47"/>
        <v>100</v>
      </c>
      <c r="L374" s="157">
        <f t="shared" si="48"/>
        <v>200</v>
      </c>
      <c r="M374" s="157">
        <f t="shared" si="49"/>
        <v>300</v>
      </c>
      <c r="N374" s="157">
        <f t="shared" si="50"/>
        <v>400</v>
      </c>
      <c r="O374" s="1030"/>
      <c r="P374" s="967"/>
      <c r="Q374" s="586"/>
      <c r="R374" s="968"/>
      <c r="S374" s="589"/>
      <c r="T374" s="589"/>
      <c r="U374" s="589"/>
    </row>
    <row r="375" spans="1:21" x14ac:dyDescent="0.35">
      <c r="A375" s="184"/>
      <c r="B375" s="185"/>
      <c r="C375" s="185"/>
      <c r="D375" s="179"/>
      <c r="E375" s="180"/>
      <c r="F375" s="186"/>
      <c r="G375" s="186"/>
      <c r="H375" s="187"/>
      <c r="I375" s="177"/>
      <c r="J375" s="178"/>
      <c r="K375" s="157">
        <f t="shared" si="47"/>
        <v>100</v>
      </c>
      <c r="L375" s="157">
        <f t="shared" si="48"/>
        <v>200</v>
      </c>
      <c r="M375" s="157">
        <f t="shared" si="49"/>
        <v>300</v>
      </c>
      <c r="N375" s="157">
        <f t="shared" si="50"/>
        <v>400</v>
      </c>
      <c r="O375" s="1030"/>
      <c r="P375" s="967"/>
      <c r="Q375" s="586"/>
      <c r="R375" s="968"/>
      <c r="S375" s="589"/>
      <c r="T375" s="589"/>
      <c r="U375" s="589"/>
    </row>
    <row r="376" spans="1:21" ht="15.75" customHeight="1" x14ac:dyDescent="0.35">
      <c r="A376" s="116"/>
      <c r="B376" s="185"/>
      <c r="C376" s="1713"/>
      <c r="D376" s="1714"/>
      <c r="E376" s="188"/>
      <c r="F376" s="1715" t="s">
        <v>5</v>
      </c>
      <c r="G376" s="1715"/>
      <c r="H376" s="189">
        <f>IF(ISNUMBER(H374),H374*H372,H373*H372)</f>
        <v>0</v>
      </c>
      <c r="I376" s="190"/>
      <c r="J376" s="191"/>
      <c r="K376" s="157">
        <f t="shared" si="47"/>
        <v>100</v>
      </c>
      <c r="L376" s="157">
        <f t="shared" si="48"/>
        <v>200</v>
      </c>
      <c r="M376" s="157">
        <f t="shared" si="49"/>
        <v>300</v>
      </c>
      <c r="N376" s="157">
        <f t="shared" si="50"/>
        <v>400</v>
      </c>
      <c r="O376" s="1030"/>
      <c r="P376" s="967"/>
      <c r="Q376" s="586"/>
      <c r="R376" s="968"/>
      <c r="S376" s="589"/>
      <c r="T376" s="589"/>
      <c r="U376" s="589"/>
    </row>
    <row r="377" spans="1:21" x14ac:dyDescent="0.35">
      <c r="K377" s="157">
        <f t="shared" si="47"/>
        <v>100</v>
      </c>
      <c r="L377" s="157">
        <f t="shared" si="48"/>
        <v>200</v>
      </c>
      <c r="M377" s="157">
        <f t="shared" si="49"/>
        <v>300</v>
      </c>
      <c r="N377" s="157">
        <f t="shared" si="50"/>
        <v>400</v>
      </c>
      <c r="O377" s="967"/>
      <c r="P377" s="967"/>
      <c r="Q377" s="586"/>
      <c r="R377" s="968"/>
      <c r="S377" s="589"/>
      <c r="T377" s="589"/>
      <c r="U377" s="589"/>
    </row>
    <row r="378" spans="1:21" ht="7.5" customHeight="1" x14ac:dyDescent="0.35">
      <c r="A378" s="116"/>
      <c r="B378" s="117"/>
      <c r="C378" s="117"/>
      <c r="D378" s="116"/>
      <c r="E378" s="116"/>
      <c r="F378" s="118"/>
      <c r="G378" s="119"/>
      <c r="H378" s="116"/>
      <c r="I378" s="120"/>
      <c r="J378" s="121"/>
      <c r="K378" s="157">
        <f t="shared" si="47"/>
        <v>100</v>
      </c>
      <c r="L378" s="157">
        <f t="shared" si="48"/>
        <v>200</v>
      </c>
      <c r="M378" s="157">
        <f t="shared" si="49"/>
        <v>300</v>
      </c>
      <c r="N378" s="157">
        <f t="shared" si="50"/>
        <v>400</v>
      </c>
      <c r="O378" s="968"/>
      <c r="P378" s="968"/>
      <c r="Q378" s="586"/>
      <c r="R378" s="968"/>
      <c r="S378" s="589"/>
      <c r="T378" s="589"/>
      <c r="U378" s="589"/>
    </row>
    <row r="379" spans="1:21" ht="15.5" x14ac:dyDescent="0.35">
      <c r="A379" s="124"/>
      <c r="B379" s="125"/>
      <c r="C379" s="126" t="s">
        <v>4772</v>
      </c>
      <c r="D379" s="127" t="s">
        <v>5425</v>
      </c>
      <c r="E379" s="128"/>
      <c r="F379" s="129" t="str">
        <f>IF($F$3=1,O379,"")</f>
        <v>A.4.3 Monitoring Wasserverbrauch</v>
      </c>
      <c r="G379" s="130"/>
      <c r="H379" s="131"/>
      <c r="I379" s="520" t="s">
        <v>23</v>
      </c>
      <c r="J379" s="130"/>
      <c r="K379" s="157">
        <f t="shared" si="47"/>
        <v>100</v>
      </c>
      <c r="L379" s="157">
        <f t="shared" si="48"/>
        <v>200</v>
      </c>
      <c r="M379" s="157">
        <f t="shared" si="49"/>
        <v>300</v>
      </c>
      <c r="N379" s="157">
        <f t="shared" si="50"/>
        <v>400</v>
      </c>
      <c r="O379" s="967" t="str">
        <f>CONCATENATE(C379," ",D379)</f>
        <v>A.4.3 Monitoring Wasserverbrauch</v>
      </c>
      <c r="P379" s="966"/>
      <c r="Q379" s="586"/>
      <c r="R379" s="968"/>
      <c r="S379" s="589"/>
      <c r="T379" s="589"/>
      <c r="U379" s="589"/>
    </row>
    <row r="380" spans="1:21" x14ac:dyDescent="0.35">
      <c r="A380" s="124"/>
      <c r="B380" s="134"/>
      <c r="C380" s="135"/>
      <c r="D380" s="136"/>
      <c r="E380" s="136"/>
      <c r="F380" s="137"/>
      <c r="G380" s="138"/>
      <c r="H380" s="124"/>
      <c r="I380" s="139"/>
      <c r="J380" s="140"/>
      <c r="K380" s="157">
        <f t="shared" si="47"/>
        <v>100</v>
      </c>
      <c r="L380" s="157">
        <f t="shared" si="48"/>
        <v>200</v>
      </c>
      <c r="M380" s="157">
        <f t="shared" si="49"/>
        <v>300</v>
      </c>
      <c r="N380" s="157">
        <f t="shared" si="50"/>
        <v>400</v>
      </c>
      <c r="O380" s="968"/>
      <c r="P380" s="966"/>
      <c r="Q380" s="586"/>
      <c r="R380" s="968"/>
      <c r="S380" s="589"/>
      <c r="T380" s="589"/>
      <c r="U380" s="589"/>
    </row>
    <row r="381" spans="1:21" x14ac:dyDescent="0.35">
      <c r="A381" s="142"/>
      <c r="B381" s="35"/>
      <c r="C381" s="143"/>
      <c r="D381" s="1685" t="s">
        <v>18</v>
      </c>
      <c r="E381" s="1686"/>
      <c r="F381" s="144" t="s">
        <v>19</v>
      </c>
      <c r="G381" s="145" t="s">
        <v>0</v>
      </c>
      <c r="H381" s="146" t="s">
        <v>20</v>
      </c>
      <c r="I381" s="147" t="s">
        <v>1</v>
      </c>
      <c r="J381" s="147" t="s">
        <v>4375</v>
      </c>
      <c r="K381" s="157">
        <f t="shared" si="47"/>
        <v>100</v>
      </c>
      <c r="L381" s="157">
        <f t="shared" si="48"/>
        <v>200</v>
      </c>
      <c r="M381" s="157">
        <f t="shared" si="49"/>
        <v>300</v>
      </c>
      <c r="N381" s="157">
        <f t="shared" si="50"/>
        <v>400</v>
      </c>
      <c r="O381" s="587"/>
      <c r="P381" s="967"/>
      <c r="Q381" s="586"/>
      <c r="R381" s="968"/>
      <c r="S381" s="589"/>
      <c r="T381" s="589"/>
      <c r="U381" s="589"/>
    </row>
    <row r="382" spans="1:21" ht="24" x14ac:dyDescent="0.35">
      <c r="A382" s="123"/>
      <c r="B382" s="35"/>
      <c r="C382" s="151"/>
      <c r="D382" s="1687" t="s">
        <v>4662</v>
      </c>
      <c r="E382" s="1688"/>
      <c r="F382" s="152" t="s">
        <v>2062</v>
      </c>
      <c r="G382" s="153">
        <f t="shared" ref="G382:G384" si="51">IF($H$2=1,S382,IF($H$2=2,T382,U382))</f>
        <v>0.8</v>
      </c>
      <c r="H382" s="154"/>
      <c r="I382" s="155"/>
      <c r="J382" s="156"/>
      <c r="K382" s="157">
        <f t="shared" si="47"/>
        <v>100</v>
      </c>
      <c r="L382" s="157">
        <f t="shared" si="48"/>
        <v>200</v>
      </c>
      <c r="M382" s="157">
        <f t="shared" si="49"/>
        <v>300</v>
      </c>
      <c r="N382" s="157">
        <f t="shared" si="50"/>
        <v>400</v>
      </c>
      <c r="O382" s="967" t="str">
        <f>CONCATENATE(O379," | ",F382)</f>
        <v>A.4.3 Monitoring Wasserverbrauch | Monitoringkonzept für die Erfassung und Auswertung des Wasserverbrauchs auf Siedlungsebene liegt vor</v>
      </c>
      <c r="P382" s="967"/>
      <c r="Q382" s="586"/>
      <c r="R382" s="968"/>
      <c r="S382" s="595">
        <v>0</v>
      </c>
      <c r="T382" s="595">
        <v>0.8</v>
      </c>
      <c r="U382" s="594">
        <v>0.8</v>
      </c>
    </row>
    <row r="383" spans="1:21" ht="36" x14ac:dyDescent="0.35">
      <c r="A383" s="123"/>
      <c r="B383" s="35"/>
      <c r="C383" s="151"/>
      <c r="D383" s="1687"/>
      <c r="E383" s="1688"/>
      <c r="F383" s="152" t="s">
        <v>4367</v>
      </c>
      <c r="G383" s="153">
        <f t="shared" si="51"/>
        <v>0.1</v>
      </c>
      <c r="H383" s="154"/>
      <c r="I383" s="158"/>
      <c r="J383" s="156"/>
      <c r="K383" s="157">
        <f t="shared" si="47"/>
        <v>100</v>
      </c>
      <c r="L383" s="157">
        <f t="shared" si="48"/>
        <v>200</v>
      </c>
      <c r="M383" s="157">
        <f t="shared" si="49"/>
        <v>300</v>
      </c>
      <c r="N383" s="157">
        <f t="shared" si="50"/>
        <v>400</v>
      </c>
      <c r="O383" s="967" t="str">
        <f>CONCATENATE(O379," | ",F383)</f>
        <v>A.4.3 Monitoring Wasserverbrauch | Monitoringkonzept für die Erfassung und Auswertung des Wasserverbrauchs auf Gebäudeebene liegt vor (Mustergebäude)</v>
      </c>
      <c r="P383" s="967"/>
      <c r="Q383" s="586"/>
      <c r="R383" s="968"/>
      <c r="S383" s="595">
        <v>0</v>
      </c>
      <c r="T383" s="595">
        <v>0.1</v>
      </c>
      <c r="U383" s="594">
        <v>0.1</v>
      </c>
    </row>
    <row r="384" spans="1:21" ht="36" x14ac:dyDescent="0.35">
      <c r="A384" s="123"/>
      <c r="B384" s="35"/>
      <c r="C384" s="151"/>
      <c r="D384" s="1687"/>
      <c r="E384" s="1688"/>
      <c r="F384" s="152" t="s">
        <v>4366</v>
      </c>
      <c r="G384" s="153">
        <f t="shared" si="51"/>
        <v>0.1</v>
      </c>
      <c r="H384" s="154"/>
      <c r="I384" s="158"/>
      <c r="J384" s="156"/>
      <c r="K384" s="157">
        <f t="shared" si="47"/>
        <v>100</v>
      </c>
      <c r="L384" s="157">
        <f t="shared" si="48"/>
        <v>200</v>
      </c>
      <c r="M384" s="157">
        <f t="shared" si="49"/>
        <v>300</v>
      </c>
      <c r="N384" s="157">
        <f t="shared" si="50"/>
        <v>400</v>
      </c>
      <c r="O384" s="967" t="str">
        <f>CONCATENATE(O379," | ",F384)</f>
        <v>A.4.3 Monitoring Wasserverbrauch | Monitoringkonzept für die Erfassung und Auswertung des Wasserverbrauchs auf Ebene der Mieteinheit liegt vor (Musterwohnung)</v>
      </c>
      <c r="P384" s="967"/>
      <c r="Q384" s="586"/>
      <c r="R384" s="968"/>
      <c r="S384" s="595">
        <v>0</v>
      </c>
      <c r="T384" s="595">
        <v>0.1</v>
      </c>
      <c r="U384" s="594">
        <v>0.1</v>
      </c>
    </row>
    <row r="385" spans="1:21" x14ac:dyDescent="0.35">
      <c r="A385" s="123">
        <v>3.2</v>
      </c>
      <c r="B385" s="35"/>
      <c r="C385" s="151"/>
      <c r="D385" s="1687"/>
      <c r="E385" s="1688"/>
      <c r="F385" s="159"/>
      <c r="G385" s="160"/>
      <c r="H385" s="161"/>
      <c r="I385" s="166"/>
      <c r="J385" s="164"/>
      <c r="K385" s="157">
        <f t="shared" si="47"/>
        <v>100</v>
      </c>
      <c r="L385" s="157">
        <f t="shared" si="48"/>
        <v>200</v>
      </c>
      <c r="M385" s="157">
        <f t="shared" si="49"/>
        <v>300</v>
      </c>
      <c r="N385" s="157">
        <f t="shared" si="50"/>
        <v>400</v>
      </c>
      <c r="O385" s="967"/>
      <c r="P385" s="967"/>
      <c r="Q385" s="586"/>
      <c r="R385" s="968"/>
      <c r="S385" s="589"/>
      <c r="T385" s="589"/>
      <c r="U385" s="589"/>
    </row>
    <row r="386" spans="1:21" x14ac:dyDescent="0.35">
      <c r="A386" s="123"/>
      <c r="B386" s="35"/>
      <c r="C386" s="151"/>
      <c r="D386" s="1687"/>
      <c r="E386" s="1688"/>
      <c r="F386" s="159"/>
      <c r="G386" s="160"/>
      <c r="H386" s="161"/>
      <c r="I386" s="162"/>
      <c r="J386" s="164"/>
      <c r="K386" s="157">
        <f t="shared" si="47"/>
        <v>100</v>
      </c>
      <c r="L386" s="157">
        <f t="shared" si="48"/>
        <v>200</v>
      </c>
      <c r="M386" s="157">
        <f t="shared" si="49"/>
        <v>300</v>
      </c>
      <c r="N386" s="157">
        <f t="shared" si="50"/>
        <v>400</v>
      </c>
      <c r="O386" s="967"/>
      <c r="P386" s="967"/>
      <c r="Q386" s="586"/>
      <c r="R386" s="968"/>
      <c r="S386" s="588"/>
      <c r="T386" s="588"/>
      <c r="U386" s="595"/>
    </row>
    <row r="387" spans="1:21" x14ac:dyDescent="0.35">
      <c r="A387" s="116"/>
      <c r="B387" s="35"/>
      <c r="C387" s="117"/>
      <c r="D387" s="1687"/>
      <c r="E387" s="1688"/>
      <c r="F387" s="159"/>
      <c r="G387" s="160"/>
      <c r="H387" s="161"/>
      <c r="I387" s="162"/>
      <c r="J387" s="164"/>
      <c r="K387" s="157">
        <f t="shared" si="47"/>
        <v>100</v>
      </c>
      <c r="L387" s="157">
        <f t="shared" si="48"/>
        <v>200</v>
      </c>
      <c r="M387" s="157">
        <f t="shared" si="49"/>
        <v>300</v>
      </c>
      <c r="N387" s="157">
        <f t="shared" si="50"/>
        <v>400</v>
      </c>
      <c r="O387" s="959"/>
      <c r="P387" s="967"/>
      <c r="Q387" s="586"/>
      <c r="R387" s="968"/>
      <c r="S387" s="589"/>
      <c r="T387" s="589"/>
      <c r="U387" s="589"/>
    </row>
    <row r="388" spans="1:21" x14ac:dyDescent="0.35">
      <c r="A388" s="116"/>
      <c r="B388" s="35"/>
      <c r="C388" s="117"/>
      <c r="D388" s="1687"/>
      <c r="E388" s="1688"/>
      <c r="F388" s="159"/>
      <c r="G388" s="160"/>
      <c r="H388" s="161"/>
      <c r="I388" s="162"/>
      <c r="J388" s="164"/>
      <c r="K388" s="157">
        <f t="shared" si="47"/>
        <v>100</v>
      </c>
      <c r="L388" s="157">
        <f t="shared" si="48"/>
        <v>200</v>
      </c>
      <c r="M388" s="157">
        <f t="shared" si="49"/>
        <v>300</v>
      </c>
      <c r="N388" s="157">
        <f t="shared" si="50"/>
        <v>400</v>
      </c>
      <c r="O388" s="959"/>
      <c r="P388" s="967"/>
      <c r="Q388" s="586"/>
      <c r="R388" s="968"/>
      <c r="S388" s="589"/>
      <c r="T388" s="589"/>
      <c r="U388" s="589"/>
    </row>
    <row r="389" spans="1:21" x14ac:dyDescent="0.35">
      <c r="A389" s="116"/>
      <c r="B389" s="35"/>
      <c r="C389" s="117"/>
      <c r="D389" s="1687"/>
      <c r="E389" s="1688"/>
      <c r="F389" s="159"/>
      <c r="G389" s="160"/>
      <c r="H389" s="161"/>
      <c r="I389" s="162"/>
      <c r="J389" s="164"/>
      <c r="K389" s="157">
        <f t="shared" si="47"/>
        <v>100</v>
      </c>
      <c r="L389" s="157">
        <f t="shared" si="48"/>
        <v>200</v>
      </c>
      <c r="M389" s="157">
        <f t="shared" si="49"/>
        <v>300</v>
      </c>
      <c r="N389" s="157">
        <f t="shared" si="50"/>
        <v>400</v>
      </c>
      <c r="O389" s="959"/>
      <c r="P389" s="967"/>
      <c r="Q389" s="586"/>
      <c r="R389" s="968"/>
      <c r="S389" s="589"/>
      <c r="T389" s="589"/>
      <c r="U389" s="589"/>
    </row>
    <row r="390" spans="1:21" x14ac:dyDescent="0.35">
      <c r="A390" s="123"/>
      <c r="B390" s="35"/>
      <c r="C390" s="151"/>
      <c r="D390" s="1687"/>
      <c r="E390" s="1688"/>
      <c r="F390" s="165"/>
      <c r="G390" s="160"/>
      <c r="H390" s="161"/>
      <c r="I390" s="166"/>
      <c r="J390" s="167"/>
      <c r="K390" s="157">
        <f t="shared" si="47"/>
        <v>100</v>
      </c>
      <c r="L390" s="157">
        <f t="shared" si="48"/>
        <v>200</v>
      </c>
      <c r="M390" s="157">
        <f t="shared" si="49"/>
        <v>300</v>
      </c>
      <c r="N390" s="157">
        <f t="shared" si="50"/>
        <v>400</v>
      </c>
      <c r="O390" s="959"/>
      <c r="P390" s="967"/>
      <c r="Q390" s="586"/>
      <c r="R390" s="968"/>
      <c r="S390" s="589"/>
      <c r="T390" s="589"/>
      <c r="U390" s="589"/>
    </row>
    <row r="391" spans="1:21" x14ac:dyDescent="0.35">
      <c r="A391" s="116"/>
      <c r="B391" s="35"/>
      <c r="C391" s="117"/>
      <c r="D391" s="1687"/>
      <c r="E391" s="1688"/>
      <c r="F391" s="159"/>
      <c r="G391" s="160"/>
      <c r="H391" s="168"/>
      <c r="I391" s="162"/>
      <c r="J391" s="164"/>
      <c r="K391" s="157">
        <f t="shared" si="47"/>
        <v>100</v>
      </c>
      <c r="L391" s="157">
        <f t="shared" si="48"/>
        <v>200</v>
      </c>
      <c r="M391" s="157">
        <f t="shared" si="49"/>
        <v>300</v>
      </c>
      <c r="N391" s="157">
        <f t="shared" si="50"/>
        <v>400</v>
      </c>
      <c r="O391" s="959"/>
      <c r="P391" s="967"/>
      <c r="Q391" s="586"/>
      <c r="R391" s="968"/>
      <c r="S391" s="589"/>
      <c r="T391" s="589"/>
      <c r="U391" s="589"/>
    </row>
    <row r="392" spans="1:21" x14ac:dyDescent="0.35">
      <c r="A392" s="116"/>
      <c r="B392" s="117"/>
      <c r="C392" s="117"/>
      <c r="D392" s="1687"/>
      <c r="E392" s="1688"/>
      <c r="F392" s="159"/>
      <c r="G392" s="160"/>
      <c r="H392" s="168"/>
      <c r="I392" s="162"/>
      <c r="J392" s="164"/>
      <c r="K392" s="157">
        <f t="shared" si="47"/>
        <v>100</v>
      </c>
      <c r="L392" s="157">
        <f t="shared" si="48"/>
        <v>200</v>
      </c>
      <c r="M392" s="157">
        <f t="shared" si="49"/>
        <v>300</v>
      </c>
      <c r="N392" s="157">
        <f t="shared" si="50"/>
        <v>400</v>
      </c>
      <c r="O392" s="959"/>
      <c r="P392" s="967"/>
      <c r="Q392" s="586"/>
      <c r="R392" s="968"/>
      <c r="S392" s="589"/>
      <c r="T392" s="589"/>
      <c r="U392" s="589"/>
    </row>
    <row r="393" spans="1:21" x14ac:dyDescent="0.35">
      <c r="A393" s="116"/>
      <c r="B393" s="117"/>
      <c r="C393" s="117"/>
      <c r="D393" s="1687"/>
      <c r="E393" s="1688"/>
      <c r="F393" s="169"/>
      <c r="G393" s="170"/>
      <c r="H393" s="171"/>
      <c r="I393" s="172"/>
      <c r="J393" s="173"/>
      <c r="K393" s="157">
        <f t="shared" si="47"/>
        <v>100</v>
      </c>
      <c r="L393" s="157">
        <f t="shared" si="48"/>
        <v>200</v>
      </c>
      <c r="M393" s="157">
        <f t="shared" si="49"/>
        <v>300</v>
      </c>
      <c r="N393" s="157">
        <f t="shared" si="50"/>
        <v>400</v>
      </c>
      <c r="O393" s="959"/>
      <c r="P393" s="967"/>
      <c r="Q393" s="586"/>
      <c r="R393" s="968"/>
      <c r="S393" s="589"/>
      <c r="T393" s="589"/>
      <c r="U393" s="589"/>
    </row>
    <row r="394" spans="1:21" ht="28.5" customHeight="1" x14ac:dyDescent="0.35">
      <c r="A394" s="116"/>
      <c r="B394" s="117"/>
      <c r="C394" s="117"/>
      <c r="D394" s="174"/>
      <c r="E394" s="175"/>
      <c r="F394" s="1689" t="s">
        <v>2</v>
      </c>
      <c r="G394" s="1689"/>
      <c r="H394" s="176">
        <f>IF(O394&gt;1,"Zielerreichung übersteigt 100%!",O394)</f>
        <v>0</v>
      </c>
      <c r="I394" s="177"/>
      <c r="J394" s="178"/>
      <c r="K394" s="157">
        <f t="shared" si="47"/>
        <v>100</v>
      </c>
      <c r="L394" s="157">
        <f t="shared" si="48"/>
        <v>200</v>
      </c>
      <c r="M394" s="157">
        <f t="shared" si="49"/>
        <v>300</v>
      </c>
      <c r="N394" s="157">
        <f t="shared" si="50"/>
        <v>400</v>
      </c>
      <c r="O394" s="959">
        <f>SUM(H382:H393)</f>
        <v>0</v>
      </c>
      <c r="P394" s="967"/>
      <c r="Q394" s="586"/>
      <c r="R394" s="968"/>
      <c r="S394" s="589"/>
      <c r="T394" s="589"/>
      <c r="U394" s="589"/>
    </row>
    <row r="395" spans="1:21" x14ac:dyDescent="0.35">
      <c r="A395" s="116"/>
      <c r="B395" s="117"/>
      <c r="C395" s="117"/>
      <c r="D395" s="179"/>
      <c r="E395" s="180"/>
      <c r="F395" s="1690" t="s">
        <v>3</v>
      </c>
      <c r="G395" s="1691"/>
      <c r="H395" s="181">
        <v>5</v>
      </c>
      <c r="I395" s="177"/>
      <c r="J395" s="178"/>
      <c r="K395" s="157">
        <f t="shared" si="47"/>
        <v>100</v>
      </c>
      <c r="L395" s="157">
        <f t="shared" si="48"/>
        <v>200</v>
      </c>
      <c r="M395" s="157">
        <f t="shared" si="49"/>
        <v>300</v>
      </c>
      <c r="N395" s="157">
        <f t="shared" si="50"/>
        <v>400</v>
      </c>
      <c r="O395" s="1030"/>
      <c r="P395" s="967"/>
      <c r="Q395" s="586"/>
      <c r="R395" s="968"/>
      <c r="S395" s="589"/>
      <c r="T395" s="589"/>
      <c r="U395" s="589"/>
    </row>
    <row r="396" spans="1:21" ht="15" customHeight="1" x14ac:dyDescent="0.35">
      <c r="A396" s="116"/>
      <c r="B396" s="117"/>
      <c r="C396" s="117"/>
      <c r="D396" s="179"/>
      <c r="E396" s="180"/>
      <c r="F396" s="1700" t="s">
        <v>5494</v>
      </c>
      <c r="G396" s="1701"/>
      <c r="H396" s="1084" t="str">
        <f>IF($H$2=1,0,"")</f>
        <v/>
      </c>
      <c r="I396" s="183"/>
      <c r="J396" s="178"/>
      <c r="K396" s="157">
        <f t="shared" si="47"/>
        <v>100</v>
      </c>
      <c r="L396" s="157">
        <f t="shared" si="48"/>
        <v>200</v>
      </c>
      <c r="M396" s="157">
        <f t="shared" si="49"/>
        <v>300</v>
      </c>
      <c r="N396" s="157">
        <f t="shared" si="50"/>
        <v>400</v>
      </c>
      <c r="O396" s="1030"/>
      <c r="P396" s="967"/>
      <c r="Q396" s="586"/>
      <c r="R396" s="968"/>
      <c r="S396" s="589"/>
      <c r="T396" s="589"/>
      <c r="U396" s="589"/>
    </row>
    <row r="397" spans="1:21" x14ac:dyDescent="0.35">
      <c r="A397" s="184"/>
      <c r="B397" s="185"/>
      <c r="C397" s="185"/>
      <c r="D397" s="179"/>
      <c r="E397" s="180"/>
      <c r="F397" s="186"/>
      <c r="G397" s="186"/>
      <c r="H397" s="187"/>
      <c r="I397" s="177"/>
      <c r="J397" s="178"/>
      <c r="K397" s="157">
        <f t="shared" si="47"/>
        <v>100</v>
      </c>
      <c r="L397" s="157">
        <f t="shared" si="48"/>
        <v>200</v>
      </c>
      <c r="M397" s="157">
        <f t="shared" si="49"/>
        <v>300</v>
      </c>
      <c r="N397" s="157">
        <f t="shared" si="50"/>
        <v>400</v>
      </c>
      <c r="O397" s="1030"/>
      <c r="P397" s="967"/>
      <c r="Q397" s="586"/>
      <c r="R397" s="968"/>
      <c r="S397" s="589"/>
      <c r="T397" s="589"/>
      <c r="U397" s="589"/>
    </row>
    <row r="398" spans="1:21" ht="15.75" customHeight="1" x14ac:dyDescent="0.35">
      <c r="A398" s="116"/>
      <c r="B398" s="185"/>
      <c r="C398" s="1713"/>
      <c r="D398" s="1714"/>
      <c r="E398" s="188"/>
      <c r="F398" s="1715" t="s">
        <v>5</v>
      </c>
      <c r="G398" s="1715"/>
      <c r="H398" s="189">
        <f>IF(ISNUMBER(H396),H396*H394,H395*H394)</f>
        <v>0</v>
      </c>
      <c r="I398" s="190"/>
      <c r="J398" s="191"/>
      <c r="K398" s="157">
        <f t="shared" si="47"/>
        <v>100</v>
      </c>
      <c r="L398" s="157">
        <f t="shared" si="48"/>
        <v>200</v>
      </c>
      <c r="M398" s="157">
        <f t="shared" si="49"/>
        <v>300</v>
      </c>
      <c r="N398" s="157">
        <f t="shared" si="50"/>
        <v>400</v>
      </c>
      <c r="O398" s="1030"/>
      <c r="P398" s="967"/>
      <c r="Q398" s="586"/>
      <c r="R398" s="968"/>
      <c r="S398" s="589"/>
      <c r="T398" s="589"/>
      <c r="U398" s="589"/>
    </row>
    <row r="399" spans="1:21" x14ac:dyDescent="0.35">
      <c r="K399" s="157">
        <f t="shared" si="47"/>
        <v>100</v>
      </c>
      <c r="L399" s="157">
        <f t="shared" si="48"/>
        <v>200</v>
      </c>
      <c r="M399" s="157">
        <f t="shared" si="49"/>
        <v>300</v>
      </c>
      <c r="N399" s="157">
        <f t="shared" si="50"/>
        <v>400</v>
      </c>
      <c r="O399" s="967"/>
      <c r="P399" s="967"/>
      <c r="Q399" s="586"/>
      <c r="R399" s="968"/>
      <c r="S399" s="589"/>
      <c r="T399" s="589"/>
      <c r="U399" s="589"/>
    </row>
    <row r="400" spans="1:21" ht="7.5" customHeight="1" x14ac:dyDescent="0.35">
      <c r="A400" s="116"/>
      <c r="B400" s="117"/>
      <c r="C400" s="117"/>
      <c r="D400" s="116"/>
      <c r="E400" s="116"/>
      <c r="F400" s="118"/>
      <c r="G400" s="119"/>
      <c r="H400" s="116"/>
      <c r="I400" s="120"/>
      <c r="J400" s="121"/>
      <c r="K400" s="157">
        <f t="shared" si="47"/>
        <v>100</v>
      </c>
      <c r="L400" s="157">
        <f t="shared" si="48"/>
        <v>200</v>
      </c>
      <c r="M400" s="157">
        <f t="shared" si="49"/>
        <v>300</v>
      </c>
      <c r="N400" s="157">
        <f t="shared" si="50"/>
        <v>400</v>
      </c>
      <c r="O400" s="968"/>
      <c r="P400" s="968"/>
      <c r="Q400" s="586"/>
      <c r="R400" s="968"/>
      <c r="S400" s="589"/>
      <c r="T400" s="589"/>
      <c r="U400" s="589"/>
    </row>
    <row r="401" spans="1:21" ht="15.5" x14ac:dyDescent="0.35">
      <c r="A401" s="124"/>
      <c r="B401" s="125"/>
      <c r="C401" s="126" t="s">
        <v>4773</v>
      </c>
      <c r="D401" s="127" t="s">
        <v>5426</v>
      </c>
      <c r="E401" s="128"/>
      <c r="F401" s="129" t="str">
        <f>IF($F$3=1,O401,"")</f>
        <v>A.4.4 Monitoring Abfallmengen</v>
      </c>
      <c r="G401" s="130"/>
      <c r="H401" s="131"/>
      <c r="I401" s="520" t="s">
        <v>23</v>
      </c>
      <c r="J401" s="130"/>
      <c r="K401" s="157">
        <f t="shared" si="47"/>
        <v>100</v>
      </c>
      <c r="L401" s="157">
        <f t="shared" si="48"/>
        <v>200</v>
      </c>
      <c r="M401" s="157">
        <f t="shared" si="49"/>
        <v>300</v>
      </c>
      <c r="N401" s="157">
        <f t="shared" si="50"/>
        <v>400</v>
      </c>
      <c r="O401" s="967" t="str">
        <f>CONCATENATE(C401," ",D401)</f>
        <v>A.4.4 Monitoring Abfallmengen</v>
      </c>
      <c r="P401" s="966"/>
      <c r="Q401" s="586"/>
      <c r="R401" s="968"/>
      <c r="S401" s="589"/>
      <c r="T401" s="589"/>
      <c r="U401" s="589"/>
    </row>
    <row r="402" spans="1:21" x14ac:dyDescent="0.35">
      <c r="A402" s="124"/>
      <c r="B402" s="134"/>
      <c r="C402" s="135"/>
      <c r="D402" s="136"/>
      <c r="E402" s="136"/>
      <c r="F402" s="137"/>
      <c r="G402" s="138"/>
      <c r="H402" s="124"/>
      <c r="I402" s="139"/>
      <c r="J402" s="140"/>
      <c r="K402" s="157">
        <f t="shared" si="47"/>
        <v>100</v>
      </c>
      <c r="L402" s="157">
        <f t="shared" si="48"/>
        <v>200</v>
      </c>
      <c r="M402" s="157">
        <f t="shared" si="49"/>
        <v>300</v>
      </c>
      <c r="N402" s="157">
        <f t="shared" si="50"/>
        <v>400</v>
      </c>
      <c r="O402" s="968"/>
      <c r="P402" s="966"/>
      <c r="Q402" s="586"/>
      <c r="R402" s="968"/>
      <c r="S402" s="589"/>
      <c r="T402" s="589"/>
      <c r="U402" s="589"/>
    </row>
    <row r="403" spans="1:21" x14ac:dyDescent="0.35">
      <c r="A403" s="142"/>
      <c r="B403" s="35"/>
      <c r="C403" s="143"/>
      <c r="D403" s="1685" t="s">
        <v>18</v>
      </c>
      <c r="E403" s="1686"/>
      <c r="F403" s="144" t="s">
        <v>19</v>
      </c>
      <c r="G403" s="145" t="s">
        <v>0</v>
      </c>
      <c r="H403" s="146" t="s">
        <v>20</v>
      </c>
      <c r="I403" s="147" t="s">
        <v>1</v>
      </c>
      <c r="J403" s="147" t="s">
        <v>4375</v>
      </c>
      <c r="K403" s="157">
        <f t="shared" si="47"/>
        <v>100</v>
      </c>
      <c r="L403" s="157">
        <f t="shared" si="48"/>
        <v>200</v>
      </c>
      <c r="M403" s="157">
        <f t="shared" si="49"/>
        <v>300</v>
      </c>
      <c r="N403" s="157">
        <f t="shared" si="50"/>
        <v>400</v>
      </c>
      <c r="O403" s="587"/>
      <c r="P403" s="967"/>
      <c r="Q403" s="586"/>
      <c r="R403" s="968"/>
      <c r="S403" s="589"/>
      <c r="T403" s="589"/>
      <c r="U403" s="589"/>
    </row>
    <row r="404" spans="1:21" ht="24" x14ac:dyDescent="0.35">
      <c r="A404" s="123"/>
      <c r="B404" s="35"/>
      <c r="C404" s="151"/>
      <c r="D404" s="1687" t="s">
        <v>4663</v>
      </c>
      <c r="E404" s="1688"/>
      <c r="F404" s="152" t="s">
        <v>2063</v>
      </c>
      <c r="G404" s="153">
        <f t="shared" ref="G404" si="52">IF($H$2=1,S404,IF($H$2=2,T404,U404))</f>
        <v>1</v>
      </c>
      <c r="H404" s="154"/>
      <c r="I404" s="155"/>
      <c r="J404" s="156"/>
      <c r="K404" s="157">
        <f t="shared" si="47"/>
        <v>100</v>
      </c>
      <c r="L404" s="157">
        <f t="shared" si="48"/>
        <v>200</v>
      </c>
      <c r="M404" s="157">
        <f t="shared" si="49"/>
        <v>300</v>
      </c>
      <c r="N404" s="157">
        <f t="shared" si="50"/>
        <v>400</v>
      </c>
      <c r="O404" s="967" t="str">
        <f>CONCATENATE(O401," | ",F404)</f>
        <v>A.4.4 Monitoring Abfallmengen | Monitoringkonzept für die Erfassung und Auswertung der Abfallmengen auf Siedlungsebene liegt vor</v>
      </c>
      <c r="P404" s="967"/>
      <c r="Q404" s="586"/>
      <c r="R404" s="968"/>
      <c r="S404" s="595">
        <v>0</v>
      </c>
      <c r="T404" s="595">
        <v>1</v>
      </c>
      <c r="U404" s="594">
        <v>1</v>
      </c>
    </row>
    <row r="405" spans="1:21" x14ac:dyDescent="0.35">
      <c r="A405" s="123"/>
      <c r="B405" s="35"/>
      <c r="C405" s="151"/>
      <c r="D405" s="1687"/>
      <c r="E405" s="1688"/>
      <c r="F405" s="159"/>
      <c r="G405" s="160"/>
      <c r="H405" s="161"/>
      <c r="I405" s="162"/>
      <c r="J405" s="164"/>
      <c r="K405" s="157">
        <f t="shared" si="47"/>
        <v>100</v>
      </c>
      <c r="L405" s="157">
        <f t="shared" si="48"/>
        <v>200</v>
      </c>
      <c r="M405" s="157">
        <f t="shared" si="49"/>
        <v>300</v>
      </c>
      <c r="N405" s="157">
        <f t="shared" si="50"/>
        <v>400</v>
      </c>
      <c r="O405" s="967"/>
      <c r="P405" s="967"/>
      <c r="Q405" s="586"/>
      <c r="R405" s="968"/>
      <c r="S405" s="595"/>
      <c r="T405" s="595"/>
      <c r="U405" s="594"/>
    </row>
    <row r="406" spans="1:21" x14ac:dyDescent="0.35">
      <c r="A406" s="123"/>
      <c r="B406" s="35"/>
      <c r="C406" s="151"/>
      <c r="D406" s="1687"/>
      <c r="E406" s="1688"/>
      <c r="F406" s="159"/>
      <c r="G406" s="160"/>
      <c r="H406" s="161"/>
      <c r="I406" s="162"/>
      <c r="J406" s="164"/>
      <c r="K406" s="157">
        <f t="shared" si="47"/>
        <v>100</v>
      </c>
      <c r="L406" s="157">
        <f t="shared" si="48"/>
        <v>200</v>
      </c>
      <c r="M406" s="157">
        <f t="shared" si="49"/>
        <v>300</v>
      </c>
      <c r="N406" s="157">
        <f t="shared" si="50"/>
        <v>400</v>
      </c>
      <c r="O406" s="967"/>
      <c r="P406" s="967"/>
      <c r="Q406" s="586"/>
      <c r="R406" s="968"/>
      <c r="S406" s="595"/>
      <c r="T406" s="595"/>
      <c r="U406" s="594"/>
    </row>
    <row r="407" spans="1:21" x14ac:dyDescent="0.35">
      <c r="A407" s="123">
        <v>3.2</v>
      </c>
      <c r="B407" s="35"/>
      <c r="C407" s="151"/>
      <c r="D407" s="1687"/>
      <c r="E407" s="1688"/>
      <c r="F407" s="159"/>
      <c r="G407" s="160"/>
      <c r="H407" s="161"/>
      <c r="I407" s="162"/>
      <c r="J407" s="164"/>
      <c r="K407" s="157">
        <f t="shared" si="47"/>
        <v>100</v>
      </c>
      <c r="L407" s="157">
        <f t="shared" si="48"/>
        <v>200</v>
      </c>
      <c r="M407" s="157">
        <f t="shared" si="49"/>
        <v>300</v>
      </c>
      <c r="N407" s="157">
        <f t="shared" si="50"/>
        <v>400</v>
      </c>
      <c r="O407" s="967"/>
      <c r="P407" s="967"/>
      <c r="Q407" s="586"/>
      <c r="R407" s="968"/>
      <c r="S407" s="589"/>
      <c r="T407" s="589"/>
      <c r="U407" s="589"/>
    </row>
    <row r="408" spans="1:21" x14ac:dyDescent="0.35">
      <c r="A408" s="123"/>
      <c r="B408" s="35"/>
      <c r="C408" s="151"/>
      <c r="D408" s="1687"/>
      <c r="E408" s="1688"/>
      <c r="F408" s="159"/>
      <c r="G408" s="160"/>
      <c r="H408" s="161"/>
      <c r="I408" s="162"/>
      <c r="J408" s="164"/>
      <c r="K408" s="157">
        <f t="shared" si="47"/>
        <v>100</v>
      </c>
      <c r="L408" s="157">
        <f t="shared" si="48"/>
        <v>200</v>
      </c>
      <c r="M408" s="157">
        <f t="shared" si="49"/>
        <v>300</v>
      </c>
      <c r="N408" s="157">
        <f t="shared" si="50"/>
        <v>400</v>
      </c>
      <c r="O408" s="967"/>
      <c r="P408" s="967"/>
      <c r="Q408" s="586"/>
      <c r="R408" s="968"/>
      <c r="S408" s="588"/>
      <c r="T408" s="588"/>
      <c r="U408" s="595"/>
    </row>
    <row r="409" spans="1:21" x14ac:dyDescent="0.35">
      <c r="A409" s="116"/>
      <c r="B409" s="35"/>
      <c r="C409" s="117"/>
      <c r="D409" s="1687"/>
      <c r="E409" s="1688"/>
      <c r="F409" s="159"/>
      <c r="G409" s="160"/>
      <c r="H409" s="161"/>
      <c r="I409" s="162"/>
      <c r="J409" s="164"/>
      <c r="K409" s="157">
        <f t="shared" si="47"/>
        <v>100</v>
      </c>
      <c r="L409" s="157">
        <f t="shared" si="48"/>
        <v>200</v>
      </c>
      <c r="M409" s="157">
        <f t="shared" si="49"/>
        <v>300</v>
      </c>
      <c r="N409" s="157">
        <f t="shared" si="50"/>
        <v>400</v>
      </c>
      <c r="O409" s="959"/>
      <c r="P409" s="967"/>
      <c r="Q409" s="586"/>
      <c r="R409" s="968"/>
      <c r="S409" s="589"/>
      <c r="T409" s="589"/>
      <c r="U409" s="589"/>
    </row>
    <row r="410" spans="1:21" x14ac:dyDescent="0.35">
      <c r="A410" s="116"/>
      <c r="B410" s="35"/>
      <c r="C410" s="117"/>
      <c r="D410" s="1687"/>
      <c r="E410" s="1688"/>
      <c r="F410" s="159"/>
      <c r="G410" s="160"/>
      <c r="H410" s="161"/>
      <c r="I410" s="162"/>
      <c r="J410" s="164"/>
      <c r="K410" s="157">
        <f t="shared" si="47"/>
        <v>100</v>
      </c>
      <c r="L410" s="157">
        <f t="shared" si="48"/>
        <v>200</v>
      </c>
      <c r="M410" s="157">
        <f t="shared" si="49"/>
        <v>300</v>
      </c>
      <c r="N410" s="157">
        <f t="shared" si="50"/>
        <v>400</v>
      </c>
      <c r="O410" s="959"/>
      <c r="P410" s="967"/>
      <c r="Q410" s="586"/>
      <c r="R410" s="968"/>
      <c r="S410" s="589"/>
      <c r="T410" s="589"/>
      <c r="U410" s="589"/>
    </row>
    <row r="411" spans="1:21" x14ac:dyDescent="0.35">
      <c r="A411" s="116"/>
      <c r="B411" s="35"/>
      <c r="C411" s="117"/>
      <c r="D411" s="1687"/>
      <c r="E411" s="1688"/>
      <c r="F411" s="159"/>
      <c r="G411" s="160"/>
      <c r="H411" s="161"/>
      <c r="I411" s="162"/>
      <c r="J411" s="164"/>
      <c r="K411" s="157">
        <f t="shared" si="47"/>
        <v>100</v>
      </c>
      <c r="L411" s="157">
        <f t="shared" si="48"/>
        <v>200</v>
      </c>
      <c r="M411" s="157">
        <f t="shared" si="49"/>
        <v>300</v>
      </c>
      <c r="N411" s="157">
        <f t="shared" si="50"/>
        <v>400</v>
      </c>
      <c r="O411" s="959"/>
      <c r="P411" s="967"/>
      <c r="Q411" s="586"/>
      <c r="R411" s="968"/>
      <c r="S411" s="589"/>
      <c r="T411" s="589"/>
      <c r="U411" s="589"/>
    </row>
    <row r="412" spans="1:21" x14ac:dyDescent="0.35">
      <c r="A412" s="123"/>
      <c r="B412" s="35"/>
      <c r="C412" s="151"/>
      <c r="D412" s="1687"/>
      <c r="E412" s="1688"/>
      <c r="F412" s="165"/>
      <c r="G412" s="160"/>
      <c r="H412" s="161"/>
      <c r="I412" s="166"/>
      <c r="J412" s="167"/>
      <c r="K412" s="157">
        <f t="shared" si="47"/>
        <v>100</v>
      </c>
      <c r="L412" s="157">
        <f t="shared" si="48"/>
        <v>200</v>
      </c>
      <c r="M412" s="157">
        <f t="shared" si="49"/>
        <v>300</v>
      </c>
      <c r="N412" s="157">
        <f t="shared" si="50"/>
        <v>400</v>
      </c>
      <c r="O412" s="959"/>
      <c r="P412" s="967"/>
      <c r="Q412" s="586"/>
      <c r="R412" s="968"/>
      <c r="S412" s="589"/>
      <c r="T412" s="589"/>
      <c r="U412" s="589"/>
    </row>
    <row r="413" spans="1:21" x14ac:dyDescent="0.35">
      <c r="A413" s="116"/>
      <c r="B413" s="35"/>
      <c r="C413" s="117"/>
      <c r="D413" s="1687"/>
      <c r="E413" s="1688"/>
      <c r="F413" s="159"/>
      <c r="G413" s="160"/>
      <c r="H413" s="168"/>
      <c r="I413" s="162"/>
      <c r="J413" s="164"/>
      <c r="K413" s="157">
        <f t="shared" si="47"/>
        <v>100</v>
      </c>
      <c r="L413" s="157">
        <f t="shared" si="48"/>
        <v>200</v>
      </c>
      <c r="M413" s="157">
        <f t="shared" si="49"/>
        <v>300</v>
      </c>
      <c r="N413" s="157">
        <f t="shared" si="50"/>
        <v>400</v>
      </c>
      <c r="O413" s="959"/>
      <c r="P413" s="967"/>
      <c r="Q413" s="586"/>
      <c r="R413" s="968"/>
      <c r="S413" s="589"/>
      <c r="T413" s="589"/>
      <c r="U413" s="589"/>
    </row>
    <row r="414" spans="1:21" x14ac:dyDescent="0.35">
      <c r="A414" s="116"/>
      <c r="B414" s="117"/>
      <c r="C414" s="117"/>
      <c r="D414" s="1687"/>
      <c r="E414" s="1688"/>
      <c r="F414" s="159"/>
      <c r="G414" s="160"/>
      <c r="H414" s="168"/>
      <c r="I414" s="162"/>
      <c r="J414" s="164"/>
      <c r="K414" s="157">
        <f t="shared" si="47"/>
        <v>100</v>
      </c>
      <c r="L414" s="157">
        <f t="shared" si="48"/>
        <v>200</v>
      </c>
      <c r="M414" s="157">
        <f t="shared" si="49"/>
        <v>300</v>
      </c>
      <c r="N414" s="157">
        <f t="shared" si="50"/>
        <v>400</v>
      </c>
      <c r="O414" s="959"/>
      <c r="P414" s="967"/>
      <c r="Q414" s="586"/>
      <c r="R414" s="968"/>
      <c r="S414" s="589"/>
      <c r="T414" s="589"/>
      <c r="U414" s="589"/>
    </row>
    <row r="415" spans="1:21" x14ac:dyDescent="0.35">
      <c r="A415" s="116"/>
      <c r="B415" s="117"/>
      <c r="C415" s="117"/>
      <c r="D415" s="1687"/>
      <c r="E415" s="1688"/>
      <c r="F415" s="169"/>
      <c r="G415" s="170"/>
      <c r="H415" s="171"/>
      <c r="I415" s="172"/>
      <c r="J415" s="173"/>
      <c r="K415" s="157">
        <f t="shared" si="47"/>
        <v>100</v>
      </c>
      <c r="L415" s="157">
        <f t="shared" si="48"/>
        <v>200</v>
      </c>
      <c r="M415" s="157">
        <f t="shared" si="49"/>
        <v>300</v>
      </c>
      <c r="N415" s="157">
        <f t="shared" si="50"/>
        <v>400</v>
      </c>
      <c r="O415" s="959"/>
      <c r="P415" s="967"/>
      <c r="Q415" s="586"/>
      <c r="R415" s="968"/>
      <c r="S415" s="589"/>
      <c r="T415" s="589"/>
      <c r="U415" s="589"/>
    </row>
    <row r="416" spans="1:21" ht="28.5" customHeight="1" x14ac:dyDescent="0.35">
      <c r="A416" s="116"/>
      <c r="B416" s="117"/>
      <c r="C416" s="117"/>
      <c r="D416" s="174"/>
      <c r="E416" s="175"/>
      <c r="F416" s="1689" t="s">
        <v>2</v>
      </c>
      <c r="G416" s="1689"/>
      <c r="H416" s="176">
        <f>IF(O416&gt;1,"Zielerreichung übersteigt 100%!",O416)</f>
        <v>0</v>
      </c>
      <c r="I416" s="177"/>
      <c r="J416" s="178"/>
      <c r="K416" s="157">
        <f t="shared" si="47"/>
        <v>100</v>
      </c>
      <c r="L416" s="157">
        <f t="shared" si="48"/>
        <v>200</v>
      </c>
      <c r="M416" s="157">
        <f t="shared" si="49"/>
        <v>300</v>
      </c>
      <c r="N416" s="157">
        <f t="shared" si="50"/>
        <v>400</v>
      </c>
      <c r="O416" s="959">
        <f>SUM(H404:H415)</f>
        <v>0</v>
      </c>
      <c r="P416" s="967"/>
      <c r="Q416" s="586"/>
      <c r="R416" s="968"/>
      <c r="S416" s="589"/>
      <c r="T416" s="589"/>
      <c r="U416" s="589"/>
    </row>
    <row r="417" spans="1:21" x14ac:dyDescent="0.35">
      <c r="A417" s="116"/>
      <c r="B417" s="117"/>
      <c r="C417" s="117"/>
      <c r="D417" s="179"/>
      <c r="E417" s="180"/>
      <c r="F417" s="1690" t="s">
        <v>3</v>
      </c>
      <c r="G417" s="1691"/>
      <c r="H417" s="181">
        <v>5</v>
      </c>
      <c r="I417" s="177"/>
      <c r="J417" s="178"/>
      <c r="K417" s="157">
        <f t="shared" si="47"/>
        <v>100</v>
      </c>
      <c r="L417" s="157">
        <f t="shared" si="48"/>
        <v>200</v>
      </c>
      <c r="M417" s="157">
        <f t="shared" si="49"/>
        <v>300</v>
      </c>
      <c r="N417" s="157">
        <f t="shared" si="50"/>
        <v>400</v>
      </c>
      <c r="O417" s="1030"/>
      <c r="P417" s="967"/>
      <c r="Q417" s="586"/>
      <c r="R417" s="968"/>
      <c r="S417" s="589"/>
      <c r="T417" s="589"/>
      <c r="U417" s="589"/>
    </row>
    <row r="418" spans="1:21" ht="15" customHeight="1" x14ac:dyDescent="0.35">
      <c r="A418" s="116"/>
      <c r="B418" s="117"/>
      <c r="C418" s="117"/>
      <c r="D418" s="179"/>
      <c r="E418" s="180"/>
      <c r="F418" s="1700" t="s">
        <v>5494</v>
      </c>
      <c r="G418" s="1701"/>
      <c r="H418" s="1084" t="str">
        <f>IF($H$2=1,0,"")</f>
        <v/>
      </c>
      <c r="I418" s="183"/>
      <c r="J418" s="178"/>
      <c r="K418" s="157">
        <f t="shared" si="47"/>
        <v>100</v>
      </c>
      <c r="L418" s="157">
        <f t="shared" si="48"/>
        <v>200</v>
      </c>
      <c r="M418" s="157">
        <f t="shared" si="49"/>
        <v>300</v>
      </c>
      <c r="N418" s="157">
        <f t="shared" si="50"/>
        <v>400</v>
      </c>
      <c r="O418" s="1030"/>
      <c r="P418" s="967"/>
      <c r="Q418" s="586"/>
      <c r="R418" s="968"/>
      <c r="S418" s="589"/>
      <c r="T418" s="589"/>
      <c r="U418" s="589"/>
    </row>
    <row r="419" spans="1:21" x14ac:dyDescent="0.35">
      <c r="A419" s="184"/>
      <c r="B419" s="185"/>
      <c r="C419" s="185"/>
      <c r="D419" s="179"/>
      <c r="E419" s="180"/>
      <c r="F419" s="186"/>
      <c r="G419" s="186"/>
      <c r="H419" s="187"/>
      <c r="I419" s="177"/>
      <c r="J419" s="178"/>
      <c r="K419" s="157">
        <f t="shared" si="47"/>
        <v>100</v>
      </c>
      <c r="L419" s="157">
        <f t="shared" si="48"/>
        <v>200</v>
      </c>
      <c r="M419" s="157">
        <f t="shared" si="49"/>
        <v>300</v>
      </c>
      <c r="N419" s="157">
        <f t="shared" si="50"/>
        <v>400</v>
      </c>
      <c r="O419" s="1030"/>
      <c r="P419" s="967"/>
      <c r="Q419" s="586"/>
      <c r="R419" s="968"/>
      <c r="S419" s="589"/>
      <c r="T419" s="589"/>
      <c r="U419" s="589"/>
    </row>
    <row r="420" spans="1:21" ht="15.75" customHeight="1" x14ac:dyDescent="0.35">
      <c r="A420" s="116"/>
      <c r="B420" s="185"/>
      <c r="C420" s="1713"/>
      <c r="D420" s="1714"/>
      <c r="E420" s="188"/>
      <c r="F420" s="1715" t="s">
        <v>5</v>
      </c>
      <c r="G420" s="1715"/>
      <c r="H420" s="189">
        <f>IF(ISNUMBER(H418),H418*H416,H417*H416)</f>
        <v>0</v>
      </c>
      <c r="I420" s="190"/>
      <c r="J420" s="191"/>
      <c r="K420" s="157">
        <f t="shared" si="47"/>
        <v>100</v>
      </c>
      <c r="L420" s="157">
        <f t="shared" si="48"/>
        <v>200</v>
      </c>
      <c r="M420" s="157">
        <f t="shared" si="49"/>
        <v>300</v>
      </c>
      <c r="N420" s="157">
        <f t="shared" si="50"/>
        <v>400</v>
      </c>
      <c r="O420" s="1030"/>
      <c r="P420" s="967"/>
      <c r="Q420" s="586"/>
      <c r="R420" s="968"/>
      <c r="S420" s="589"/>
      <c r="T420" s="589"/>
      <c r="U420" s="589"/>
    </row>
    <row r="421" spans="1:21" x14ac:dyDescent="0.35">
      <c r="K421" s="157">
        <f t="shared" si="47"/>
        <v>100</v>
      </c>
      <c r="L421" s="157">
        <f t="shared" si="48"/>
        <v>200</v>
      </c>
      <c r="M421" s="157">
        <f t="shared" si="49"/>
        <v>300</v>
      </c>
      <c r="N421" s="157">
        <f t="shared" si="50"/>
        <v>400</v>
      </c>
      <c r="O421" s="967"/>
      <c r="P421" s="967"/>
      <c r="Q421" s="586"/>
      <c r="R421" s="968"/>
      <c r="S421" s="589"/>
      <c r="T421" s="589"/>
      <c r="U421" s="589"/>
    </row>
    <row r="422" spans="1:21" ht="7.5" customHeight="1" x14ac:dyDescent="0.35">
      <c r="A422" s="116"/>
      <c r="B422" s="117"/>
      <c r="C422" s="117"/>
      <c r="D422" s="116"/>
      <c r="E422" s="116"/>
      <c r="F422" s="118"/>
      <c r="G422" s="119"/>
      <c r="H422" s="116"/>
      <c r="I422" s="120"/>
      <c r="J422" s="121"/>
      <c r="K422" s="157">
        <f t="shared" si="47"/>
        <v>100</v>
      </c>
      <c r="L422" s="157">
        <f t="shared" si="48"/>
        <v>200</v>
      </c>
      <c r="M422" s="157">
        <f t="shared" si="49"/>
        <v>300</v>
      </c>
      <c r="N422" s="157">
        <f t="shared" si="50"/>
        <v>400</v>
      </c>
      <c r="O422" s="968"/>
      <c r="P422" s="968"/>
      <c r="Q422" s="586"/>
      <c r="R422" s="968"/>
      <c r="S422" s="589"/>
      <c r="T422" s="589"/>
      <c r="U422" s="589"/>
    </row>
    <row r="423" spans="1:21" ht="15.5" x14ac:dyDescent="0.35">
      <c r="A423" s="124"/>
      <c r="B423" s="125"/>
      <c r="C423" s="126" t="s">
        <v>4774</v>
      </c>
      <c r="D423" s="127" t="s">
        <v>5427</v>
      </c>
      <c r="E423" s="128"/>
      <c r="F423" s="129" t="str">
        <f>IF($F$3=1,O423,"")</f>
        <v>A.4.5 Monitoring Mobilität</v>
      </c>
      <c r="G423" s="130"/>
      <c r="H423" s="131"/>
      <c r="I423" s="520" t="s">
        <v>23</v>
      </c>
      <c r="J423" s="130"/>
      <c r="K423" s="157">
        <f t="shared" si="47"/>
        <v>100</v>
      </c>
      <c r="L423" s="157">
        <f t="shared" si="48"/>
        <v>200</v>
      </c>
      <c r="M423" s="157">
        <f t="shared" si="49"/>
        <v>300</v>
      </c>
      <c r="N423" s="157">
        <f t="shared" si="50"/>
        <v>400</v>
      </c>
      <c r="O423" s="967" t="str">
        <f>CONCATENATE(C423," ",D423)</f>
        <v>A.4.5 Monitoring Mobilität</v>
      </c>
      <c r="P423" s="966"/>
      <c r="Q423" s="586"/>
      <c r="R423" s="968"/>
      <c r="S423" s="589"/>
      <c r="T423" s="589"/>
      <c r="U423" s="589"/>
    </row>
    <row r="424" spans="1:21" x14ac:dyDescent="0.35">
      <c r="A424" s="124"/>
      <c r="B424" s="134"/>
      <c r="C424" s="135"/>
      <c r="D424" s="136"/>
      <c r="E424" s="136"/>
      <c r="F424" s="137"/>
      <c r="G424" s="138"/>
      <c r="H424" s="124"/>
      <c r="I424" s="139"/>
      <c r="J424" s="140"/>
      <c r="K424" s="157">
        <f t="shared" si="47"/>
        <v>100</v>
      </c>
      <c r="L424" s="157">
        <f t="shared" si="48"/>
        <v>200</v>
      </c>
      <c r="M424" s="157">
        <f t="shared" si="49"/>
        <v>300</v>
      </c>
      <c r="N424" s="157">
        <f t="shared" si="50"/>
        <v>400</v>
      </c>
      <c r="O424" s="968"/>
      <c r="P424" s="966"/>
      <c r="Q424" s="586"/>
      <c r="R424" s="968"/>
      <c r="S424" s="589"/>
      <c r="T424" s="589"/>
      <c r="U424" s="589"/>
    </row>
    <row r="425" spans="1:21" x14ac:dyDescent="0.35">
      <c r="A425" s="142"/>
      <c r="B425" s="35"/>
      <c r="C425" s="143"/>
      <c r="D425" s="1685" t="s">
        <v>18</v>
      </c>
      <c r="E425" s="1686"/>
      <c r="F425" s="144" t="s">
        <v>19</v>
      </c>
      <c r="G425" s="145" t="s">
        <v>0</v>
      </c>
      <c r="H425" s="146" t="s">
        <v>20</v>
      </c>
      <c r="I425" s="147" t="s">
        <v>1</v>
      </c>
      <c r="J425" s="147" t="s">
        <v>4375</v>
      </c>
      <c r="K425" s="157">
        <f t="shared" si="47"/>
        <v>100</v>
      </c>
      <c r="L425" s="157">
        <f t="shared" si="48"/>
        <v>200</v>
      </c>
      <c r="M425" s="157">
        <f t="shared" si="49"/>
        <v>300</v>
      </c>
      <c r="N425" s="157">
        <f t="shared" si="50"/>
        <v>400</v>
      </c>
      <c r="O425" s="587"/>
      <c r="P425" s="967"/>
      <c r="Q425" s="586"/>
      <c r="R425" s="968"/>
      <c r="S425" s="589"/>
      <c r="T425" s="589"/>
      <c r="U425" s="589"/>
    </row>
    <row r="426" spans="1:21" ht="24" x14ac:dyDescent="0.35">
      <c r="A426" s="123"/>
      <c r="B426" s="35"/>
      <c r="C426" s="151"/>
      <c r="D426" s="1687" t="s">
        <v>5393</v>
      </c>
      <c r="E426" s="1688"/>
      <c r="F426" s="152" t="s">
        <v>4365</v>
      </c>
      <c r="G426" s="153">
        <f t="shared" ref="G426" si="53">IF($H$2=1,S426,IF($H$2=2,T426,U426))</f>
        <v>1</v>
      </c>
      <c r="H426" s="154"/>
      <c r="I426" s="155"/>
      <c r="J426" s="156"/>
      <c r="K426" s="157">
        <f t="shared" si="47"/>
        <v>100</v>
      </c>
      <c r="L426" s="157">
        <f t="shared" si="48"/>
        <v>200</v>
      </c>
      <c r="M426" s="157">
        <f t="shared" si="49"/>
        <v>300</v>
      </c>
      <c r="N426" s="157">
        <f t="shared" si="50"/>
        <v>400</v>
      </c>
      <c r="O426" s="967" t="str">
        <f>CONCATENATE(O423," | ",F426)</f>
        <v>A.4.5 Monitoring Mobilität | Monitoringkonzept für die Erfassung und Auswertung des Mobilitätsverhaltens auf Siedlungsebene liegt vor</v>
      </c>
      <c r="P426" s="967"/>
      <c r="Q426" s="586"/>
      <c r="R426" s="968"/>
      <c r="S426" s="595">
        <v>0</v>
      </c>
      <c r="T426" s="595">
        <v>1</v>
      </c>
      <c r="U426" s="594">
        <v>1</v>
      </c>
    </row>
    <row r="427" spans="1:21" x14ac:dyDescent="0.35">
      <c r="A427" s="123"/>
      <c r="B427" s="35"/>
      <c r="C427" s="151"/>
      <c r="D427" s="1687"/>
      <c r="E427" s="1688"/>
      <c r="F427" s="159"/>
      <c r="G427" s="160"/>
      <c r="H427" s="161"/>
      <c r="I427" s="162"/>
      <c r="J427" s="164"/>
      <c r="K427" s="157">
        <f t="shared" si="47"/>
        <v>100</v>
      </c>
      <c r="L427" s="157">
        <f t="shared" si="48"/>
        <v>200</v>
      </c>
      <c r="M427" s="157">
        <f t="shared" si="49"/>
        <v>300</v>
      </c>
      <c r="N427" s="157">
        <f t="shared" si="50"/>
        <v>400</v>
      </c>
      <c r="O427" s="967"/>
      <c r="P427" s="967"/>
      <c r="Q427" s="586"/>
      <c r="R427" s="968"/>
      <c r="S427" s="595"/>
      <c r="T427" s="595"/>
      <c r="U427" s="594"/>
    </row>
    <row r="428" spans="1:21" x14ac:dyDescent="0.35">
      <c r="A428" s="123"/>
      <c r="B428" s="35"/>
      <c r="C428" s="151"/>
      <c r="D428" s="1687"/>
      <c r="E428" s="1688"/>
      <c r="F428" s="159"/>
      <c r="G428" s="160"/>
      <c r="H428" s="161"/>
      <c r="I428" s="162"/>
      <c r="J428" s="164"/>
      <c r="K428" s="157">
        <f t="shared" ref="K428:K491" si="54">IF($J428=$K$41,K427+1,K427+0)</f>
        <v>100</v>
      </c>
      <c r="L428" s="157">
        <f t="shared" ref="L428:L491" si="55">IF($J428=$L$41,L427+1,L427+0)</f>
        <v>200</v>
      </c>
      <c r="M428" s="157">
        <f t="shared" ref="M428:M491" si="56">IF($J428=$M$41,M427+1,M427+0)</f>
        <v>300</v>
      </c>
      <c r="N428" s="157">
        <f t="shared" ref="N428:N491" si="57">IF($J428=$N$41,N427+1,N427+0)</f>
        <v>400</v>
      </c>
      <c r="O428" s="967"/>
      <c r="P428" s="967"/>
      <c r="Q428" s="586"/>
      <c r="R428" s="968"/>
      <c r="S428" s="595"/>
      <c r="T428" s="595"/>
      <c r="U428" s="594"/>
    </row>
    <row r="429" spans="1:21" x14ac:dyDescent="0.35">
      <c r="A429" s="123">
        <v>3.2</v>
      </c>
      <c r="B429" s="35"/>
      <c r="C429" s="151"/>
      <c r="D429" s="1687"/>
      <c r="E429" s="1688"/>
      <c r="F429" s="159"/>
      <c r="G429" s="160"/>
      <c r="H429" s="161"/>
      <c r="I429" s="162"/>
      <c r="J429" s="164"/>
      <c r="K429" s="157">
        <f t="shared" si="54"/>
        <v>100</v>
      </c>
      <c r="L429" s="157">
        <f t="shared" si="55"/>
        <v>200</v>
      </c>
      <c r="M429" s="157">
        <f t="shared" si="56"/>
        <v>300</v>
      </c>
      <c r="N429" s="157">
        <f t="shared" si="57"/>
        <v>400</v>
      </c>
      <c r="O429" s="967"/>
      <c r="P429" s="967"/>
      <c r="Q429" s="586"/>
      <c r="R429" s="968"/>
      <c r="S429" s="589"/>
      <c r="T429" s="589"/>
      <c r="U429" s="589"/>
    </row>
    <row r="430" spans="1:21" x14ac:dyDescent="0.35">
      <c r="A430" s="123"/>
      <c r="B430" s="35"/>
      <c r="C430" s="151"/>
      <c r="D430" s="1687"/>
      <c r="E430" s="1688"/>
      <c r="F430" s="159"/>
      <c r="G430" s="160"/>
      <c r="H430" s="161"/>
      <c r="I430" s="162"/>
      <c r="J430" s="164"/>
      <c r="K430" s="157">
        <f t="shared" si="54"/>
        <v>100</v>
      </c>
      <c r="L430" s="157">
        <f t="shared" si="55"/>
        <v>200</v>
      </c>
      <c r="M430" s="157">
        <f t="shared" si="56"/>
        <v>300</v>
      </c>
      <c r="N430" s="157">
        <f t="shared" si="57"/>
        <v>400</v>
      </c>
      <c r="O430" s="967"/>
      <c r="P430" s="967"/>
      <c r="Q430" s="586"/>
      <c r="R430" s="968"/>
      <c r="S430" s="588"/>
      <c r="T430" s="588"/>
      <c r="U430" s="595"/>
    </row>
    <row r="431" spans="1:21" x14ac:dyDescent="0.35">
      <c r="A431" s="116"/>
      <c r="B431" s="35"/>
      <c r="C431" s="117"/>
      <c r="D431" s="1687"/>
      <c r="E431" s="1688"/>
      <c r="F431" s="159"/>
      <c r="G431" s="160"/>
      <c r="H431" s="161"/>
      <c r="I431" s="162"/>
      <c r="J431" s="164"/>
      <c r="K431" s="157">
        <f t="shared" si="54"/>
        <v>100</v>
      </c>
      <c r="L431" s="157">
        <f t="shared" si="55"/>
        <v>200</v>
      </c>
      <c r="M431" s="157">
        <f t="shared" si="56"/>
        <v>300</v>
      </c>
      <c r="N431" s="157">
        <f t="shared" si="57"/>
        <v>400</v>
      </c>
      <c r="O431" s="959"/>
      <c r="P431" s="967"/>
      <c r="Q431" s="586"/>
      <c r="R431" s="968"/>
      <c r="S431" s="589"/>
      <c r="T431" s="589"/>
      <c r="U431" s="589"/>
    </row>
    <row r="432" spans="1:21" x14ac:dyDescent="0.35">
      <c r="A432" s="116"/>
      <c r="B432" s="35"/>
      <c r="C432" s="117"/>
      <c r="D432" s="1687"/>
      <c r="E432" s="1688"/>
      <c r="F432" s="159"/>
      <c r="G432" s="160"/>
      <c r="H432" s="161"/>
      <c r="I432" s="162"/>
      <c r="J432" s="164"/>
      <c r="K432" s="157">
        <f t="shared" si="54"/>
        <v>100</v>
      </c>
      <c r="L432" s="157">
        <f t="shared" si="55"/>
        <v>200</v>
      </c>
      <c r="M432" s="157">
        <f t="shared" si="56"/>
        <v>300</v>
      </c>
      <c r="N432" s="157">
        <f t="shared" si="57"/>
        <v>400</v>
      </c>
      <c r="O432" s="959"/>
      <c r="P432" s="967"/>
      <c r="Q432" s="586"/>
      <c r="R432" s="968"/>
      <c r="S432" s="589"/>
      <c r="T432" s="589"/>
      <c r="U432" s="589"/>
    </row>
    <row r="433" spans="1:21" x14ac:dyDescent="0.35">
      <c r="A433" s="116"/>
      <c r="B433" s="35"/>
      <c r="C433" s="117"/>
      <c r="D433" s="1687"/>
      <c r="E433" s="1688"/>
      <c r="F433" s="159"/>
      <c r="G433" s="160"/>
      <c r="H433" s="161"/>
      <c r="I433" s="162"/>
      <c r="J433" s="164"/>
      <c r="K433" s="157">
        <f t="shared" si="54"/>
        <v>100</v>
      </c>
      <c r="L433" s="157">
        <f t="shared" si="55"/>
        <v>200</v>
      </c>
      <c r="M433" s="157">
        <f t="shared" si="56"/>
        <v>300</v>
      </c>
      <c r="N433" s="157">
        <f t="shared" si="57"/>
        <v>400</v>
      </c>
      <c r="O433" s="959"/>
      <c r="P433" s="967"/>
      <c r="Q433" s="586"/>
      <c r="R433" s="968"/>
      <c r="S433" s="589"/>
      <c r="T433" s="589"/>
      <c r="U433" s="589"/>
    </row>
    <row r="434" spans="1:21" x14ac:dyDescent="0.35">
      <c r="A434" s="123"/>
      <c r="B434" s="35"/>
      <c r="C434" s="151"/>
      <c r="D434" s="1687"/>
      <c r="E434" s="1688"/>
      <c r="F434" s="165"/>
      <c r="G434" s="160"/>
      <c r="H434" s="161"/>
      <c r="I434" s="166"/>
      <c r="J434" s="167"/>
      <c r="K434" s="157">
        <f t="shared" si="54"/>
        <v>100</v>
      </c>
      <c r="L434" s="157">
        <f t="shared" si="55"/>
        <v>200</v>
      </c>
      <c r="M434" s="157">
        <f t="shared" si="56"/>
        <v>300</v>
      </c>
      <c r="N434" s="157">
        <f t="shared" si="57"/>
        <v>400</v>
      </c>
      <c r="O434" s="959"/>
      <c r="P434" s="967"/>
      <c r="Q434" s="586"/>
      <c r="R434" s="968"/>
      <c r="S434" s="589"/>
      <c r="T434" s="589"/>
      <c r="U434" s="589"/>
    </row>
    <row r="435" spans="1:21" x14ac:dyDescent="0.35">
      <c r="A435" s="116"/>
      <c r="B435" s="35"/>
      <c r="C435" s="117"/>
      <c r="D435" s="1687"/>
      <c r="E435" s="1688"/>
      <c r="F435" s="159"/>
      <c r="G435" s="160"/>
      <c r="H435" s="168"/>
      <c r="I435" s="162"/>
      <c r="J435" s="164"/>
      <c r="K435" s="157">
        <f t="shared" si="54"/>
        <v>100</v>
      </c>
      <c r="L435" s="157">
        <f t="shared" si="55"/>
        <v>200</v>
      </c>
      <c r="M435" s="157">
        <f t="shared" si="56"/>
        <v>300</v>
      </c>
      <c r="N435" s="157">
        <f t="shared" si="57"/>
        <v>400</v>
      </c>
      <c r="O435" s="959"/>
      <c r="P435" s="967"/>
      <c r="Q435" s="586"/>
      <c r="R435" s="968"/>
      <c r="S435" s="589"/>
      <c r="T435" s="589"/>
      <c r="U435" s="589"/>
    </row>
    <row r="436" spans="1:21" x14ac:dyDescent="0.35">
      <c r="A436" s="116"/>
      <c r="B436" s="117"/>
      <c r="C436" s="117"/>
      <c r="D436" s="1687"/>
      <c r="E436" s="1688"/>
      <c r="F436" s="159"/>
      <c r="G436" s="160"/>
      <c r="H436" s="168"/>
      <c r="I436" s="162"/>
      <c r="J436" s="164"/>
      <c r="K436" s="157">
        <f t="shared" si="54"/>
        <v>100</v>
      </c>
      <c r="L436" s="157">
        <f t="shared" si="55"/>
        <v>200</v>
      </c>
      <c r="M436" s="157">
        <f t="shared" si="56"/>
        <v>300</v>
      </c>
      <c r="N436" s="157">
        <f t="shared" si="57"/>
        <v>400</v>
      </c>
      <c r="O436" s="959"/>
      <c r="P436" s="967"/>
      <c r="Q436" s="586"/>
      <c r="R436" s="968"/>
      <c r="S436" s="589"/>
      <c r="T436" s="589"/>
      <c r="U436" s="589"/>
    </row>
    <row r="437" spans="1:21" x14ac:dyDescent="0.35">
      <c r="A437" s="116"/>
      <c r="B437" s="117"/>
      <c r="C437" s="117"/>
      <c r="D437" s="1687"/>
      <c r="E437" s="1688"/>
      <c r="F437" s="169"/>
      <c r="G437" s="170"/>
      <c r="H437" s="171"/>
      <c r="I437" s="172"/>
      <c r="J437" s="173"/>
      <c r="K437" s="157">
        <f t="shared" si="54"/>
        <v>100</v>
      </c>
      <c r="L437" s="157">
        <f t="shared" si="55"/>
        <v>200</v>
      </c>
      <c r="M437" s="157">
        <f t="shared" si="56"/>
        <v>300</v>
      </c>
      <c r="N437" s="157">
        <f t="shared" si="57"/>
        <v>400</v>
      </c>
      <c r="O437" s="959"/>
      <c r="P437" s="967"/>
      <c r="Q437" s="586"/>
      <c r="R437" s="968"/>
      <c r="S437" s="589"/>
      <c r="T437" s="589"/>
      <c r="U437" s="589"/>
    </row>
    <row r="438" spans="1:21" ht="28.5" customHeight="1" x14ac:dyDescent="0.35">
      <c r="A438" s="116"/>
      <c r="B438" s="117"/>
      <c r="C438" s="117"/>
      <c r="D438" s="174"/>
      <c r="E438" s="175"/>
      <c r="F438" s="1689" t="s">
        <v>2</v>
      </c>
      <c r="G438" s="1689"/>
      <c r="H438" s="176">
        <f>IF(O438&gt;1,"Zielerreichung übersteigt 100%!",O438)</f>
        <v>0</v>
      </c>
      <c r="I438" s="177"/>
      <c r="J438" s="178"/>
      <c r="K438" s="157">
        <f t="shared" si="54"/>
        <v>100</v>
      </c>
      <c r="L438" s="157">
        <f t="shared" si="55"/>
        <v>200</v>
      </c>
      <c r="M438" s="157">
        <f t="shared" si="56"/>
        <v>300</v>
      </c>
      <c r="N438" s="157">
        <f t="shared" si="57"/>
        <v>400</v>
      </c>
      <c r="O438" s="959">
        <f>SUM(H426:H437)</f>
        <v>0</v>
      </c>
      <c r="P438" s="967"/>
      <c r="Q438" s="586"/>
      <c r="R438" s="968"/>
      <c r="S438" s="589"/>
      <c r="T438" s="589"/>
      <c r="U438" s="589"/>
    </row>
    <row r="439" spans="1:21" x14ac:dyDescent="0.35">
      <c r="A439" s="116"/>
      <c r="B439" s="117"/>
      <c r="C439" s="117"/>
      <c r="D439" s="179"/>
      <c r="E439" s="180"/>
      <c r="F439" s="1690" t="s">
        <v>3</v>
      </c>
      <c r="G439" s="1691"/>
      <c r="H439" s="181">
        <v>5</v>
      </c>
      <c r="I439" s="177"/>
      <c r="J439" s="178"/>
      <c r="K439" s="157">
        <f t="shared" si="54"/>
        <v>100</v>
      </c>
      <c r="L439" s="157">
        <f t="shared" si="55"/>
        <v>200</v>
      </c>
      <c r="M439" s="157">
        <f t="shared" si="56"/>
        <v>300</v>
      </c>
      <c r="N439" s="157">
        <f t="shared" si="57"/>
        <v>400</v>
      </c>
      <c r="O439" s="1030"/>
      <c r="P439" s="967"/>
      <c r="Q439" s="586"/>
      <c r="R439" s="968"/>
      <c r="S439" s="589"/>
      <c r="T439" s="589"/>
      <c r="U439" s="589"/>
    </row>
    <row r="440" spans="1:21" ht="15" customHeight="1" x14ac:dyDescent="0.35">
      <c r="A440" s="116"/>
      <c r="B440" s="117"/>
      <c r="C440" s="117"/>
      <c r="D440" s="179"/>
      <c r="E440" s="180"/>
      <c r="F440" s="1700" t="s">
        <v>5494</v>
      </c>
      <c r="G440" s="1701"/>
      <c r="H440" s="1084" t="str">
        <f>IF($H$2=1,0,"")</f>
        <v/>
      </c>
      <c r="I440" s="183"/>
      <c r="J440" s="178"/>
      <c r="K440" s="157">
        <f t="shared" si="54"/>
        <v>100</v>
      </c>
      <c r="L440" s="157">
        <f t="shared" si="55"/>
        <v>200</v>
      </c>
      <c r="M440" s="157">
        <f t="shared" si="56"/>
        <v>300</v>
      </c>
      <c r="N440" s="157">
        <f t="shared" si="57"/>
        <v>400</v>
      </c>
      <c r="O440" s="1030"/>
      <c r="P440" s="967"/>
      <c r="Q440" s="586"/>
      <c r="R440" s="968"/>
      <c r="S440" s="589"/>
      <c r="T440" s="589"/>
      <c r="U440" s="589"/>
    </row>
    <row r="441" spans="1:21" x14ac:dyDescent="0.35">
      <c r="A441" s="184"/>
      <c r="B441" s="185"/>
      <c r="C441" s="185"/>
      <c r="D441" s="179"/>
      <c r="E441" s="180"/>
      <c r="F441" s="186"/>
      <c r="G441" s="186"/>
      <c r="H441" s="187"/>
      <c r="I441" s="177"/>
      <c r="J441" s="178"/>
      <c r="K441" s="157">
        <f t="shared" si="54"/>
        <v>100</v>
      </c>
      <c r="L441" s="157">
        <f t="shared" si="55"/>
        <v>200</v>
      </c>
      <c r="M441" s="157">
        <f t="shared" si="56"/>
        <v>300</v>
      </c>
      <c r="N441" s="157">
        <f t="shared" si="57"/>
        <v>400</v>
      </c>
      <c r="O441" s="1030"/>
      <c r="P441" s="967"/>
      <c r="Q441" s="586"/>
      <c r="R441" s="968"/>
      <c r="S441" s="589"/>
      <c r="T441" s="589"/>
      <c r="U441" s="589"/>
    </row>
    <row r="442" spans="1:21" ht="15.75" customHeight="1" x14ac:dyDescent="0.35">
      <c r="A442" s="116"/>
      <c r="B442" s="185"/>
      <c r="C442" s="1713"/>
      <c r="D442" s="1714"/>
      <c r="E442" s="188"/>
      <c r="F442" s="1715" t="s">
        <v>5</v>
      </c>
      <c r="G442" s="1715"/>
      <c r="H442" s="189">
        <f>IF(ISNUMBER(H440),H440*H438,H439*H438)</f>
        <v>0</v>
      </c>
      <c r="I442" s="190"/>
      <c r="J442" s="191"/>
      <c r="K442" s="157">
        <f t="shared" si="54"/>
        <v>100</v>
      </c>
      <c r="L442" s="157">
        <f t="shared" si="55"/>
        <v>200</v>
      </c>
      <c r="M442" s="157">
        <f t="shared" si="56"/>
        <v>300</v>
      </c>
      <c r="N442" s="157">
        <f t="shared" si="57"/>
        <v>400</v>
      </c>
      <c r="O442" s="1030"/>
      <c r="P442" s="967"/>
      <c r="Q442" s="586"/>
      <c r="R442" s="968"/>
      <c r="S442" s="589"/>
      <c r="T442" s="589"/>
      <c r="U442" s="589"/>
    </row>
    <row r="443" spans="1:21" x14ac:dyDescent="0.35">
      <c r="B443" s="185"/>
      <c r="K443" s="157">
        <f t="shared" si="54"/>
        <v>100</v>
      </c>
      <c r="L443" s="157">
        <f t="shared" si="55"/>
        <v>200</v>
      </c>
      <c r="M443" s="157">
        <f t="shared" si="56"/>
        <v>300</v>
      </c>
      <c r="N443" s="157">
        <f t="shared" si="57"/>
        <v>400</v>
      </c>
      <c r="O443" s="967"/>
      <c r="P443" s="967"/>
      <c r="Q443" s="586"/>
      <c r="R443" s="968"/>
      <c r="S443" s="589"/>
      <c r="T443" s="589"/>
      <c r="U443" s="589"/>
    </row>
    <row r="444" spans="1:21" ht="7.5" customHeight="1" x14ac:dyDescent="0.35">
      <c r="K444" s="157">
        <f t="shared" si="54"/>
        <v>100</v>
      </c>
      <c r="L444" s="157">
        <f t="shared" si="55"/>
        <v>200</v>
      </c>
      <c r="M444" s="157">
        <f t="shared" si="56"/>
        <v>300</v>
      </c>
      <c r="N444" s="157">
        <f t="shared" si="57"/>
        <v>400</v>
      </c>
      <c r="O444" s="967"/>
      <c r="P444" s="967"/>
      <c r="Q444" s="586"/>
      <c r="R444" s="968"/>
      <c r="S444" s="589"/>
      <c r="T444" s="589"/>
      <c r="U444" s="589"/>
    </row>
    <row r="445" spans="1:21" ht="15.5" x14ac:dyDescent="0.35">
      <c r="A445" s="16"/>
      <c r="B445" s="111" t="s">
        <v>4775</v>
      </c>
      <c r="C445" s="111" t="s">
        <v>2061</v>
      </c>
      <c r="D445" s="112"/>
      <c r="E445" s="112"/>
      <c r="F445" s="112" t="str">
        <f>IF($F$3=1,O445,"")</f>
        <v>A.5 Projektcontrolling durchführen</v>
      </c>
      <c r="G445" s="112"/>
      <c r="H445" s="112"/>
      <c r="I445" s="113"/>
      <c r="J445" s="114"/>
      <c r="K445" s="157">
        <f t="shared" si="54"/>
        <v>100</v>
      </c>
      <c r="L445" s="157">
        <f t="shared" si="55"/>
        <v>200</v>
      </c>
      <c r="M445" s="157">
        <f t="shared" si="56"/>
        <v>300</v>
      </c>
      <c r="N445" s="157">
        <f t="shared" si="57"/>
        <v>400</v>
      </c>
      <c r="O445" s="967" t="str">
        <f>CONCATENATE(B445," ",C445)</f>
        <v>A.5 Projektcontrolling durchführen</v>
      </c>
      <c r="P445" s="958"/>
      <c r="Q445" s="586"/>
      <c r="R445" s="968"/>
      <c r="S445" s="589"/>
      <c r="T445" s="589"/>
      <c r="U445" s="589"/>
    </row>
    <row r="446" spans="1:21" x14ac:dyDescent="0.35">
      <c r="K446" s="157">
        <f t="shared" si="54"/>
        <v>100</v>
      </c>
      <c r="L446" s="157">
        <f t="shared" si="55"/>
        <v>200</v>
      </c>
      <c r="M446" s="157">
        <f t="shared" si="56"/>
        <v>300</v>
      </c>
      <c r="N446" s="157">
        <f t="shared" si="57"/>
        <v>400</v>
      </c>
      <c r="O446" s="967"/>
      <c r="P446" s="967"/>
      <c r="Q446" s="586"/>
      <c r="R446" s="968"/>
      <c r="S446" s="589"/>
      <c r="T446" s="589"/>
      <c r="U446" s="589"/>
    </row>
    <row r="447" spans="1:21" ht="7.5" customHeight="1" x14ac:dyDescent="0.35">
      <c r="A447" s="116"/>
      <c r="B447" s="117"/>
      <c r="C447" s="117"/>
      <c r="D447" s="116"/>
      <c r="E447" s="116"/>
      <c r="F447" s="118"/>
      <c r="G447" s="119"/>
      <c r="H447" s="116"/>
      <c r="I447" s="120"/>
      <c r="J447" s="121"/>
      <c r="K447" s="157">
        <f t="shared" si="54"/>
        <v>100</v>
      </c>
      <c r="L447" s="157">
        <f t="shared" si="55"/>
        <v>200</v>
      </c>
      <c r="M447" s="157">
        <f t="shared" si="56"/>
        <v>300</v>
      </c>
      <c r="N447" s="157">
        <f t="shared" si="57"/>
        <v>400</v>
      </c>
      <c r="O447" s="968"/>
      <c r="P447" s="968"/>
      <c r="Q447" s="586"/>
      <c r="R447" s="968"/>
      <c r="S447" s="589"/>
      <c r="T447" s="589"/>
      <c r="U447" s="589"/>
    </row>
    <row r="448" spans="1:21" ht="15.5" x14ac:dyDescent="0.35">
      <c r="A448" s="124"/>
      <c r="B448" s="125"/>
      <c r="C448" s="126" t="s">
        <v>4776</v>
      </c>
      <c r="D448" s="127" t="s">
        <v>5428</v>
      </c>
      <c r="E448" s="128"/>
      <c r="F448" s="129" t="str">
        <f>IF($F$3=1,O448,"")</f>
        <v>A.5.1 Umweltanalyse</v>
      </c>
      <c r="G448" s="130"/>
      <c r="H448" s="131"/>
      <c r="I448" s="520" t="s">
        <v>23</v>
      </c>
      <c r="J448" s="132"/>
      <c r="K448" s="157">
        <f t="shared" si="54"/>
        <v>100</v>
      </c>
      <c r="L448" s="157">
        <f t="shared" si="55"/>
        <v>200</v>
      </c>
      <c r="M448" s="157">
        <f t="shared" si="56"/>
        <v>300</v>
      </c>
      <c r="N448" s="157">
        <f t="shared" si="57"/>
        <v>400</v>
      </c>
      <c r="O448" s="967" t="str">
        <f>CONCATENATE(C448," ",D448)</f>
        <v>A.5.1 Umweltanalyse</v>
      </c>
      <c r="P448" s="966"/>
      <c r="Q448" s="586"/>
      <c r="R448" s="968"/>
      <c r="S448" s="589"/>
      <c r="T448" s="589"/>
      <c r="U448" s="589"/>
    </row>
    <row r="449" spans="1:21" x14ac:dyDescent="0.35">
      <c r="A449" s="124"/>
      <c r="B449" s="134"/>
      <c r="C449" s="135"/>
      <c r="D449" s="136"/>
      <c r="E449" s="136"/>
      <c r="F449" s="137"/>
      <c r="G449" s="138"/>
      <c r="H449" s="124"/>
      <c r="I449" s="139"/>
      <c r="J449" s="140"/>
      <c r="K449" s="157">
        <f t="shared" si="54"/>
        <v>100</v>
      </c>
      <c r="L449" s="157">
        <f t="shared" si="55"/>
        <v>200</v>
      </c>
      <c r="M449" s="157">
        <f t="shared" si="56"/>
        <v>300</v>
      </c>
      <c r="N449" s="157">
        <f t="shared" si="57"/>
        <v>400</v>
      </c>
      <c r="O449" s="968"/>
      <c r="P449" s="966"/>
      <c r="Q449" s="586"/>
      <c r="R449" s="968"/>
      <c r="S449" s="589"/>
      <c r="T449" s="589"/>
      <c r="U449" s="589"/>
    </row>
    <row r="450" spans="1:21" x14ac:dyDescent="0.35">
      <c r="A450" s="142"/>
      <c r="B450" s="35"/>
      <c r="C450" s="143"/>
      <c r="D450" s="1685" t="s">
        <v>18</v>
      </c>
      <c r="E450" s="1686"/>
      <c r="F450" s="144" t="s">
        <v>19</v>
      </c>
      <c r="G450" s="145" t="s">
        <v>0</v>
      </c>
      <c r="H450" s="146" t="s">
        <v>20</v>
      </c>
      <c r="I450" s="147" t="s">
        <v>1</v>
      </c>
      <c r="J450" s="147" t="s">
        <v>4375</v>
      </c>
      <c r="K450" s="157">
        <f t="shared" si="54"/>
        <v>100</v>
      </c>
      <c r="L450" s="157">
        <f t="shared" si="55"/>
        <v>200</v>
      </c>
      <c r="M450" s="157">
        <f t="shared" si="56"/>
        <v>300</v>
      </c>
      <c r="N450" s="157">
        <f t="shared" si="57"/>
        <v>400</v>
      </c>
      <c r="O450" s="587"/>
      <c r="P450" s="967"/>
      <c r="Q450" s="586"/>
      <c r="R450" s="968"/>
      <c r="S450" s="589"/>
      <c r="T450" s="589"/>
      <c r="U450" s="589"/>
    </row>
    <row r="451" spans="1:21" ht="48" x14ac:dyDescent="0.35">
      <c r="A451" s="123"/>
      <c r="B451" s="35"/>
      <c r="C451" s="151"/>
      <c r="D451" s="1687" t="s">
        <v>4664</v>
      </c>
      <c r="E451" s="1688"/>
      <c r="F451" s="152" t="s">
        <v>5500</v>
      </c>
      <c r="G451" s="153">
        <f t="shared" ref="G451:G452" si="58">IF($H$2=1,S451,IF($H$2=2,T451,U451))</f>
        <v>0.5</v>
      </c>
      <c r="H451" s="154"/>
      <c r="I451" s="155"/>
      <c r="J451" s="156"/>
      <c r="K451" s="157">
        <f t="shared" si="54"/>
        <v>100</v>
      </c>
      <c r="L451" s="157">
        <f t="shared" si="55"/>
        <v>200</v>
      </c>
      <c r="M451" s="157">
        <f t="shared" si="56"/>
        <v>300</v>
      </c>
      <c r="N451" s="157">
        <f t="shared" si="57"/>
        <v>400</v>
      </c>
      <c r="O451" s="967" t="str">
        <f>CONCATENATE(O448," | ",F451)</f>
        <v>A.5.1 Umweltanalyse | Die Ziele und Konzepte zu den Themenfeldern „Städtebau, Gebäude, Versorgung und Mobilität“ (vgl. A.2.1-4) wurden regelmäßig auf Ihre Aktualität hin überprüft und ggf. angepasst</v>
      </c>
      <c r="P451" s="967"/>
      <c r="Q451" s="586"/>
      <c r="R451" s="968"/>
      <c r="S451" s="595">
        <v>0.5</v>
      </c>
      <c r="T451" s="595">
        <v>0.5</v>
      </c>
      <c r="U451" s="588">
        <v>0.5</v>
      </c>
    </row>
    <row r="452" spans="1:21" ht="24" x14ac:dyDescent="0.35">
      <c r="A452" s="123"/>
      <c r="B452" s="35"/>
      <c r="C452" s="151"/>
      <c r="D452" s="1687"/>
      <c r="E452" s="1688"/>
      <c r="F452" s="152" t="s">
        <v>5501</v>
      </c>
      <c r="G452" s="153">
        <f t="shared" si="58"/>
        <v>0.5</v>
      </c>
      <c r="H452" s="154"/>
      <c r="I452" s="158"/>
      <c r="J452" s="156"/>
      <c r="K452" s="157">
        <f t="shared" si="54"/>
        <v>100</v>
      </c>
      <c r="L452" s="157">
        <f t="shared" si="55"/>
        <v>200</v>
      </c>
      <c r="M452" s="157">
        <f t="shared" si="56"/>
        <v>300</v>
      </c>
      <c r="N452" s="157">
        <f t="shared" si="57"/>
        <v>400</v>
      </c>
      <c r="O452" s="967" t="str">
        <f>CONCATENATE(O448," | ",F452)</f>
        <v>A.5.1 Umweltanalyse | Die Inhalte der Anpassungen werden in den entsprechenden Konzepten dokumentiert (vgl. A.2.1-4)</v>
      </c>
      <c r="P452" s="967"/>
      <c r="Q452" s="586"/>
      <c r="R452" s="968"/>
      <c r="S452" s="595">
        <v>0.5</v>
      </c>
      <c r="T452" s="595">
        <v>0.5</v>
      </c>
      <c r="U452" s="588">
        <v>0.5</v>
      </c>
    </row>
    <row r="453" spans="1:21" x14ac:dyDescent="0.35">
      <c r="A453" s="123"/>
      <c r="B453" s="35"/>
      <c r="C453" s="151"/>
      <c r="D453" s="1687"/>
      <c r="E453" s="1688"/>
      <c r="F453" s="159"/>
      <c r="G453" s="160"/>
      <c r="H453" s="161"/>
      <c r="I453" s="166"/>
      <c r="J453" s="164"/>
      <c r="K453" s="157">
        <f t="shared" si="54"/>
        <v>100</v>
      </c>
      <c r="L453" s="157">
        <f t="shared" si="55"/>
        <v>200</v>
      </c>
      <c r="M453" s="157">
        <f t="shared" si="56"/>
        <v>300</v>
      </c>
      <c r="N453" s="157">
        <f t="shared" si="57"/>
        <v>400</v>
      </c>
      <c r="O453" s="967"/>
      <c r="P453" s="967"/>
      <c r="Q453" s="586"/>
      <c r="R453" s="968"/>
      <c r="S453" s="589"/>
      <c r="T453" s="589"/>
      <c r="U453" s="589"/>
    </row>
    <row r="454" spans="1:21" x14ac:dyDescent="0.35">
      <c r="A454" s="123">
        <v>3.2</v>
      </c>
      <c r="B454" s="35"/>
      <c r="C454" s="151"/>
      <c r="D454" s="1687"/>
      <c r="E454" s="1688"/>
      <c r="F454" s="159"/>
      <c r="G454" s="160"/>
      <c r="H454" s="161"/>
      <c r="I454" s="166"/>
      <c r="J454" s="164"/>
      <c r="K454" s="157">
        <f t="shared" si="54"/>
        <v>100</v>
      </c>
      <c r="L454" s="157">
        <f t="shared" si="55"/>
        <v>200</v>
      </c>
      <c r="M454" s="157">
        <f t="shared" si="56"/>
        <v>300</v>
      </c>
      <c r="N454" s="157">
        <f t="shared" si="57"/>
        <v>400</v>
      </c>
      <c r="O454" s="967"/>
      <c r="P454" s="967"/>
      <c r="Q454" s="586"/>
      <c r="R454" s="968"/>
      <c r="S454" s="589"/>
      <c r="T454" s="589"/>
      <c r="U454" s="589"/>
    </row>
    <row r="455" spans="1:21" x14ac:dyDescent="0.35">
      <c r="A455" s="123"/>
      <c r="B455" s="35"/>
      <c r="C455" s="151"/>
      <c r="D455" s="1687"/>
      <c r="E455" s="1688"/>
      <c r="F455" s="159"/>
      <c r="G455" s="160"/>
      <c r="H455" s="161"/>
      <c r="I455" s="166"/>
      <c r="J455" s="164"/>
      <c r="K455" s="157">
        <f t="shared" si="54"/>
        <v>100</v>
      </c>
      <c r="L455" s="157">
        <f t="shared" si="55"/>
        <v>200</v>
      </c>
      <c r="M455" s="157">
        <f t="shared" si="56"/>
        <v>300</v>
      </c>
      <c r="N455" s="157">
        <f t="shared" si="57"/>
        <v>400</v>
      </c>
      <c r="O455" s="967"/>
      <c r="P455" s="967"/>
      <c r="Q455" s="586"/>
      <c r="R455" s="968"/>
      <c r="S455" s="589"/>
      <c r="T455" s="589"/>
      <c r="U455" s="589"/>
    </row>
    <row r="456" spans="1:21" x14ac:dyDescent="0.35">
      <c r="A456" s="116"/>
      <c r="B456" s="35"/>
      <c r="C456" s="117"/>
      <c r="D456" s="1687"/>
      <c r="E456" s="1688"/>
      <c r="F456" s="159"/>
      <c r="G456" s="160"/>
      <c r="H456" s="161"/>
      <c r="I456" s="162"/>
      <c r="J456" s="164"/>
      <c r="K456" s="157">
        <f t="shared" si="54"/>
        <v>100</v>
      </c>
      <c r="L456" s="157">
        <f t="shared" si="55"/>
        <v>200</v>
      </c>
      <c r="M456" s="157">
        <f t="shared" si="56"/>
        <v>300</v>
      </c>
      <c r="N456" s="157">
        <f t="shared" si="57"/>
        <v>400</v>
      </c>
      <c r="O456" s="959"/>
      <c r="P456" s="967"/>
      <c r="Q456" s="586"/>
      <c r="R456" s="968"/>
      <c r="S456" s="589"/>
      <c r="T456" s="589"/>
      <c r="U456" s="589"/>
    </row>
    <row r="457" spans="1:21" x14ac:dyDescent="0.35">
      <c r="A457" s="116"/>
      <c r="B457" s="35"/>
      <c r="C457" s="117"/>
      <c r="D457" s="1687"/>
      <c r="E457" s="1688"/>
      <c r="F457" s="159"/>
      <c r="G457" s="160"/>
      <c r="H457" s="161"/>
      <c r="I457" s="162"/>
      <c r="J457" s="164"/>
      <c r="K457" s="157">
        <f t="shared" si="54"/>
        <v>100</v>
      </c>
      <c r="L457" s="157">
        <f t="shared" si="55"/>
        <v>200</v>
      </c>
      <c r="M457" s="157">
        <f t="shared" si="56"/>
        <v>300</v>
      </c>
      <c r="N457" s="157">
        <f t="shared" si="57"/>
        <v>400</v>
      </c>
      <c r="O457" s="959"/>
      <c r="P457" s="967"/>
      <c r="Q457" s="586"/>
      <c r="R457" s="968"/>
      <c r="S457" s="589"/>
      <c r="T457" s="589"/>
      <c r="U457" s="589"/>
    </row>
    <row r="458" spans="1:21" x14ac:dyDescent="0.35">
      <c r="A458" s="116"/>
      <c r="B458" s="35"/>
      <c r="C458" s="117"/>
      <c r="D458" s="1687"/>
      <c r="E458" s="1688"/>
      <c r="F458" s="159"/>
      <c r="G458" s="160"/>
      <c r="H458" s="161"/>
      <c r="I458" s="162"/>
      <c r="J458" s="164"/>
      <c r="K458" s="157">
        <f t="shared" si="54"/>
        <v>100</v>
      </c>
      <c r="L458" s="157">
        <f t="shared" si="55"/>
        <v>200</v>
      </c>
      <c r="M458" s="157">
        <f t="shared" si="56"/>
        <v>300</v>
      </c>
      <c r="N458" s="157">
        <f t="shared" si="57"/>
        <v>400</v>
      </c>
      <c r="O458" s="959"/>
      <c r="P458" s="967"/>
      <c r="Q458" s="586"/>
      <c r="R458" s="968"/>
      <c r="S458" s="589"/>
      <c r="T458" s="589"/>
      <c r="U458" s="589"/>
    </row>
    <row r="459" spans="1:21" x14ac:dyDescent="0.35">
      <c r="A459" s="123"/>
      <c r="B459" s="35"/>
      <c r="C459" s="151"/>
      <c r="D459" s="1687"/>
      <c r="E459" s="1688"/>
      <c r="F459" s="165"/>
      <c r="G459" s="160"/>
      <c r="H459" s="161"/>
      <c r="I459" s="166"/>
      <c r="J459" s="167"/>
      <c r="K459" s="157">
        <f t="shared" si="54"/>
        <v>100</v>
      </c>
      <c r="L459" s="157">
        <f t="shared" si="55"/>
        <v>200</v>
      </c>
      <c r="M459" s="157">
        <f t="shared" si="56"/>
        <v>300</v>
      </c>
      <c r="N459" s="157">
        <f t="shared" si="57"/>
        <v>400</v>
      </c>
      <c r="O459" s="959"/>
      <c r="P459" s="967"/>
      <c r="Q459" s="586"/>
      <c r="R459" s="968"/>
      <c r="S459" s="589"/>
      <c r="T459" s="589"/>
      <c r="U459" s="589"/>
    </row>
    <row r="460" spans="1:21" x14ac:dyDescent="0.35">
      <c r="A460" s="116"/>
      <c r="B460" s="35"/>
      <c r="C460" s="117"/>
      <c r="D460" s="1687"/>
      <c r="E460" s="1688"/>
      <c r="F460" s="159"/>
      <c r="G460" s="160"/>
      <c r="H460" s="168"/>
      <c r="I460" s="162"/>
      <c r="J460" s="164"/>
      <c r="K460" s="157">
        <f t="shared" si="54"/>
        <v>100</v>
      </c>
      <c r="L460" s="157">
        <f t="shared" si="55"/>
        <v>200</v>
      </c>
      <c r="M460" s="157">
        <f t="shared" si="56"/>
        <v>300</v>
      </c>
      <c r="N460" s="157">
        <f t="shared" si="57"/>
        <v>400</v>
      </c>
      <c r="O460" s="959"/>
      <c r="P460" s="967"/>
      <c r="Q460" s="586"/>
      <c r="R460" s="968"/>
      <c r="S460" s="589"/>
      <c r="T460" s="589"/>
      <c r="U460" s="589"/>
    </row>
    <row r="461" spans="1:21" x14ac:dyDescent="0.35">
      <c r="A461" s="116"/>
      <c r="B461" s="117"/>
      <c r="C461" s="117"/>
      <c r="D461" s="1687"/>
      <c r="E461" s="1688"/>
      <c r="F461" s="159"/>
      <c r="G461" s="160"/>
      <c r="H461" s="168"/>
      <c r="I461" s="162"/>
      <c r="J461" s="164"/>
      <c r="K461" s="157">
        <f t="shared" si="54"/>
        <v>100</v>
      </c>
      <c r="L461" s="157">
        <f t="shared" si="55"/>
        <v>200</v>
      </c>
      <c r="M461" s="157">
        <f t="shared" si="56"/>
        <v>300</v>
      </c>
      <c r="N461" s="157">
        <f t="shared" si="57"/>
        <v>400</v>
      </c>
      <c r="O461" s="959"/>
      <c r="P461" s="967"/>
      <c r="Q461" s="586"/>
      <c r="R461" s="968"/>
      <c r="S461" s="589"/>
      <c r="T461" s="589"/>
      <c r="U461" s="589"/>
    </row>
    <row r="462" spans="1:21" x14ac:dyDescent="0.35">
      <c r="A462" s="116"/>
      <c r="B462" s="117"/>
      <c r="C462" s="117"/>
      <c r="D462" s="1687"/>
      <c r="E462" s="1688"/>
      <c r="F462" s="169"/>
      <c r="G462" s="170"/>
      <c r="H462" s="171"/>
      <c r="I462" s="172"/>
      <c r="J462" s="173"/>
      <c r="K462" s="157">
        <f t="shared" si="54"/>
        <v>100</v>
      </c>
      <c r="L462" s="157">
        <f t="shared" si="55"/>
        <v>200</v>
      </c>
      <c r="M462" s="157">
        <f t="shared" si="56"/>
        <v>300</v>
      </c>
      <c r="N462" s="157">
        <f t="shared" si="57"/>
        <v>400</v>
      </c>
      <c r="O462" s="959"/>
      <c r="P462" s="967"/>
      <c r="Q462" s="586"/>
      <c r="R462" s="968"/>
      <c r="S462" s="589"/>
      <c r="T462" s="589"/>
      <c r="U462" s="589"/>
    </row>
    <row r="463" spans="1:21" ht="28.5" customHeight="1" x14ac:dyDescent="0.35">
      <c r="A463" s="116"/>
      <c r="B463" s="117"/>
      <c r="C463" s="117"/>
      <c r="D463" s="174"/>
      <c r="E463" s="175"/>
      <c r="F463" s="1689" t="s">
        <v>2</v>
      </c>
      <c r="G463" s="1689"/>
      <c r="H463" s="176">
        <f>IF(O463&gt;1,"Zielerreichung übersteigt 100%!",O463)</f>
        <v>0</v>
      </c>
      <c r="I463" s="177"/>
      <c r="J463" s="207"/>
      <c r="K463" s="157">
        <f t="shared" si="54"/>
        <v>100</v>
      </c>
      <c r="L463" s="157">
        <f t="shared" si="55"/>
        <v>200</v>
      </c>
      <c r="M463" s="157">
        <f t="shared" si="56"/>
        <v>300</v>
      </c>
      <c r="N463" s="157">
        <f t="shared" si="57"/>
        <v>400</v>
      </c>
      <c r="O463" s="959">
        <f>SUM(H451:H462)</f>
        <v>0</v>
      </c>
      <c r="P463" s="967"/>
      <c r="Q463" s="586"/>
      <c r="R463" s="968"/>
      <c r="S463" s="589"/>
      <c r="T463" s="589"/>
      <c r="U463" s="589"/>
    </row>
    <row r="464" spans="1:21" x14ac:dyDescent="0.35">
      <c r="A464" s="116"/>
      <c r="B464" s="117"/>
      <c r="C464" s="117"/>
      <c r="D464" s="179"/>
      <c r="E464" s="180"/>
      <c r="F464" s="1690" t="s">
        <v>3</v>
      </c>
      <c r="G464" s="1691"/>
      <c r="H464" s="181">
        <v>5</v>
      </c>
      <c r="I464" s="177"/>
      <c r="J464" s="178"/>
      <c r="K464" s="157">
        <f t="shared" si="54"/>
        <v>100</v>
      </c>
      <c r="L464" s="157">
        <f t="shared" si="55"/>
        <v>200</v>
      </c>
      <c r="M464" s="157">
        <f t="shared" si="56"/>
        <v>300</v>
      </c>
      <c r="N464" s="157">
        <f t="shared" si="57"/>
        <v>400</v>
      </c>
      <c r="O464" s="1030"/>
      <c r="P464" s="967"/>
      <c r="Q464" s="586"/>
      <c r="R464" s="968"/>
      <c r="S464" s="589"/>
      <c r="T464" s="589"/>
      <c r="U464" s="589"/>
    </row>
    <row r="465" spans="1:21" x14ac:dyDescent="0.35">
      <c r="A465" s="116"/>
      <c r="B465" s="117"/>
      <c r="C465" s="117"/>
      <c r="D465" s="179"/>
      <c r="E465" s="180"/>
      <c r="F465" s="1692"/>
      <c r="G465" s="1693"/>
      <c r="H465" s="182"/>
      <c r="I465" s="183"/>
      <c r="J465" s="178"/>
      <c r="K465" s="157">
        <f t="shared" si="54"/>
        <v>100</v>
      </c>
      <c r="L465" s="157">
        <f t="shared" si="55"/>
        <v>200</v>
      </c>
      <c r="M465" s="157">
        <f t="shared" si="56"/>
        <v>300</v>
      </c>
      <c r="N465" s="157">
        <f t="shared" si="57"/>
        <v>400</v>
      </c>
      <c r="O465" s="1030"/>
      <c r="P465" s="967"/>
      <c r="Q465" s="586"/>
      <c r="R465" s="968"/>
      <c r="S465" s="589"/>
      <c r="T465" s="589"/>
      <c r="U465" s="589"/>
    </row>
    <row r="466" spans="1:21" x14ac:dyDescent="0.35">
      <c r="A466" s="184"/>
      <c r="B466" s="185"/>
      <c r="C466" s="185"/>
      <c r="D466" s="179"/>
      <c r="E466" s="180"/>
      <c r="F466" s="186"/>
      <c r="G466" s="186"/>
      <c r="H466" s="187"/>
      <c r="I466" s="177"/>
      <c r="J466" s="178"/>
      <c r="K466" s="157">
        <f t="shared" si="54"/>
        <v>100</v>
      </c>
      <c r="L466" s="157">
        <f t="shared" si="55"/>
        <v>200</v>
      </c>
      <c r="M466" s="157">
        <f t="shared" si="56"/>
        <v>300</v>
      </c>
      <c r="N466" s="157">
        <f t="shared" si="57"/>
        <v>400</v>
      </c>
      <c r="O466" s="1030"/>
      <c r="P466" s="967"/>
      <c r="Q466" s="586"/>
      <c r="R466" s="968"/>
      <c r="S466" s="589"/>
      <c r="T466" s="589"/>
      <c r="U466" s="589"/>
    </row>
    <row r="467" spans="1:21" ht="15.75" customHeight="1" x14ac:dyDescent="0.35">
      <c r="A467" s="116"/>
      <c r="B467" s="185"/>
      <c r="C467" s="1713"/>
      <c r="D467" s="1714"/>
      <c r="E467" s="188"/>
      <c r="F467" s="1715" t="s">
        <v>5</v>
      </c>
      <c r="G467" s="1715"/>
      <c r="H467" s="189">
        <f>IF(ISNUMBER(H465),H465*H463,H464*H463)</f>
        <v>0</v>
      </c>
      <c r="I467" s="190"/>
      <c r="J467" s="191"/>
      <c r="K467" s="157">
        <f t="shared" si="54"/>
        <v>100</v>
      </c>
      <c r="L467" s="157">
        <f t="shared" si="55"/>
        <v>200</v>
      </c>
      <c r="M467" s="157">
        <f t="shared" si="56"/>
        <v>300</v>
      </c>
      <c r="N467" s="157">
        <f t="shared" si="57"/>
        <v>400</v>
      </c>
      <c r="O467" s="1030"/>
      <c r="P467" s="967"/>
      <c r="Q467" s="586"/>
      <c r="R467" s="968"/>
      <c r="S467" s="589"/>
      <c r="T467" s="589"/>
      <c r="U467" s="589"/>
    </row>
    <row r="468" spans="1:21" x14ac:dyDescent="0.35">
      <c r="B468" s="185"/>
      <c r="K468" s="157">
        <f t="shared" si="54"/>
        <v>100</v>
      </c>
      <c r="L468" s="157">
        <f t="shared" si="55"/>
        <v>200</v>
      </c>
      <c r="M468" s="157">
        <f t="shared" si="56"/>
        <v>300</v>
      </c>
      <c r="N468" s="157">
        <f t="shared" si="57"/>
        <v>400</v>
      </c>
      <c r="O468" s="967"/>
      <c r="P468" s="967"/>
      <c r="Q468" s="586"/>
      <c r="R468" s="968"/>
      <c r="S468" s="589"/>
      <c r="T468" s="589"/>
      <c r="U468" s="589"/>
    </row>
    <row r="469" spans="1:21" ht="7.5" customHeight="1" x14ac:dyDescent="0.35">
      <c r="A469" s="116"/>
      <c r="B469" s="117"/>
      <c r="C469" s="117"/>
      <c r="D469" s="116"/>
      <c r="E469" s="116"/>
      <c r="F469" s="118"/>
      <c r="G469" s="119"/>
      <c r="H469" s="116"/>
      <c r="I469" s="120"/>
      <c r="J469" s="121"/>
      <c r="K469" s="157">
        <f t="shared" si="54"/>
        <v>100</v>
      </c>
      <c r="L469" s="157">
        <f t="shared" si="55"/>
        <v>200</v>
      </c>
      <c r="M469" s="157">
        <f t="shared" si="56"/>
        <v>300</v>
      </c>
      <c r="N469" s="157">
        <f t="shared" si="57"/>
        <v>400</v>
      </c>
      <c r="O469" s="968"/>
      <c r="P469" s="968"/>
      <c r="Q469" s="586"/>
      <c r="R469" s="968"/>
      <c r="S469" s="589"/>
      <c r="T469" s="589"/>
      <c r="U469" s="589"/>
    </row>
    <row r="470" spans="1:21" ht="15.5" x14ac:dyDescent="0.35">
      <c r="A470" s="124"/>
      <c r="B470" s="125"/>
      <c r="C470" s="126" t="s">
        <v>4777</v>
      </c>
      <c r="D470" s="127" t="s">
        <v>5429</v>
      </c>
      <c r="E470" s="128"/>
      <c r="F470" s="129" t="str">
        <f>IF($F$3=1,O470,"")</f>
        <v>A.5.2 Erfolgskontrolle und Planung</v>
      </c>
      <c r="G470" s="130"/>
      <c r="H470" s="131"/>
      <c r="I470" s="520" t="s">
        <v>23</v>
      </c>
      <c r="J470" s="132"/>
      <c r="K470" s="157">
        <f t="shared" si="54"/>
        <v>100</v>
      </c>
      <c r="L470" s="157">
        <f t="shared" si="55"/>
        <v>200</v>
      </c>
      <c r="M470" s="157">
        <f t="shared" si="56"/>
        <v>300</v>
      </c>
      <c r="N470" s="157">
        <f t="shared" si="57"/>
        <v>400</v>
      </c>
      <c r="O470" s="967" t="str">
        <f>CONCATENATE(C470," ",D470)</f>
        <v>A.5.2 Erfolgskontrolle und Planung</v>
      </c>
      <c r="P470" s="966"/>
      <c r="Q470" s="586"/>
      <c r="R470" s="968"/>
      <c r="S470" s="589"/>
      <c r="T470" s="589"/>
      <c r="U470" s="589"/>
    </row>
    <row r="471" spans="1:21" x14ac:dyDescent="0.35">
      <c r="A471" s="124"/>
      <c r="B471" s="134"/>
      <c r="C471" s="135"/>
      <c r="D471" s="136"/>
      <c r="E471" s="136"/>
      <c r="F471" s="137"/>
      <c r="G471" s="138"/>
      <c r="H471" s="124"/>
      <c r="I471" s="139"/>
      <c r="J471" s="140"/>
      <c r="K471" s="157">
        <f t="shared" si="54"/>
        <v>100</v>
      </c>
      <c r="L471" s="157">
        <f t="shared" si="55"/>
        <v>200</v>
      </c>
      <c r="M471" s="157">
        <f t="shared" si="56"/>
        <v>300</v>
      </c>
      <c r="N471" s="157">
        <f t="shared" si="57"/>
        <v>400</v>
      </c>
      <c r="O471" s="968"/>
      <c r="P471" s="966"/>
      <c r="Q471" s="586"/>
      <c r="R471" s="968"/>
      <c r="S471" s="589"/>
      <c r="T471" s="589"/>
      <c r="U471" s="589"/>
    </row>
    <row r="472" spans="1:21" x14ac:dyDescent="0.35">
      <c r="A472" s="142"/>
      <c r="B472" s="35"/>
      <c r="C472" s="143"/>
      <c r="D472" s="1685" t="s">
        <v>18</v>
      </c>
      <c r="E472" s="1686"/>
      <c r="F472" s="144" t="s">
        <v>19</v>
      </c>
      <c r="G472" s="145" t="s">
        <v>0</v>
      </c>
      <c r="H472" s="146" t="s">
        <v>20</v>
      </c>
      <c r="I472" s="147" t="s">
        <v>1</v>
      </c>
      <c r="J472" s="147" t="s">
        <v>4375</v>
      </c>
      <c r="K472" s="157">
        <f t="shared" si="54"/>
        <v>100</v>
      </c>
      <c r="L472" s="157">
        <f t="shared" si="55"/>
        <v>200</v>
      </c>
      <c r="M472" s="157">
        <f t="shared" si="56"/>
        <v>300</v>
      </c>
      <c r="N472" s="157">
        <f t="shared" si="57"/>
        <v>400</v>
      </c>
      <c r="O472" s="587"/>
      <c r="P472" s="967"/>
      <c r="Q472" s="586"/>
      <c r="R472" s="968"/>
      <c r="S472" s="589"/>
      <c r="T472" s="589"/>
      <c r="U472" s="589"/>
    </row>
    <row r="473" spans="1:21" ht="24" x14ac:dyDescent="0.35">
      <c r="A473" s="123"/>
      <c r="B473" s="35"/>
      <c r="C473" s="151"/>
      <c r="D473" s="1708" t="s">
        <v>5365</v>
      </c>
      <c r="E473" s="1709"/>
      <c r="F473" s="152" t="s">
        <v>2069</v>
      </c>
      <c r="G473" s="153">
        <f t="shared" ref="G473:G474" si="59">IF($H$2=1,S473,IF($H$2=2,T473,U473))</f>
        <v>0.5</v>
      </c>
      <c r="H473" s="154"/>
      <c r="I473" s="155"/>
      <c r="J473" s="156"/>
      <c r="K473" s="157">
        <f t="shared" si="54"/>
        <v>100</v>
      </c>
      <c r="L473" s="157">
        <f t="shared" si="55"/>
        <v>200</v>
      </c>
      <c r="M473" s="157">
        <f t="shared" si="56"/>
        <v>300</v>
      </c>
      <c r="N473" s="157">
        <f t="shared" si="57"/>
        <v>400</v>
      </c>
      <c r="O473" s="967" t="str">
        <f>CONCATENATE(O470," | ",F473)</f>
        <v>A.5.2 Erfolgskontrolle und Planung | Auf Basis der Ergebnisse werden die nächsten Schritte geplant</v>
      </c>
      <c r="P473" s="967"/>
      <c r="Q473" s="586"/>
      <c r="R473" s="968"/>
      <c r="S473" s="588">
        <v>0.5</v>
      </c>
      <c r="T473" s="588">
        <v>0.5</v>
      </c>
      <c r="U473" s="588">
        <v>0.5</v>
      </c>
    </row>
    <row r="474" spans="1:21" ht="24" x14ac:dyDescent="0.35">
      <c r="A474" s="123"/>
      <c r="B474" s="35"/>
      <c r="C474" s="151"/>
      <c r="D474" s="1708"/>
      <c r="E474" s="1709"/>
      <c r="F474" s="152" t="s">
        <v>2068</v>
      </c>
      <c r="G474" s="153">
        <f t="shared" si="59"/>
        <v>0.5</v>
      </c>
      <c r="H474" s="154"/>
      <c r="I474" s="155"/>
      <c r="J474" s="156"/>
      <c r="K474" s="157">
        <f t="shared" si="54"/>
        <v>100</v>
      </c>
      <c r="L474" s="157">
        <f t="shared" si="55"/>
        <v>200</v>
      </c>
      <c r="M474" s="157">
        <f t="shared" si="56"/>
        <v>300</v>
      </c>
      <c r="N474" s="157">
        <f t="shared" si="57"/>
        <v>400</v>
      </c>
      <c r="O474" s="967" t="str">
        <f>CONCATENATE(O470," | ",F474)</f>
        <v>A.5.2 Erfolgskontrolle und Planung | Ergebnisse werden den relevanten Personengruppen zugänglich gemacht</v>
      </c>
      <c r="P474" s="967"/>
      <c r="Q474" s="586"/>
      <c r="R474" s="968"/>
      <c r="S474" s="588">
        <v>0.5</v>
      </c>
      <c r="T474" s="588">
        <v>0.5</v>
      </c>
      <c r="U474" s="588">
        <v>0.5</v>
      </c>
    </row>
    <row r="475" spans="1:21" x14ac:dyDescent="0.35">
      <c r="A475" s="123"/>
      <c r="B475" s="35"/>
      <c r="C475" s="151"/>
      <c r="D475" s="1708"/>
      <c r="E475" s="1709"/>
      <c r="F475" s="159"/>
      <c r="G475" s="160"/>
      <c r="H475" s="161"/>
      <c r="I475" s="166"/>
      <c r="J475" s="164"/>
      <c r="K475" s="157">
        <f t="shared" si="54"/>
        <v>100</v>
      </c>
      <c r="L475" s="157">
        <f t="shared" si="55"/>
        <v>200</v>
      </c>
      <c r="M475" s="157">
        <f t="shared" si="56"/>
        <v>300</v>
      </c>
      <c r="N475" s="157">
        <f t="shared" si="57"/>
        <v>400</v>
      </c>
      <c r="O475" s="967"/>
      <c r="P475" s="967"/>
      <c r="Q475" s="586"/>
      <c r="R475" s="968"/>
      <c r="S475" s="589"/>
      <c r="T475" s="589"/>
      <c r="U475" s="589"/>
    </row>
    <row r="476" spans="1:21" x14ac:dyDescent="0.35">
      <c r="A476" s="123">
        <v>3.2</v>
      </c>
      <c r="B476" s="35"/>
      <c r="C476" s="151"/>
      <c r="D476" s="1708"/>
      <c r="E476" s="1709"/>
      <c r="F476" s="159"/>
      <c r="G476" s="160"/>
      <c r="H476" s="161"/>
      <c r="I476" s="166"/>
      <c r="J476" s="164"/>
      <c r="K476" s="157">
        <f t="shared" si="54"/>
        <v>100</v>
      </c>
      <c r="L476" s="157">
        <f t="shared" si="55"/>
        <v>200</v>
      </c>
      <c r="M476" s="157">
        <f t="shared" si="56"/>
        <v>300</v>
      </c>
      <c r="N476" s="157">
        <f t="shared" si="57"/>
        <v>400</v>
      </c>
      <c r="O476" s="967"/>
      <c r="P476" s="967"/>
      <c r="Q476" s="586"/>
      <c r="R476" s="968"/>
      <c r="S476" s="589"/>
      <c r="T476" s="589"/>
      <c r="U476" s="589"/>
    </row>
    <row r="477" spans="1:21" x14ac:dyDescent="0.35">
      <c r="A477" s="123"/>
      <c r="B477" s="35"/>
      <c r="C477" s="151"/>
      <c r="D477" s="1708"/>
      <c r="E477" s="1709"/>
      <c r="F477" s="159"/>
      <c r="G477" s="160"/>
      <c r="H477" s="161"/>
      <c r="I477" s="166"/>
      <c r="J477" s="164"/>
      <c r="K477" s="157">
        <f t="shared" si="54"/>
        <v>100</v>
      </c>
      <c r="L477" s="157">
        <f t="shared" si="55"/>
        <v>200</v>
      </c>
      <c r="M477" s="157">
        <f t="shared" si="56"/>
        <v>300</v>
      </c>
      <c r="N477" s="157">
        <f t="shared" si="57"/>
        <v>400</v>
      </c>
      <c r="O477" s="967"/>
      <c r="P477" s="967"/>
      <c r="Q477" s="586"/>
      <c r="R477" s="968"/>
      <c r="S477" s="589"/>
      <c r="T477" s="589"/>
      <c r="U477" s="589"/>
    </row>
    <row r="478" spans="1:21" x14ac:dyDescent="0.35">
      <c r="A478" s="116"/>
      <c r="B478" s="35"/>
      <c r="C478" s="117"/>
      <c r="D478" s="1708"/>
      <c r="E478" s="1709"/>
      <c r="F478" s="159"/>
      <c r="G478" s="160"/>
      <c r="H478" s="161"/>
      <c r="I478" s="162"/>
      <c r="J478" s="164"/>
      <c r="K478" s="157">
        <f t="shared" si="54"/>
        <v>100</v>
      </c>
      <c r="L478" s="157">
        <f t="shared" si="55"/>
        <v>200</v>
      </c>
      <c r="M478" s="157">
        <f t="shared" si="56"/>
        <v>300</v>
      </c>
      <c r="N478" s="157">
        <f t="shared" si="57"/>
        <v>400</v>
      </c>
      <c r="O478" s="959"/>
      <c r="P478" s="967"/>
      <c r="Q478" s="586"/>
      <c r="R478" s="968"/>
      <c r="S478" s="589"/>
      <c r="T478" s="589"/>
      <c r="U478" s="589"/>
    </row>
    <row r="479" spans="1:21" x14ac:dyDescent="0.35">
      <c r="A479" s="116"/>
      <c r="B479" s="35"/>
      <c r="C479" s="117"/>
      <c r="D479" s="1708"/>
      <c r="E479" s="1709"/>
      <c r="F479" s="159"/>
      <c r="G479" s="160"/>
      <c r="H479" s="161"/>
      <c r="I479" s="162"/>
      <c r="J479" s="164"/>
      <c r="K479" s="157">
        <f t="shared" si="54"/>
        <v>100</v>
      </c>
      <c r="L479" s="157">
        <f t="shared" si="55"/>
        <v>200</v>
      </c>
      <c r="M479" s="157">
        <f t="shared" si="56"/>
        <v>300</v>
      </c>
      <c r="N479" s="157">
        <f t="shared" si="57"/>
        <v>400</v>
      </c>
      <c r="O479" s="959"/>
      <c r="P479" s="967"/>
      <c r="Q479" s="586"/>
      <c r="R479" s="968"/>
      <c r="S479" s="589"/>
      <c r="T479" s="589"/>
      <c r="U479" s="589"/>
    </row>
    <row r="480" spans="1:21" x14ac:dyDescent="0.35">
      <c r="A480" s="116"/>
      <c r="B480" s="35"/>
      <c r="C480" s="117"/>
      <c r="D480" s="1708"/>
      <c r="E480" s="1709"/>
      <c r="F480" s="159"/>
      <c r="G480" s="160"/>
      <c r="H480" s="161"/>
      <c r="I480" s="162"/>
      <c r="J480" s="164"/>
      <c r="K480" s="157">
        <f t="shared" si="54"/>
        <v>100</v>
      </c>
      <c r="L480" s="157">
        <f t="shared" si="55"/>
        <v>200</v>
      </c>
      <c r="M480" s="157">
        <f t="shared" si="56"/>
        <v>300</v>
      </c>
      <c r="N480" s="157">
        <f t="shared" si="57"/>
        <v>400</v>
      </c>
      <c r="O480" s="959"/>
      <c r="P480" s="967"/>
      <c r="Q480" s="586"/>
      <c r="R480" s="968"/>
      <c r="S480" s="589"/>
      <c r="T480" s="589"/>
      <c r="U480" s="589"/>
    </row>
    <row r="481" spans="1:21" x14ac:dyDescent="0.35">
      <c r="A481" s="123"/>
      <c r="B481" s="35"/>
      <c r="C481" s="151"/>
      <c r="D481" s="1708"/>
      <c r="E481" s="1709"/>
      <c r="F481" s="165"/>
      <c r="G481" s="160"/>
      <c r="H481" s="161"/>
      <c r="I481" s="166"/>
      <c r="J481" s="167"/>
      <c r="K481" s="157">
        <f t="shared" si="54"/>
        <v>100</v>
      </c>
      <c r="L481" s="157">
        <f t="shared" si="55"/>
        <v>200</v>
      </c>
      <c r="M481" s="157">
        <f t="shared" si="56"/>
        <v>300</v>
      </c>
      <c r="N481" s="157">
        <f t="shared" si="57"/>
        <v>400</v>
      </c>
      <c r="O481" s="959"/>
      <c r="P481" s="967"/>
      <c r="Q481" s="586"/>
      <c r="R481" s="968"/>
      <c r="S481" s="589"/>
      <c r="T481" s="589"/>
      <c r="U481" s="589"/>
    </row>
    <row r="482" spans="1:21" x14ac:dyDescent="0.35">
      <c r="A482" s="116"/>
      <c r="B482" s="35"/>
      <c r="C482" s="117"/>
      <c r="D482" s="1708"/>
      <c r="E482" s="1709"/>
      <c r="F482" s="159"/>
      <c r="G482" s="160"/>
      <c r="H482" s="168"/>
      <c r="I482" s="162"/>
      <c r="J482" s="164"/>
      <c r="K482" s="157">
        <f t="shared" si="54"/>
        <v>100</v>
      </c>
      <c r="L482" s="157">
        <f t="shared" si="55"/>
        <v>200</v>
      </c>
      <c r="M482" s="157">
        <f t="shared" si="56"/>
        <v>300</v>
      </c>
      <c r="N482" s="157">
        <f t="shared" si="57"/>
        <v>400</v>
      </c>
      <c r="O482" s="959"/>
      <c r="P482" s="967"/>
      <c r="Q482" s="586"/>
      <c r="R482" s="968"/>
      <c r="S482" s="589"/>
      <c r="T482" s="589"/>
      <c r="U482" s="589"/>
    </row>
    <row r="483" spans="1:21" x14ac:dyDescent="0.35">
      <c r="A483" s="116"/>
      <c r="B483" s="117"/>
      <c r="C483" s="117"/>
      <c r="D483" s="1708"/>
      <c r="E483" s="1709"/>
      <c r="F483" s="159"/>
      <c r="G483" s="160"/>
      <c r="H483" s="168"/>
      <c r="I483" s="162"/>
      <c r="J483" s="164"/>
      <c r="K483" s="157">
        <f t="shared" si="54"/>
        <v>100</v>
      </c>
      <c r="L483" s="157">
        <f t="shared" si="55"/>
        <v>200</v>
      </c>
      <c r="M483" s="157">
        <f t="shared" si="56"/>
        <v>300</v>
      </c>
      <c r="N483" s="157">
        <f t="shared" si="57"/>
        <v>400</v>
      </c>
      <c r="O483" s="959"/>
      <c r="P483" s="967"/>
      <c r="Q483" s="586"/>
      <c r="R483" s="968"/>
      <c r="S483" s="589"/>
      <c r="T483" s="589"/>
      <c r="U483" s="589"/>
    </row>
    <row r="484" spans="1:21" x14ac:dyDescent="0.35">
      <c r="A484" s="116"/>
      <c r="B484" s="117"/>
      <c r="C484" s="117"/>
      <c r="D484" s="1708"/>
      <c r="E484" s="1709"/>
      <c r="F484" s="169"/>
      <c r="G484" s="170"/>
      <c r="H484" s="171"/>
      <c r="I484" s="172"/>
      <c r="J484" s="173"/>
      <c r="K484" s="157">
        <f t="shared" si="54"/>
        <v>100</v>
      </c>
      <c r="L484" s="157">
        <f t="shared" si="55"/>
        <v>200</v>
      </c>
      <c r="M484" s="157">
        <f t="shared" si="56"/>
        <v>300</v>
      </c>
      <c r="N484" s="157">
        <f t="shared" si="57"/>
        <v>400</v>
      </c>
      <c r="O484" s="959"/>
      <c r="P484" s="967"/>
      <c r="Q484" s="586"/>
      <c r="R484" s="968"/>
      <c r="S484" s="589"/>
      <c r="T484" s="589"/>
      <c r="U484" s="589"/>
    </row>
    <row r="485" spans="1:21" ht="28.5" customHeight="1" x14ac:dyDescent="0.35">
      <c r="A485" s="116"/>
      <c r="B485" s="117"/>
      <c r="C485" s="117"/>
      <c r="D485" s="174"/>
      <c r="E485" s="175"/>
      <c r="F485" s="1689" t="s">
        <v>2</v>
      </c>
      <c r="G485" s="1689"/>
      <c r="H485" s="176">
        <f>IF(O485&gt;1,"Zielerreichung übersteigt 100%!",O485)</f>
        <v>0</v>
      </c>
      <c r="I485" s="177"/>
      <c r="J485" s="178"/>
      <c r="K485" s="157">
        <f t="shared" si="54"/>
        <v>100</v>
      </c>
      <c r="L485" s="157">
        <f t="shared" si="55"/>
        <v>200</v>
      </c>
      <c r="M485" s="157">
        <f t="shared" si="56"/>
        <v>300</v>
      </c>
      <c r="N485" s="157">
        <f t="shared" si="57"/>
        <v>400</v>
      </c>
      <c r="O485" s="959">
        <f>SUM(H473:H484)</f>
        <v>0</v>
      </c>
      <c r="P485" s="967"/>
      <c r="Q485" s="586"/>
      <c r="R485" s="968"/>
      <c r="S485" s="589"/>
      <c r="T485" s="589"/>
      <c r="U485" s="589"/>
    </row>
    <row r="486" spans="1:21" x14ac:dyDescent="0.35">
      <c r="A486" s="116"/>
      <c r="B486" s="117"/>
      <c r="C486" s="117"/>
      <c r="D486" s="179"/>
      <c r="E486" s="180"/>
      <c r="F486" s="1690" t="s">
        <v>3</v>
      </c>
      <c r="G486" s="1691"/>
      <c r="H486" s="181">
        <v>10</v>
      </c>
      <c r="I486" s="177"/>
      <c r="J486" s="178"/>
      <c r="K486" s="157">
        <f t="shared" si="54"/>
        <v>100</v>
      </c>
      <c r="L486" s="157">
        <f t="shared" si="55"/>
        <v>200</v>
      </c>
      <c r="M486" s="157">
        <f t="shared" si="56"/>
        <v>300</v>
      </c>
      <c r="N486" s="157">
        <f t="shared" si="57"/>
        <v>400</v>
      </c>
      <c r="O486" s="1030"/>
      <c r="P486" s="967"/>
      <c r="Q486" s="586"/>
      <c r="R486" s="968"/>
      <c r="S486" s="589"/>
      <c r="T486" s="589"/>
      <c r="U486" s="589"/>
    </row>
    <row r="487" spans="1:21" x14ac:dyDescent="0.35">
      <c r="A487" s="116"/>
      <c r="B487" s="117"/>
      <c r="C487" s="117"/>
      <c r="D487" s="179"/>
      <c r="E487" s="180"/>
      <c r="F487" s="1692"/>
      <c r="G487" s="1693"/>
      <c r="H487" s="182"/>
      <c r="I487" s="183"/>
      <c r="J487" s="178"/>
      <c r="K487" s="157">
        <f t="shared" si="54"/>
        <v>100</v>
      </c>
      <c r="L487" s="157">
        <f t="shared" si="55"/>
        <v>200</v>
      </c>
      <c r="M487" s="157">
        <f t="shared" si="56"/>
        <v>300</v>
      </c>
      <c r="N487" s="157">
        <f t="shared" si="57"/>
        <v>400</v>
      </c>
      <c r="O487" s="1030"/>
      <c r="P487" s="967"/>
      <c r="Q487" s="586"/>
      <c r="R487" s="968"/>
      <c r="S487" s="589"/>
      <c r="T487" s="589"/>
      <c r="U487" s="589"/>
    </row>
    <row r="488" spans="1:21" x14ac:dyDescent="0.35">
      <c r="A488" s="184"/>
      <c r="B488" s="185"/>
      <c r="C488" s="185"/>
      <c r="D488" s="179"/>
      <c r="E488" s="180"/>
      <c r="F488" s="186"/>
      <c r="G488" s="186"/>
      <c r="H488" s="187"/>
      <c r="I488" s="177"/>
      <c r="J488" s="178"/>
      <c r="K488" s="157">
        <f t="shared" si="54"/>
        <v>100</v>
      </c>
      <c r="L488" s="157">
        <f t="shared" si="55"/>
        <v>200</v>
      </c>
      <c r="M488" s="157">
        <f t="shared" si="56"/>
        <v>300</v>
      </c>
      <c r="N488" s="157">
        <f t="shared" si="57"/>
        <v>400</v>
      </c>
      <c r="O488" s="1030"/>
      <c r="P488" s="967"/>
      <c r="Q488" s="586"/>
      <c r="R488" s="968"/>
      <c r="S488" s="589"/>
      <c r="T488" s="589"/>
      <c r="U488" s="589"/>
    </row>
    <row r="489" spans="1:21" ht="15.5" x14ac:dyDescent="0.35">
      <c r="A489" s="116"/>
      <c r="B489" s="117"/>
      <c r="C489" s="1713"/>
      <c r="D489" s="1714"/>
      <c r="E489" s="188"/>
      <c r="F489" s="1715" t="s">
        <v>5</v>
      </c>
      <c r="G489" s="1715"/>
      <c r="H489" s="189">
        <f>IF(ISNUMBER(H487),H487*H485,H486*H485)</f>
        <v>0</v>
      </c>
      <c r="I489" s="190"/>
      <c r="J489" s="191"/>
      <c r="K489" s="157">
        <f t="shared" si="54"/>
        <v>100</v>
      </c>
      <c r="L489" s="157">
        <f t="shared" si="55"/>
        <v>200</v>
      </c>
      <c r="M489" s="157">
        <f t="shared" si="56"/>
        <v>300</v>
      </c>
      <c r="N489" s="157">
        <f t="shared" si="57"/>
        <v>400</v>
      </c>
      <c r="O489" s="1030"/>
      <c r="P489" s="967"/>
      <c r="Q489" s="586"/>
      <c r="R489" s="968"/>
      <c r="S489" s="589"/>
      <c r="T489" s="589"/>
      <c r="U489" s="589"/>
    </row>
    <row r="490" spans="1:21" x14ac:dyDescent="0.35">
      <c r="B490" s="185"/>
      <c r="K490" s="157">
        <f t="shared" si="54"/>
        <v>100</v>
      </c>
      <c r="L490" s="157">
        <f t="shared" si="55"/>
        <v>200</v>
      </c>
      <c r="M490" s="157">
        <f t="shared" si="56"/>
        <v>300</v>
      </c>
      <c r="N490" s="157">
        <f t="shared" si="57"/>
        <v>400</v>
      </c>
      <c r="O490" s="967"/>
      <c r="P490" s="967"/>
      <c r="Q490" s="586"/>
      <c r="R490" s="968"/>
      <c r="S490" s="589"/>
      <c r="T490" s="589"/>
      <c r="U490" s="589"/>
    </row>
    <row r="491" spans="1:21" ht="7.5" customHeight="1" x14ac:dyDescent="0.35">
      <c r="A491" s="116"/>
      <c r="B491" s="117"/>
      <c r="C491" s="117"/>
      <c r="D491" s="116"/>
      <c r="E491" s="116"/>
      <c r="F491" s="118"/>
      <c r="G491" s="119"/>
      <c r="H491" s="116"/>
      <c r="I491" s="120"/>
      <c r="J491" s="121"/>
      <c r="K491" s="157">
        <f t="shared" si="54"/>
        <v>100</v>
      </c>
      <c r="L491" s="157">
        <f t="shared" si="55"/>
        <v>200</v>
      </c>
      <c r="M491" s="157">
        <f t="shared" si="56"/>
        <v>300</v>
      </c>
      <c r="N491" s="157">
        <f t="shared" si="57"/>
        <v>400</v>
      </c>
      <c r="O491" s="968"/>
      <c r="P491" s="968"/>
      <c r="Q491" s="586"/>
      <c r="R491" s="968"/>
      <c r="S491" s="589"/>
      <c r="T491" s="589"/>
      <c r="U491" s="589"/>
    </row>
    <row r="492" spans="1:21" ht="15.5" x14ac:dyDescent="0.35">
      <c r="A492" s="124"/>
      <c r="B492" s="125"/>
      <c r="C492" s="126" t="s">
        <v>4778</v>
      </c>
      <c r="D492" s="127" t="s">
        <v>5430</v>
      </c>
      <c r="E492" s="128"/>
      <c r="F492" s="129" t="str">
        <f>IF($F$3=1,O492,"")</f>
        <v>A.5.3 Qualitätssicherungsverfahren</v>
      </c>
      <c r="G492" s="130"/>
      <c r="H492" s="131"/>
      <c r="I492" s="520" t="s">
        <v>23</v>
      </c>
      <c r="J492" s="132"/>
      <c r="K492" s="157">
        <f t="shared" ref="K492:K555" si="60">IF($J492=$K$41,K491+1,K491+0)</f>
        <v>100</v>
      </c>
      <c r="L492" s="157">
        <f t="shared" ref="L492:L555" si="61">IF($J492=$L$41,L491+1,L491+0)</f>
        <v>200</v>
      </c>
      <c r="M492" s="157">
        <f t="shared" ref="M492:M555" si="62">IF($J492=$M$41,M491+1,M491+0)</f>
        <v>300</v>
      </c>
      <c r="N492" s="157">
        <f t="shared" ref="N492:N555" si="63">IF($J492=$N$41,N491+1,N491+0)</f>
        <v>400</v>
      </c>
      <c r="O492" s="967" t="str">
        <f>CONCATENATE(C492," ",D492)</f>
        <v>A.5.3 Qualitätssicherungsverfahren</v>
      </c>
      <c r="P492" s="966"/>
      <c r="Q492" s="586"/>
      <c r="R492" s="968"/>
      <c r="S492" s="589"/>
      <c r="T492" s="589"/>
      <c r="U492" s="589"/>
    </row>
    <row r="493" spans="1:21" x14ac:dyDescent="0.35">
      <c r="A493" s="124"/>
      <c r="B493" s="134"/>
      <c r="C493" s="135"/>
      <c r="D493" s="136"/>
      <c r="E493" s="136"/>
      <c r="F493" s="137"/>
      <c r="G493" s="138"/>
      <c r="H493" s="124"/>
      <c r="I493" s="139"/>
      <c r="J493" s="140"/>
      <c r="K493" s="157">
        <f t="shared" si="60"/>
        <v>100</v>
      </c>
      <c r="L493" s="157">
        <f t="shared" si="61"/>
        <v>200</v>
      </c>
      <c r="M493" s="157">
        <f t="shared" si="62"/>
        <v>300</v>
      </c>
      <c r="N493" s="157">
        <f t="shared" si="63"/>
        <v>400</v>
      </c>
      <c r="O493" s="968"/>
      <c r="P493" s="966"/>
      <c r="Q493" s="586"/>
      <c r="R493" s="968"/>
      <c r="S493" s="589"/>
      <c r="T493" s="589"/>
      <c r="U493" s="589"/>
    </row>
    <row r="494" spans="1:21" x14ac:dyDescent="0.35">
      <c r="A494" s="142"/>
      <c r="B494" s="35"/>
      <c r="C494" s="143"/>
      <c r="D494" s="1685" t="s">
        <v>18</v>
      </c>
      <c r="E494" s="1686"/>
      <c r="F494" s="144" t="s">
        <v>19</v>
      </c>
      <c r="G494" s="145" t="s">
        <v>0</v>
      </c>
      <c r="H494" s="146" t="s">
        <v>20</v>
      </c>
      <c r="I494" s="147" t="s">
        <v>1</v>
      </c>
      <c r="J494" s="147" t="s">
        <v>4375</v>
      </c>
      <c r="K494" s="157">
        <f t="shared" si="60"/>
        <v>100</v>
      </c>
      <c r="L494" s="157">
        <f t="shared" si="61"/>
        <v>200</v>
      </c>
      <c r="M494" s="157">
        <f t="shared" si="62"/>
        <v>300</v>
      </c>
      <c r="N494" s="157">
        <f t="shared" si="63"/>
        <v>400</v>
      </c>
      <c r="O494" s="587"/>
      <c r="P494" s="967"/>
      <c r="Q494" s="586"/>
      <c r="R494" s="968"/>
      <c r="S494" s="589"/>
      <c r="T494" s="589"/>
      <c r="U494" s="589"/>
    </row>
    <row r="495" spans="1:21" ht="66" customHeight="1" x14ac:dyDescent="0.35">
      <c r="A495" s="123"/>
      <c r="B495" s="35"/>
      <c r="C495" s="151"/>
      <c r="D495" s="1687" t="s">
        <v>4665</v>
      </c>
      <c r="E495" s="1688"/>
      <c r="F495" s="152" t="s">
        <v>5271</v>
      </c>
      <c r="G495" s="153">
        <f t="shared" ref="G495:G498" si="64">IF($H$2=1,S495,IF($H$2=2,T495,U495))</f>
        <v>0.1</v>
      </c>
      <c r="H495" s="154"/>
      <c r="I495" s="155"/>
      <c r="J495" s="156"/>
      <c r="K495" s="157">
        <f t="shared" si="60"/>
        <v>100</v>
      </c>
      <c r="L495" s="157">
        <f t="shared" si="61"/>
        <v>200</v>
      </c>
      <c r="M495" s="157">
        <f t="shared" si="62"/>
        <v>300</v>
      </c>
      <c r="N495" s="157">
        <f t="shared" si="63"/>
        <v>400</v>
      </c>
      <c r="O495" s="967" t="str">
        <f>CONCATENATE(O492," | ",F495)</f>
        <v>A.5.3 Qualitätssicherungsverfahren | Die Qualitätsziele und Nachweisverfahren sind bekannt und dokumentiert (z.B. Qualität der Bürgerbeteiligung, Qualität der Gebäude (z.B. Blower Door Test), Qualität der Anschlusspunkte bei Fuß- und Radwegenetzen)</v>
      </c>
      <c r="P495" s="967"/>
      <c r="Q495" s="586"/>
      <c r="R495" s="968"/>
      <c r="S495" s="594">
        <v>0</v>
      </c>
      <c r="T495" s="588">
        <v>6.9999999999999993E-2</v>
      </c>
      <c r="U495" s="588">
        <v>0.1</v>
      </c>
    </row>
    <row r="496" spans="1:21" ht="24" x14ac:dyDescent="0.35">
      <c r="A496" s="123"/>
      <c r="B496" s="35"/>
      <c r="C496" s="151"/>
      <c r="D496" s="1687"/>
      <c r="E496" s="1688"/>
      <c r="F496" s="152" t="s">
        <v>4554</v>
      </c>
      <c r="G496" s="153">
        <f t="shared" si="64"/>
        <v>0.1</v>
      </c>
      <c r="H496" s="154"/>
      <c r="I496" s="158"/>
      <c r="J496" s="156"/>
      <c r="K496" s="157">
        <f t="shared" si="60"/>
        <v>100</v>
      </c>
      <c r="L496" s="157">
        <f t="shared" si="61"/>
        <v>200</v>
      </c>
      <c r="M496" s="157">
        <f t="shared" si="62"/>
        <v>300</v>
      </c>
      <c r="N496" s="157">
        <f t="shared" si="63"/>
        <v>400</v>
      </c>
      <c r="O496" s="967" t="str">
        <f>CONCATENATE(O492," | ",F496)</f>
        <v>A.5.3 Qualitätssicherungsverfahren | Zuständigkeiten und Ressourcen für die interne und externe Qualitätssicherung sind festgelegt und gesichert</v>
      </c>
      <c r="P496" s="967"/>
      <c r="Q496" s="586"/>
      <c r="R496" s="968"/>
      <c r="S496" s="594">
        <v>0</v>
      </c>
      <c r="T496" s="588">
        <v>6.9999999999999993E-2</v>
      </c>
      <c r="U496" s="588">
        <v>0.1</v>
      </c>
    </row>
    <row r="497" spans="1:21" ht="36" x14ac:dyDescent="0.35">
      <c r="A497" s="123"/>
      <c r="B497" s="35"/>
      <c r="C497" s="151"/>
      <c r="D497" s="1687"/>
      <c r="E497" s="1688"/>
      <c r="F497" s="1023" t="s">
        <v>5366</v>
      </c>
      <c r="G497" s="153">
        <f t="shared" si="64"/>
        <v>0.6</v>
      </c>
      <c r="H497" s="154"/>
      <c r="I497" s="158"/>
      <c r="J497" s="156"/>
      <c r="K497" s="157">
        <f t="shared" si="60"/>
        <v>100</v>
      </c>
      <c r="L497" s="157">
        <f t="shared" si="61"/>
        <v>200</v>
      </c>
      <c r="M497" s="157">
        <f t="shared" si="62"/>
        <v>300</v>
      </c>
      <c r="N497" s="157">
        <f t="shared" si="63"/>
        <v>400</v>
      </c>
      <c r="O497" s="967" t="str">
        <f>CONCATENATE(O492," | ",F497)</f>
        <v>A.5.3 Qualitätssicherungsverfahren | Stichprobenartige interne bzw. externe Kontrolle werden auf Basis der Qualitätsvereinbarung durchgeführt (Planung – Ausführung - Nutzung)</v>
      </c>
      <c r="P497" s="967"/>
      <c r="Q497" s="586"/>
      <c r="R497" s="968"/>
      <c r="S497" s="594">
        <v>0</v>
      </c>
      <c r="T497" s="588">
        <v>0.42</v>
      </c>
      <c r="U497" s="588">
        <v>0.6</v>
      </c>
    </row>
    <row r="498" spans="1:21" x14ac:dyDescent="0.35">
      <c r="A498" s="123">
        <v>3.2</v>
      </c>
      <c r="B498" s="35"/>
      <c r="C498" s="151"/>
      <c r="D498" s="1687"/>
      <c r="E498" s="1688"/>
      <c r="F498" s="152" t="s">
        <v>2070</v>
      </c>
      <c r="G498" s="153">
        <f t="shared" si="64"/>
        <v>0.2</v>
      </c>
      <c r="H498" s="154"/>
      <c r="I498" s="158"/>
      <c r="J498" s="156"/>
      <c r="K498" s="157">
        <f t="shared" si="60"/>
        <v>100</v>
      </c>
      <c r="L498" s="157">
        <f t="shared" si="61"/>
        <v>200</v>
      </c>
      <c r="M498" s="157">
        <f t="shared" si="62"/>
        <v>300</v>
      </c>
      <c r="N498" s="157">
        <f t="shared" si="63"/>
        <v>400</v>
      </c>
      <c r="O498" s="967" t="str">
        <f>CONCATENATE(O492," | ",F498)</f>
        <v>A.5.3 Qualitätssicherungsverfahren | Visualisierung und Kommunikation der Ergebnisse</v>
      </c>
      <c r="P498" s="967"/>
      <c r="Q498" s="586"/>
      <c r="R498" s="968"/>
      <c r="S498" s="594">
        <v>0</v>
      </c>
      <c r="T498" s="588">
        <v>0.13999999999999999</v>
      </c>
      <c r="U498" s="588">
        <v>0.2</v>
      </c>
    </row>
    <row r="499" spans="1:21" x14ac:dyDescent="0.35">
      <c r="A499" s="123"/>
      <c r="B499" s="35"/>
      <c r="C499" s="151"/>
      <c r="D499" s="1687"/>
      <c r="E499" s="1688"/>
      <c r="F499" s="159"/>
      <c r="G499" s="160"/>
      <c r="H499" s="161"/>
      <c r="I499" s="166"/>
      <c r="J499" s="164"/>
      <c r="K499" s="157">
        <f t="shared" si="60"/>
        <v>100</v>
      </c>
      <c r="L499" s="157">
        <f t="shared" si="61"/>
        <v>200</v>
      </c>
      <c r="M499" s="157">
        <f t="shared" si="62"/>
        <v>300</v>
      </c>
      <c r="N499" s="157">
        <f t="shared" si="63"/>
        <v>400</v>
      </c>
      <c r="O499" s="967"/>
      <c r="P499" s="967"/>
      <c r="Q499" s="586"/>
      <c r="R499" s="968"/>
      <c r="S499" s="1087"/>
      <c r="T499" s="1028"/>
      <c r="U499" s="589"/>
    </row>
    <row r="500" spans="1:21" x14ac:dyDescent="0.35">
      <c r="A500" s="116"/>
      <c r="B500" s="35"/>
      <c r="C500" s="117"/>
      <c r="D500" s="1687"/>
      <c r="E500" s="1688"/>
      <c r="F500" s="593" t="str">
        <f>IF($G$2=1,R500,"Weiteres Kriterium in der Nutzung")</f>
        <v>Weiteres Kriterium in der Nutzung</v>
      </c>
      <c r="G500" s="153">
        <f t="shared" ref="G500:G503" si="65">IF($H$2=1,S500,IF($H$2=2,T500,U500))</f>
        <v>0</v>
      </c>
      <c r="H500" s="154"/>
      <c r="I500" s="158"/>
      <c r="J500" s="156"/>
      <c r="K500" s="157">
        <f t="shared" si="60"/>
        <v>100</v>
      </c>
      <c r="L500" s="157">
        <f t="shared" si="61"/>
        <v>200</v>
      </c>
      <c r="M500" s="157">
        <f t="shared" si="62"/>
        <v>300</v>
      </c>
      <c r="N500" s="157">
        <f t="shared" si="63"/>
        <v>400</v>
      </c>
      <c r="O500" s="967" t="str">
        <f>CONCATENATE(O492," | ",F500)</f>
        <v>A.5.3 Qualitätssicherungsverfahren | Weiteres Kriterium in der Nutzung</v>
      </c>
      <c r="P500" s="967"/>
      <c r="Q500" s="586"/>
      <c r="R500" s="968" t="s">
        <v>5382</v>
      </c>
      <c r="S500" s="594">
        <v>0.13</v>
      </c>
      <c r="T500" s="588">
        <v>0.04</v>
      </c>
      <c r="U500" s="588">
        <v>0</v>
      </c>
    </row>
    <row r="501" spans="1:21" x14ac:dyDescent="0.35">
      <c r="A501" s="116"/>
      <c r="B501" s="35"/>
      <c r="C501" s="117"/>
      <c r="D501" s="1687"/>
      <c r="E501" s="1688"/>
      <c r="F501" s="593" t="str">
        <f t="shared" ref="F501:F503" si="66">IF($G$2=1,R501,"Weiteres Kriterium in der Nutzung")</f>
        <v>Weiteres Kriterium in der Nutzung</v>
      </c>
      <c r="G501" s="153">
        <f t="shared" si="65"/>
        <v>0</v>
      </c>
      <c r="H501" s="154"/>
      <c r="I501" s="158"/>
      <c r="J501" s="156"/>
      <c r="K501" s="157">
        <f t="shared" si="60"/>
        <v>100</v>
      </c>
      <c r="L501" s="157">
        <f t="shared" si="61"/>
        <v>200</v>
      </c>
      <c r="M501" s="157">
        <f t="shared" si="62"/>
        <v>300</v>
      </c>
      <c r="N501" s="157">
        <f t="shared" si="63"/>
        <v>400</v>
      </c>
      <c r="O501" s="967" t="str">
        <f>CONCATENATE(O492," | ",F501)</f>
        <v>A.5.3 Qualitätssicherungsverfahren | Weiteres Kriterium in der Nutzung</v>
      </c>
      <c r="P501" s="967"/>
      <c r="Q501" s="586"/>
      <c r="R501" s="968" t="s">
        <v>5358</v>
      </c>
      <c r="S501" s="594">
        <v>0.13</v>
      </c>
      <c r="T501" s="588">
        <v>0.04</v>
      </c>
      <c r="U501" s="588">
        <v>0</v>
      </c>
    </row>
    <row r="502" spans="1:21" x14ac:dyDescent="0.35">
      <c r="A502" s="116"/>
      <c r="B502" s="35"/>
      <c r="C502" s="117"/>
      <c r="D502" s="1687"/>
      <c r="E502" s="1688"/>
      <c r="F502" s="593" t="str">
        <f t="shared" si="66"/>
        <v>Weiteres Kriterium in der Nutzung</v>
      </c>
      <c r="G502" s="153">
        <f t="shared" si="65"/>
        <v>0</v>
      </c>
      <c r="H502" s="154"/>
      <c r="I502" s="158"/>
      <c r="J502" s="156"/>
      <c r="K502" s="157">
        <f t="shared" si="60"/>
        <v>100</v>
      </c>
      <c r="L502" s="157">
        <f t="shared" si="61"/>
        <v>200</v>
      </c>
      <c r="M502" s="157">
        <f t="shared" si="62"/>
        <v>300</v>
      </c>
      <c r="N502" s="157">
        <f t="shared" si="63"/>
        <v>400</v>
      </c>
      <c r="O502" s="967" t="str">
        <f>CONCATENATE(O492," | ",F502)</f>
        <v>A.5.3 Qualitätssicherungsverfahren | Weiteres Kriterium in der Nutzung</v>
      </c>
      <c r="P502" s="967"/>
      <c r="Q502" s="586"/>
      <c r="R502" s="968" t="s">
        <v>5479</v>
      </c>
      <c r="S502" s="594">
        <v>0.12</v>
      </c>
      <c r="T502" s="588">
        <v>0.04</v>
      </c>
      <c r="U502" s="588">
        <v>0</v>
      </c>
    </row>
    <row r="503" spans="1:21" x14ac:dyDescent="0.35">
      <c r="A503" s="123"/>
      <c r="B503" s="35"/>
      <c r="C503" s="151"/>
      <c r="D503" s="1687"/>
      <c r="E503" s="1688"/>
      <c r="F503" s="593" t="str">
        <f t="shared" si="66"/>
        <v>Weiteres Kriterium in der Nutzung</v>
      </c>
      <c r="G503" s="153">
        <f t="shared" si="65"/>
        <v>0</v>
      </c>
      <c r="H503" s="154"/>
      <c r="I503" s="158"/>
      <c r="J503" s="156"/>
      <c r="K503" s="157">
        <f t="shared" si="60"/>
        <v>100</v>
      </c>
      <c r="L503" s="157">
        <f t="shared" si="61"/>
        <v>200</v>
      </c>
      <c r="M503" s="157">
        <f t="shared" si="62"/>
        <v>300</v>
      </c>
      <c r="N503" s="157">
        <f t="shared" si="63"/>
        <v>400</v>
      </c>
      <c r="O503" s="967" t="str">
        <f>CONCATENATE(O492," | ",F503)</f>
        <v>A.5.3 Qualitätssicherungsverfahren | Weiteres Kriterium in der Nutzung</v>
      </c>
      <c r="P503" s="967"/>
      <c r="Q503" s="586"/>
      <c r="R503" s="968" t="s">
        <v>5322</v>
      </c>
      <c r="S503" s="594">
        <v>0.12</v>
      </c>
      <c r="T503" s="588">
        <v>0.03</v>
      </c>
      <c r="U503" s="588">
        <v>0</v>
      </c>
    </row>
    <row r="504" spans="1:21" x14ac:dyDescent="0.35">
      <c r="A504" s="116"/>
      <c r="B504" s="35"/>
      <c r="C504" s="117"/>
      <c r="D504" s="1687"/>
      <c r="E504" s="1688"/>
      <c r="F504" s="159"/>
      <c r="G504" s="160"/>
      <c r="H504" s="168"/>
      <c r="I504" s="162"/>
      <c r="J504" s="164"/>
      <c r="K504" s="157">
        <f t="shared" si="60"/>
        <v>100</v>
      </c>
      <c r="L504" s="157">
        <f t="shared" si="61"/>
        <v>200</v>
      </c>
      <c r="M504" s="157">
        <f t="shared" si="62"/>
        <v>300</v>
      </c>
      <c r="N504" s="157">
        <f t="shared" si="63"/>
        <v>400</v>
      </c>
      <c r="O504" s="959"/>
      <c r="P504" s="967"/>
      <c r="Q504" s="586"/>
      <c r="R504" s="968"/>
      <c r="S504" s="589"/>
      <c r="T504" s="589"/>
      <c r="U504" s="589"/>
    </row>
    <row r="505" spans="1:21" x14ac:dyDescent="0.35">
      <c r="A505" s="116"/>
      <c r="B505" s="117"/>
      <c r="C505" s="117"/>
      <c r="D505" s="1687"/>
      <c r="E505" s="1688"/>
      <c r="F505" s="593" t="str">
        <f t="shared" ref="F505" si="67">IF($G$2=1,R505,"Weiteres Kriterium in der Nutzung")</f>
        <v>Weiteres Kriterium in der Nutzung</v>
      </c>
      <c r="G505" s="153">
        <f t="shared" ref="G505" si="68">IF($H$2=1,S505,IF($H$2=2,T505,U505))</f>
        <v>0</v>
      </c>
      <c r="H505" s="154"/>
      <c r="I505" s="158"/>
      <c r="J505" s="156"/>
      <c r="K505" s="157">
        <f t="shared" si="60"/>
        <v>100</v>
      </c>
      <c r="L505" s="157">
        <f t="shared" si="61"/>
        <v>200</v>
      </c>
      <c r="M505" s="157">
        <f t="shared" si="62"/>
        <v>300</v>
      </c>
      <c r="N505" s="157">
        <f t="shared" si="63"/>
        <v>400</v>
      </c>
      <c r="O505" s="967" t="str">
        <f>CONCATENATE(O494," | ",F505)</f>
        <v xml:space="preserve"> | Weiteres Kriterium in der Nutzung</v>
      </c>
      <c r="P505" s="967"/>
      <c r="Q505" s="586"/>
      <c r="R505" s="968" t="s">
        <v>5321</v>
      </c>
      <c r="S505" s="594">
        <v>0.5</v>
      </c>
      <c r="T505" s="588">
        <v>0.15</v>
      </c>
      <c r="U505" s="588">
        <v>0</v>
      </c>
    </row>
    <row r="506" spans="1:21" x14ac:dyDescent="0.35">
      <c r="A506" s="116"/>
      <c r="B506" s="117"/>
      <c r="C506" s="117"/>
      <c r="D506" s="1687"/>
      <c r="E506" s="1688"/>
      <c r="F506" s="169"/>
      <c r="G506" s="170"/>
      <c r="H506" s="171"/>
      <c r="I506" s="172"/>
      <c r="J506" s="173"/>
      <c r="K506" s="157">
        <f t="shared" si="60"/>
        <v>100</v>
      </c>
      <c r="L506" s="157">
        <f t="shared" si="61"/>
        <v>200</v>
      </c>
      <c r="M506" s="157">
        <f t="shared" si="62"/>
        <v>300</v>
      </c>
      <c r="N506" s="157">
        <f t="shared" si="63"/>
        <v>400</v>
      </c>
      <c r="O506" s="959"/>
      <c r="P506" s="967"/>
      <c r="Q506" s="586"/>
      <c r="R506" s="968"/>
      <c r="S506" s="589"/>
      <c r="T506" s="589"/>
      <c r="U506" s="589"/>
    </row>
    <row r="507" spans="1:21" ht="28.5" customHeight="1" x14ac:dyDescent="0.35">
      <c r="A507" s="116"/>
      <c r="B507" s="117"/>
      <c r="C507" s="117"/>
      <c r="D507" s="174"/>
      <c r="E507" s="175"/>
      <c r="F507" s="1689" t="s">
        <v>2</v>
      </c>
      <c r="G507" s="1689"/>
      <c r="H507" s="176">
        <f>IF(O507&gt;1,"Zielerreichung übersteigt 100%!",O507)</f>
        <v>0</v>
      </c>
      <c r="I507" s="177"/>
      <c r="J507" s="178"/>
      <c r="K507" s="157">
        <f t="shared" si="60"/>
        <v>100</v>
      </c>
      <c r="L507" s="157">
        <f t="shared" si="61"/>
        <v>200</v>
      </c>
      <c r="M507" s="157">
        <f t="shared" si="62"/>
        <v>300</v>
      </c>
      <c r="N507" s="157">
        <f t="shared" si="63"/>
        <v>400</v>
      </c>
      <c r="O507" s="959">
        <f>SUM(H495:H506)</f>
        <v>0</v>
      </c>
      <c r="P507" s="967"/>
      <c r="Q507" s="586"/>
      <c r="R507" s="968"/>
      <c r="S507" s="589"/>
      <c r="T507" s="589"/>
      <c r="U507" s="589"/>
    </row>
    <row r="508" spans="1:21" x14ac:dyDescent="0.35">
      <c r="A508" s="116"/>
      <c r="B508" s="117"/>
      <c r="C508" s="117"/>
      <c r="D508" s="179"/>
      <c r="E508" s="180"/>
      <c r="F508" s="1690" t="s">
        <v>3</v>
      </c>
      <c r="G508" s="1691"/>
      <c r="H508" s="181">
        <v>10</v>
      </c>
      <c r="I508" s="177"/>
      <c r="J508" s="178"/>
      <c r="K508" s="157">
        <f t="shared" si="60"/>
        <v>100</v>
      </c>
      <c r="L508" s="157">
        <f t="shared" si="61"/>
        <v>200</v>
      </c>
      <c r="M508" s="157">
        <f t="shared" si="62"/>
        <v>300</v>
      </c>
      <c r="N508" s="157">
        <f t="shared" si="63"/>
        <v>400</v>
      </c>
      <c r="O508" s="1030"/>
      <c r="P508" s="967"/>
      <c r="Q508" s="586"/>
      <c r="R508" s="968"/>
      <c r="S508" s="589"/>
      <c r="T508" s="589"/>
      <c r="U508" s="589"/>
    </row>
    <row r="509" spans="1:21" ht="15" customHeight="1" x14ac:dyDescent="0.35">
      <c r="A509" s="116"/>
      <c r="B509" s="117"/>
      <c r="C509" s="117"/>
      <c r="D509" s="179"/>
      <c r="E509" s="180"/>
      <c r="F509" s="1692"/>
      <c r="G509" s="1693"/>
      <c r="H509" s="182"/>
      <c r="I509" s="183"/>
      <c r="J509" s="178"/>
      <c r="K509" s="157">
        <f t="shared" si="60"/>
        <v>100</v>
      </c>
      <c r="L509" s="157">
        <f t="shared" si="61"/>
        <v>200</v>
      </c>
      <c r="M509" s="157">
        <f t="shared" si="62"/>
        <v>300</v>
      </c>
      <c r="N509" s="157">
        <f t="shared" si="63"/>
        <v>400</v>
      </c>
      <c r="O509" s="1030"/>
      <c r="P509" s="967"/>
      <c r="Q509" s="586"/>
      <c r="R509" s="968"/>
      <c r="S509" s="589"/>
      <c r="T509" s="589"/>
      <c r="U509" s="589"/>
    </row>
    <row r="510" spans="1:21" x14ac:dyDescent="0.35">
      <c r="A510" s="184"/>
      <c r="B510" s="185"/>
      <c r="C510" s="185"/>
      <c r="D510" s="179"/>
      <c r="E510" s="180"/>
      <c r="F510" s="186"/>
      <c r="G510" s="186"/>
      <c r="H510" s="187"/>
      <c r="I510" s="177"/>
      <c r="J510" s="178"/>
      <c r="K510" s="157">
        <f t="shared" si="60"/>
        <v>100</v>
      </c>
      <c r="L510" s="157">
        <f t="shared" si="61"/>
        <v>200</v>
      </c>
      <c r="M510" s="157">
        <f t="shared" si="62"/>
        <v>300</v>
      </c>
      <c r="N510" s="157">
        <f t="shared" si="63"/>
        <v>400</v>
      </c>
      <c r="O510" s="1030"/>
      <c r="P510" s="967"/>
      <c r="Q510" s="586"/>
      <c r="R510" s="968"/>
      <c r="S510" s="589"/>
      <c r="T510" s="589"/>
      <c r="U510" s="589"/>
    </row>
    <row r="511" spans="1:21" ht="15.5" x14ac:dyDescent="0.35">
      <c r="A511" s="116"/>
      <c r="B511" s="117"/>
      <c r="C511" s="1713"/>
      <c r="D511" s="1714"/>
      <c r="E511" s="188"/>
      <c r="F511" s="1715" t="s">
        <v>5</v>
      </c>
      <c r="G511" s="1715"/>
      <c r="H511" s="189">
        <f>IF(ISNUMBER(H509),H509*H507,H508*H507)</f>
        <v>0</v>
      </c>
      <c r="I511" s="190"/>
      <c r="J511" s="191"/>
      <c r="K511" s="157">
        <f t="shared" si="60"/>
        <v>100</v>
      </c>
      <c r="L511" s="157">
        <f t="shared" si="61"/>
        <v>200</v>
      </c>
      <c r="M511" s="157">
        <f t="shared" si="62"/>
        <v>300</v>
      </c>
      <c r="N511" s="157">
        <f t="shared" si="63"/>
        <v>400</v>
      </c>
      <c r="O511" s="1030"/>
      <c r="P511" s="967"/>
      <c r="Q511" s="586"/>
      <c r="R511" s="968"/>
      <c r="S511" s="589"/>
      <c r="T511" s="589"/>
      <c r="U511" s="589"/>
    </row>
    <row r="512" spans="1:21" x14ac:dyDescent="0.35">
      <c r="K512" s="157">
        <f t="shared" si="60"/>
        <v>100</v>
      </c>
      <c r="L512" s="157">
        <f t="shared" si="61"/>
        <v>200</v>
      </c>
      <c r="M512" s="157">
        <f t="shared" si="62"/>
        <v>300</v>
      </c>
      <c r="N512" s="157">
        <f t="shared" si="63"/>
        <v>400</v>
      </c>
      <c r="O512" s="967"/>
      <c r="P512" s="967"/>
      <c r="Q512" s="586"/>
      <c r="R512" s="968"/>
      <c r="S512" s="589"/>
      <c r="T512" s="589"/>
      <c r="U512" s="589"/>
    </row>
    <row r="513" spans="1:21" x14ac:dyDescent="0.35">
      <c r="K513" s="157">
        <f t="shared" si="60"/>
        <v>100</v>
      </c>
      <c r="L513" s="157">
        <f t="shared" si="61"/>
        <v>200</v>
      </c>
      <c r="M513" s="157">
        <f t="shared" si="62"/>
        <v>300</v>
      </c>
      <c r="N513" s="157">
        <f t="shared" si="63"/>
        <v>400</v>
      </c>
      <c r="O513" s="967"/>
      <c r="P513" s="967"/>
      <c r="Q513" s="586"/>
      <c r="R513" s="968"/>
      <c r="S513" s="589"/>
      <c r="T513" s="589"/>
      <c r="U513" s="589"/>
    </row>
    <row r="514" spans="1:21" ht="24" customHeight="1" x14ac:dyDescent="0.35">
      <c r="A514" s="104"/>
      <c r="B514" s="862" t="s">
        <v>4751</v>
      </c>
      <c r="C514" s="863"/>
      <c r="D514" s="864"/>
      <c r="E514" s="864"/>
      <c r="F514" s="865" t="str">
        <f>IF($F$3=1,B514,"")</f>
        <v>Handlungsfeld B - Kommunikation</v>
      </c>
      <c r="G514" s="866"/>
      <c r="H514" s="864"/>
      <c r="I514" s="867"/>
      <c r="J514" s="864"/>
      <c r="K514" s="157">
        <f t="shared" si="60"/>
        <v>100</v>
      </c>
      <c r="L514" s="157">
        <f t="shared" si="61"/>
        <v>200</v>
      </c>
      <c r="M514" s="157">
        <f t="shared" si="62"/>
        <v>300</v>
      </c>
      <c r="N514" s="157">
        <f t="shared" si="63"/>
        <v>400</v>
      </c>
      <c r="O514" s="590"/>
      <c r="P514" s="584"/>
      <c r="Q514" s="586"/>
      <c r="R514" s="968"/>
      <c r="S514" s="589"/>
      <c r="T514" s="589"/>
      <c r="U514" s="589"/>
    </row>
    <row r="515" spans="1:21" ht="15.5" x14ac:dyDescent="0.35">
      <c r="A515" s="104"/>
      <c r="B515" s="107"/>
      <c r="C515" s="108"/>
      <c r="D515" s="104"/>
      <c r="E515" s="104"/>
      <c r="F515" s="109"/>
      <c r="G515" s="105"/>
      <c r="H515" s="104"/>
      <c r="I515" s="110"/>
      <c r="J515" s="104"/>
      <c r="K515" s="157">
        <f t="shared" si="60"/>
        <v>100</v>
      </c>
      <c r="L515" s="157">
        <f t="shared" si="61"/>
        <v>200</v>
      </c>
      <c r="M515" s="157">
        <f t="shared" si="62"/>
        <v>300</v>
      </c>
      <c r="N515" s="157">
        <f t="shared" si="63"/>
        <v>400</v>
      </c>
      <c r="O515" s="590"/>
      <c r="P515" s="584"/>
      <c r="Q515" s="586"/>
      <c r="R515" s="968"/>
      <c r="S515" s="589"/>
      <c r="T515" s="589"/>
      <c r="U515" s="589"/>
    </row>
    <row r="516" spans="1:21" ht="7.5" customHeight="1" x14ac:dyDescent="0.35">
      <c r="B516" s="35"/>
      <c r="E516" s="1"/>
      <c r="K516" s="157">
        <f t="shared" si="60"/>
        <v>100</v>
      </c>
      <c r="L516" s="157">
        <f t="shared" si="61"/>
        <v>200</v>
      </c>
      <c r="M516" s="157">
        <f t="shared" si="62"/>
        <v>300</v>
      </c>
      <c r="N516" s="157">
        <f t="shared" si="63"/>
        <v>400</v>
      </c>
      <c r="O516" s="967"/>
      <c r="P516" s="967"/>
      <c r="Q516" s="586"/>
      <c r="R516" s="968"/>
      <c r="S516" s="589"/>
      <c r="T516" s="589"/>
      <c r="U516" s="589"/>
    </row>
    <row r="517" spans="1:21" ht="15.5" x14ac:dyDescent="0.35">
      <c r="A517" s="208"/>
      <c r="B517" s="209" t="s">
        <v>4779</v>
      </c>
      <c r="C517" s="209" t="s">
        <v>2071</v>
      </c>
      <c r="D517" s="210"/>
      <c r="E517" s="210"/>
      <c r="F517" s="211" t="str">
        <f>IF($F$3=1,O517,"")</f>
        <v>B.1 Partizipation</v>
      </c>
      <c r="G517" s="212"/>
      <c r="H517" s="213"/>
      <c r="I517" s="214"/>
      <c r="J517" s="215"/>
      <c r="K517" s="157">
        <f t="shared" si="60"/>
        <v>100</v>
      </c>
      <c r="L517" s="157">
        <f t="shared" si="61"/>
        <v>200</v>
      </c>
      <c r="M517" s="157">
        <f t="shared" si="62"/>
        <v>300</v>
      </c>
      <c r="N517" s="157">
        <f t="shared" si="63"/>
        <v>400</v>
      </c>
      <c r="O517" s="967" t="str">
        <f>CONCATENATE(B517," ",C517)</f>
        <v>B.1 Partizipation</v>
      </c>
      <c r="P517" s="958"/>
      <c r="Q517" s="586"/>
      <c r="R517" s="968"/>
      <c r="S517" s="589"/>
      <c r="T517" s="589"/>
      <c r="U517" s="589"/>
    </row>
    <row r="518" spans="1:21" ht="15.5" x14ac:dyDescent="0.35">
      <c r="A518" s="208"/>
      <c r="B518" s="216"/>
      <c r="C518" s="216"/>
      <c r="D518" s="208"/>
      <c r="E518" s="208"/>
      <c r="F518" s="16"/>
      <c r="G518" s="217"/>
      <c r="H518" s="218"/>
      <c r="I518" s="219"/>
      <c r="J518" s="220"/>
      <c r="K518" s="157">
        <f t="shared" si="60"/>
        <v>100</v>
      </c>
      <c r="L518" s="157">
        <f t="shared" si="61"/>
        <v>200</v>
      </c>
      <c r="M518" s="157">
        <f t="shared" si="62"/>
        <v>300</v>
      </c>
      <c r="N518" s="157">
        <f t="shared" si="63"/>
        <v>400</v>
      </c>
      <c r="O518" s="967"/>
      <c r="P518" s="958"/>
      <c r="Q518" s="586"/>
      <c r="R518" s="968"/>
      <c r="S518" s="589"/>
      <c r="T518" s="589"/>
      <c r="U518" s="589"/>
    </row>
    <row r="519" spans="1:21" ht="7.5" customHeight="1" x14ac:dyDescent="0.35">
      <c r="A519" s="116"/>
      <c r="B519" s="117"/>
      <c r="C519" s="117"/>
      <c r="D519" s="116"/>
      <c r="E519" s="116"/>
      <c r="F519" s="118"/>
      <c r="G519" s="119"/>
      <c r="H519" s="116"/>
      <c r="I519" s="120"/>
      <c r="J519" s="121"/>
      <c r="K519" s="157">
        <f t="shared" si="60"/>
        <v>100</v>
      </c>
      <c r="L519" s="157">
        <f t="shared" si="61"/>
        <v>200</v>
      </c>
      <c r="M519" s="157">
        <f t="shared" si="62"/>
        <v>300</v>
      </c>
      <c r="N519" s="157">
        <f t="shared" si="63"/>
        <v>400</v>
      </c>
      <c r="O519" s="968"/>
      <c r="P519" s="968"/>
      <c r="Q519" s="586"/>
      <c r="R519" s="968"/>
      <c r="S519" s="589"/>
      <c r="T519" s="589"/>
      <c r="U519" s="589"/>
    </row>
    <row r="520" spans="1:21" ht="15.5" x14ac:dyDescent="0.35">
      <c r="A520" s="124"/>
      <c r="B520" s="125"/>
      <c r="C520" s="126" t="s">
        <v>4780</v>
      </c>
      <c r="D520" s="127" t="s">
        <v>5431</v>
      </c>
      <c r="E520" s="128"/>
      <c r="F520" s="129" t="str">
        <f>IF($F$3=1,O520,"")</f>
        <v>B.1.1 Stakeholderanalyse</v>
      </c>
      <c r="G520" s="130"/>
      <c r="H520" s="131"/>
      <c r="I520" s="520" t="s">
        <v>23</v>
      </c>
      <c r="J520" s="130"/>
      <c r="K520" s="157">
        <f t="shared" si="60"/>
        <v>100</v>
      </c>
      <c r="L520" s="157">
        <f t="shared" si="61"/>
        <v>200</v>
      </c>
      <c r="M520" s="157">
        <f t="shared" si="62"/>
        <v>300</v>
      </c>
      <c r="N520" s="157">
        <f t="shared" si="63"/>
        <v>400</v>
      </c>
      <c r="O520" s="967" t="str">
        <f>CONCATENATE(C520," ",D520)</f>
        <v>B.1.1 Stakeholderanalyse</v>
      </c>
      <c r="P520" s="966"/>
      <c r="Q520" s="586"/>
      <c r="R520" s="968"/>
      <c r="S520" s="589"/>
      <c r="T520" s="589"/>
      <c r="U520" s="589"/>
    </row>
    <row r="521" spans="1:21" x14ac:dyDescent="0.35">
      <c r="A521" s="124"/>
      <c r="B521" s="134"/>
      <c r="C521" s="135"/>
      <c r="D521" s="136"/>
      <c r="E521" s="136"/>
      <c r="F521" s="137"/>
      <c r="G521" s="138"/>
      <c r="H521" s="124"/>
      <c r="I521" s="139"/>
      <c r="J521" s="140"/>
      <c r="K521" s="157">
        <f t="shared" si="60"/>
        <v>100</v>
      </c>
      <c r="L521" s="157">
        <f t="shared" si="61"/>
        <v>200</v>
      </c>
      <c r="M521" s="157">
        <f t="shared" si="62"/>
        <v>300</v>
      </c>
      <c r="N521" s="157">
        <f t="shared" si="63"/>
        <v>400</v>
      </c>
      <c r="O521" s="968"/>
      <c r="P521" s="966"/>
      <c r="Q521" s="586"/>
      <c r="R521" s="968"/>
      <c r="S521" s="589"/>
      <c r="T521" s="589"/>
      <c r="U521" s="589"/>
    </row>
    <row r="522" spans="1:21" x14ac:dyDescent="0.35">
      <c r="A522" s="142"/>
      <c r="B522" s="35"/>
      <c r="C522" s="143"/>
      <c r="D522" s="1685" t="s">
        <v>18</v>
      </c>
      <c r="E522" s="1686"/>
      <c r="F522" s="144" t="s">
        <v>19</v>
      </c>
      <c r="G522" s="145" t="s">
        <v>0</v>
      </c>
      <c r="H522" s="146" t="s">
        <v>20</v>
      </c>
      <c r="I522" s="147" t="s">
        <v>1</v>
      </c>
      <c r="J522" s="147" t="s">
        <v>4375</v>
      </c>
      <c r="K522" s="157">
        <f t="shared" si="60"/>
        <v>100</v>
      </c>
      <c r="L522" s="157">
        <f t="shared" si="61"/>
        <v>200</v>
      </c>
      <c r="M522" s="157">
        <f t="shared" si="62"/>
        <v>300</v>
      </c>
      <c r="N522" s="157">
        <f t="shared" si="63"/>
        <v>400</v>
      </c>
      <c r="O522" s="587"/>
      <c r="P522" s="967"/>
      <c r="Q522" s="586"/>
      <c r="R522" s="968"/>
      <c r="S522" s="589"/>
      <c r="T522" s="589"/>
      <c r="U522" s="589"/>
    </row>
    <row r="523" spans="1:21" x14ac:dyDescent="0.35">
      <c r="A523" s="123"/>
      <c r="B523" s="35"/>
      <c r="C523" s="151"/>
      <c r="D523" s="1687" t="s">
        <v>5408</v>
      </c>
      <c r="E523" s="1688"/>
      <c r="F523" s="152" t="s">
        <v>4555</v>
      </c>
      <c r="G523" s="153">
        <f t="shared" ref="G523:G526" si="69">IF($H$2=1,S523,IF($H$2=2,T523,U523))</f>
        <v>0.25</v>
      </c>
      <c r="H523" s="154"/>
      <c r="I523" s="155"/>
      <c r="J523" s="156"/>
      <c r="K523" s="157">
        <f t="shared" si="60"/>
        <v>100</v>
      </c>
      <c r="L523" s="157">
        <f t="shared" si="61"/>
        <v>200</v>
      </c>
      <c r="M523" s="157">
        <f t="shared" si="62"/>
        <v>300</v>
      </c>
      <c r="N523" s="157">
        <f t="shared" si="63"/>
        <v>400</v>
      </c>
      <c r="O523" s="967" t="str">
        <f>CONCATENATE(O520," | ",F523)</f>
        <v>B.1.1 Stakeholderanalyse | Alle relevanten Stakeholder sind definiert</v>
      </c>
      <c r="P523" s="967"/>
      <c r="Q523" s="586"/>
      <c r="R523" s="968"/>
      <c r="S523" s="588">
        <v>0</v>
      </c>
      <c r="T523" s="588">
        <v>0.25</v>
      </c>
      <c r="U523" s="588">
        <v>0.25</v>
      </c>
    </row>
    <row r="524" spans="1:21" ht="24" x14ac:dyDescent="0.35">
      <c r="A524" s="123"/>
      <c r="B524" s="35"/>
      <c r="C524" s="151"/>
      <c r="D524" s="1687"/>
      <c r="E524" s="1688"/>
      <c r="F524" s="152" t="s">
        <v>4556</v>
      </c>
      <c r="G524" s="153">
        <f t="shared" si="69"/>
        <v>0.25</v>
      </c>
      <c r="H524" s="154"/>
      <c r="I524" s="158"/>
      <c r="J524" s="156"/>
      <c r="K524" s="157">
        <f t="shared" si="60"/>
        <v>100</v>
      </c>
      <c r="L524" s="157">
        <f t="shared" si="61"/>
        <v>200</v>
      </c>
      <c r="M524" s="157">
        <f t="shared" si="62"/>
        <v>300</v>
      </c>
      <c r="N524" s="157">
        <f t="shared" si="63"/>
        <v>400</v>
      </c>
      <c r="O524" s="967" t="str">
        <f>CONCATENATE(O520," | ",F524)</f>
        <v>B.1.1 Stakeholderanalyse | Die angemessene Einbeziehung für jede Stakeholder-Gruppe ist festgelegt</v>
      </c>
      <c r="P524" s="967"/>
      <c r="Q524" s="586"/>
      <c r="R524" s="968"/>
      <c r="S524" s="588">
        <v>0</v>
      </c>
      <c r="T524" s="588">
        <v>0.25</v>
      </c>
      <c r="U524" s="588">
        <v>0.25</v>
      </c>
    </row>
    <row r="525" spans="1:21" ht="24" x14ac:dyDescent="0.35">
      <c r="A525" s="123"/>
      <c r="B525" s="35"/>
      <c r="C525" s="151"/>
      <c r="D525" s="1687"/>
      <c r="E525" s="1688"/>
      <c r="F525" s="152" t="s">
        <v>4557</v>
      </c>
      <c r="G525" s="153">
        <f t="shared" si="69"/>
        <v>0.25</v>
      </c>
      <c r="H525" s="154"/>
      <c r="I525" s="158"/>
      <c r="J525" s="156"/>
      <c r="K525" s="157">
        <f t="shared" si="60"/>
        <v>100</v>
      </c>
      <c r="L525" s="157">
        <f t="shared" si="61"/>
        <v>200</v>
      </c>
      <c r="M525" s="157">
        <f t="shared" si="62"/>
        <v>300</v>
      </c>
      <c r="N525" s="157">
        <f t="shared" si="63"/>
        <v>400</v>
      </c>
      <c r="O525" s="967" t="str">
        <f>CONCATENATE(O520," | ",F525)</f>
        <v>B.1.1 Stakeholderanalyse | Die Stakeholder sind über Form, Art und Zeitpunkt der Einbeziehung in die Entscheidungsprozesse informiert</v>
      </c>
      <c r="P525" s="967"/>
      <c r="Q525" s="586"/>
      <c r="R525" s="968"/>
      <c r="S525" s="588">
        <v>0</v>
      </c>
      <c r="T525" s="588">
        <v>0.25</v>
      </c>
      <c r="U525" s="588">
        <v>0.25</v>
      </c>
    </row>
    <row r="526" spans="1:21" ht="48" x14ac:dyDescent="0.35">
      <c r="A526" s="123">
        <v>3.2</v>
      </c>
      <c r="B526" s="35"/>
      <c r="C526" s="151"/>
      <c r="D526" s="1687"/>
      <c r="E526" s="1688"/>
      <c r="F526" s="152" t="s">
        <v>4558</v>
      </c>
      <c r="G526" s="153">
        <f t="shared" si="69"/>
        <v>0.25</v>
      </c>
      <c r="H526" s="154"/>
      <c r="I526" s="158"/>
      <c r="J526" s="156"/>
      <c r="K526" s="157">
        <f t="shared" si="60"/>
        <v>100</v>
      </c>
      <c r="L526" s="157">
        <f t="shared" si="61"/>
        <v>200</v>
      </c>
      <c r="M526" s="157">
        <f t="shared" si="62"/>
        <v>300</v>
      </c>
      <c r="N526" s="157">
        <f t="shared" si="63"/>
        <v>400</v>
      </c>
      <c r="O526" s="967" t="str">
        <f>CONCATENATE(O520," | ",F526)</f>
        <v>B.1.1 Stakeholderanalyse | Regelmäßig findet eine Überprüfung der Stakeholderanalyse statt. Dabei sind die relevanten Stakeholder entsprechend der Projektphase zu identifizieren und die Auswahl anzupassen</v>
      </c>
      <c r="P526" s="967"/>
      <c r="Q526" s="586"/>
      <c r="R526" s="968"/>
      <c r="S526" s="588">
        <v>0</v>
      </c>
      <c r="T526" s="588">
        <v>0.25</v>
      </c>
      <c r="U526" s="588">
        <v>0.25</v>
      </c>
    </row>
    <row r="527" spans="1:21" x14ac:dyDescent="0.35">
      <c r="A527" s="123"/>
      <c r="B527" s="35"/>
      <c r="C527" s="151"/>
      <c r="D527" s="1687"/>
      <c r="E527" s="1688"/>
      <c r="F527" s="159"/>
      <c r="G527" s="160"/>
      <c r="H527" s="161"/>
      <c r="I527" s="166"/>
      <c r="J527" s="164"/>
      <c r="K527" s="157">
        <f t="shared" si="60"/>
        <v>100</v>
      </c>
      <c r="L527" s="157">
        <f t="shared" si="61"/>
        <v>200</v>
      </c>
      <c r="M527" s="157">
        <f t="shared" si="62"/>
        <v>300</v>
      </c>
      <c r="N527" s="157">
        <f t="shared" si="63"/>
        <v>400</v>
      </c>
      <c r="O527" s="967"/>
      <c r="P527" s="967"/>
      <c r="Q527" s="586"/>
      <c r="R527" s="968"/>
      <c r="S527" s="589"/>
      <c r="T527" s="589"/>
      <c r="U527" s="589"/>
    </row>
    <row r="528" spans="1:21" x14ac:dyDescent="0.35">
      <c r="A528" s="116"/>
      <c r="B528" s="35"/>
      <c r="C528" s="117"/>
      <c r="D528" s="1687"/>
      <c r="E528" s="1688"/>
      <c r="F528" s="159"/>
      <c r="G528" s="160"/>
      <c r="H528" s="161"/>
      <c r="I528" s="162"/>
      <c r="J528" s="164"/>
      <c r="K528" s="157">
        <f t="shared" si="60"/>
        <v>100</v>
      </c>
      <c r="L528" s="157">
        <f t="shared" si="61"/>
        <v>200</v>
      </c>
      <c r="M528" s="157">
        <f t="shared" si="62"/>
        <v>300</v>
      </c>
      <c r="N528" s="157">
        <f t="shared" si="63"/>
        <v>400</v>
      </c>
      <c r="O528" s="959"/>
      <c r="P528" s="967"/>
      <c r="Q528" s="586"/>
      <c r="R528" s="968"/>
      <c r="S528" s="589"/>
      <c r="T528" s="589"/>
      <c r="U528" s="589"/>
    </row>
    <row r="529" spans="1:21" x14ac:dyDescent="0.35">
      <c r="A529" s="116"/>
      <c r="B529" s="35"/>
      <c r="C529" s="117"/>
      <c r="D529" s="1687"/>
      <c r="E529" s="1688"/>
      <c r="F529" s="159"/>
      <c r="G529" s="160"/>
      <c r="H529" s="161"/>
      <c r="I529" s="162"/>
      <c r="J529" s="164"/>
      <c r="K529" s="157">
        <f t="shared" si="60"/>
        <v>100</v>
      </c>
      <c r="L529" s="157">
        <f t="shared" si="61"/>
        <v>200</v>
      </c>
      <c r="M529" s="157">
        <f t="shared" si="62"/>
        <v>300</v>
      </c>
      <c r="N529" s="157">
        <f t="shared" si="63"/>
        <v>400</v>
      </c>
      <c r="O529" s="959"/>
      <c r="P529" s="967"/>
      <c r="Q529" s="586"/>
      <c r="R529" s="968"/>
      <c r="S529" s="589"/>
      <c r="T529" s="589"/>
      <c r="U529" s="589"/>
    </row>
    <row r="530" spans="1:21" x14ac:dyDescent="0.35">
      <c r="A530" s="116"/>
      <c r="B530" s="35"/>
      <c r="C530" s="117"/>
      <c r="D530" s="1687"/>
      <c r="E530" s="1688"/>
      <c r="F530" s="159"/>
      <c r="G530" s="160"/>
      <c r="H530" s="161"/>
      <c r="I530" s="162"/>
      <c r="J530" s="164"/>
      <c r="K530" s="157">
        <f t="shared" si="60"/>
        <v>100</v>
      </c>
      <c r="L530" s="157">
        <f t="shared" si="61"/>
        <v>200</v>
      </c>
      <c r="M530" s="157">
        <f t="shared" si="62"/>
        <v>300</v>
      </c>
      <c r="N530" s="157">
        <f t="shared" si="63"/>
        <v>400</v>
      </c>
      <c r="O530" s="959"/>
      <c r="P530" s="967"/>
      <c r="Q530" s="586"/>
      <c r="R530" s="968"/>
      <c r="S530" s="589"/>
      <c r="T530" s="589"/>
      <c r="U530" s="589"/>
    </row>
    <row r="531" spans="1:21" x14ac:dyDescent="0.35">
      <c r="A531" s="123"/>
      <c r="B531" s="35"/>
      <c r="C531" s="151"/>
      <c r="D531" s="1687"/>
      <c r="E531" s="1688"/>
      <c r="F531" s="165"/>
      <c r="G531" s="160"/>
      <c r="H531" s="161"/>
      <c r="I531" s="166"/>
      <c r="J531" s="167"/>
      <c r="K531" s="157">
        <f t="shared" si="60"/>
        <v>100</v>
      </c>
      <c r="L531" s="157">
        <f t="shared" si="61"/>
        <v>200</v>
      </c>
      <c r="M531" s="157">
        <f t="shared" si="62"/>
        <v>300</v>
      </c>
      <c r="N531" s="157">
        <f t="shared" si="63"/>
        <v>400</v>
      </c>
      <c r="O531" s="959"/>
      <c r="P531" s="967"/>
      <c r="Q531" s="586"/>
      <c r="R531" s="968"/>
      <c r="S531" s="589"/>
      <c r="T531" s="589"/>
      <c r="U531" s="589"/>
    </row>
    <row r="532" spans="1:21" x14ac:dyDescent="0.35">
      <c r="A532" s="116"/>
      <c r="B532" s="35"/>
      <c r="C532" s="117"/>
      <c r="D532" s="1687"/>
      <c r="E532" s="1688"/>
      <c r="F532" s="159"/>
      <c r="G532" s="160"/>
      <c r="H532" s="168"/>
      <c r="I532" s="162"/>
      <c r="J532" s="164"/>
      <c r="K532" s="157">
        <f t="shared" si="60"/>
        <v>100</v>
      </c>
      <c r="L532" s="157">
        <f t="shared" si="61"/>
        <v>200</v>
      </c>
      <c r="M532" s="157">
        <f t="shared" si="62"/>
        <v>300</v>
      </c>
      <c r="N532" s="157">
        <f t="shared" si="63"/>
        <v>400</v>
      </c>
      <c r="O532" s="959"/>
      <c r="P532" s="967"/>
      <c r="Q532" s="586"/>
      <c r="R532" s="968"/>
      <c r="S532" s="589"/>
      <c r="T532" s="589"/>
      <c r="U532" s="589"/>
    </row>
    <row r="533" spans="1:21" x14ac:dyDescent="0.35">
      <c r="A533" s="116"/>
      <c r="B533" s="117"/>
      <c r="C533" s="117"/>
      <c r="D533" s="1687"/>
      <c r="E533" s="1688"/>
      <c r="F533" s="159"/>
      <c r="G533" s="160"/>
      <c r="H533" s="168"/>
      <c r="I533" s="162"/>
      <c r="J533" s="164"/>
      <c r="K533" s="157">
        <f t="shared" si="60"/>
        <v>100</v>
      </c>
      <c r="L533" s="157">
        <f t="shared" si="61"/>
        <v>200</v>
      </c>
      <c r="M533" s="157">
        <f t="shared" si="62"/>
        <v>300</v>
      </c>
      <c r="N533" s="157">
        <f t="shared" si="63"/>
        <v>400</v>
      </c>
      <c r="O533" s="959"/>
      <c r="P533" s="967"/>
      <c r="Q533" s="586"/>
      <c r="R533" s="968"/>
      <c r="S533" s="589"/>
      <c r="T533" s="589"/>
      <c r="U533" s="589"/>
    </row>
    <row r="534" spans="1:21" x14ac:dyDescent="0.35">
      <c r="A534" s="116"/>
      <c r="B534" s="117"/>
      <c r="C534" s="117"/>
      <c r="D534" s="1687"/>
      <c r="E534" s="1688"/>
      <c r="F534" s="169"/>
      <c r="G534" s="170"/>
      <c r="H534" s="171"/>
      <c r="I534" s="172"/>
      <c r="J534" s="173"/>
      <c r="K534" s="157">
        <f t="shared" si="60"/>
        <v>100</v>
      </c>
      <c r="L534" s="157">
        <f t="shared" si="61"/>
        <v>200</v>
      </c>
      <c r="M534" s="157">
        <f t="shared" si="62"/>
        <v>300</v>
      </c>
      <c r="N534" s="157">
        <f t="shared" si="63"/>
        <v>400</v>
      </c>
      <c r="O534" s="959"/>
      <c r="P534" s="967"/>
      <c r="Q534" s="586"/>
      <c r="R534" s="968"/>
      <c r="S534" s="589"/>
      <c r="T534" s="589"/>
      <c r="U534" s="589"/>
    </row>
    <row r="535" spans="1:21" ht="28.5" customHeight="1" x14ac:dyDescent="0.35">
      <c r="A535" s="116"/>
      <c r="B535" s="117"/>
      <c r="C535" s="117"/>
      <c r="D535" s="174"/>
      <c r="E535" s="175"/>
      <c r="F535" s="1689" t="s">
        <v>2</v>
      </c>
      <c r="G535" s="1689"/>
      <c r="H535" s="176">
        <f>IF(O535&gt;1,"Zielerreichung übersteigt 100%!",O535)</f>
        <v>0</v>
      </c>
      <c r="I535" s="177"/>
      <c r="J535" s="178"/>
      <c r="K535" s="157">
        <f t="shared" si="60"/>
        <v>100</v>
      </c>
      <c r="L535" s="157">
        <f t="shared" si="61"/>
        <v>200</v>
      </c>
      <c r="M535" s="157">
        <f t="shared" si="62"/>
        <v>300</v>
      </c>
      <c r="N535" s="157">
        <f t="shared" si="63"/>
        <v>400</v>
      </c>
      <c r="O535" s="959">
        <f>SUM(H523:H534)</f>
        <v>0</v>
      </c>
      <c r="P535" s="967"/>
      <c r="Q535" s="586"/>
      <c r="R535" s="968"/>
      <c r="S535" s="589"/>
      <c r="T535" s="589"/>
      <c r="U535" s="589"/>
    </row>
    <row r="536" spans="1:21" x14ac:dyDescent="0.35">
      <c r="A536" s="116"/>
      <c r="B536" s="117"/>
      <c r="C536" s="117"/>
      <c r="D536" s="179"/>
      <c r="E536" s="180"/>
      <c r="F536" s="1690" t="s">
        <v>3</v>
      </c>
      <c r="G536" s="1691"/>
      <c r="H536" s="181">
        <v>5</v>
      </c>
      <c r="I536" s="177"/>
      <c r="J536" s="178"/>
      <c r="K536" s="157">
        <f t="shared" si="60"/>
        <v>100</v>
      </c>
      <c r="L536" s="157">
        <f t="shared" si="61"/>
        <v>200</v>
      </c>
      <c r="M536" s="157">
        <f t="shared" si="62"/>
        <v>300</v>
      </c>
      <c r="N536" s="157">
        <f t="shared" si="63"/>
        <v>400</v>
      </c>
      <c r="O536" s="1030"/>
      <c r="P536" s="967"/>
      <c r="Q536" s="586"/>
      <c r="R536" s="968"/>
      <c r="S536" s="589"/>
      <c r="T536" s="589"/>
      <c r="U536" s="589"/>
    </row>
    <row r="537" spans="1:21" x14ac:dyDescent="0.35">
      <c r="A537" s="116"/>
      <c r="B537" s="117"/>
      <c r="C537" s="117"/>
      <c r="D537" s="179"/>
      <c r="E537" s="180"/>
      <c r="F537" s="1700" t="s">
        <v>5494</v>
      </c>
      <c r="G537" s="1701"/>
      <c r="H537" s="1089" t="str">
        <f>IF(H2=1,0,"")</f>
        <v/>
      </c>
      <c r="I537" s="183"/>
      <c r="J537" s="178"/>
      <c r="K537" s="157">
        <f t="shared" si="60"/>
        <v>100</v>
      </c>
      <c r="L537" s="157">
        <f t="shared" si="61"/>
        <v>200</v>
      </c>
      <c r="M537" s="157">
        <f t="shared" si="62"/>
        <v>300</v>
      </c>
      <c r="N537" s="157">
        <f t="shared" si="63"/>
        <v>400</v>
      </c>
      <c r="O537" s="1030"/>
      <c r="P537" s="967"/>
      <c r="Q537" s="586"/>
      <c r="R537" s="968"/>
      <c r="S537" s="589"/>
      <c r="T537" s="589"/>
      <c r="U537" s="589"/>
    </row>
    <row r="538" spans="1:21" x14ac:dyDescent="0.35">
      <c r="A538" s="184"/>
      <c r="B538" s="185"/>
      <c r="C538" s="185"/>
      <c r="D538" s="179"/>
      <c r="E538" s="180"/>
      <c r="F538" s="186"/>
      <c r="G538" s="186"/>
      <c r="H538" s="187"/>
      <c r="I538" s="177"/>
      <c r="J538" s="178"/>
      <c r="K538" s="157">
        <f t="shared" si="60"/>
        <v>100</v>
      </c>
      <c r="L538" s="157">
        <f t="shared" si="61"/>
        <v>200</v>
      </c>
      <c r="M538" s="157">
        <f t="shared" si="62"/>
        <v>300</v>
      </c>
      <c r="N538" s="157">
        <f t="shared" si="63"/>
        <v>400</v>
      </c>
      <c r="O538" s="1030"/>
      <c r="P538" s="967"/>
      <c r="Q538" s="586"/>
      <c r="R538" s="968"/>
      <c r="S538" s="589"/>
      <c r="T538" s="589"/>
      <c r="U538" s="589"/>
    </row>
    <row r="539" spans="1:21" ht="15.5" x14ac:dyDescent="0.35">
      <c r="A539" s="116"/>
      <c r="B539" s="117"/>
      <c r="C539" s="1711"/>
      <c r="D539" s="1712"/>
      <c r="E539" s="221"/>
      <c r="F539" s="1710" t="s">
        <v>5</v>
      </c>
      <c r="G539" s="1710"/>
      <c r="H539" s="222">
        <f>IF(ISNUMBER(H537),H537*H535,H536*H535)</f>
        <v>0</v>
      </c>
      <c r="I539" s="223"/>
      <c r="J539" s="224"/>
      <c r="K539" s="157">
        <f t="shared" si="60"/>
        <v>100</v>
      </c>
      <c r="L539" s="157">
        <f t="shared" si="61"/>
        <v>200</v>
      </c>
      <c r="M539" s="157">
        <f t="shared" si="62"/>
        <v>300</v>
      </c>
      <c r="N539" s="157">
        <f t="shared" si="63"/>
        <v>400</v>
      </c>
      <c r="O539" s="1030"/>
      <c r="P539" s="967"/>
      <c r="Q539" s="586"/>
      <c r="R539" s="968"/>
      <c r="S539" s="589"/>
      <c r="T539" s="589"/>
      <c r="U539" s="589"/>
    </row>
    <row r="540" spans="1:21" x14ac:dyDescent="0.35">
      <c r="K540" s="157">
        <f t="shared" si="60"/>
        <v>100</v>
      </c>
      <c r="L540" s="157">
        <f t="shared" si="61"/>
        <v>200</v>
      </c>
      <c r="M540" s="157">
        <f t="shared" si="62"/>
        <v>300</v>
      </c>
      <c r="N540" s="157">
        <f t="shared" si="63"/>
        <v>400</v>
      </c>
      <c r="O540" s="967"/>
      <c r="P540" s="967"/>
      <c r="Q540" s="586"/>
      <c r="R540" s="968"/>
      <c r="S540" s="589"/>
      <c r="T540" s="589"/>
      <c r="U540" s="589"/>
    </row>
    <row r="541" spans="1:21" ht="7.5" customHeight="1" x14ac:dyDescent="0.35">
      <c r="A541" s="116"/>
      <c r="B541" s="117"/>
      <c r="C541" s="117"/>
      <c r="D541" s="116"/>
      <c r="E541" s="116"/>
      <c r="F541" s="118"/>
      <c r="G541" s="119"/>
      <c r="H541" s="116"/>
      <c r="I541" s="120"/>
      <c r="J541" s="121"/>
      <c r="K541" s="157">
        <f t="shared" si="60"/>
        <v>100</v>
      </c>
      <c r="L541" s="157">
        <f t="shared" si="61"/>
        <v>200</v>
      </c>
      <c r="M541" s="157">
        <f t="shared" si="62"/>
        <v>300</v>
      </c>
      <c r="N541" s="157">
        <f t="shared" si="63"/>
        <v>400</v>
      </c>
      <c r="O541" s="968"/>
      <c r="P541" s="968"/>
      <c r="Q541" s="586"/>
      <c r="R541" s="968"/>
      <c r="S541" s="589"/>
      <c r="T541" s="589"/>
      <c r="U541" s="589"/>
    </row>
    <row r="542" spans="1:21" ht="15.5" x14ac:dyDescent="0.35">
      <c r="A542" s="124"/>
      <c r="B542" s="125"/>
      <c r="C542" s="126" t="s">
        <v>4781</v>
      </c>
      <c r="D542" s="127" t="s">
        <v>5432</v>
      </c>
      <c r="E542" s="128"/>
      <c r="F542" s="129" t="str">
        <f>IF($F$3=1,O542,"")</f>
        <v>B.1.2 Dialog, Austausch - Struktur</v>
      </c>
      <c r="G542" s="130"/>
      <c r="H542" s="131"/>
      <c r="I542" s="520" t="s">
        <v>23</v>
      </c>
      <c r="J542" s="130"/>
      <c r="K542" s="157">
        <f t="shared" si="60"/>
        <v>100</v>
      </c>
      <c r="L542" s="157">
        <f t="shared" si="61"/>
        <v>200</v>
      </c>
      <c r="M542" s="157">
        <f t="shared" si="62"/>
        <v>300</v>
      </c>
      <c r="N542" s="157">
        <f t="shared" si="63"/>
        <v>400</v>
      </c>
      <c r="O542" s="967" t="str">
        <f>CONCATENATE(C542," ",D542)</f>
        <v>B.1.2 Dialog, Austausch - Struktur</v>
      </c>
      <c r="P542" s="966"/>
      <c r="Q542" s="586"/>
      <c r="R542" s="968"/>
      <c r="S542" s="589"/>
      <c r="T542" s="589"/>
      <c r="U542" s="589"/>
    </row>
    <row r="543" spans="1:21" x14ac:dyDescent="0.35">
      <c r="A543" s="124"/>
      <c r="B543" s="134"/>
      <c r="C543" s="135"/>
      <c r="D543" s="136"/>
      <c r="E543" s="136"/>
      <c r="F543" s="137"/>
      <c r="G543" s="138"/>
      <c r="H543" s="124"/>
      <c r="I543" s="139"/>
      <c r="J543" s="140"/>
      <c r="K543" s="157">
        <f t="shared" si="60"/>
        <v>100</v>
      </c>
      <c r="L543" s="157">
        <f t="shared" si="61"/>
        <v>200</v>
      </c>
      <c r="M543" s="157">
        <f t="shared" si="62"/>
        <v>300</v>
      </c>
      <c r="N543" s="157">
        <f t="shared" si="63"/>
        <v>400</v>
      </c>
      <c r="O543" s="968"/>
      <c r="P543" s="966"/>
      <c r="Q543" s="586"/>
      <c r="R543" s="968"/>
      <c r="S543" s="589"/>
      <c r="T543" s="589"/>
      <c r="U543" s="589"/>
    </row>
    <row r="544" spans="1:21" x14ac:dyDescent="0.35">
      <c r="A544" s="142"/>
      <c r="B544" s="35"/>
      <c r="C544" s="143"/>
      <c r="D544" s="1685" t="s">
        <v>18</v>
      </c>
      <c r="E544" s="1686"/>
      <c r="F544" s="144" t="s">
        <v>19</v>
      </c>
      <c r="G544" s="145" t="s">
        <v>0</v>
      </c>
      <c r="H544" s="146" t="s">
        <v>20</v>
      </c>
      <c r="I544" s="147" t="s">
        <v>1</v>
      </c>
      <c r="J544" s="147" t="s">
        <v>4375</v>
      </c>
      <c r="K544" s="157">
        <f t="shared" si="60"/>
        <v>100</v>
      </c>
      <c r="L544" s="157">
        <f t="shared" si="61"/>
        <v>200</v>
      </c>
      <c r="M544" s="157">
        <f t="shared" si="62"/>
        <v>300</v>
      </c>
      <c r="N544" s="157">
        <f t="shared" si="63"/>
        <v>400</v>
      </c>
      <c r="O544" s="587"/>
      <c r="P544" s="967"/>
      <c r="Q544" s="586"/>
      <c r="R544" s="968"/>
      <c r="S544" s="589"/>
      <c r="T544" s="589"/>
      <c r="U544" s="589"/>
    </row>
    <row r="545" spans="1:21" ht="48" x14ac:dyDescent="0.35">
      <c r="A545" s="123"/>
      <c r="B545" s="35"/>
      <c r="C545" s="151"/>
      <c r="D545" s="1687" t="s">
        <v>4666</v>
      </c>
      <c r="E545" s="1688"/>
      <c r="F545" s="152" t="s">
        <v>4559</v>
      </c>
      <c r="G545" s="153">
        <f t="shared" ref="G545:G548" si="70">IF($H$2=1,S545,IF($H$2=2,T545,U545))</f>
        <v>0.25</v>
      </c>
      <c r="H545" s="154"/>
      <c r="I545" s="155"/>
      <c r="J545" s="156"/>
      <c r="K545" s="157">
        <f t="shared" si="60"/>
        <v>100</v>
      </c>
      <c r="L545" s="157">
        <f t="shared" si="61"/>
        <v>200</v>
      </c>
      <c r="M545" s="157">
        <f t="shared" si="62"/>
        <v>300</v>
      </c>
      <c r="N545" s="157">
        <f t="shared" si="63"/>
        <v>400</v>
      </c>
      <c r="O545" s="967" t="str">
        <f>CONCATENATE(O542," | ",F545)</f>
        <v>B.1.2 Dialog, Austausch - Struktur | Geeignete Strukturen, Situationen und Ressourcen für den Austausch sind vorhanden bzw. im Prozess eingeplant (die Beurteilung berücksichtigt die Wichtigkeit der teilnehmenden Stakeholder)</v>
      </c>
      <c r="P545" s="967"/>
      <c r="Q545" s="586"/>
      <c r="R545" s="968"/>
      <c r="S545" s="594">
        <v>0</v>
      </c>
      <c r="T545" s="588">
        <v>0.12</v>
      </c>
      <c r="U545" s="588">
        <v>0.25</v>
      </c>
    </row>
    <row r="546" spans="1:21" ht="36" x14ac:dyDescent="0.35">
      <c r="A546" s="123"/>
      <c r="B546" s="35"/>
      <c r="C546" s="151"/>
      <c r="D546" s="1687"/>
      <c r="E546" s="1688"/>
      <c r="F546" s="152" t="s">
        <v>2072</v>
      </c>
      <c r="G546" s="153">
        <f t="shared" si="70"/>
        <v>0.25</v>
      </c>
      <c r="H546" s="154"/>
      <c r="I546" s="158"/>
      <c r="J546" s="156"/>
      <c r="K546" s="157">
        <f t="shared" si="60"/>
        <v>100</v>
      </c>
      <c r="L546" s="157">
        <f t="shared" si="61"/>
        <v>200</v>
      </c>
      <c r="M546" s="157">
        <f t="shared" si="62"/>
        <v>300</v>
      </c>
      <c r="N546" s="157">
        <f t="shared" si="63"/>
        <v>400</v>
      </c>
      <c r="O546" s="967" t="str">
        <f>CONCATENATE(O542," | ",F546)</f>
        <v>B.1.2 Dialog, Austausch - Struktur | Es gibt verschiedene Möglichkeiten für den Austausch (direkte Feedback, (Rück-) Fragemöglichkeiten, Informationsveranstaltungen)</v>
      </c>
      <c r="P546" s="967"/>
      <c r="Q546" s="586"/>
      <c r="R546" s="968"/>
      <c r="S546" s="594">
        <v>0</v>
      </c>
      <c r="T546" s="588">
        <v>0.12</v>
      </c>
      <c r="U546" s="588">
        <v>0.25</v>
      </c>
    </row>
    <row r="547" spans="1:21" ht="24" x14ac:dyDescent="0.35">
      <c r="A547" s="123"/>
      <c r="B547" s="35"/>
      <c r="C547" s="151"/>
      <c r="D547" s="1687"/>
      <c r="E547" s="1688"/>
      <c r="F547" s="152" t="s">
        <v>2073</v>
      </c>
      <c r="G547" s="153">
        <f t="shared" si="70"/>
        <v>0.25</v>
      </c>
      <c r="H547" s="154"/>
      <c r="I547" s="158"/>
      <c r="J547" s="156"/>
      <c r="K547" s="157">
        <f t="shared" si="60"/>
        <v>100</v>
      </c>
      <c r="L547" s="157">
        <f t="shared" si="61"/>
        <v>200</v>
      </c>
      <c r="M547" s="157">
        <f t="shared" si="62"/>
        <v>300</v>
      </c>
      <c r="N547" s="157">
        <f t="shared" si="63"/>
        <v>400</v>
      </c>
      <c r="O547" s="967" t="str">
        <f>CONCATENATE(O542," | ",F547)</f>
        <v>B.1.2 Dialog, Austausch - Struktur | Die Strukturen werden regelmäßig auf ihre Zweckmäßigkeit überprüft und ggf. angepasst</v>
      </c>
      <c r="P547" s="967"/>
      <c r="Q547" s="586"/>
      <c r="R547" s="968"/>
      <c r="S547" s="594">
        <v>0</v>
      </c>
      <c r="T547" s="588">
        <v>0.13</v>
      </c>
      <c r="U547" s="588">
        <v>0.25</v>
      </c>
    </row>
    <row r="548" spans="1:21" x14ac:dyDescent="0.35">
      <c r="A548" s="123">
        <v>3.2</v>
      </c>
      <c r="B548" s="35"/>
      <c r="C548" s="151"/>
      <c r="D548" s="1687"/>
      <c r="E548" s="1688"/>
      <c r="F548" s="152" t="s">
        <v>2074</v>
      </c>
      <c r="G548" s="153">
        <f t="shared" si="70"/>
        <v>0.25</v>
      </c>
      <c r="H548" s="154"/>
      <c r="I548" s="158"/>
      <c r="J548" s="156"/>
      <c r="K548" s="157">
        <f t="shared" si="60"/>
        <v>100</v>
      </c>
      <c r="L548" s="157">
        <f t="shared" si="61"/>
        <v>200</v>
      </c>
      <c r="M548" s="157">
        <f t="shared" si="62"/>
        <v>300</v>
      </c>
      <c r="N548" s="157">
        <f t="shared" si="63"/>
        <v>400</v>
      </c>
      <c r="O548" s="967" t="str">
        <f>CONCATENATE(O542," | ",F548)</f>
        <v>B.1.2 Dialog, Austausch - Struktur | Die Strukturen werden von der Zielgruppe angenommen</v>
      </c>
      <c r="P548" s="967"/>
      <c r="Q548" s="586"/>
      <c r="R548" s="968"/>
      <c r="S548" s="594">
        <v>0</v>
      </c>
      <c r="T548" s="588">
        <v>0.13</v>
      </c>
      <c r="U548" s="588">
        <v>0.25</v>
      </c>
    </row>
    <row r="549" spans="1:21" x14ac:dyDescent="0.35">
      <c r="A549" s="123"/>
      <c r="B549" s="35"/>
      <c r="C549" s="151"/>
      <c r="D549" s="1687"/>
      <c r="E549" s="1688"/>
      <c r="F549" s="159"/>
      <c r="G549" s="160"/>
      <c r="H549" s="161"/>
      <c r="I549" s="166"/>
      <c r="J549" s="164"/>
      <c r="K549" s="157">
        <f t="shared" si="60"/>
        <v>100</v>
      </c>
      <c r="L549" s="157">
        <f t="shared" si="61"/>
        <v>200</v>
      </c>
      <c r="M549" s="157">
        <f t="shared" si="62"/>
        <v>300</v>
      </c>
      <c r="N549" s="157">
        <f t="shared" si="63"/>
        <v>400</v>
      </c>
      <c r="O549" s="967"/>
      <c r="P549" s="967"/>
      <c r="Q549" s="586"/>
      <c r="R549" s="968"/>
      <c r="S549" s="1087"/>
      <c r="T549" s="1028"/>
      <c r="U549" s="589"/>
    </row>
    <row r="550" spans="1:21" x14ac:dyDescent="0.35">
      <c r="A550" s="116"/>
      <c r="B550" s="35"/>
      <c r="C550" s="117"/>
      <c r="D550" s="1687"/>
      <c r="E550" s="1688"/>
      <c r="F550" s="593" t="str">
        <f>IF($G$2=1,R550,"Weiteres Kriterium in der Nutzung")</f>
        <v>Weiteres Kriterium in der Nutzung</v>
      </c>
      <c r="G550" s="153">
        <f t="shared" ref="G550:G551" si="71">IF($H$2=1,S550,IF($H$2=2,T550,U550))</f>
        <v>0</v>
      </c>
      <c r="H550" s="154"/>
      <c r="I550" s="158"/>
      <c r="J550" s="156"/>
      <c r="K550" s="157">
        <f t="shared" si="60"/>
        <v>100</v>
      </c>
      <c r="L550" s="157">
        <f t="shared" si="61"/>
        <v>200</v>
      </c>
      <c r="M550" s="157">
        <f t="shared" si="62"/>
        <v>300</v>
      </c>
      <c r="N550" s="157">
        <f t="shared" si="63"/>
        <v>400</v>
      </c>
      <c r="O550" s="967" t="str">
        <f>CONCATENATE(O542," | ",F550)</f>
        <v>B.1.2 Dialog, Austausch - Struktur | Weiteres Kriterium in der Nutzung</v>
      </c>
      <c r="P550" s="967"/>
      <c r="Q550" s="586"/>
      <c r="R550" s="968" t="s">
        <v>5594</v>
      </c>
      <c r="S550" s="594">
        <v>0.5</v>
      </c>
      <c r="T550" s="588">
        <v>0.25</v>
      </c>
      <c r="U550" s="588">
        <v>0</v>
      </c>
    </row>
    <row r="551" spans="1:21" x14ac:dyDescent="0.35">
      <c r="A551" s="116"/>
      <c r="B551" s="35"/>
      <c r="C551" s="117"/>
      <c r="D551" s="1687"/>
      <c r="E551" s="1688"/>
      <c r="F551" s="593" t="str">
        <f>IF($G$2=1,R551,"Weiteres Kriterium in der Nutzung")</f>
        <v>Weiteres Kriterium in der Nutzung</v>
      </c>
      <c r="G551" s="153">
        <f t="shared" si="71"/>
        <v>0</v>
      </c>
      <c r="H551" s="154"/>
      <c r="I551" s="158"/>
      <c r="J551" s="156"/>
      <c r="K551" s="157">
        <f t="shared" si="60"/>
        <v>100</v>
      </c>
      <c r="L551" s="157">
        <f t="shared" si="61"/>
        <v>200</v>
      </c>
      <c r="M551" s="157">
        <f t="shared" si="62"/>
        <v>300</v>
      </c>
      <c r="N551" s="157">
        <f t="shared" si="63"/>
        <v>400</v>
      </c>
      <c r="O551" s="967" t="str">
        <f>CONCATENATE(O542," | ",F551)</f>
        <v>B.1.2 Dialog, Austausch - Struktur | Weiteres Kriterium in der Nutzung</v>
      </c>
      <c r="P551" s="967"/>
      <c r="Q551" s="586"/>
      <c r="R551" s="968" t="s">
        <v>5595</v>
      </c>
      <c r="S551" s="594">
        <v>0.5</v>
      </c>
      <c r="T551" s="588">
        <v>0.25</v>
      </c>
      <c r="U551" s="588">
        <v>0</v>
      </c>
    </row>
    <row r="552" spans="1:21" x14ac:dyDescent="0.35">
      <c r="A552" s="116"/>
      <c r="B552" s="35"/>
      <c r="C552" s="117"/>
      <c r="D552" s="1687"/>
      <c r="E552" s="1688"/>
      <c r="F552" s="159"/>
      <c r="G552" s="160"/>
      <c r="H552" s="161"/>
      <c r="I552" s="162"/>
      <c r="J552" s="164"/>
      <c r="K552" s="157">
        <f t="shared" si="60"/>
        <v>100</v>
      </c>
      <c r="L552" s="157">
        <f t="shared" si="61"/>
        <v>200</v>
      </c>
      <c r="M552" s="157">
        <f t="shared" si="62"/>
        <v>300</v>
      </c>
      <c r="N552" s="157">
        <f t="shared" si="63"/>
        <v>400</v>
      </c>
      <c r="O552" s="959"/>
      <c r="P552" s="967"/>
      <c r="Q552" s="586"/>
      <c r="R552" s="968"/>
      <c r="S552" s="589"/>
      <c r="T552" s="589"/>
      <c r="U552" s="589"/>
    </row>
    <row r="553" spans="1:21" x14ac:dyDescent="0.35">
      <c r="A553" s="123"/>
      <c r="B553" s="35"/>
      <c r="C553" s="151"/>
      <c r="D553" s="1687"/>
      <c r="E553" s="1688"/>
      <c r="F553" s="165"/>
      <c r="G553" s="160"/>
      <c r="H553" s="161"/>
      <c r="I553" s="166"/>
      <c r="J553" s="167"/>
      <c r="K553" s="157">
        <f t="shared" si="60"/>
        <v>100</v>
      </c>
      <c r="L553" s="157">
        <f t="shared" si="61"/>
        <v>200</v>
      </c>
      <c r="M553" s="157">
        <f t="shared" si="62"/>
        <v>300</v>
      </c>
      <c r="N553" s="157">
        <f t="shared" si="63"/>
        <v>400</v>
      </c>
      <c r="O553" s="959"/>
      <c r="P553" s="967"/>
      <c r="Q553" s="586"/>
      <c r="R553" s="968"/>
      <c r="S553" s="589"/>
      <c r="T553" s="589"/>
      <c r="U553" s="589"/>
    </row>
    <row r="554" spans="1:21" x14ac:dyDescent="0.35">
      <c r="A554" s="116"/>
      <c r="B554" s="35"/>
      <c r="C554" s="117"/>
      <c r="D554" s="1687"/>
      <c r="E554" s="1688"/>
      <c r="F554" s="159"/>
      <c r="G554" s="160"/>
      <c r="H554" s="168"/>
      <c r="I554" s="162"/>
      <c r="J554" s="164"/>
      <c r="K554" s="157">
        <f t="shared" si="60"/>
        <v>100</v>
      </c>
      <c r="L554" s="157">
        <f t="shared" si="61"/>
        <v>200</v>
      </c>
      <c r="M554" s="157">
        <f t="shared" si="62"/>
        <v>300</v>
      </c>
      <c r="N554" s="157">
        <f t="shared" si="63"/>
        <v>400</v>
      </c>
      <c r="O554" s="959"/>
      <c r="P554" s="967"/>
      <c r="Q554" s="586"/>
      <c r="R554" s="968"/>
      <c r="S554" s="589"/>
      <c r="T554" s="589"/>
      <c r="U554" s="589"/>
    </row>
    <row r="555" spans="1:21" x14ac:dyDescent="0.35">
      <c r="A555" s="116"/>
      <c r="B555" s="117"/>
      <c r="C555" s="117"/>
      <c r="D555" s="1687"/>
      <c r="E555" s="1688"/>
      <c r="F555" s="159"/>
      <c r="G555" s="160"/>
      <c r="H555" s="168"/>
      <c r="I555" s="162"/>
      <c r="J555" s="164"/>
      <c r="K555" s="157">
        <f t="shared" si="60"/>
        <v>100</v>
      </c>
      <c r="L555" s="157">
        <f t="shared" si="61"/>
        <v>200</v>
      </c>
      <c r="M555" s="157">
        <f t="shared" si="62"/>
        <v>300</v>
      </c>
      <c r="N555" s="157">
        <f t="shared" si="63"/>
        <v>400</v>
      </c>
      <c r="O555" s="959"/>
      <c r="P555" s="967"/>
      <c r="Q555" s="586"/>
      <c r="R555" s="968"/>
      <c r="S555" s="589"/>
      <c r="T555" s="589"/>
      <c r="U555" s="589"/>
    </row>
    <row r="556" spans="1:21" x14ac:dyDescent="0.35">
      <c r="A556" s="116"/>
      <c r="B556" s="117"/>
      <c r="C556" s="117"/>
      <c r="D556" s="1687"/>
      <c r="E556" s="1688"/>
      <c r="F556" s="169"/>
      <c r="G556" s="170"/>
      <c r="H556" s="171"/>
      <c r="I556" s="172"/>
      <c r="J556" s="173"/>
      <c r="K556" s="157">
        <f t="shared" ref="K556:K619" si="72">IF($J556=$K$41,K555+1,K555+0)</f>
        <v>100</v>
      </c>
      <c r="L556" s="157">
        <f t="shared" ref="L556:L619" si="73">IF($J556=$L$41,L555+1,L555+0)</f>
        <v>200</v>
      </c>
      <c r="M556" s="157">
        <f t="shared" ref="M556:M619" si="74">IF($J556=$M$41,M555+1,M555+0)</f>
        <v>300</v>
      </c>
      <c r="N556" s="157">
        <f t="shared" ref="N556:N619" si="75">IF($J556=$N$41,N555+1,N555+0)</f>
        <v>400</v>
      </c>
      <c r="O556" s="959"/>
      <c r="P556" s="967"/>
      <c r="Q556" s="586"/>
      <c r="R556" s="968"/>
      <c r="S556" s="589"/>
      <c r="T556" s="589"/>
      <c r="U556" s="589"/>
    </row>
    <row r="557" spans="1:21" ht="28.5" customHeight="1" x14ac:dyDescent="0.35">
      <c r="A557" s="116"/>
      <c r="B557" s="117"/>
      <c r="C557" s="117"/>
      <c r="D557" s="174"/>
      <c r="E557" s="175"/>
      <c r="F557" s="1689" t="s">
        <v>2</v>
      </c>
      <c r="G557" s="1689"/>
      <c r="H557" s="176">
        <f>IF(O557&gt;1,"Zielerreichung übersteigt 100%!",O557)</f>
        <v>0</v>
      </c>
      <c r="I557" s="177"/>
      <c r="J557" s="178"/>
      <c r="K557" s="157">
        <f t="shared" si="72"/>
        <v>100</v>
      </c>
      <c r="L557" s="157">
        <f t="shared" si="73"/>
        <v>200</v>
      </c>
      <c r="M557" s="157">
        <f t="shared" si="74"/>
        <v>300</v>
      </c>
      <c r="N557" s="157">
        <f t="shared" si="75"/>
        <v>400</v>
      </c>
      <c r="O557" s="959">
        <f>SUM(H545:H556)</f>
        <v>0</v>
      </c>
      <c r="P557" s="967"/>
      <c r="Q557" s="586"/>
      <c r="R557" s="968"/>
      <c r="S557" s="589"/>
      <c r="T557" s="589"/>
      <c r="U557" s="589"/>
    </row>
    <row r="558" spans="1:21" x14ac:dyDescent="0.35">
      <c r="A558" s="116"/>
      <c r="B558" s="117"/>
      <c r="C558" s="117"/>
      <c r="D558" s="179"/>
      <c r="E558" s="180"/>
      <c r="F558" s="1690" t="s">
        <v>3</v>
      </c>
      <c r="G558" s="1691"/>
      <c r="H558" s="181">
        <v>10</v>
      </c>
      <c r="I558" s="177"/>
      <c r="J558" s="178"/>
      <c r="K558" s="157">
        <f t="shared" si="72"/>
        <v>100</v>
      </c>
      <c r="L558" s="157">
        <f t="shared" si="73"/>
        <v>200</v>
      </c>
      <c r="M558" s="157">
        <f t="shared" si="74"/>
        <v>300</v>
      </c>
      <c r="N558" s="157">
        <f t="shared" si="75"/>
        <v>400</v>
      </c>
      <c r="O558" s="1030"/>
      <c r="P558" s="967"/>
      <c r="Q558" s="586"/>
      <c r="R558" s="968"/>
      <c r="S558" s="589"/>
      <c r="T558" s="589"/>
      <c r="U558" s="589"/>
    </row>
    <row r="559" spans="1:21" x14ac:dyDescent="0.35">
      <c r="A559" s="116"/>
      <c r="B559" s="117"/>
      <c r="C559" s="117"/>
      <c r="D559" s="179"/>
      <c r="E559" s="180"/>
      <c r="F559" s="1700" t="s">
        <v>5494</v>
      </c>
      <c r="G559" s="1701"/>
      <c r="H559" s="1089" t="str">
        <f>IF($H$2=1,12.5,"")</f>
        <v/>
      </c>
      <c r="I559" s="183"/>
      <c r="J559" s="178"/>
      <c r="K559" s="157">
        <f t="shared" si="72"/>
        <v>100</v>
      </c>
      <c r="L559" s="157">
        <f t="shared" si="73"/>
        <v>200</v>
      </c>
      <c r="M559" s="157">
        <f t="shared" si="74"/>
        <v>300</v>
      </c>
      <c r="N559" s="157">
        <f t="shared" si="75"/>
        <v>400</v>
      </c>
      <c r="O559" s="1030"/>
      <c r="P559" s="967"/>
      <c r="Q559" s="586"/>
      <c r="R559" s="968"/>
      <c r="S559" s="589"/>
      <c r="T559" s="589"/>
      <c r="U559" s="589"/>
    </row>
    <row r="560" spans="1:21" x14ac:dyDescent="0.35">
      <c r="A560" s="184"/>
      <c r="B560" s="185"/>
      <c r="C560" s="185"/>
      <c r="D560" s="179"/>
      <c r="E560" s="180"/>
      <c r="F560" s="186"/>
      <c r="G560" s="186"/>
      <c r="H560" s="187"/>
      <c r="I560" s="177"/>
      <c r="J560" s="178"/>
      <c r="K560" s="157">
        <f t="shared" si="72"/>
        <v>100</v>
      </c>
      <c r="L560" s="157">
        <f t="shared" si="73"/>
        <v>200</v>
      </c>
      <c r="M560" s="157">
        <f t="shared" si="74"/>
        <v>300</v>
      </c>
      <c r="N560" s="157">
        <f t="shared" si="75"/>
        <v>400</v>
      </c>
      <c r="O560" s="1030"/>
      <c r="P560" s="967"/>
      <c r="Q560" s="586"/>
      <c r="R560" s="968"/>
      <c r="S560" s="589"/>
      <c r="T560" s="589"/>
      <c r="U560" s="589"/>
    </row>
    <row r="561" spans="1:21" ht="15.75" customHeight="1" x14ac:dyDescent="0.35">
      <c r="A561" s="116"/>
      <c r="B561" s="185"/>
      <c r="C561" s="1711"/>
      <c r="D561" s="1712"/>
      <c r="E561" s="221"/>
      <c r="F561" s="1710" t="s">
        <v>5</v>
      </c>
      <c r="G561" s="1710"/>
      <c r="H561" s="222">
        <f>IF(ISNUMBER(H559),H559*H557,H558*H557)</f>
        <v>0</v>
      </c>
      <c r="I561" s="223"/>
      <c r="J561" s="224"/>
      <c r="K561" s="157">
        <f t="shared" si="72"/>
        <v>100</v>
      </c>
      <c r="L561" s="157">
        <f t="shared" si="73"/>
        <v>200</v>
      </c>
      <c r="M561" s="157">
        <f t="shared" si="74"/>
        <v>300</v>
      </c>
      <c r="N561" s="157">
        <f t="shared" si="75"/>
        <v>400</v>
      </c>
      <c r="O561" s="1030"/>
      <c r="P561" s="967"/>
      <c r="Q561" s="586"/>
      <c r="R561" s="968"/>
      <c r="S561" s="589"/>
      <c r="T561" s="589"/>
      <c r="U561" s="589"/>
    </row>
    <row r="562" spans="1:21" x14ac:dyDescent="0.35">
      <c r="B562" s="185"/>
      <c r="K562" s="157">
        <f t="shared" si="72"/>
        <v>100</v>
      </c>
      <c r="L562" s="157">
        <f t="shared" si="73"/>
        <v>200</v>
      </c>
      <c r="M562" s="157">
        <f t="shared" si="74"/>
        <v>300</v>
      </c>
      <c r="N562" s="157">
        <f t="shared" si="75"/>
        <v>400</v>
      </c>
      <c r="O562" s="967"/>
      <c r="P562" s="967"/>
      <c r="Q562" s="586"/>
      <c r="R562" s="968"/>
      <c r="S562" s="589"/>
      <c r="T562" s="589"/>
      <c r="U562" s="589"/>
    </row>
    <row r="563" spans="1:21" ht="7.5" customHeight="1" x14ac:dyDescent="0.35">
      <c r="A563" s="116"/>
      <c r="B563" s="117"/>
      <c r="C563" s="117"/>
      <c r="D563" s="116"/>
      <c r="E563" s="116"/>
      <c r="F563" s="118"/>
      <c r="G563" s="119"/>
      <c r="H563" s="116"/>
      <c r="I563" s="120"/>
      <c r="J563" s="121"/>
      <c r="K563" s="157">
        <f t="shared" si="72"/>
        <v>100</v>
      </c>
      <c r="L563" s="157">
        <f t="shared" si="73"/>
        <v>200</v>
      </c>
      <c r="M563" s="157">
        <f t="shared" si="74"/>
        <v>300</v>
      </c>
      <c r="N563" s="157">
        <f t="shared" si="75"/>
        <v>400</v>
      </c>
      <c r="O563" s="968"/>
      <c r="P563" s="968"/>
      <c r="Q563" s="586"/>
      <c r="R563" s="968"/>
      <c r="S563" s="589"/>
      <c r="T563" s="589"/>
      <c r="U563" s="589"/>
    </row>
    <row r="564" spans="1:21" ht="15.5" x14ac:dyDescent="0.35">
      <c r="A564" s="124"/>
      <c r="B564" s="125"/>
      <c r="C564" s="126" t="s">
        <v>4782</v>
      </c>
      <c r="D564" s="127" t="s">
        <v>5402</v>
      </c>
      <c r="E564" s="128"/>
      <c r="F564" s="129" t="str">
        <f>IF($F$3=1,O564,"")</f>
        <v>B.1.3 Dialog, Austausch - Häufigkeit</v>
      </c>
      <c r="G564" s="130"/>
      <c r="H564" s="131"/>
      <c r="I564" s="520" t="s">
        <v>23</v>
      </c>
      <c r="J564" s="130"/>
      <c r="K564" s="157">
        <f t="shared" si="72"/>
        <v>100</v>
      </c>
      <c r="L564" s="157">
        <f t="shared" si="73"/>
        <v>200</v>
      </c>
      <c r="M564" s="157">
        <f t="shared" si="74"/>
        <v>300</v>
      </c>
      <c r="N564" s="157">
        <f t="shared" si="75"/>
        <v>400</v>
      </c>
      <c r="O564" s="967" t="str">
        <f>CONCATENATE(C564," ",D564)</f>
        <v>B.1.3 Dialog, Austausch - Häufigkeit</v>
      </c>
      <c r="P564" s="966"/>
      <c r="Q564" s="586"/>
      <c r="R564" s="968"/>
      <c r="S564" s="589"/>
      <c r="T564" s="589"/>
      <c r="U564" s="589"/>
    </row>
    <row r="565" spans="1:21" x14ac:dyDescent="0.35">
      <c r="A565" s="124"/>
      <c r="B565" s="134"/>
      <c r="C565" s="135"/>
      <c r="D565" s="136"/>
      <c r="E565" s="136"/>
      <c r="F565" s="137"/>
      <c r="G565" s="138"/>
      <c r="H565" s="124"/>
      <c r="I565" s="139"/>
      <c r="J565" s="140"/>
      <c r="K565" s="157">
        <f t="shared" si="72"/>
        <v>100</v>
      </c>
      <c r="L565" s="157">
        <f t="shared" si="73"/>
        <v>200</v>
      </c>
      <c r="M565" s="157">
        <f t="shared" si="74"/>
        <v>300</v>
      </c>
      <c r="N565" s="157">
        <f t="shared" si="75"/>
        <v>400</v>
      </c>
      <c r="O565" s="968"/>
      <c r="P565" s="966"/>
      <c r="Q565" s="586"/>
      <c r="R565" s="968"/>
      <c r="S565" s="589"/>
      <c r="T565" s="589"/>
      <c r="U565" s="589"/>
    </row>
    <row r="566" spans="1:21" ht="15" thickBot="1" x14ac:dyDescent="0.4">
      <c r="A566" s="142"/>
      <c r="B566" s="35"/>
      <c r="C566" s="143"/>
      <c r="D566" s="1685" t="s">
        <v>18</v>
      </c>
      <c r="E566" s="1686"/>
      <c r="F566" s="144" t="s">
        <v>19</v>
      </c>
      <c r="G566" s="145" t="s">
        <v>0</v>
      </c>
      <c r="H566" s="146" t="s">
        <v>20</v>
      </c>
      <c r="I566" s="147" t="s">
        <v>1</v>
      </c>
      <c r="J566" s="147" t="s">
        <v>4375</v>
      </c>
      <c r="K566" s="157">
        <f t="shared" si="72"/>
        <v>100</v>
      </c>
      <c r="L566" s="157">
        <f t="shared" si="73"/>
        <v>200</v>
      </c>
      <c r="M566" s="157">
        <f t="shared" si="74"/>
        <v>300</v>
      </c>
      <c r="N566" s="157">
        <f t="shared" si="75"/>
        <v>400</v>
      </c>
      <c r="O566" s="587"/>
      <c r="P566" s="1053"/>
      <c r="Q566" s="1054"/>
      <c r="R566" s="968"/>
      <c r="S566" s="589"/>
      <c r="T566" s="589"/>
      <c r="U566" s="589"/>
    </row>
    <row r="567" spans="1:21" x14ac:dyDescent="0.35">
      <c r="A567" s="123"/>
      <c r="B567" s="35"/>
      <c r="C567" s="151"/>
      <c r="D567" s="1687" t="s">
        <v>4667</v>
      </c>
      <c r="E567" s="1688"/>
      <c r="F567" s="225" t="s">
        <v>5356</v>
      </c>
      <c r="G567" s="153">
        <f t="shared" ref="G567" si="76">IF($H$2=1,S567,IF($H$2=2,T567,U567))</f>
        <v>1</v>
      </c>
      <c r="H567" s="1080">
        <f>VLOOKUP(F567,$P$567:$Q$571,2,0)*G567</f>
        <v>0</v>
      </c>
      <c r="I567" s="155"/>
      <c r="J567" s="156"/>
      <c r="K567" s="157">
        <f t="shared" si="72"/>
        <v>100</v>
      </c>
      <c r="L567" s="157">
        <f t="shared" si="73"/>
        <v>200</v>
      </c>
      <c r="M567" s="157">
        <f t="shared" si="74"/>
        <v>300</v>
      </c>
      <c r="N567" s="157">
        <f t="shared" si="75"/>
        <v>400</v>
      </c>
      <c r="O567" s="1051" t="str">
        <f>CONCATENATE(O564," | ",F567)</f>
        <v>B.1.3 Dialog, Austausch - Häufigkeit | Planung/Umsetzung: Kein Austausch vorgesehen</v>
      </c>
      <c r="P567" s="1072" t="s">
        <v>5356</v>
      </c>
      <c r="Q567" s="1058">
        <v>0</v>
      </c>
      <c r="R567" s="1052"/>
      <c r="S567" s="588">
        <v>0</v>
      </c>
      <c r="T567" s="594">
        <v>0.5</v>
      </c>
      <c r="U567" s="588">
        <v>1</v>
      </c>
    </row>
    <row r="568" spans="1:21" x14ac:dyDescent="0.35">
      <c r="A568" s="123"/>
      <c r="B568" s="35"/>
      <c r="C568" s="151"/>
      <c r="D568" s="1687"/>
      <c r="E568" s="1688"/>
      <c r="F568" s="159"/>
      <c r="G568" s="160"/>
      <c r="H568" s="161"/>
      <c r="I568" s="166"/>
      <c r="J568" s="164"/>
      <c r="K568" s="157">
        <f t="shared" si="72"/>
        <v>100</v>
      </c>
      <c r="L568" s="157">
        <f t="shared" si="73"/>
        <v>200</v>
      </c>
      <c r="M568" s="157">
        <f t="shared" si="74"/>
        <v>300</v>
      </c>
      <c r="N568" s="157">
        <f t="shared" si="75"/>
        <v>400</v>
      </c>
      <c r="O568" s="1051"/>
      <c r="P568" s="1059" t="s">
        <v>4577</v>
      </c>
      <c r="Q568" s="1060">
        <v>0.25</v>
      </c>
      <c r="R568" s="1052"/>
      <c r="S568" s="595"/>
      <c r="T568" s="595"/>
      <c r="U568" s="589"/>
    </row>
    <row r="569" spans="1:21" x14ac:dyDescent="0.35">
      <c r="A569" s="123"/>
      <c r="B569" s="35"/>
      <c r="C569" s="151"/>
      <c r="D569" s="1687"/>
      <c r="E569" s="1688"/>
      <c r="F569" s="225" t="s">
        <v>5357</v>
      </c>
      <c r="G569" s="153">
        <f>IF($H$2=1,S573,IF($H$2=2,T573,U573))</f>
        <v>0</v>
      </c>
      <c r="H569" s="1080">
        <f>VLOOKUP(F569,$P$573:$Q$577,2,0)*G569</f>
        <v>0</v>
      </c>
      <c r="I569" s="158"/>
      <c r="J569" s="156"/>
      <c r="K569" s="157">
        <f t="shared" si="72"/>
        <v>100</v>
      </c>
      <c r="L569" s="157">
        <f t="shared" si="73"/>
        <v>200</v>
      </c>
      <c r="M569" s="157">
        <f t="shared" si="74"/>
        <v>300</v>
      </c>
      <c r="N569" s="157">
        <f t="shared" si="75"/>
        <v>400</v>
      </c>
      <c r="O569" s="1051" t="str">
        <f>CONCATENATE(O564," | ",F569)</f>
        <v>B.1.3 Dialog, Austausch - Häufigkeit | Nutzung: Kein Austausch vorgesehen</v>
      </c>
      <c r="P569" s="1059" t="s">
        <v>4576</v>
      </c>
      <c r="Q569" s="1060">
        <v>0.5</v>
      </c>
      <c r="R569" s="1052"/>
      <c r="S569" s="588"/>
      <c r="T569" s="588"/>
      <c r="U569" s="588"/>
    </row>
    <row r="570" spans="1:21" x14ac:dyDescent="0.35">
      <c r="A570" s="123">
        <v>3.2</v>
      </c>
      <c r="B570" s="35"/>
      <c r="C570" s="151"/>
      <c r="D570" s="1687"/>
      <c r="E570" s="1688"/>
      <c r="F570" s="159"/>
      <c r="G570" s="160"/>
      <c r="H570" s="161"/>
      <c r="I570" s="166"/>
      <c r="J570" s="164"/>
      <c r="K570" s="157">
        <f t="shared" si="72"/>
        <v>100</v>
      </c>
      <c r="L570" s="157">
        <f t="shared" si="73"/>
        <v>200</v>
      </c>
      <c r="M570" s="157">
        <f t="shared" si="74"/>
        <v>300</v>
      </c>
      <c r="N570" s="157">
        <f t="shared" si="75"/>
        <v>400</v>
      </c>
      <c r="O570" s="1051"/>
      <c r="P570" s="1059" t="s">
        <v>4575</v>
      </c>
      <c r="Q570" s="1060">
        <v>0.75</v>
      </c>
      <c r="R570" s="1052"/>
      <c r="S570" s="595"/>
      <c r="T570" s="595"/>
      <c r="U570" s="589"/>
    </row>
    <row r="571" spans="1:21" ht="15" thickBot="1" x14ac:dyDescent="0.4">
      <c r="A571" s="123"/>
      <c r="B571" s="35"/>
      <c r="C571" s="151"/>
      <c r="D571" s="1687"/>
      <c r="E571" s="1688"/>
      <c r="F571" s="159"/>
      <c r="G571" s="160"/>
      <c r="H571" s="161"/>
      <c r="I571" s="166"/>
      <c r="J571" s="164"/>
      <c r="K571" s="157">
        <f t="shared" si="72"/>
        <v>100</v>
      </c>
      <c r="L571" s="157">
        <f t="shared" si="73"/>
        <v>200</v>
      </c>
      <c r="M571" s="157">
        <f t="shared" si="74"/>
        <v>300</v>
      </c>
      <c r="N571" s="157">
        <f t="shared" si="75"/>
        <v>400</v>
      </c>
      <c r="O571" s="1051"/>
      <c r="P571" s="1061" t="s">
        <v>4574</v>
      </c>
      <c r="Q571" s="1062">
        <v>1</v>
      </c>
      <c r="R571" s="1052"/>
      <c r="S571" s="595"/>
      <c r="T571" s="595"/>
      <c r="U571" s="589"/>
    </row>
    <row r="572" spans="1:21" ht="15" thickBot="1" x14ac:dyDescent="0.4">
      <c r="A572" s="116"/>
      <c r="B572" s="35"/>
      <c r="C572" s="117"/>
      <c r="D572" s="1687"/>
      <c r="E572" s="1688"/>
      <c r="F572" s="159"/>
      <c r="G572" s="160"/>
      <c r="H572" s="161"/>
      <c r="I572" s="162"/>
      <c r="J572" s="164"/>
      <c r="K572" s="157">
        <f t="shared" si="72"/>
        <v>100</v>
      </c>
      <c r="L572" s="157">
        <f t="shared" si="73"/>
        <v>200</v>
      </c>
      <c r="M572" s="157">
        <f t="shared" si="74"/>
        <v>300</v>
      </c>
      <c r="N572" s="157">
        <f t="shared" si="75"/>
        <v>400</v>
      </c>
      <c r="O572" s="967"/>
      <c r="P572" s="1067"/>
      <c r="Q572" s="1081"/>
      <c r="R572" s="968"/>
      <c r="S572" s="589"/>
      <c r="T572" s="589"/>
      <c r="U572" s="589"/>
    </row>
    <row r="573" spans="1:21" x14ac:dyDescent="0.35">
      <c r="A573" s="116"/>
      <c r="B573" s="35"/>
      <c r="C573" s="117"/>
      <c r="D573" s="1687"/>
      <c r="E573" s="1688"/>
      <c r="F573" s="159"/>
      <c r="G573" s="160"/>
      <c r="H573" s="161"/>
      <c r="I573" s="162"/>
      <c r="J573" s="164"/>
      <c r="K573" s="157">
        <f t="shared" si="72"/>
        <v>100</v>
      </c>
      <c r="L573" s="157">
        <f t="shared" si="73"/>
        <v>200</v>
      </c>
      <c r="M573" s="157">
        <f t="shared" si="74"/>
        <v>300</v>
      </c>
      <c r="N573" s="157">
        <f t="shared" si="75"/>
        <v>400</v>
      </c>
      <c r="O573" s="1051"/>
      <c r="P573" s="1072" t="s">
        <v>5357</v>
      </c>
      <c r="Q573" s="1058">
        <v>0</v>
      </c>
      <c r="R573" s="1052"/>
      <c r="S573" s="588">
        <v>1</v>
      </c>
      <c r="T573" s="588">
        <v>0.5</v>
      </c>
      <c r="U573" s="588">
        <v>0</v>
      </c>
    </row>
    <row r="574" spans="1:21" x14ac:dyDescent="0.35">
      <c r="A574" s="116"/>
      <c r="B574" s="35"/>
      <c r="C574" s="117"/>
      <c r="D574" s="1687"/>
      <c r="E574" s="1688"/>
      <c r="F574" s="159"/>
      <c r="G574" s="160"/>
      <c r="H574" s="161"/>
      <c r="I574" s="162"/>
      <c r="J574" s="164"/>
      <c r="K574" s="157">
        <f t="shared" si="72"/>
        <v>100</v>
      </c>
      <c r="L574" s="157">
        <f t="shared" si="73"/>
        <v>200</v>
      </c>
      <c r="M574" s="157">
        <f t="shared" si="74"/>
        <v>300</v>
      </c>
      <c r="N574" s="157">
        <f t="shared" si="75"/>
        <v>400</v>
      </c>
      <c r="O574" s="1051"/>
      <c r="P574" s="1059" t="s">
        <v>4577</v>
      </c>
      <c r="Q574" s="1060">
        <v>0.25</v>
      </c>
      <c r="R574" s="1052"/>
      <c r="S574" s="589"/>
      <c r="T574" s="589"/>
      <c r="U574" s="589"/>
    </row>
    <row r="575" spans="1:21" x14ac:dyDescent="0.35">
      <c r="A575" s="123"/>
      <c r="B575" s="35"/>
      <c r="C575" s="151"/>
      <c r="D575" s="1687"/>
      <c r="E575" s="1688"/>
      <c r="F575" s="165"/>
      <c r="G575" s="160"/>
      <c r="H575" s="161"/>
      <c r="I575" s="166"/>
      <c r="J575" s="167"/>
      <c r="K575" s="157">
        <f t="shared" si="72"/>
        <v>100</v>
      </c>
      <c r="L575" s="157">
        <f t="shared" si="73"/>
        <v>200</v>
      </c>
      <c r="M575" s="157">
        <f t="shared" si="74"/>
        <v>300</v>
      </c>
      <c r="N575" s="157">
        <f t="shared" si="75"/>
        <v>400</v>
      </c>
      <c r="O575" s="1051"/>
      <c r="P575" s="1065" t="s">
        <v>5323</v>
      </c>
      <c r="Q575" s="1060">
        <v>0.5</v>
      </c>
      <c r="R575" s="1052"/>
      <c r="S575" s="589"/>
      <c r="T575" s="589"/>
      <c r="U575" s="589"/>
    </row>
    <row r="576" spans="1:21" x14ac:dyDescent="0.35">
      <c r="A576" s="116"/>
      <c r="B576" s="35"/>
      <c r="C576" s="117"/>
      <c r="D576" s="1687"/>
      <c r="E576" s="1688"/>
      <c r="F576" s="159"/>
      <c r="G576" s="160"/>
      <c r="H576" s="168"/>
      <c r="I576" s="162"/>
      <c r="J576" s="164"/>
      <c r="K576" s="157">
        <f t="shared" si="72"/>
        <v>100</v>
      </c>
      <c r="L576" s="157">
        <f t="shared" si="73"/>
        <v>200</v>
      </c>
      <c r="M576" s="157">
        <f t="shared" si="74"/>
        <v>300</v>
      </c>
      <c r="N576" s="157">
        <f t="shared" si="75"/>
        <v>400</v>
      </c>
      <c r="O576" s="1051"/>
      <c r="P576" s="1065" t="s">
        <v>5324</v>
      </c>
      <c r="Q576" s="1060">
        <v>0.75</v>
      </c>
      <c r="R576" s="1052"/>
      <c r="S576" s="589"/>
      <c r="T576" s="589"/>
      <c r="U576" s="589"/>
    </row>
    <row r="577" spans="1:21" ht="15" thickBot="1" x14ac:dyDescent="0.4">
      <c r="A577" s="116"/>
      <c r="B577" s="117"/>
      <c r="C577" s="117"/>
      <c r="D577" s="1687"/>
      <c r="E577" s="1688"/>
      <c r="F577" s="159"/>
      <c r="G577" s="160"/>
      <c r="H577" s="168"/>
      <c r="I577" s="162"/>
      <c r="J577" s="164"/>
      <c r="K577" s="157">
        <f t="shared" si="72"/>
        <v>100</v>
      </c>
      <c r="L577" s="157">
        <f t="shared" si="73"/>
        <v>200</v>
      </c>
      <c r="M577" s="157">
        <f t="shared" si="74"/>
        <v>300</v>
      </c>
      <c r="N577" s="157">
        <f t="shared" si="75"/>
        <v>400</v>
      </c>
      <c r="O577" s="1051"/>
      <c r="P577" s="1073" t="s">
        <v>5325</v>
      </c>
      <c r="Q577" s="1062">
        <v>1</v>
      </c>
      <c r="R577" s="1052"/>
      <c r="S577" s="589"/>
      <c r="T577" s="589"/>
      <c r="U577" s="589"/>
    </row>
    <row r="578" spans="1:21" x14ac:dyDescent="0.35">
      <c r="A578" s="116"/>
      <c r="B578" s="117"/>
      <c r="C578" s="117"/>
      <c r="D578" s="1687"/>
      <c r="E578" s="1688"/>
      <c r="F578" s="169"/>
      <c r="G578" s="170"/>
      <c r="H578" s="171"/>
      <c r="I578" s="172"/>
      <c r="J578" s="173"/>
      <c r="K578" s="157">
        <f t="shared" si="72"/>
        <v>100</v>
      </c>
      <c r="L578" s="157">
        <f t="shared" si="73"/>
        <v>200</v>
      </c>
      <c r="M578" s="157">
        <f t="shared" si="74"/>
        <v>300</v>
      </c>
      <c r="N578" s="157">
        <f t="shared" si="75"/>
        <v>400</v>
      </c>
      <c r="O578" s="959"/>
      <c r="P578" s="1055"/>
      <c r="Q578" s="1064"/>
      <c r="R578" s="968"/>
      <c r="S578" s="589"/>
      <c r="T578" s="589"/>
      <c r="U578" s="589"/>
    </row>
    <row r="579" spans="1:21" ht="28.5" customHeight="1" x14ac:dyDescent="0.35">
      <c r="A579" s="116"/>
      <c r="B579" s="117"/>
      <c r="C579" s="117"/>
      <c r="D579" s="174"/>
      <c r="E579" s="175"/>
      <c r="F579" s="1689" t="s">
        <v>2</v>
      </c>
      <c r="G579" s="1689"/>
      <c r="H579" s="176">
        <f>IF(O579&gt;1,"Zielerreichung übersteigt 100%!",O579)</f>
        <v>0</v>
      </c>
      <c r="I579" s="177"/>
      <c r="J579" s="207"/>
      <c r="K579" s="157">
        <f t="shared" si="72"/>
        <v>100</v>
      </c>
      <c r="L579" s="157">
        <f t="shared" si="73"/>
        <v>200</v>
      </c>
      <c r="M579" s="157">
        <f t="shared" si="74"/>
        <v>300</v>
      </c>
      <c r="N579" s="157">
        <f t="shared" si="75"/>
        <v>400</v>
      </c>
      <c r="O579" s="959">
        <f>SUM(H567:H578)</f>
        <v>0</v>
      </c>
      <c r="P579" s="967"/>
      <c r="Q579" s="586"/>
      <c r="R579" s="968"/>
      <c r="S579" s="589"/>
      <c r="T579" s="589"/>
      <c r="U579" s="589"/>
    </row>
    <row r="580" spans="1:21" x14ac:dyDescent="0.35">
      <c r="A580" s="116"/>
      <c r="B580" s="117"/>
      <c r="C580" s="117"/>
      <c r="D580" s="179"/>
      <c r="E580" s="180"/>
      <c r="F580" s="1690" t="s">
        <v>3</v>
      </c>
      <c r="G580" s="1691"/>
      <c r="H580" s="181">
        <v>15</v>
      </c>
      <c r="I580" s="177"/>
      <c r="J580" s="178"/>
      <c r="K580" s="157">
        <f t="shared" si="72"/>
        <v>100</v>
      </c>
      <c r="L580" s="157">
        <f t="shared" si="73"/>
        <v>200</v>
      </c>
      <c r="M580" s="157">
        <f t="shared" si="74"/>
        <v>300</v>
      </c>
      <c r="N580" s="157">
        <f t="shared" si="75"/>
        <v>400</v>
      </c>
      <c r="O580" s="1030"/>
      <c r="P580" s="967"/>
      <c r="Q580" s="586"/>
      <c r="R580" s="968"/>
      <c r="S580" s="589"/>
      <c r="T580" s="589"/>
      <c r="U580" s="589"/>
    </row>
    <row r="581" spans="1:21" x14ac:dyDescent="0.35">
      <c r="A581" s="116"/>
      <c r="B581" s="117"/>
      <c r="C581" s="117"/>
      <c r="D581" s="179"/>
      <c r="E581" s="180"/>
      <c r="F581" s="1700" t="s">
        <v>5494</v>
      </c>
      <c r="G581" s="1701"/>
      <c r="H581" s="1089" t="str">
        <f>IF($H$2=1,17.5,"")</f>
        <v/>
      </c>
      <c r="I581" s="183"/>
      <c r="J581" s="178"/>
      <c r="K581" s="157">
        <f t="shared" si="72"/>
        <v>100</v>
      </c>
      <c r="L581" s="157">
        <f t="shared" si="73"/>
        <v>200</v>
      </c>
      <c r="M581" s="157">
        <f t="shared" si="74"/>
        <v>300</v>
      </c>
      <c r="N581" s="157">
        <f t="shared" si="75"/>
        <v>400</v>
      </c>
      <c r="O581" s="1030"/>
      <c r="P581" s="967"/>
      <c r="Q581" s="586"/>
      <c r="R581" s="968"/>
      <c r="S581" s="589"/>
      <c r="T581" s="589"/>
      <c r="U581" s="589"/>
    </row>
    <row r="582" spans="1:21" x14ac:dyDescent="0.35">
      <c r="A582" s="184"/>
      <c r="B582" s="185"/>
      <c r="C582" s="185"/>
      <c r="D582" s="179"/>
      <c r="E582" s="180"/>
      <c r="F582" s="186"/>
      <c r="G582" s="186"/>
      <c r="H582" s="187"/>
      <c r="I582" s="177"/>
      <c r="J582" s="178"/>
      <c r="K582" s="157">
        <f t="shared" si="72"/>
        <v>100</v>
      </c>
      <c r="L582" s="157">
        <f t="shared" si="73"/>
        <v>200</v>
      </c>
      <c r="M582" s="157">
        <f t="shared" si="74"/>
        <v>300</v>
      </c>
      <c r="N582" s="157">
        <f t="shared" si="75"/>
        <v>400</v>
      </c>
      <c r="O582" s="1030"/>
      <c r="P582" s="967"/>
      <c r="Q582" s="586"/>
      <c r="R582" s="968"/>
      <c r="S582" s="589"/>
      <c r="T582" s="589"/>
      <c r="U582" s="589"/>
    </row>
    <row r="583" spans="1:21" ht="15.5" x14ac:dyDescent="0.35">
      <c r="A583" s="116"/>
      <c r="B583" s="117"/>
      <c r="C583" s="1711"/>
      <c r="D583" s="1712"/>
      <c r="E583" s="221"/>
      <c r="F583" s="1710" t="s">
        <v>5</v>
      </c>
      <c r="G583" s="1710"/>
      <c r="H583" s="222">
        <f>IF(ISNUMBER(H581),H581*H579,H580*H579)</f>
        <v>0</v>
      </c>
      <c r="I583" s="223"/>
      <c r="J583" s="224"/>
      <c r="K583" s="157">
        <f t="shared" si="72"/>
        <v>100</v>
      </c>
      <c r="L583" s="157">
        <f t="shared" si="73"/>
        <v>200</v>
      </c>
      <c r="M583" s="157">
        <f t="shared" si="74"/>
        <v>300</v>
      </c>
      <c r="N583" s="157">
        <f t="shared" si="75"/>
        <v>400</v>
      </c>
      <c r="O583" s="1030"/>
      <c r="P583" s="967"/>
      <c r="Q583" s="586"/>
      <c r="R583" s="968"/>
      <c r="S583" s="589"/>
      <c r="T583" s="589"/>
      <c r="U583" s="589"/>
    </row>
    <row r="584" spans="1:21" x14ac:dyDescent="0.35">
      <c r="K584" s="157">
        <f t="shared" si="72"/>
        <v>100</v>
      </c>
      <c r="L584" s="157">
        <f t="shared" si="73"/>
        <v>200</v>
      </c>
      <c r="M584" s="157">
        <f t="shared" si="74"/>
        <v>300</v>
      </c>
      <c r="N584" s="157">
        <f t="shared" si="75"/>
        <v>400</v>
      </c>
      <c r="O584" s="967"/>
      <c r="P584" s="967"/>
      <c r="Q584" s="586"/>
      <c r="R584" s="968"/>
      <c r="S584" s="589"/>
      <c r="T584" s="589"/>
      <c r="U584" s="589"/>
    </row>
    <row r="585" spans="1:21" ht="7.5" customHeight="1" x14ac:dyDescent="0.35">
      <c r="A585" s="116"/>
      <c r="B585" s="117"/>
      <c r="C585" s="117"/>
      <c r="D585" s="116"/>
      <c r="E585" s="116"/>
      <c r="F585" s="118"/>
      <c r="G585" s="119"/>
      <c r="H585" s="116"/>
      <c r="I585" s="120"/>
      <c r="J585" s="121"/>
      <c r="K585" s="157">
        <f t="shared" si="72"/>
        <v>100</v>
      </c>
      <c r="L585" s="157">
        <f t="shared" si="73"/>
        <v>200</v>
      </c>
      <c r="M585" s="157">
        <f t="shared" si="74"/>
        <v>300</v>
      </c>
      <c r="N585" s="157">
        <f t="shared" si="75"/>
        <v>400</v>
      </c>
      <c r="O585" s="968"/>
      <c r="P585" s="968"/>
      <c r="Q585" s="586"/>
      <c r="R585" s="968"/>
      <c r="S585" s="589"/>
      <c r="T585" s="589"/>
      <c r="U585" s="589"/>
    </row>
    <row r="586" spans="1:21" ht="15.5" x14ac:dyDescent="0.35">
      <c r="A586" s="124"/>
      <c r="B586" s="125"/>
      <c r="C586" s="126" t="s">
        <v>4783</v>
      </c>
      <c r="D586" s="127" t="s">
        <v>2082</v>
      </c>
      <c r="E586" s="128"/>
      <c r="F586" s="129" t="str">
        <f>IF($F$3=1,O586,"")</f>
        <v>B.1.4 Mitbestimmung - Beteiligungsformat</v>
      </c>
      <c r="G586" s="131"/>
      <c r="H586" s="131"/>
      <c r="I586" s="520" t="s">
        <v>23</v>
      </c>
      <c r="J586" s="130"/>
      <c r="K586" s="157">
        <f t="shared" si="72"/>
        <v>100</v>
      </c>
      <c r="L586" s="157">
        <f t="shared" si="73"/>
        <v>200</v>
      </c>
      <c r="M586" s="157">
        <f t="shared" si="74"/>
        <v>300</v>
      </c>
      <c r="N586" s="157">
        <f t="shared" si="75"/>
        <v>400</v>
      </c>
      <c r="O586" s="967" t="str">
        <f>CONCATENATE(C586," ",D586)</f>
        <v>B.1.4 Mitbestimmung - Beteiligungsformat</v>
      </c>
      <c r="P586" s="966"/>
      <c r="Q586" s="586"/>
      <c r="R586" s="968"/>
      <c r="S586" s="589"/>
      <c r="T586" s="589"/>
      <c r="U586" s="589"/>
    </row>
    <row r="587" spans="1:21" x14ac:dyDescent="0.35">
      <c r="A587" s="124"/>
      <c r="B587" s="134"/>
      <c r="C587" s="135"/>
      <c r="D587" s="136"/>
      <c r="E587" s="136"/>
      <c r="F587" s="137"/>
      <c r="G587" s="138"/>
      <c r="H587" s="124"/>
      <c r="I587" s="139"/>
      <c r="J587" s="140"/>
      <c r="K587" s="157">
        <f t="shared" si="72"/>
        <v>100</v>
      </c>
      <c r="L587" s="157">
        <f t="shared" si="73"/>
        <v>200</v>
      </c>
      <c r="M587" s="157">
        <f t="shared" si="74"/>
        <v>300</v>
      </c>
      <c r="N587" s="157">
        <f t="shared" si="75"/>
        <v>400</v>
      </c>
      <c r="O587" s="968"/>
      <c r="P587" s="966"/>
      <c r="Q587" s="586"/>
      <c r="R587" s="968"/>
      <c r="S587" s="589"/>
      <c r="T587" s="589"/>
      <c r="U587" s="589"/>
    </row>
    <row r="588" spans="1:21" ht="15" thickBot="1" x14ac:dyDescent="0.4">
      <c r="A588" s="142"/>
      <c r="B588" s="35"/>
      <c r="C588" s="143"/>
      <c r="D588" s="1685" t="s">
        <v>18</v>
      </c>
      <c r="E588" s="1686"/>
      <c r="F588" s="144" t="s">
        <v>19</v>
      </c>
      <c r="G588" s="145" t="s">
        <v>0</v>
      </c>
      <c r="H588" s="146" t="s">
        <v>20</v>
      </c>
      <c r="I588" s="147" t="s">
        <v>1</v>
      </c>
      <c r="J588" s="147" t="s">
        <v>4375</v>
      </c>
      <c r="K588" s="157">
        <f t="shared" si="72"/>
        <v>100</v>
      </c>
      <c r="L588" s="157">
        <f t="shared" si="73"/>
        <v>200</v>
      </c>
      <c r="M588" s="157">
        <f t="shared" si="74"/>
        <v>300</v>
      </c>
      <c r="N588" s="157">
        <f t="shared" si="75"/>
        <v>400</v>
      </c>
      <c r="O588" s="587"/>
      <c r="P588" s="1053"/>
      <c r="Q588" s="1054"/>
      <c r="R588" s="968"/>
      <c r="S588" s="589"/>
      <c r="T588" s="589"/>
      <c r="U588" s="589"/>
    </row>
    <row r="589" spans="1:21" ht="24" x14ac:dyDescent="0.35">
      <c r="A589" s="123"/>
      <c r="B589" s="35"/>
      <c r="C589" s="151"/>
      <c r="D589" s="1687" t="s">
        <v>4668</v>
      </c>
      <c r="E589" s="1688"/>
      <c r="F589" s="225" t="s">
        <v>4572</v>
      </c>
      <c r="G589" s="153">
        <f t="shared" ref="G589" si="77">IF($H$2=1,S589,IF($H$2=2,T589,U589))</f>
        <v>1</v>
      </c>
      <c r="H589" s="1080">
        <f>VLOOKUP(F589,$P$589:$Q$592,2,0)*G589</f>
        <v>0</v>
      </c>
      <c r="I589" s="155"/>
      <c r="J589" s="156"/>
      <c r="K589" s="157">
        <f t="shared" si="72"/>
        <v>100</v>
      </c>
      <c r="L589" s="157">
        <f t="shared" si="73"/>
        <v>200</v>
      </c>
      <c r="M589" s="157">
        <f t="shared" si="74"/>
        <v>300</v>
      </c>
      <c r="N589" s="157">
        <f t="shared" si="75"/>
        <v>400</v>
      </c>
      <c r="O589" s="1051" t="str">
        <f>CONCATENATE(O586," | ",F589)</f>
        <v>B.1.4 Mitbestimmung - Beteiligungsformat | Keine externe Mitwirkung und Mitbestimmung vorgesehen: 0%</v>
      </c>
      <c r="P589" s="1057" t="s">
        <v>4572</v>
      </c>
      <c r="Q589" s="1058">
        <v>0</v>
      </c>
      <c r="R589" s="1052"/>
      <c r="S589" s="588">
        <v>0</v>
      </c>
      <c r="T589" s="588">
        <v>1</v>
      </c>
      <c r="U589" s="588">
        <v>1</v>
      </c>
    </row>
    <row r="590" spans="1:21" x14ac:dyDescent="0.35">
      <c r="A590" s="123"/>
      <c r="B590" s="35"/>
      <c r="C590" s="151"/>
      <c r="D590" s="1687"/>
      <c r="E590" s="1688"/>
      <c r="F590" s="159"/>
      <c r="G590" s="160"/>
      <c r="H590" s="161"/>
      <c r="I590" s="166"/>
      <c r="J590" s="164"/>
      <c r="K590" s="157">
        <f t="shared" si="72"/>
        <v>100</v>
      </c>
      <c r="L590" s="157">
        <f t="shared" si="73"/>
        <v>200</v>
      </c>
      <c r="M590" s="157">
        <f t="shared" si="74"/>
        <v>300</v>
      </c>
      <c r="N590" s="157">
        <f t="shared" si="75"/>
        <v>400</v>
      </c>
      <c r="O590" s="1051"/>
      <c r="P590" s="1059" t="s">
        <v>4573</v>
      </c>
      <c r="Q590" s="1060">
        <v>0.25</v>
      </c>
      <c r="R590" s="1052"/>
      <c r="S590" s="589"/>
      <c r="T590" s="589"/>
      <c r="U590" s="589"/>
    </row>
    <row r="591" spans="1:21" x14ac:dyDescent="0.35">
      <c r="A591" s="123"/>
      <c r="B591" s="35"/>
      <c r="C591" s="151"/>
      <c r="D591" s="1687"/>
      <c r="E591" s="1688"/>
      <c r="F591" s="159"/>
      <c r="G591" s="160"/>
      <c r="H591" s="161"/>
      <c r="I591" s="166"/>
      <c r="J591" s="164"/>
      <c r="K591" s="157">
        <f t="shared" si="72"/>
        <v>100</v>
      </c>
      <c r="L591" s="157">
        <f t="shared" si="73"/>
        <v>200</v>
      </c>
      <c r="M591" s="157">
        <f t="shared" si="74"/>
        <v>300</v>
      </c>
      <c r="N591" s="157">
        <f t="shared" si="75"/>
        <v>400</v>
      </c>
      <c r="O591" s="1051"/>
      <c r="P591" s="1059" t="s">
        <v>4349</v>
      </c>
      <c r="Q591" s="1060">
        <v>0.5</v>
      </c>
      <c r="R591" s="1052"/>
      <c r="S591" s="589"/>
      <c r="T591" s="589"/>
      <c r="U591" s="589"/>
    </row>
    <row r="592" spans="1:21" ht="15" thickBot="1" x14ac:dyDescent="0.4">
      <c r="A592" s="123">
        <v>3.2</v>
      </c>
      <c r="B592" s="35"/>
      <c r="C592" s="151"/>
      <c r="D592" s="1687"/>
      <c r="E592" s="1688"/>
      <c r="F592" s="159"/>
      <c r="G592" s="160"/>
      <c r="H592" s="161"/>
      <c r="I592" s="166"/>
      <c r="J592" s="164"/>
      <c r="K592" s="157">
        <f t="shared" si="72"/>
        <v>100</v>
      </c>
      <c r="L592" s="157">
        <f t="shared" si="73"/>
        <v>200</v>
      </c>
      <c r="M592" s="157">
        <f t="shared" si="74"/>
        <v>300</v>
      </c>
      <c r="N592" s="157">
        <f t="shared" si="75"/>
        <v>400</v>
      </c>
      <c r="O592" s="1051"/>
      <c r="P592" s="1061" t="s">
        <v>4350</v>
      </c>
      <c r="Q592" s="1062">
        <v>1</v>
      </c>
      <c r="R592" s="1052"/>
      <c r="S592" s="589"/>
      <c r="T592" s="589"/>
      <c r="U592" s="589"/>
    </row>
    <row r="593" spans="1:21" x14ac:dyDescent="0.35">
      <c r="A593" s="123"/>
      <c r="B593" s="35"/>
      <c r="C593" s="151"/>
      <c r="D593" s="1687"/>
      <c r="E593" s="1688"/>
      <c r="F593" s="159"/>
      <c r="G593" s="160"/>
      <c r="H593" s="161"/>
      <c r="I593" s="166"/>
      <c r="J593" s="164"/>
      <c r="K593" s="157">
        <f t="shared" si="72"/>
        <v>100</v>
      </c>
      <c r="L593" s="157">
        <f t="shared" si="73"/>
        <v>200</v>
      </c>
      <c r="M593" s="157">
        <f t="shared" si="74"/>
        <v>300</v>
      </c>
      <c r="N593" s="157">
        <f t="shared" si="75"/>
        <v>400</v>
      </c>
      <c r="O593" s="967"/>
      <c r="P593" s="1055"/>
      <c r="Q593" s="1064"/>
      <c r="R593" s="968"/>
      <c r="S593" s="589"/>
      <c r="T593" s="589"/>
      <c r="U593" s="589"/>
    </row>
    <row r="594" spans="1:21" x14ac:dyDescent="0.35">
      <c r="A594" s="116"/>
      <c r="B594" s="35"/>
      <c r="C594" s="117"/>
      <c r="D594" s="1687"/>
      <c r="E594" s="1688"/>
      <c r="F594" s="159"/>
      <c r="G594" s="160"/>
      <c r="H594" s="161"/>
      <c r="I594" s="162"/>
      <c r="J594" s="164"/>
      <c r="K594" s="157">
        <f t="shared" si="72"/>
        <v>100</v>
      </c>
      <c r="L594" s="157">
        <f t="shared" si="73"/>
        <v>200</v>
      </c>
      <c r="M594" s="157">
        <f t="shared" si="74"/>
        <v>300</v>
      </c>
      <c r="N594" s="157">
        <f t="shared" si="75"/>
        <v>400</v>
      </c>
      <c r="O594" s="959"/>
      <c r="P594" s="967"/>
      <c r="Q594" s="586"/>
      <c r="R594" s="968"/>
      <c r="S594" s="589"/>
      <c r="T594" s="589"/>
      <c r="U594" s="589"/>
    </row>
    <row r="595" spans="1:21" x14ac:dyDescent="0.35">
      <c r="A595" s="116"/>
      <c r="B595" s="35"/>
      <c r="C595" s="117"/>
      <c r="D595" s="1687"/>
      <c r="E595" s="1688"/>
      <c r="F595" s="159"/>
      <c r="G595" s="160"/>
      <c r="H595" s="161"/>
      <c r="I595" s="162"/>
      <c r="J595" s="164"/>
      <c r="K595" s="157">
        <f t="shared" si="72"/>
        <v>100</v>
      </c>
      <c r="L595" s="157">
        <f t="shared" si="73"/>
        <v>200</v>
      </c>
      <c r="M595" s="157">
        <f t="shared" si="74"/>
        <v>300</v>
      </c>
      <c r="N595" s="157">
        <f t="shared" si="75"/>
        <v>400</v>
      </c>
      <c r="O595" s="959"/>
      <c r="P595" s="967"/>
      <c r="Q595" s="586"/>
      <c r="R595" s="968"/>
      <c r="S595" s="589"/>
      <c r="T595" s="589"/>
      <c r="U595" s="589"/>
    </row>
    <row r="596" spans="1:21" x14ac:dyDescent="0.35">
      <c r="A596" s="116"/>
      <c r="B596" s="35"/>
      <c r="C596" s="117"/>
      <c r="D596" s="1687"/>
      <c r="E596" s="1688"/>
      <c r="F596" s="159"/>
      <c r="G596" s="160"/>
      <c r="H596" s="161"/>
      <c r="I596" s="162"/>
      <c r="J596" s="164"/>
      <c r="K596" s="157">
        <f t="shared" si="72"/>
        <v>100</v>
      </c>
      <c r="L596" s="157">
        <f t="shared" si="73"/>
        <v>200</v>
      </c>
      <c r="M596" s="157">
        <f t="shared" si="74"/>
        <v>300</v>
      </c>
      <c r="N596" s="157">
        <f t="shared" si="75"/>
        <v>400</v>
      </c>
      <c r="O596" s="959"/>
      <c r="P596" s="967"/>
      <c r="Q596" s="586"/>
      <c r="R596" s="968"/>
      <c r="S596" s="589"/>
      <c r="T596" s="589"/>
      <c r="U596" s="589"/>
    </row>
    <row r="597" spans="1:21" x14ac:dyDescent="0.35">
      <c r="A597" s="123"/>
      <c r="B597" s="35"/>
      <c r="C597" s="151"/>
      <c r="D597" s="1687"/>
      <c r="E597" s="1688"/>
      <c r="F597" s="165"/>
      <c r="G597" s="160"/>
      <c r="H597" s="161"/>
      <c r="I597" s="166"/>
      <c r="J597" s="167"/>
      <c r="K597" s="157">
        <f t="shared" si="72"/>
        <v>100</v>
      </c>
      <c r="L597" s="157">
        <f t="shared" si="73"/>
        <v>200</v>
      </c>
      <c r="M597" s="157">
        <f t="shared" si="74"/>
        <v>300</v>
      </c>
      <c r="N597" s="157">
        <f t="shared" si="75"/>
        <v>400</v>
      </c>
      <c r="O597" s="959"/>
      <c r="P597" s="967"/>
      <c r="Q597" s="586"/>
      <c r="R597" s="968"/>
      <c r="S597" s="589"/>
      <c r="T597" s="589"/>
      <c r="U597" s="589"/>
    </row>
    <row r="598" spans="1:21" x14ac:dyDescent="0.35">
      <c r="A598" s="116"/>
      <c r="B598" s="35"/>
      <c r="C598" s="117"/>
      <c r="D598" s="1687"/>
      <c r="E598" s="1688"/>
      <c r="F598" s="159"/>
      <c r="G598" s="160"/>
      <c r="H598" s="168"/>
      <c r="I598" s="162"/>
      <c r="J598" s="164"/>
      <c r="K598" s="157">
        <f t="shared" si="72"/>
        <v>100</v>
      </c>
      <c r="L598" s="157">
        <f t="shared" si="73"/>
        <v>200</v>
      </c>
      <c r="M598" s="157">
        <f t="shared" si="74"/>
        <v>300</v>
      </c>
      <c r="N598" s="157">
        <f t="shared" si="75"/>
        <v>400</v>
      </c>
      <c r="O598" s="959"/>
      <c r="P598" s="967"/>
      <c r="Q598" s="586"/>
      <c r="R598" s="968"/>
      <c r="S598" s="589"/>
      <c r="T598" s="589"/>
      <c r="U598" s="589"/>
    </row>
    <row r="599" spans="1:21" x14ac:dyDescent="0.35">
      <c r="A599" s="116"/>
      <c r="B599" s="117"/>
      <c r="C599" s="117"/>
      <c r="D599" s="1687"/>
      <c r="E599" s="1688"/>
      <c r="F599" s="159"/>
      <c r="G599" s="160"/>
      <c r="H599" s="168"/>
      <c r="I599" s="162"/>
      <c r="J599" s="164"/>
      <c r="K599" s="157">
        <f t="shared" si="72"/>
        <v>100</v>
      </c>
      <c r="L599" s="157">
        <f t="shared" si="73"/>
        <v>200</v>
      </c>
      <c r="M599" s="157">
        <f t="shared" si="74"/>
        <v>300</v>
      </c>
      <c r="N599" s="157">
        <f t="shared" si="75"/>
        <v>400</v>
      </c>
      <c r="O599" s="959"/>
      <c r="P599" s="967"/>
      <c r="Q599" s="586"/>
      <c r="R599" s="968"/>
      <c r="S599" s="589"/>
      <c r="T599" s="589"/>
      <c r="U599" s="589"/>
    </row>
    <row r="600" spans="1:21" x14ac:dyDescent="0.35">
      <c r="A600" s="116"/>
      <c r="B600" s="117"/>
      <c r="C600" s="117"/>
      <c r="D600" s="1687"/>
      <c r="E600" s="1688"/>
      <c r="F600" s="169"/>
      <c r="G600" s="170"/>
      <c r="H600" s="171"/>
      <c r="I600" s="172"/>
      <c r="J600" s="173"/>
      <c r="K600" s="157">
        <f t="shared" si="72"/>
        <v>100</v>
      </c>
      <c r="L600" s="157">
        <f t="shared" si="73"/>
        <v>200</v>
      </c>
      <c r="M600" s="157">
        <f t="shared" si="74"/>
        <v>300</v>
      </c>
      <c r="N600" s="157">
        <f t="shared" si="75"/>
        <v>400</v>
      </c>
      <c r="O600" s="959"/>
      <c r="P600" s="967"/>
      <c r="Q600" s="586"/>
      <c r="R600" s="968"/>
      <c r="S600" s="589"/>
      <c r="T600" s="589"/>
      <c r="U600" s="589"/>
    </row>
    <row r="601" spans="1:21" ht="28.5" customHeight="1" x14ac:dyDescent="0.35">
      <c r="A601" s="116"/>
      <c r="B601" s="117"/>
      <c r="C601" s="117"/>
      <c r="D601" s="174"/>
      <c r="E601" s="175"/>
      <c r="F601" s="1689" t="s">
        <v>2</v>
      </c>
      <c r="G601" s="1689"/>
      <c r="H601" s="176">
        <f>IF(O601&gt;1,"Zielerreichung übersteigt 100%!",O601)</f>
        <v>0</v>
      </c>
      <c r="I601" s="177"/>
      <c r="J601" s="178"/>
      <c r="K601" s="157">
        <f t="shared" si="72"/>
        <v>100</v>
      </c>
      <c r="L601" s="157">
        <f t="shared" si="73"/>
        <v>200</v>
      </c>
      <c r="M601" s="157">
        <f t="shared" si="74"/>
        <v>300</v>
      </c>
      <c r="N601" s="157">
        <f t="shared" si="75"/>
        <v>400</v>
      </c>
      <c r="O601" s="959">
        <f>SUM(H589:H600)</f>
        <v>0</v>
      </c>
      <c r="P601" s="967"/>
      <c r="Q601" s="586"/>
      <c r="R601" s="968"/>
      <c r="S601" s="589"/>
      <c r="T601" s="589"/>
      <c r="U601" s="589"/>
    </row>
    <row r="602" spans="1:21" x14ac:dyDescent="0.35">
      <c r="A602" s="116"/>
      <c r="B602" s="117"/>
      <c r="C602" s="117"/>
      <c r="D602" s="179"/>
      <c r="E602" s="180"/>
      <c r="F602" s="1690" t="s">
        <v>3</v>
      </c>
      <c r="G602" s="1691"/>
      <c r="H602" s="181">
        <v>10</v>
      </c>
      <c r="I602" s="177"/>
      <c r="J602" s="178"/>
      <c r="K602" s="157">
        <f t="shared" si="72"/>
        <v>100</v>
      </c>
      <c r="L602" s="157">
        <f t="shared" si="73"/>
        <v>200</v>
      </c>
      <c r="M602" s="157">
        <f t="shared" si="74"/>
        <v>300</v>
      </c>
      <c r="N602" s="157">
        <f t="shared" si="75"/>
        <v>400</v>
      </c>
      <c r="O602" s="1030"/>
      <c r="P602" s="967"/>
      <c r="Q602" s="586"/>
      <c r="R602" s="968"/>
      <c r="S602" s="589"/>
      <c r="T602" s="589"/>
      <c r="U602" s="589"/>
    </row>
    <row r="603" spans="1:21" x14ac:dyDescent="0.35">
      <c r="A603" s="116"/>
      <c r="B603" s="117"/>
      <c r="C603" s="117"/>
      <c r="D603" s="179"/>
      <c r="E603" s="180"/>
      <c r="F603" s="1700" t="s">
        <v>5494</v>
      </c>
      <c r="G603" s="1701"/>
      <c r="H603" s="1089" t="str">
        <f>IF($H$2=1,0,"")</f>
        <v/>
      </c>
      <c r="I603" s="183"/>
      <c r="J603" s="178"/>
      <c r="K603" s="157">
        <f t="shared" si="72"/>
        <v>100</v>
      </c>
      <c r="L603" s="157">
        <f t="shared" si="73"/>
        <v>200</v>
      </c>
      <c r="M603" s="157">
        <f t="shared" si="74"/>
        <v>300</v>
      </c>
      <c r="N603" s="157">
        <f t="shared" si="75"/>
        <v>400</v>
      </c>
      <c r="O603" s="1030"/>
      <c r="P603" s="967"/>
      <c r="Q603" s="586"/>
      <c r="R603" s="968"/>
      <c r="S603" s="589"/>
      <c r="T603" s="589"/>
      <c r="U603" s="589"/>
    </row>
    <row r="604" spans="1:21" x14ac:dyDescent="0.35">
      <c r="A604" s="184"/>
      <c r="B604" s="185"/>
      <c r="C604" s="185"/>
      <c r="D604" s="179"/>
      <c r="E604" s="180"/>
      <c r="F604" s="186"/>
      <c r="G604" s="186"/>
      <c r="H604" s="187"/>
      <c r="I604" s="177"/>
      <c r="J604" s="178"/>
      <c r="K604" s="157">
        <f t="shared" si="72"/>
        <v>100</v>
      </c>
      <c r="L604" s="157">
        <f t="shared" si="73"/>
        <v>200</v>
      </c>
      <c r="M604" s="157">
        <f t="shared" si="74"/>
        <v>300</v>
      </c>
      <c r="N604" s="157">
        <f t="shared" si="75"/>
        <v>400</v>
      </c>
      <c r="O604" s="1030"/>
      <c r="P604" s="967"/>
      <c r="Q604" s="586"/>
      <c r="R604" s="968"/>
      <c r="S604" s="589"/>
      <c r="T604" s="589"/>
      <c r="U604" s="589"/>
    </row>
    <row r="605" spans="1:21" ht="15.75" customHeight="1" x14ac:dyDescent="0.35">
      <c r="A605" s="116"/>
      <c r="B605" s="185"/>
      <c r="C605" s="1711"/>
      <c r="D605" s="1712"/>
      <c r="E605" s="221"/>
      <c r="F605" s="1710" t="s">
        <v>5</v>
      </c>
      <c r="G605" s="1710"/>
      <c r="H605" s="222">
        <f>IF(ISNUMBER(H603),H603*H601,H602*H601)</f>
        <v>0</v>
      </c>
      <c r="I605" s="223"/>
      <c r="J605" s="224"/>
      <c r="K605" s="157">
        <f t="shared" si="72"/>
        <v>100</v>
      </c>
      <c r="L605" s="157">
        <f t="shared" si="73"/>
        <v>200</v>
      </c>
      <c r="M605" s="157">
        <f t="shared" si="74"/>
        <v>300</v>
      </c>
      <c r="N605" s="157">
        <f t="shared" si="75"/>
        <v>400</v>
      </c>
      <c r="O605" s="1030"/>
      <c r="P605" s="967"/>
      <c r="Q605" s="586"/>
      <c r="R605" s="968"/>
      <c r="S605" s="589"/>
      <c r="T605" s="589"/>
      <c r="U605" s="589"/>
    </row>
    <row r="606" spans="1:21" x14ac:dyDescent="0.35">
      <c r="B606" s="185"/>
      <c r="K606" s="157">
        <f t="shared" si="72"/>
        <v>100</v>
      </c>
      <c r="L606" s="157">
        <f t="shared" si="73"/>
        <v>200</v>
      </c>
      <c r="M606" s="157">
        <f t="shared" si="74"/>
        <v>300</v>
      </c>
      <c r="N606" s="157">
        <f t="shared" si="75"/>
        <v>400</v>
      </c>
      <c r="O606" s="967"/>
      <c r="P606" s="967"/>
      <c r="Q606" s="586"/>
      <c r="R606" s="968"/>
      <c r="S606" s="589"/>
      <c r="T606" s="589"/>
      <c r="U606" s="589"/>
    </row>
    <row r="607" spans="1:21" ht="7.5" customHeight="1" x14ac:dyDescent="0.35">
      <c r="A607" s="116"/>
      <c r="B607" s="117"/>
      <c r="C607" s="117"/>
      <c r="D607" s="116"/>
      <c r="E607" s="116"/>
      <c r="F607" s="118"/>
      <c r="G607" s="119"/>
      <c r="H607" s="116"/>
      <c r="I607" s="120"/>
      <c r="J607" s="121"/>
      <c r="K607" s="157">
        <f t="shared" si="72"/>
        <v>100</v>
      </c>
      <c r="L607" s="157">
        <f t="shared" si="73"/>
        <v>200</v>
      </c>
      <c r="M607" s="157">
        <f t="shared" si="74"/>
        <v>300</v>
      </c>
      <c r="N607" s="157">
        <f t="shared" si="75"/>
        <v>400</v>
      </c>
      <c r="O607" s="968"/>
      <c r="P607" s="968"/>
      <c r="Q607" s="586"/>
      <c r="R607" s="968"/>
      <c r="S607" s="589"/>
      <c r="T607" s="589"/>
      <c r="U607" s="589"/>
    </row>
    <row r="608" spans="1:21" ht="15.5" x14ac:dyDescent="0.35">
      <c r="A608" s="124"/>
      <c r="B608" s="125"/>
      <c r="C608" s="126" t="s">
        <v>4784</v>
      </c>
      <c r="D608" s="127" t="s">
        <v>4352</v>
      </c>
      <c r="E608" s="128"/>
      <c r="F608" s="129" t="str">
        <f>IF($F$3=1,O608,"")</f>
        <v>B.1.5 Mitbestimmung - Relevante Auswirkung</v>
      </c>
      <c r="G608" s="130"/>
      <c r="H608" s="131"/>
      <c r="I608" s="520" t="s">
        <v>23</v>
      </c>
      <c r="J608" s="130"/>
      <c r="K608" s="157">
        <f t="shared" si="72"/>
        <v>100</v>
      </c>
      <c r="L608" s="157">
        <f t="shared" si="73"/>
        <v>200</v>
      </c>
      <c r="M608" s="157">
        <f t="shared" si="74"/>
        <v>300</v>
      </c>
      <c r="N608" s="157">
        <f t="shared" si="75"/>
        <v>400</v>
      </c>
      <c r="O608" s="967" t="str">
        <f>CONCATENATE(C608," ",D608)</f>
        <v>B.1.5 Mitbestimmung - Relevante Auswirkung</v>
      </c>
      <c r="P608" s="966"/>
      <c r="Q608" s="586"/>
      <c r="R608" s="968"/>
      <c r="S608" s="589"/>
      <c r="T608" s="589"/>
      <c r="U608" s="589"/>
    </row>
    <row r="609" spans="1:21" x14ac:dyDescent="0.35">
      <c r="A609" s="124"/>
      <c r="B609" s="134"/>
      <c r="C609" s="135"/>
      <c r="D609" s="136"/>
      <c r="E609" s="136"/>
      <c r="F609" s="137"/>
      <c r="G609" s="138"/>
      <c r="H609" s="124"/>
      <c r="I609" s="139"/>
      <c r="J609" s="140"/>
      <c r="K609" s="157">
        <f t="shared" si="72"/>
        <v>100</v>
      </c>
      <c r="L609" s="157">
        <f t="shared" si="73"/>
        <v>200</v>
      </c>
      <c r="M609" s="157">
        <f t="shared" si="74"/>
        <v>300</v>
      </c>
      <c r="N609" s="157">
        <f t="shared" si="75"/>
        <v>400</v>
      </c>
      <c r="O609" s="968"/>
      <c r="P609" s="966"/>
      <c r="Q609" s="586"/>
      <c r="R609" s="968"/>
      <c r="S609" s="589"/>
      <c r="T609" s="589"/>
      <c r="U609" s="589"/>
    </row>
    <row r="610" spans="1:21" ht="15" thickBot="1" x14ac:dyDescent="0.4">
      <c r="A610" s="142"/>
      <c r="B610" s="35"/>
      <c r="C610" s="143"/>
      <c r="D610" s="1685" t="s">
        <v>18</v>
      </c>
      <c r="E610" s="1686"/>
      <c r="F610" s="144" t="s">
        <v>19</v>
      </c>
      <c r="G610" s="145" t="s">
        <v>0</v>
      </c>
      <c r="H610" s="146" t="s">
        <v>20</v>
      </c>
      <c r="I610" s="147" t="s">
        <v>1</v>
      </c>
      <c r="J610" s="147" t="s">
        <v>4375</v>
      </c>
      <c r="K610" s="157">
        <f t="shared" si="72"/>
        <v>100</v>
      </c>
      <c r="L610" s="157">
        <f t="shared" si="73"/>
        <v>200</v>
      </c>
      <c r="M610" s="157">
        <f t="shared" si="74"/>
        <v>300</v>
      </c>
      <c r="N610" s="157">
        <f t="shared" si="75"/>
        <v>400</v>
      </c>
      <c r="O610" s="587"/>
      <c r="P610" s="1053"/>
      <c r="Q610" s="1054"/>
      <c r="R610" s="968"/>
      <c r="S610" s="589"/>
      <c r="T610" s="589"/>
      <c r="U610" s="589"/>
    </row>
    <row r="611" spans="1:21" x14ac:dyDescent="0.35">
      <c r="A611" s="123"/>
      <c r="B611" s="35"/>
      <c r="C611" s="151"/>
      <c r="D611" s="1687" t="s">
        <v>4669</v>
      </c>
      <c r="E611" s="1688"/>
      <c r="F611" s="225" t="s">
        <v>4571</v>
      </c>
      <c r="G611" s="153">
        <f t="shared" ref="G611" si="78">IF($H$2=1,S611,IF($H$2=2,T611,U611))</f>
        <v>1</v>
      </c>
      <c r="H611" s="1080">
        <f>VLOOKUP(F611,$P$611:$Q$614,2,0)*G611</f>
        <v>0</v>
      </c>
      <c r="I611" s="155"/>
      <c r="J611" s="156"/>
      <c r="K611" s="157">
        <f t="shared" si="72"/>
        <v>100</v>
      </c>
      <c r="L611" s="157">
        <f t="shared" si="73"/>
        <v>200</v>
      </c>
      <c r="M611" s="157">
        <f t="shared" si="74"/>
        <v>300</v>
      </c>
      <c r="N611" s="157">
        <f t="shared" si="75"/>
        <v>400</v>
      </c>
      <c r="O611" s="1051" t="str">
        <f>CONCATENATE(O608," | ",F611)</f>
        <v>B.1.5 Mitbestimmung - Relevante Auswirkung | Rückmeldungen nicht berücksichtigt</v>
      </c>
      <c r="P611" s="1057" t="s">
        <v>4571</v>
      </c>
      <c r="Q611" s="1058">
        <v>0</v>
      </c>
      <c r="R611" s="1052"/>
      <c r="S611" s="588">
        <v>0</v>
      </c>
      <c r="T611" s="588">
        <v>1</v>
      </c>
      <c r="U611" s="588">
        <v>1</v>
      </c>
    </row>
    <row r="612" spans="1:21" x14ac:dyDescent="0.35">
      <c r="A612" s="123"/>
      <c r="B612" s="35"/>
      <c r="C612" s="151"/>
      <c r="D612" s="1687"/>
      <c r="E612" s="1688"/>
      <c r="F612" s="159"/>
      <c r="G612" s="160"/>
      <c r="H612" s="161"/>
      <c r="I612" s="166"/>
      <c r="J612" s="164"/>
      <c r="K612" s="157">
        <f t="shared" si="72"/>
        <v>100</v>
      </c>
      <c r="L612" s="157">
        <f t="shared" si="73"/>
        <v>200</v>
      </c>
      <c r="M612" s="157">
        <f t="shared" si="74"/>
        <v>300</v>
      </c>
      <c r="N612" s="157">
        <f t="shared" si="75"/>
        <v>400</v>
      </c>
      <c r="O612" s="1051"/>
      <c r="P612" s="1059" t="s">
        <v>4570</v>
      </c>
      <c r="Q612" s="1060">
        <v>0.25</v>
      </c>
      <c r="R612" s="1052"/>
      <c r="S612" s="589"/>
      <c r="T612" s="589"/>
      <c r="U612" s="589"/>
    </row>
    <row r="613" spans="1:21" ht="24" x14ac:dyDescent="0.35">
      <c r="A613" s="123"/>
      <c r="B613" s="35"/>
      <c r="C613" s="151"/>
      <c r="D613" s="1687"/>
      <c r="E613" s="1688"/>
      <c r="F613" s="225" t="s">
        <v>5509</v>
      </c>
      <c r="G613" s="153">
        <f>IF($H$2=1,S616,IF($H$2=2,T616,U616))</f>
        <v>0</v>
      </c>
      <c r="H613" s="1080">
        <f>VLOOKUP(F613,$P$616:$Q$617,2,0)*G613</f>
        <v>0</v>
      </c>
      <c r="I613" s="158"/>
      <c r="J613" s="156"/>
      <c r="K613" s="157">
        <f t="shared" si="72"/>
        <v>100</v>
      </c>
      <c r="L613" s="157">
        <f t="shared" si="73"/>
        <v>200</v>
      </c>
      <c r="M613" s="157">
        <f t="shared" si="74"/>
        <v>300</v>
      </c>
      <c r="N613" s="157">
        <f t="shared" si="75"/>
        <v>400</v>
      </c>
      <c r="O613" s="1051" t="str">
        <f>CONCATENATE(O608," | ",F613)</f>
        <v>B.1.5 Mitbestimmung - Relevante Auswirkung | Die aus der Miet- und Eigentümerbefragung ableitbaren Maßnahmen werden NICHT berücksichtigt</v>
      </c>
      <c r="P613" s="1059" t="s">
        <v>4351</v>
      </c>
      <c r="Q613" s="1060">
        <v>0.5</v>
      </c>
      <c r="R613" s="1052"/>
      <c r="S613" s="588"/>
      <c r="T613" s="588"/>
      <c r="U613" s="588"/>
    </row>
    <row r="614" spans="1:21" ht="15" thickBot="1" x14ac:dyDescent="0.4">
      <c r="A614" s="123">
        <v>3.2</v>
      </c>
      <c r="B614" s="35"/>
      <c r="C614" s="151"/>
      <c r="D614" s="1687"/>
      <c r="E614" s="1688"/>
      <c r="F614" s="159"/>
      <c r="G614" s="160"/>
      <c r="H614" s="161"/>
      <c r="I614" s="166"/>
      <c r="J614" s="164"/>
      <c r="K614" s="157">
        <f t="shared" si="72"/>
        <v>100</v>
      </c>
      <c r="L614" s="157">
        <f t="shared" si="73"/>
        <v>200</v>
      </c>
      <c r="M614" s="157">
        <f t="shared" si="74"/>
        <v>300</v>
      </c>
      <c r="N614" s="157">
        <f t="shared" si="75"/>
        <v>400</v>
      </c>
      <c r="O614" s="1051"/>
      <c r="P614" s="1061" t="s">
        <v>4569</v>
      </c>
      <c r="Q614" s="1062">
        <v>1</v>
      </c>
      <c r="R614" s="1052"/>
      <c r="S614" s="589"/>
      <c r="T614" s="589"/>
      <c r="U614" s="589"/>
    </row>
    <row r="615" spans="1:21" ht="15" thickBot="1" x14ac:dyDescent="0.4">
      <c r="A615" s="123"/>
      <c r="B615" s="35"/>
      <c r="C615" s="151"/>
      <c r="D615" s="1687"/>
      <c r="E615" s="1688"/>
      <c r="F615" s="159"/>
      <c r="G615" s="160"/>
      <c r="H615" s="161"/>
      <c r="I615" s="166"/>
      <c r="J615" s="164"/>
      <c r="K615" s="157">
        <f t="shared" si="72"/>
        <v>100</v>
      </c>
      <c r="L615" s="157">
        <f t="shared" si="73"/>
        <v>200</v>
      </c>
      <c r="M615" s="157">
        <f t="shared" si="74"/>
        <v>300</v>
      </c>
      <c r="N615" s="157">
        <f t="shared" si="75"/>
        <v>400</v>
      </c>
      <c r="O615" s="967"/>
      <c r="P615" s="1067"/>
      <c r="Q615" s="1081"/>
      <c r="R615" s="968"/>
      <c r="S615" s="589"/>
      <c r="T615" s="589"/>
      <c r="U615" s="589"/>
    </row>
    <row r="616" spans="1:21" x14ac:dyDescent="0.35">
      <c r="A616" s="116"/>
      <c r="B616" s="35"/>
      <c r="C616" s="117"/>
      <c r="D616" s="1687"/>
      <c r="E616" s="1688"/>
      <c r="F616" s="159"/>
      <c r="G616" s="160"/>
      <c r="H616" s="161"/>
      <c r="I616" s="162"/>
      <c r="J616" s="164"/>
      <c r="K616" s="157">
        <f t="shared" si="72"/>
        <v>100</v>
      </c>
      <c r="L616" s="157">
        <f t="shared" si="73"/>
        <v>200</v>
      </c>
      <c r="M616" s="157">
        <f t="shared" si="74"/>
        <v>300</v>
      </c>
      <c r="N616" s="157">
        <f t="shared" si="75"/>
        <v>400</v>
      </c>
      <c r="O616" s="1063"/>
      <c r="P616" s="1072" t="s">
        <v>5509</v>
      </c>
      <c r="Q616" s="1058">
        <v>0</v>
      </c>
      <c r="R616" s="1052"/>
      <c r="S616" s="588">
        <v>1</v>
      </c>
      <c r="T616" s="588">
        <v>0</v>
      </c>
      <c r="U616" s="588">
        <v>0</v>
      </c>
    </row>
    <row r="617" spans="1:21" ht="15" thickBot="1" x14ac:dyDescent="0.4">
      <c r="A617" s="116"/>
      <c r="B617" s="35"/>
      <c r="C617" s="117"/>
      <c r="D617" s="1687"/>
      <c r="E617" s="1688"/>
      <c r="F617" s="159"/>
      <c r="G617" s="160"/>
      <c r="H617" s="161"/>
      <c r="I617" s="162"/>
      <c r="J617" s="164"/>
      <c r="K617" s="157">
        <f t="shared" si="72"/>
        <v>100</v>
      </c>
      <c r="L617" s="157">
        <f t="shared" si="73"/>
        <v>200</v>
      </c>
      <c r="M617" s="157">
        <f t="shared" si="74"/>
        <v>300</v>
      </c>
      <c r="N617" s="157">
        <f t="shared" si="75"/>
        <v>400</v>
      </c>
      <c r="O617" s="1063"/>
      <c r="P617" s="1073" t="s">
        <v>5510</v>
      </c>
      <c r="Q617" s="1062">
        <v>1</v>
      </c>
      <c r="R617" s="1052"/>
      <c r="S617" s="589"/>
      <c r="T617" s="589"/>
      <c r="U617" s="589"/>
    </row>
    <row r="618" spans="1:21" x14ac:dyDescent="0.35">
      <c r="A618" s="116"/>
      <c r="B618" s="35"/>
      <c r="C618" s="117"/>
      <c r="D618" s="1687"/>
      <c r="E618" s="1688"/>
      <c r="F618" s="159"/>
      <c r="G618" s="160"/>
      <c r="H618" s="161"/>
      <c r="I618" s="162"/>
      <c r="J618" s="164"/>
      <c r="K618" s="157">
        <f t="shared" si="72"/>
        <v>100</v>
      </c>
      <c r="L618" s="157">
        <f t="shared" si="73"/>
        <v>200</v>
      </c>
      <c r="M618" s="157">
        <f t="shared" si="74"/>
        <v>300</v>
      </c>
      <c r="N618" s="157">
        <f t="shared" si="75"/>
        <v>400</v>
      </c>
      <c r="O618" s="959"/>
      <c r="P618" s="1055"/>
      <c r="Q618" s="1064"/>
      <c r="R618" s="968"/>
      <c r="S618" s="589"/>
      <c r="T618" s="589"/>
      <c r="U618" s="589"/>
    </row>
    <row r="619" spans="1:21" x14ac:dyDescent="0.35">
      <c r="A619" s="123"/>
      <c r="B619" s="35"/>
      <c r="C619" s="151"/>
      <c r="D619" s="1687"/>
      <c r="E619" s="1688"/>
      <c r="F619" s="165"/>
      <c r="G619" s="160"/>
      <c r="H619" s="161"/>
      <c r="I619" s="166"/>
      <c r="J619" s="167"/>
      <c r="K619" s="157">
        <f t="shared" si="72"/>
        <v>100</v>
      </c>
      <c r="L619" s="157">
        <f t="shared" si="73"/>
        <v>200</v>
      </c>
      <c r="M619" s="157">
        <f t="shared" si="74"/>
        <v>300</v>
      </c>
      <c r="N619" s="157">
        <f t="shared" si="75"/>
        <v>400</v>
      </c>
      <c r="O619" s="959"/>
      <c r="P619" s="967"/>
      <c r="Q619" s="586"/>
      <c r="R619" s="968"/>
      <c r="S619" s="589"/>
      <c r="T619" s="589"/>
      <c r="U619" s="589"/>
    </row>
    <row r="620" spans="1:21" x14ac:dyDescent="0.35">
      <c r="A620" s="116"/>
      <c r="B620" s="35"/>
      <c r="C620" s="117"/>
      <c r="D620" s="1687"/>
      <c r="E620" s="1688"/>
      <c r="F620" s="159"/>
      <c r="G620" s="160"/>
      <c r="H620" s="168"/>
      <c r="I620" s="162"/>
      <c r="J620" s="164"/>
      <c r="K620" s="157">
        <f t="shared" ref="K620:K683" si="79">IF($J620=$K$41,K619+1,K619+0)</f>
        <v>100</v>
      </c>
      <c r="L620" s="157">
        <f t="shared" ref="L620:L683" si="80">IF($J620=$L$41,L619+1,L619+0)</f>
        <v>200</v>
      </c>
      <c r="M620" s="157">
        <f t="shared" ref="M620:M683" si="81">IF($J620=$M$41,M619+1,M619+0)</f>
        <v>300</v>
      </c>
      <c r="N620" s="157">
        <f t="shared" ref="N620:N683" si="82">IF($J620=$N$41,N619+1,N619+0)</f>
        <v>400</v>
      </c>
      <c r="O620" s="959"/>
      <c r="P620" s="967"/>
      <c r="Q620" s="586"/>
      <c r="R620" s="968"/>
      <c r="S620" s="589"/>
      <c r="T620" s="589"/>
      <c r="U620" s="589"/>
    </row>
    <row r="621" spans="1:21" x14ac:dyDescent="0.35">
      <c r="A621" s="116"/>
      <c r="B621" s="117"/>
      <c r="C621" s="117"/>
      <c r="D621" s="1687"/>
      <c r="E621" s="1688"/>
      <c r="F621" s="159"/>
      <c r="G621" s="160"/>
      <c r="H621" s="168"/>
      <c r="I621" s="162"/>
      <c r="J621" s="164"/>
      <c r="K621" s="157">
        <f t="shared" si="79"/>
        <v>100</v>
      </c>
      <c r="L621" s="157">
        <f t="shared" si="80"/>
        <v>200</v>
      </c>
      <c r="M621" s="157">
        <f t="shared" si="81"/>
        <v>300</v>
      </c>
      <c r="N621" s="157">
        <f t="shared" si="82"/>
        <v>400</v>
      </c>
      <c r="O621" s="959"/>
      <c r="P621" s="967"/>
      <c r="Q621" s="586"/>
      <c r="R621" s="968"/>
      <c r="S621" s="589"/>
      <c r="T621" s="589"/>
      <c r="U621" s="589"/>
    </row>
    <row r="622" spans="1:21" x14ac:dyDescent="0.35">
      <c r="A622" s="116"/>
      <c r="B622" s="117"/>
      <c r="C622" s="117"/>
      <c r="D622" s="1687"/>
      <c r="E622" s="1688"/>
      <c r="F622" s="169"/>
      <c r="G622" s="170"/>
      <c r="H622" s="171"/>
      <c r="I622" s="172"/>
      <c r="J622" s="173"/>
      <c r="K622" s="157">
        <f t="shared" si="79"/>
        <v>100</v>
      </c>
      <c r="L622" s="157">
        <f t="shared" si="80"/>
        <v>200</v>
      </c>
      <c r="M622" s="157">
        <f t="shared" si="81"/>
        <v>300</v>
      </c>
      <c r="N622" s="157">
        <f t="shared" si="82"/>
        <v>400</v>
      </c>
      <c r="O622" s="959"/>
      <c r="P622" s="967"/>
      <c r="Q622" s="586"/>
      <c r="R622" s="968"/>
      <c r="S622" s="589"/>
      <c r="T622" s="589"/>
      <c r="U622" s="589"/>
    </row>
    <row r="623" spans="1:21" ht="28.5" customHeight="1" x14ac:dyDescent="0.35">
      <c r="A623" s="116"/>
      <c r="B623" s="117"/>
      <c r="C623" s="117"/>
      <c r="D623" s="174"/>
      <c r="E623" s="175"/>
      <c r="F623" s="1689" t="s">
        <v>2</v>
      </c>
      <c r="G623" s="1689"/>
      <c r="H623" s="176">
        <f>IF(O623&gt;1,"Zielerreichung übersteigt 100%!",O623)</f>
        <v>0</v>
      </c>
      <c r="I623" s="177"/>
      <c r="J623" s="178"/>
      <c r="K623" s="157">
        <f t="shared" si="79"/>
        <v>100</v>
      </c>
      <c r="L623" s="157">
        <f t="shared" si="80"/>
        <v>200</v>
      </c>
      <c r="M623" s="157">
        <f t="shared" si="81"/>
        <v>300</v>
      </c>
      <c r="N623" s="157">
        <f t="shared" si="82"/>
        <v>400</v>
      </c>
      <c r="O623" s="959">
        <f>SUM(H611:H622)</f>
        <v>0</v>
      </c>
      <c r="P623" s="967"/>
      <c r="Q623" s="586"/>
      <c r="R623" s="968"/>
      <c r="S623" s="589"/>
      <c r="T623" s="589"/>
      <c r="U623" s="589"/>
    </row>
    <row r="624" spans="1:21" x14ac:dyDescent="0.35">
      <c r="A624" s="116"/>
      <c r="B624" s="117"/>
      <c r="C624" s="117"/>
      <c r="D624" s="179"/>
      <c r="E624" s="180"/>
      <c r="F624" s="1690" t="s">
        <v>3</v>
      </c>
      <c r="G624" s="1691"/>
      <c r="H624" s="181">
        <v>15</v>
      </c>
      <c r="I624" s="177"/>
      <c r="J624" s="178"/>
      <c r="K624" s="157">
        <f t="shared" si="79"/>
        <v>100</v>
      </c>
      <c r="L624" s="157">
        <f t="shared" si="80"/>
        <v>200</v>
      </c>
      <c r="M624" s="157">
        <f t="shared" si="81"/>
        <v>300</v>
      </c>
      <c r="N624" s="157">
        <f t="shared" si="82"/>
        <v>400</v>
      </c>
      <c r="O624" s="1030"/>
      <c r="P624" s="967"/>
      <c r="Q624" s="586"/>
      <c r="R624" s="968"/>
      <c r="S624" s="589"/>
      <c r="T624" s="589"/>
      <c r="U624" s="589"/>
    </row>
    <row r="625" spans="1:21" x14ac:dyDescent="0.35">
      <c r="A625" s="116"/>
      <c r="B625" s="117"/>
      <c r="C625" s="117"/>
      <c r="D625" s="179"/>
      <c r="E625" s="180"/>
      <c r="F625" s="1700" t="s">
        <v>5494</v>
      </c>
      <c r="G625" s="1701"/>
      <c r="H625" s="1089" t="str">
        <f>IF($H$2=1,25,"")</f>
        <v/>
      </c>
      <c r="I625" s="183"/>
      <c r="J625" s="178"/>
      <c r="K625" s="157">
        <f t="shared" si="79"/>
        <v>100</v>
      </c>
      <c r="L625" s="157">
        <f t="shared" si="80"/>
        <v>200</v>
      </c>
      <c r="M625" s="157">
        <f t="shared" si="81"/>
        <v>300</v>
      </c>
      <c r="N625" s="157">
        <f t="shared" si="82"/>
        <v>400</v>
      </c>
      <c r="O625" s="1030"/>
      <c r="P625" s="967"/>
      <c r="Q625" s="586"/>
      <c r="R625" s="968"/>
      <c r="S625" s="589"/>
      <c r="T625" s="589"/>
      <c r="U625" s="589"/>
    </row>
    <row r="626" spans="1:21" x14ac:dyDescent="0.35">
      <c r="A626" s="184"/>
      <c r="B626" s="185"/>
      <c r="C626" s="185"/>
      <c r="D626" s="179"/>
      <c r="E626" s="180"/>
      <c r="F626" s="186"/>
      <c r="G626" s="186"/>
      <c r="H626" s="187"/>
      <c r="I626" s="177"/>
      <c r="J626" s="178"/>
      <c r="K626" s="157">
        <f t="shared" si="79"/>
        <v>100</v>
      </c>
      <c r="L626" s="157">
        <f t="shared" si="80"/>
        <v>200</v>
      </c>
      <c r="M626" s="157">
        <f t="shared" si="81"/>
        <v>300</v>
      </c>
      <c r="N626" s="157">
        <f t="shared" si="82"/>
        <v>400</v>
      </c>
      <c r="O626" s="1030"/>
      <c r="P626" s="967"/>
      <c r="Q626" s="586"/>
      <c r="R626" s="968"/>
      <c r="S626" s="589"/>
      <c r="T626" s="589"/>
      <c r="U626" s="589"/>
    </row>
    <row r="627" spans="1:21" ht="15.5" x14ac:dyDescent="0.35">
      <c r="A627" s="116"/>
      <c r="B627" s="117"/>
      <c r="C627" s="1711"/>
      <c r="D627" s="1712"/>
      <c r="E627" s="221"/>
      <c r="F627" s="1710" t="s">
        <v>5</v>
      </c>
      <c r="G627" s="1710"/>
      <c r="H627" s="222">
        <f>IF(ISNUMBER(H625),H625*H623,H624*H623)</f>
        <v>0</v>
      </c>
      <c r="I627" s="223"/>
      <c r="J627" s="224"/>
      <c r="K627" s="157">
        <f t="shared" si="79"/>
        <v>100</v>
      </c>
      <c r="L627" s="157">
        <f t="shared" si="80"/>
        <v>200</v>
      </c>
      <c r="M627" s="157">
        <f t="shared" si="81"/>
        <v>300</v>
      </c>
      <c r="N627" s="157">
        <f t="shared" si="82"/>
        <v>400</v>
      </c>
      <c r="O627" s="1030"/>
      <c r="P627" s="967"/>
      <c r="Q627" s="586"/>
      <c r="R627" s="968"/>
      <c r="S627" s="589"/>
      <c r="T627" s="589"/>
      <c r="U627" s="589"/>
    </row>
    <row r="628" spans="1:21" x14ac:dyDescent="0.35">
      <c r="B628" s="185"/>
      <c r="K628" s="157">
        <f t="shared" si="79"/>
        <v>100</v>
      </c>
      <c r="L628" s="157">
        <f t="shared" si="80"/>
        <v>200</v>
      </c>
      <c r="M628" s="157">
        <f t="shared" si="81"/>
        <v>300</v>
      </c>
      <c r="N628" s="157">
        <f t="shared" si="82"/>
        <v>400</v>
      </c>
      <c r="O628" s="967"/>
      <c r="P628" s="967"/>
      <c r="Q628" s="586"/>
      <c r="R628" s="968"/>
      <c r="S628" s="589"/>
      <c r="T628" s="589"/>
      <c r="U628" s="589"/>
    </row>
    <row r="629" spans="1:21" x14ac:dyDescent="0.35">
      <c r="K629" s="157">
        <f t="shared" si="79"/>
        <v>100</v>
      </c>
      <c r="L629" s="157">
        <f t="shared" si="80"/>
        <v>200</v>
      </c>
      <c r="M629" s="157">
        <f t="shared" si="81"/>
        <v>300</v>
      </c>
      <c r="N629" s="157">
        <f t="shared" si="82"/>
        <v>400</v>
      </c>
      <c r="O629" s="967"/>
      <c r="P629" s="967"/>
      <c r="Q629" s="586"/>
      <c r="R629" s="968"/>
      <c r="S629" s="589"/>
      <c r="T629" s="589"/>
      <c r="U629" s="589"/>
    </row>
    <row r="630" spans="1:21" ht="15.5" x14ac:dyDescent="0.35">
      <c r="A630" s="208"/>
      <c r="B630" s="209" t="s">
        <v>4786</v>
      </c>
      <c r="C630" s="209" t="s">
        <v>2075</v>
      </c>
      <c r="D630" s="210"/>
      <c r="E630" s="210"/>
      <c r="F630" s="211" t="str">
        <f>IF($F$3=1,O630,"")</f>
        <v>B.2 Sensibilisierung zu Energie- und Mobilitätsthemen</v>
      </c>
      <c r="G630" s="212"/>
      <c r="H630" s="213"/>
      <c r="I630" s="214"/>
      <c r="J630" s="215"/>
      <c r="K630" s="157">
        <f t="shared" si="79"/>
        <v>100</v>
      </c>
      <c r="L630" s="157">
        <f t="shared" si="80"/>
        <v>200</v>
      </c>
      <c r="M630" s="157">
        <f t="shared" si="81"/>
        <v>300</v>
      </c>
      <c r="N630" s="157">
        <f t="shared" si="82"/>
        <v>400</v>
      </c>
      <c r="O630" s="967" t="str">
        <f>CONCATENATE(B630," ",C630)</f>
        <v>B.2 Sensibilisierung zu Energie- und Mobilitätsthemen</v>
      </c>
      <c r="P630" s="958"/>
      <c r="Q630" s="586"/>
      <c r="R630" s="968"/>
      <c r="S630" s="589"/>
      <c r="T630" s="589"/>
      <c r="U630" s="589"/>
    </row>
    <row r="631" spans="1:21" ht="15.5" x14ac:dyDescent="0.35">
      <c r="A631" s="208"/>
      <c r="B631" s="216"/>
      <c r="C631" s="216"/>
      <c r="D631" s="208"/>
      <c r="E631" s="208"/>
      <c r="F631" s="16"/>
      <c r="G631" s="217"/>
      <c r="H631" s="218"/>
      <c r="I631" s="219"/>
      <c r="J631" s="220"/>
      <c r="K631" s="157">
        <f t="shared" si="79"/>
        <v>100</v>
      </c>
      <c r="L631" s="157">
        <f t="shared" si="80"/>
        <v>200</v>
      </c>
      <c r="M631" s="157">
        <f t="shared" si="81"/>
        <v>300</v>
      </c>
      <c r="N631" s="157">
        <f t="shared" si="82"/>
        <v>400</v>
      </c>
      <c r="O631" s="967"/>
      <c r="P631" s="958"/>
      <c r="Q631" s="586"/>
      <c r="R631" s="968"/>
      <c r="S631" s="589"/>
      <c r="T631" s="589"/>
      <c r="U631" s="589"/>
    </row>
    <row r="632" spans="1:21" ht="7.5" customHeight="1" x14ac:dyDescent="0.35">
      <c r="A632" s="116"/>
      <c r="B632" s="117"/>
      <c r="C632" s="117"/>
      <c r="D632" s="116"/>
      <c r="E632" s="116"/>
      <c r="F632" s="118"/>
      <c r="G632" s="119"/>
      <c r="H632" s="116"/>
      <c r="I632" s="120"/>
      <c r="J632" s="121"/>
      <c r="K632" s="157">
        <f t="shared" si="79"/>
        <v>100</v>
      </c>
      <c r="L632" s="157">
        <f t="shared" si="80"/>
        <v>200</v>
      </c>
      <c r="M632" s="157">
        <f t="shared" si="81"/>
        <v>300</v>
      </c>
      <c r="N632" s="157">
        <f t="shared" si="82"/>
        <v>400</v>
      </c>
      <c r="O632" s="968"/>
      <c r="P632" s="968"/>
      <c r="Q632" s="586"/>
      <c r="R632" s="968"/>
      <c r="S632" s="589"/>
      <c r="T632" s="589"/>
      <c r="U632" s="589"/>
    </row>
    <row r="633" spans="1:21" ht="15.5" x14ac:dyDescent="0.35">
      <c r="A633" s="124"/>
      <c r="B633" s="125"/>
      <c r="C633" s="126" t="s">
        <v>4785</v>
      </c>
      <c r="D633" s="127" t="s">
        <v>5433</v>
      </c>
      <c r="E633" s="128"/>
      <c r="F633" s="129" t="str">
        <f>IF($F$3=1,O633,"")</f>
        <v>B.2.1 Konzept "Energie-, Wasser- und Abfallmarketing"</v>
      </c>
      <c r="G633" s="204"/>
      <c r="H633" s="205"/>
      <c r="I633" s="520" t="s">
        <v>23</v>
      </c>
      <c r="J633" s="130"/>
      <c r="K633" s="157">
        <f t="shared" si="79"/>
        <v>100</v>
      </c>
      <c r="L633" s="157">
        <f t="shared" si="80"/>
        <v>200</v>
      </c>
      <c r="M633" s="157">
        <f t="shared" si="81"/>
        <v>300</v>
      </c>
      <c r="N633" s="157">
        <f t="shared" si="82"/>
        <v>400</v>
      </c>
      <c r="O633" s="967" t="str">
        <f>CONCATENATE(C633," ",D633)</f>
        <v>B.2.1 Konzept "Energie-, Wasser- und Abfallmarketing"</v>
      </c>
      <c r="P633" s="966"/>
      <c r="Q633" s="586"/>
      <c r="R633" s="968"/>
      <c r="S633" s="589"/>
      <c r="T633" s="589"/>
      <c r="U633" s="589"/>
    </row>
    <row r="634" spans="1:21" x14ac:dyDescent="0.35">
      <c r="A634" s="124"/>
      <c r="B634" s="134"/>
      <c r="C634" s="135"/>
      <c r="D634" s="136"/>
      <c r="E634" s="136"/>
      <c r="F634" s="137"/>
      <c r="G634" s="138"/>
      <c r="H634" s="124"/>
      <c r="I634" s="139"/>
      <c r="J634" s="140"/>
      <c r="K634" s="157">
        <f t="shared" si="79"/>
        <v>100</v>
      </c>
      <c r="L634" s="157">
        <f t="shared" si="80"/>
        <v>200</v>
      </c>
      <c r="M634" s="157">
        <f t="shared" si="81"/>
        <v>300</v>
      </c>
      <c r="N634" s="157">
        <f t="shared" si="82"/>
        <v>400</v>
      </c>
      <c r="O634" s="968"/>
      <c r="P634" s="966"/>
      <c r="Q634" s="586"/>
      <c r="R634" s="968"/>
      <c r="S634" s="589"/>
      <c r="T634" s="589"/>
      <c r="U634" s="589"/>
    </row>
    <row r="635" spans="1:21" x14ac:dyDescent="0.35">
      <c r="A635" s="142"/>
      <c r="B635" s="35"/>
      <c r="C635" s="143"/>
      <c r="D635" s="1685" t="s">
        <v>18</v>
      </c>
      <c r="E635" s="1686"/>
      <c r="F635" s="144" t="s">
        <v>19</v>
      </c>
      <c r="G635" s="145" t="s">
        <v>0</v>
      </c>
      <c r="H635" s="146" t="s">
        <v>20</v>
      </c>
      <c r="I635" s="147" t="s">
        <v>1</v>
      </c>
      <c r="J635" s="147" t="s">
        <v>4375</v>
      </c>
      <c r="K635" s="157">
        <f t="shared" si="79"/>
        <v>100</v>
      </c>
      <c r="L635" s="157">
        <f t="shared" si="80"/>
        <v>200</v>
      </c>
      <c r="M635" s="157">
        <f t="shared" si="81"/>
        <v>300</v>
      </c>
      <c r="N635" s="157">
        <f t="shared" si="82"/>
        <v>400</v>
      </c>
      <c r="O635" s="587"/>
      <c r="P635" s="967"/>
      <c r="Q635" s="586"/>
      <c r="R635" s="968"/>
      <c r="S635" s="589"/>
      <c r="T635" s="589"/>
      <c r="U635" s="589"/>
    </row>
    <row r="636" spans="1:21" ht="48" x14ac:dyDescent="0.35">
      <c r="A636" s="123"/>
      <c r="B636" s="35"/>
      <c r="C636" s="151"/>
      <c r="D636" s="1708" t="s">
        <v>5371</v>
      </c>
      <c r="E636" s="1709"/>
      <c r="F636" s="152" t="s">
        <v>4560</v>
      </c>
      <c r="G636" s="153">
        <f t="shared" ref="G636:G639" si="83">IF($H$2=1,S636,IF($H$2=2,T636,U636))</f>
        <v>0.25</v>
      </c>
      <c r="H636" s="154"/>
      <c r="I636" s="155"/>
      <c r="J636" s="156"/>
      <c r="K636" s="157">
        <f t="shared" si="79"/>
        <v>100</v>
      </c>
      <c r="L636" s="157">
        <f t="shared" si="80"/>
        <v>200</v>
      </c>
      <c r="M636" s="157">
        <f t="shared" si="81"/>
        <v>300</v>
      </c>
      <c r="N636" s="157">
        <f t="shared" si="82"/>
        <v>400</v>
      </c>
      <c r="O636" s="967" t="str">
        <f>CONCATENATE(O633," | ",F636)</f>
        <v>B.2.1 Konzept "Energie-, Wasser- und Abfallmarketing" | Planung von Sensibilisierungsaktionen, Veranstaltungen, Informations- und Austauschformaten in Zusammenarbeit mit verschiedenen Partnern zu allen drei Themen</v>
      </c>
      <c r="P636" s="967"/>
      <c r="Q636" s="586"/>
      <c r="R636" s="968"/>
      <c r="S636" s="1027">
        <v>0</v>
      </c>
      <c r="T636" s="1027">
        <v>0.12</v>
      </c>
      <c r="U636" s="588">
        <v>0.25</v>
      </c>
    </row>
    <row r="637" spans="1:21" ht="36" x14ac:dyDescent="0.35">
      <c r="A637" s="123"/>
      <c r="B637" s="35"/>
      <c r="C637" s="151"/>
      <c r="D637" s="1708"/>
      <c r="E637" s="1709"/>
      <c r="F637" s="152" t="s">
        <v>4561</v>
      </c>
      <c r="G637" s="153">
        <f t="shared" si="83"/>
        <v>0.25</v>
      </c>
      <c r="H637" s="154"/>
      <c r="I637" s="158"/>
      <c r="J637" s="156"/>
      <c r="K637" s="157">
        <f t="shared" si="79"/>
        <v>100</v>
      </c>
      <c r="L637" s="157">
        <f t="shared" si="80"/>
        <v>200</v>
      </c>
      <c r="M637" s="157">
        <f t="shared" si="81"/>
        <v>300</v>
      </c>
      <c r="N637" s="157">
        <f t="shared" si="82"/>
        <v>400</v>
      </c>
      <c r="O637" s="967" t="str">
        <f>CONCATENATE(O633," | ",F637)</f>
        <v>B.2.1 Konzept "Energie-, Wasser- und Abfallmarketing" | Erstellung/Erarbeitung von Informationsmaterial zu allen drei Themen (geeignete Form z.B. Print, Webseite etc.)</v>
      </c>
      <c r="P637" s="967"/>
      <c r="Q637" s="586"/>
      <c r="R637" s="968"/>
      <c r="S637" s="1027">
        <v>0</v>
      </c>
      <c r="T637" s="1027">
        <v>0.12</v>
      </c>
      <c r="U637" s="588">
        <v>0.25</v>
      </c>
    </row>
    <row r="638" spans="1:21" x14ac:dyDescent="0.35">
      <c r="A638" s="123"/>
      <c r="B638" s="35"/>
      <c r="C638" s="151"/>
      <c r="D638" s="1708"/>
      <c r="E638" s="1709"/>
      <c r="F638" s="152" t="s">
        <v>4353</v>
      </c>
      <c r="G638" s="153">
        <f t="shared" si="83"/>
        <v>0.25</v>
      </c>
      <c r="H638" s="154"/>
      <c r="I638" s="158"/>
      <c r="J638" s="156"/>
      <c r="K638" s="157">
        <f t="shared" si="79"/>
        <v>100</v>
      </c>
      <c r="L638" s="157">
        <f t="shared" si="80"/>
        <v>200</v>
      </c>
      <c r="M638" s="157">
        <f t="shared" si="81"/>
        <v>300</v>
      </c>
      <c r="N638" s="157">
        <f t="shared" si="82"/>
        <v>400</v>
      </c>
      <c r="O638" s="967" t="str">
        <f>CONCATENATE(O633," | ",F638)</f>
        <v>B.2.1 Konzept "Energie-, Wasser- und Abfallmarketing" | Zielgruppenspezifische Ansprache vorgesehen</v>
      </c>
      <c r="P638" s="967"/>
      <c r="Q638" s="586"/>
      <c r="R638" s="968"/>
      <c r="S638" s="1027">
        <v>0</v>
      </c>
      <c r="T638" s="1027">
        <v>0.13</v>
      </c>
      <c r="U638" s="588">
        <v>0.25</v>
      </c>
    </row>
    <row r="639" spans="1:21" x14ac:dyDescent="0.35">
      <c r="A639" s="123">
        <v>3.2</v>
      </c>
      <c r="B639" s="35"/>
      <c r="C639" s="151"/>
      <c r="D639" s="1708"/>
      <c r="E639" s="1709"/>
      <c r="F639" s="152" t="s">
        <v>4354</v>
      </c>
      <c r="G639" s="153">
        <f t="shared" si="83"/>
        <v>0.25</v>
      </c>
      <c r="H639" s="154"/>
      <c r="I639" s="158"/>
      <c r="J639" s="156"/>
      <c r="K639" s="157">
        <f t="shared" si="79"/>
        <v>100</v>
      </c>
      <c r="L639" s="157">
        <f t="shared" si="80"/>
        <v>200</v>
      </c>
      <c r="M639" s="157">
        <f t="shared" si="81"/>
        <v>300</v>
      </c>
      <c r="N639" s="157">
        <f t="shared" si="82"/>
        <v>400</v>
      </c>
      <c r="O639" s="967" t="str">
        <f>CONCATENATE(O633," | ",F639)</f>
        <v>B.2.1 Konzept "Energie-, Wasser- und Abfallmarketing" | Gesicherte Finanzierung der Umsetzungsmaßnahmen</v>
      </c>
      <c r="P639" s="967"/>
      <c r="Q639" s="586"/>
      <c r="R639" s="968"/>
      <c r="S639" s="1027">
        <v>0</v>
      </c>
      <c r="T639" s="1027">
        <v>0.13</v>
      </c>
      <c r="U639" s="588">
        <v>0.25</v>
      </c>
    </row>
    <row r="640" spans="1:21" x14ac:dyDescent="0.35">
      <c r="A640" s="123"/>
      <c r="B640" s="35"/>
      <c r="C640" s="151"/>
      <c r="D640" s="1708"/>
      <c r="E640" s="1709"/>
      <c r="F640" s="159"/>
      <c r="G640" s="160"/>
      <c r="H640" s="161"/>
      <c r="I640" s="166"/>
      <c r="J640" s="164"/>
      <c r="K640" s="157">
        <f t="shared" si="79"/>
        <v>100</v>
      </c>
      <c r="L640" s="157">
        <f t="shared" si="80"/>
        <v>200</v>
      </c>
      <c r="M640" s="157">
        <f t="shared" si="81"/>
        <v>300</v>
      </c>
      <c r="N640" s="157">
        <f t="shared" si="82"/>
        <v>400</v>
      </c>
      <c r="O640" s="967"/>
      <c r="P640" s="967"/>
      <c r="Q640" s="586"/>
      <c r="R640" s="968"/>
      <c r="S640" s="1028"/>
      <c r="T640" s="1028"/>
      <c r="U640" s="589"/>
    </row>
    <row r="641" spans="1:21" x14ac:dyDescent="0.35">
      <c r="A641" s="116"/>
      <c r="B641" s="35"/>
      <c r="C641" s="117"/>
      <c r="D641" s="1708"/>
      <c r="E641" s="1709"/>
      <c r="F641" s="593" t="str">
        <f>IF($G$2=1,R641,"Weiteres Kriterium in der Nutzung")</f>
        <v>Weiteres Kriterium in der Nutzung</v>
      </c>
      <c r="G641" s="153">
        <f t="shared" ref="G641:G645" si="84">IF($H$2=1,S641,IF($H$2=2,T641,U641))</f>
        <v>0</v>
      </c>
      <c r="H641" s="154"/>
      <c r="I641" s="158"/>
      <c r="J641" s="156"/>
      <c r="K641" s="157">
        <f t="shared" si="79"/>
        <v>100</v>
      </c>
      <c r="L641" s="157">
        <f t="shared" si="80"/>
        <v>200</v>
      </c>
      <c r="M641" s="157">
        <f t="shared" si="81"/>
        <v>300</v>
      </c>
      <c r="N641" s="157">
        <f t="shared" si="82"/>
        <v>400</v>
      </c>
      <c r="O641" s="967" t="str">
        <f>CONCATENATE(O633," | ",F641)</f>
        <v>B.2.1 Konzept "Energie-, Wasser- und Abfallmarketing" | Weiteres Kriterium in der Nutzung</v>
      </c>
      <c r="P641" s="967"/>
      <c r="Q641" s="586"/>
      <c r="R641" s="968" t="s">
        <v>5326</v>
      </c>
      <c r="S641" s="594">
        <v>0.12</v>
      </c>
      <c r="T641" s="588">
        <v>0.06</v>
      </c>
      <c r="U641" s="588">
        <v>0</v>
      </c>
    </row>
    <row r="642" spans="1:21" x14ac:dyDescent="0.35">
      <c r="A642" s="116"/>
      <c r="B642" s="35"/>
      <c r="C642" s="117"/>
      <c r="D642" s="1708"/>
      <c r="E642" s="1709"/>
      <c r="F642" s="593" t="str">
        <f t="shared" ref="F642:F645" si="85">IF($G$2=1,R642,"Weiteres Kriterium in der Nutzung")</f>
        <v>Weiteres Kriterium in der Nutzung</v>
      </c>
      <c r="G642" s="153">
        <f t="shared" si="84"/>
        <v>0</v>
      </c>
      <c r="H642" s="154"/>
      <c r="I642" s="158"/>
      <c r="J642" s="156"/>
      <c r="K642" s="157">
        <f t="shared" si="79"/>
        <v>100</v>
      </c>
      <c r="L642" s="157">
        <f t="shared" si="80"/>
        <v>200</v>
      </c>
      <c r="M642" s="157">
        <f t="shared" si="81"/>
        <v>300</v>
      </c>
      <c r="N642" s="157">
        <f t="shared" si="82"/>
        <v>400</v>
      </c>
      <c r="O642" s="967" t="str">
        <f>CONCATENATE(O633," | ",F642)</f>
        <v>B.2.1 Konzept "Energie-, Wasser- und Abfallmarketing" | Weiteres Kriterium in der Nutzung</v>
      </c>
      <c r="P642" s="967"/>
      <c r="Q642" s="586"/>
      <c r="R642" s="968" t="s">
        <v>5327</v>
      </c>
      <c r="S642" s="594">
        <v>0.12</v>
      </c>
      <c r="T642" s="588">
        <v>0.06</v>
      </c>
      <c r="U642" s="588">
        <v>0</v>
      </c>
    </row>
    <row r="643" spans="1:21" x14ac:dyDescent="0.35">
      <c r="A643" s="116"/>
      <c r="B643" s="35"/>
      <c r="C643" s="117"/>
      <c r="D643" s="1708"/>
      <c r="E643" s="1709"/>
      <c r="F643" s="593" t="str">
        <f t="shared" si="85"/>
        <v>Weiteres Kriterium in der Nutzung</v>
      </c>
      <c r="G643" s="153">
        <f t="shared" si="84"/>
        <v>0</v>
      </c>
      <c r="H643" s="154"/>
      <c r="I643" s="158"/>
      <c r="J643" s="156"/>
      <c r="K643" s="157">
        <f t="shared" si="79"/>
        <v>100</v>
      </c>
      <c r="L643" s="157">
        <f t="shared" si="80"/>
        <v>200</v>
      </c>
      <c r="M643" s="157">
        <f t="shared" si="81"/>
        <v>300</v>
      </c>
      <c r="N643" s="157">
        <f t="shared" si="82"/>
        <v>400</v>
      </c>
      <c r="O643" s="967" t="str">
        <f>CONCATENATE(O633," | ",F643)</f>
        <v>B.2.1 Konzept "Energie-, Wasser- und Abfallmarketing" | Weiteres Kriterium in der Nutzung</v>
      </c>
      <c r="P643" s="967"/>
      <c r="Q643" s="586"/>
      <c r="R643" s="968" t="s">
        <v>5599</v>
      </c>
      <c r="S643" s="594">
        <v>0.12</v>
      </c>
      <c r="T643" s="588">
        <v>0.06</v>
      </c>
      <c r="U643" s="588">
        <v>0</v>
      </c>
    </row>
    <row r="644" spans="1:21" x14ac:dyDescent="0.35">
      <c r="A644" s="123"/>
      <c r="B644" s="35"/>
      <c r="C644" s="151"/>
      <c r="D644" s="1708"/>
      <c r="E644" s="1709"/>
      <c r="F644" s="593" t="str">
        <f t="shared" si="85"/>
        <v>Weiteres Kriterium in der Nutzung</v>
      </c>
      <c r="G644" s="153">
        <f t="shared" si="84"/>
        <v>0</v>
      </c>
      <c r="H644" s="154"/>
      <c r="I644" s="158"/>
      <c r="J644" s="156"/>
      <c r="K644" s="157">
        <f t="shared" si="79"/>
        <v>100</v>
      </c>
      <c r="L644" s="157">
        <f t="shared" si="80"/>
        <v>200</v>
      </c>
      <c r="M644" s="157">
        <f t="shared" si="81"/>
        <v>300</v>
      </c>
      <c r="N644" s="157">
        <f t="shared" si="82"/>
        <v>400</v>
      </c>
      <c r="O644" s="967" t="str">
        <f>CONCATENATE(O633," | ",F644)</f>
        <v>B.2.1 Konzept "Energie-, Wasser- und Abfallmarketing" | Weiteres Kriterium in der Nutzung</v>
      </c>
      <c r="P644" s="967"/>
      <c r="Q644" s="586"/>
      <c r="R644" s="968" t="s">
        <v>5328</v>
      </c>
      <c r="S644" s="594">
        <v>0.12</v>
      </c>
      <c r="T644" s="588">
        <v>0.06</v>
      </c>
      <c r="U644" s="588">
        <v>0</v>
      </c>
    </row>
    <row r="645" spans="1:21" x14ac:dyDescent="0.35">
      <c r="A645" s="116"/>
      <c r="B645" s="35"/>
      <c r="C645" s="117"/>
      <c r="D645" s="1708"/>
      <c r="E645" s="1709"/>
      <c r="F645" s="1092" t="str">
        <f t="shared" si="85"/>
        <v>Weiteres Kriterium in der Nutzung</v>
      </c>
      <c r="G645" s="1093">
        <f t="shared" si="84"/>
        <v>0</v>
      </c>
      <c r="H645" s="1094"/>
      <c r="I645" s="1095"/>
      <c r="J645" s="156"/>
      <c r="K645" s="157">
        <f t="shared" si="79"/>
        <v>100</v>
      </c>
      <c r="L645" s="157">
        <f t="shared" si="80"/>
        <v>200</v>
      </c>
      <c r="M645" s="157">
        <f t="shared" si="81"/>
        <v>300</v>
      </c>
      <c r="N645" s="157">
        <f t="shared" si="82"/>
        <v>400</v>
      </c>
      <c r="O645" s="967" t="str">
        <f>CONCATENATE(O633," | ",F645)</f>
        <v>B.2.1 Konzept "Energie-, Wasser- und Abfallmarketing" | Weiteres Kriterium in der Nutzung</v>
      </c>
      <c r="P645" s="967"/>
      <c r="Q645" s="586"/>
      <c r="R645" s="968" t="s">
        <v>5511</v>
      </c>
      <c r="S645" s="594">
        <v>0.12</v>
      </c>
      <c r="T645" s="588">
        <v>0.06</v>
      </c>
      <c r="U645" s="588">
        <v>0</v>
      </c>
    </row>
    <row r="646" spans="1:21" x14ac:dyDescent="0.35">
      <c r="A646" s="116"/>
      <c r="B646" s="117"/>
      <c r="C646" s="117"/>
      <c r="D646" s="1708"/>
      <c r="E646" s="1709"/>
      <c r="F646" s="593" t="str">
        <f t="shared" ref="F646" si="86">IF($G$2=1,R646,"Weiteres Kriterium in der Nutzung")</f>
        <v>Weiteres Kriterium in der Nutzung</v>
      </c>
      <c r="G646" s="198">
        <f t="shared" ref="G646" si="87">IF($H$2=1,S646,IF($H$2=2,T646,U646))</f>
        <v>0</v>
      </c>
      <c r="H646" s="154"/>
      <c r="I646" s="158"/>
      <c r="J646" s="156"/>
      <c r="K646" s="1091">
        <f t="shared" si="79"/>
        <v>100</v>
      </c>
      <c r="L646" s="157">
        <f t="shared" si="80"/>
        <v>200</v>
      </c>
      <c r="M646" s="157">
        <f t="shared" si="81"/>
        <v>300</v>
      </c>
      <c r="N646" s="157">
        <f t="shared" si="82"/>
        <v>400</v>
      </c>
      <c r="O646" s="967" t="str">
        <f>CONCATENATE(O634," | ",F646)</f>
        <v xml:space="preserve"> | Weiteres Kriterium in der Nutzung</v>
      </c>
      <c r="P646" s="967"/>
      <c r="Q646" s="586"/>
      <c r="R646" s="968" t="s">
        <v>5513</v>
      </c>
      <c r="S646" s="594">
        <v>0.4</v>
      </c>
      <c r="T646" s="588">
        <v>0.2</v>
      </c>
      <c r="U646" s="588">
        <v>0</v>
      </c>
    </row>
    <row r="647" spans="1:21" x14ac:dyDescent="0.35">
      <c r="A647" s="116"/>
      <c r="B647" s="117"/>
      <c r="C647" s="117"/>
      <c r="D647" s="1708"/>
      <c r="E647" s="1709"/>
      <c r="F647" s="169"/>
      <c r="G647" s="170"/>
      <c r="H647" s="171"/>
      <c r="I647" s="1097"/>
      <c r="J647" s="1098"/>
      <c r="K647" s="1091">
        <f t="shared" si="79"/>
        <v>100</v>
      </c>
      <c r="L647" s="157">
        <f t="shared" si="80"/>
        <v>200</v>
      </c>
      <c r="M647" s="157">
        <f t="shared" si="81"/>
        <v>300</v>
      </c>
      <c r="N647" s="157">
        <f t="shared" si="82"/>
        <v>400</v>
      </c>
      <c r="O647" s="959"/>
      <c r="P647" s="967"/>
      <c r="Q647" s="586"/>
      <c r="R647" s="968"/>
      <c r="S647" s="589"/>
      <c r="T647" s="589"/>
      <c r="U647" s="589"/>
    </row>
    <row r="648" spans="1:21" ht="28.5" customHeight="1" x14ac:dyDescent="0.35">
      <c r="A648" s="116"/>
      <c r="B648" s="117"/>
      <c r="C648" s="117"/>
      <c r="D648" s="174"/>
      <c r="E648" s="175"/>
      <c r="F648" s="1689" t="s">
        <v>2</v>
      </c>
      <c r="G648" s="1689"/>
      <c r="H648" s="1096">
        <f>IF(O648&gt;1,"Zielerreichung übersteigt 100%!",O648)</f>
        <v>0</v>
      </c>
      <c r="I648" s="177"/>
      <c r="J648" s="178"/>
      <c r="K648" s="157">
        <f t="shared" si="79"/>
        <v>100</v>
      </c>
      <c r="L648" s="157">
        <f t="shared" si="80"/>
        <v>200</v>
      </c>
      <c r="M648" s="157">
        <f t="shared" si="81"/>
        <v>300</v>
      </c>
      <c r="N648" s="157">
        <f t="shared" si="82"/>
        <v>400</v>
      </c>
      <c r="O648" s="959">
        <f>SUM(H636:H647)</f>
        <v>0</v>
      </c>
      <c r="P648" s="967"/>
      <c r="Q648" s="586"/>
      <c r="R648" s="968"/>
      <c r="S648" s="589"/>
      <c r="T648" s="589"/>
      <c r="U648" s="589"/>
    </row>
    <row r="649" spans="1:21" x14ac:dyDescent="0.35">
      <c r="A649" s="116"/>
      <c r="B649" s="117"/>
      <c r="C649" s="117"/>
      <c r="D649" s="179"/>
      <c r="E649" s="180"/>
      <c r="F649" s="1690" t="s">
        <v>3</v>
      </c>
      <c r="G649" s="1691"/>
      <c r="H649" s="181">
        <v>15</v>
      </c>
      <c r="I649" s="177"/>
      <c r="J649" s="178"/>
      <c r="K649" s="157">
        <f t="shared" si="79"/>
        <v>100</v>
      </c>
      <c r="L649" s="157">
        <f t="shared" si="80"/>
        <v>200</v>
      </c>
      <c r="M649" s="157">
        <f t="shared" si="81"/>
        <v>300</v>
      </c>
      <c r="N649" s="157">
        <f t="shared" si="82"/>
        <v>400</v>
      </c>
      <c r="O649" s="1030"/>
      <c r="P649" s="967"/>
      <c r="Q649" s="586"/>
      <c r="R649" s="968"/>
      <c r="S649" s="589"/>
      <c r="T649" s="589"/>
      <c r="U649" s="589"/>
    </row>
    <row r="650" spans="1:21" x14ac:dyDescent="0.35">
      <c r="A650" s="116"/>
      <c r="B650" s="117"/>
      <c r="C650" s="117"/>
      <c r="D650" s="179"/>
      <c r="E650" s="180"/>
      <c r="F650" s="1692"/>
      <c r="G650" s="1693"/>
      <c r="H650" s="182"/>
      <c r="I650" s="183"/>
      <c r="J650" s="178"/>
      <c r="K650" s="157">
        <f t="shared" si="79"/>
        <v>100</v>
      </c>
      <c r="L650" s="157">
        <f t="shared" si="80"/>
        <v>200</v>
      </c>
      <c r="M650" s="157">
        <f t="shared" si="81"/>
        <v>300</v>
      </c>
      <c r="N650" s="157">
        <f t="shared" si="82"/>
        <v>400</v>
      </c>
      <c r="O650" s="1030"/>
      <c r="P650" s="967"/>
      <c r="Q650" s="586"/>
      <c r="R650" s="968"/>
      <c r="S650" s="589"/>
      <c r="T650" s="589"/>
      <c r="U650" s="589"/>
    </row>
    <row r="651" spans="1:21" x14ac:dyDescent="0.35">
      <c r="A651" s="184"/>
      <c r="B651" s="185"/>
      <c r="C651" s="185"/>
      <c r="D651" s="179"/>
      <c r="E651" s="180"/>
      <c r="F651" s="186"/>
      <c r="G651" s="186"/>
      <c r="H651" s="187"/>
      <c r="I651" s="177"/>
      <c r="J651" s="178"/>
      <c r="K651" s="157">
        <f t="shared" si="79"/>
        <v>100</v>
      </c>
      <c r="L651" s="157">
        <f t="shared" si="80"/>
        <v>200</v>
      </c>
      <c r="M651" s="157">
        <f t="shared" si="81"/>
        <v>300</v>
      </c>
      <c r="N651" s="157">
        <f t="shared" si="82"/>
        <v>400</v>
      </c>
      <c r="O651" s="1030"/>
      <c r="P651" s="967"/>
      <c r="Q651" s="586"/>
      <c r="R651" s="968"/>
      <c r="S651" s="589"/>
      <c r="T651" s="589"/>
      <c r="U651" s="589"/>
    </row>
    <row r="652" spans="1:21" ht="15.5" x14ac:dyDescent="0.35">
      <c r="A652" s="116"/>
      <c r="B652" s="117"/>
      <c r="C652" s="1711"/>
      <c r="D652" s="1712"/>
      <c r="E652" s="221"/>
      <c r="F652" s="1710" t="s">
        <v>5</v>
      </c>
      <c r="G652" s="1710"/>
      <c r="H652" s="222">
        <f>IF(ISNUMBER(H650),H650*H648,H649*H648)</f>
        <v>0</v>
      </c>
      <c r="I652" s="223"/>
      <c r="J652" s="224"/>
      <c r="K652" s="157">
        <f t="shared" si="79"/>
        <v>100</v>
      </c>
      <c r="L652" s="157">
        <f t="shared" si="80"/>
        <v>200</v>
      </c>
      <c r="M652" s="157">
        <f t="shared" si="81"/>
        <v>300</v>
      </c>
      <c r="N652" s="157">
        <f t="shared" si="82"/>
        <v>400</v>
      </c>
      <c r="O652" s="1030"/>
      <c r="P652" s="967"/>
      <c r="Q652" s="586"/>
      <c r="R652" s="968"/>
      <c r="S652" s="589"/>
      <c r="T652" s="589"/>
      <c r="U652" s="589"/>
    </row>
    <row r="653" spans="1:21" x14ac:dyDescent="0.35">
      <c r="K653" s="157">
        <f t="shared" si="79"/>
        <v>100</v>
      </c>
      <c r="L653" s="157">
        <f t="shared" si="80"/>
        <v>200</v>
      </c>
      <c r="M653" s="157">
        <f t="shared" si="81"/>
        <v>300</v>
      </c>
      <c r="N653" s="157">
        <f t="shared" si="82"/>
        <v>400</v>
      </c>
      <c r="O653" s="967"/>
      <c r="P653" s="967"/>
      <c r="Q653" s="586"/>
      <c r="R653" s="968"/>
      <c r="S653" s="589"/>
      <c r="T653" s="589"/>
      <c r="U653" s="589"/>
    </row>
    <row r="654" spans="1:21" ht="7.5" customHeight="1" x14ac:dyDescent="0.35">
      <c r="A654" s="116"/>
      <c r="B654" s="117"/>
      <c r="C654" s="117"/>
      <c r="D654" s="116"/>
      <c r="E654" s="116"/>
      <c r="F654" s="118"/>
      <c r="G654" s="119"/>
      <c r="H654" s="116"/>
      <c r="I654" s="120"/>
      <c r="J654" s="121"/>
      <c r="K654" s="157">
        <f t="shared" si="79"/>
        <v>100</v>
      </c>
      <c r="L654" s="157">
        <f t="shared" si="80"/>
        <v>200</v>
      </c>
      <c r="M654" s="157">
        <f t="shared" si="81"/>
        <v>300</v>
      </c>
      <c r="N654" s="157">
        <f t="shared" si="82"/>
        <v>400</v>
      </c>
      <c r="O654" s="968"/>
      <c r="P654" s="968"/>
      <c r="Q654" s="586"/>
      <c r="R654" s="968"/>
      <c r="S654" s="589"/>
      <c r="T654" s="589"/>
      <c r="U654" s="589"/>
    </row>
    <row r="655" spans="1:21" ht="15.5" x14ac:dyDescent="0.35">
      <c r="A655" s="124"/>
      <c r="B655" s="125"/>
      <c r="C655" s="126" t="s">
        <v>4787</v>
      </c>
      <c r="D655" s="127" t="s">
        <v>5434</v>
      </c>
      <c r="E655" s="128"/>
      <c r="F655" s="129" t="str">
        <f>IF($F$3=1,O655,"")</f>
        <v>B.2.2 Konzept "Mobilitätsmarketing"</v>
      </c>
      <c r="G655" s="204"/>
      <c r="H655" s="205"/>
      <c r="I655" s="520" t="s">
        <v>23</v>
      </c>
      <c r="J655" s="130"/>
      <c r="K655" s="157">
        <f t="shared" si="79"/>
        <v>100</v>
      </c>
      <c r="L655" s="157">
        <f t="shared" si="80"/>
        <v>200</v>
      </c>
      <c r="M655" s="157">
        <f t="shared" si="81"/>
        <v>300</v>
      </c>
      <c r="N655" s="157">
        <f t="shared" si="82"/>
        <v>400</v>
      </c>
      <c r="O655" s="967" t="str">
        <f>CONCATENATE(C655," ",D655)</f>
        <v>B.2.2 Konzept "Mobilitätsmarketing"</v>
      </c>
      <c r="P655" s="966"/>
      <c r="Q655" s="586"/>
      <c r="R655" s="968"/>
      <c r="S655" s="589"/>
      <c r="T655" s="589"/>
      <c r="U655" s="589"/>
    </row>
    <row r="656" spans="1:21" x14ac:dyDescent="0.35">
      <c r="A656" s="124"/>
      <c r="B656" s="134"/>
      <c r="C656" s="135"/>
      <c r="D656" s="136"/>
      <c r="E656" s="136"/>
      <c r="F656" s="137"/>
      <c r="G656" s="138"/>
      <c r="H656" s="124"/>
      <c r="I656" s="139"/>
      <c r="J656" s="140"/>
      <c r="K656" s="157">
        <f t="shared" si="79"/>
        <v>100</v>
      </c>
      <c r="L656" s="157">
        <f t="shared" si="80"/>
        <v>200</v>
      </c>
      <c r="M656" s="157">
        <f t="shared" si="81"/>
        <v>300</v>
      </c>
      <c r="N656" s="157">
        <f t="shared" si="82"/>
        <v>400</v>
      </c>
      <c r="O656" s="968"/>
      <c r="P656" s="966"/>
      <c r="Q656" s="586"/>
      <c r="R656" s="968"/>
      <c r="S656" s="589"/>
      <c r="T656" s="589"/>
      <c r="U656" s="589"/>
    </row>
    <row r="657" spans="1:21" x14ac:dyDescent="0.35">
      <c r="A657" s="142"/>
      <c r="B657" s="35"/>
      <c r="C657" s="143"/>
      <c r="D657" s="1685" t="s">
        <v>18</v>
      </c>
      <c r="E657" s="1686"/>
      <c r="F657" s="144" t="s">
        <v>19</v>
      </c>
      <c r="G657" s="145" t="s">
        <v>0</v>
      </c>
      <c r="H657" s="146" t="s">
        <v>20</v>
      </c>
      <c r="I657" s="147" t="s">
        <v>1</v>
      </c>
      <c r="J657" s="147" t="s">
        <v>4375</v>
      </c>
      <c r="K657" s="157">
        <f t="shared" si="79"/>
        <v>100</v>
      </c>
      <c r="L657" s="157">
        <f t="shared" si="80"/>
        <v>200</v>
      </c>
      <c r="M657" s="157">
        <f t="shared" si="81"/>
        <v>300</v>
      </c>
      <c r="N657" s="157">
        <f t="shared" si="82"/>
        <v>400</v>
      </c>
      <c r="O657" s="587"/>
      <c r="P657" s="967"/>
      <c r="Q657" s="586"/>
      <c r="R657" s="968"/>
      <c r="S657" s="589"/>
      <c r="T657" s="589"/>
      <c r="U657" s="589"/>
    </row>
    <row r="658" spans="1:21" ht="36" x14ac:dyDescent="0.35">
      <c r="A658" s="123"/>
      <c r="B658" s="35"/>
      <c r="C658" s="151"/>
      <c r="D658" s="1708" t="s">
        <v>5372</v>
      </c>
      <c r="E658" s="1709"/>
      <c r="F658" s="152" t="s">
        <v>4562</v>
      </c>
      <c r="G658" s="153">
        <f t="shared" ref="G658:G667" si="88">IF($H$2=1,S658,IF($H$2=2,T658,U658))</f>
        <v>0.25</v>
      </c>
      <c r="H658" s="154"/>
      <c r="I658" s="155"/>
      <c r="J658" s="156"/>
      <c r="K658" s="157">
        <f t="shared" si="79"/>
        <v>100</v>
      </c>
      <c r="L658" s="157">
        <f t="shared" si="80"/>
        <v>200</v>
      </c>
      <c r="M658" s="157">
        <f t="shared" si="81"/>
        <v>300</v>
      </c>
      <c r="N658" s="157">
        <f t="shared" si="82"/>
        <v>400</v>
      </c>
      <c r="O658" s="967" t="str">
        <f>CONCATENATE(O655," | ",F658)</f>
        <v>B.2.2 Konzept "Mobilitätsmarketing" | Planung von Sensibilisierungsaktionen, Veranstaltungen, Informations- und Austauschformaten in Zusammenarbeit mit verschiedenen Partnern</v>
      </c>
      <c r="P658" s="967"/>
      <c r="Q658" s="586"/>
      <c r="R658" s="968"/>
      <c r="S658" s="595">
        <v>0</v>
      </c>
      <c r="T658" s="595">
        <v>0.12</v>
      </c>
      <c r="U658" s="588">
        <v>0.25</v>
      </c>
    </row>
    <row r="659" spans="1:21" ht="24" x14ac:dyDescent="0.35">
      <c r="A659" s="123"/>
      <c r="B659" s="35"/>
      <c r="C659" s="151"/>
      <c r="D659" s="1708"/>
      <c r="E659" s="1709"/>
      <c r="F659" s="152" t="s">
        <v>4355</v>
      </c>
      <c r="G659" s="153">
        <f t="shared" si="88"/>
        <v>0.25</v>
      </c>
      <c r="H659" s="154"/>
      <c r="I659" s="158"/>
      <c r="J659" s="156"/>
      <c r="K659" s="157">
        <f t="shared" si="79"/>
        <v>100</v>
      </c>
      <c r="L659" s="157">
        <f t="shared" si="80"/>
        <v>200</v>
      </c>
      <c r="M659" s="157">
        <f t="shared" si="81"/>
        <v>300</v>
      </c>
      <c r="N659" s="157">
        <f t="shared" si="82"/>
        <v>400</v>
      </c>
      <c r="O659" s="967" t="str">
        <f>CONCATENATE(O655," | ",F659)</f>
        <v>B.2.2 Konzept "Mobilitätsmarketing" | Erstellung/Erarbeitung von Informationsmaterial (geeignete Form z.B. Print, Webseite etc.)</v>
      </c>
      <c r="P659" s="967"/>
      <c r="Q659" s="586"/>
      <c r="R659" s="968"/>
      <c r="S659" s="595">
        <v>0</v>
      </c>
      <c r="T659" s="595">
        <v>0.12</v>
      </c>
      <c r="U659" s="588">
        <v>0.25</v>
      </c>
    </row>
    <row r="660" spans="1:21" x14ac:dyDescent="0.35">
      <c r="A660" s="123"/>
      <c r="B660" s="35"/>
      <c r="C660" s="151"/>
      <c r="D660" s="1708"/>
      <c r="E660" s="1709"/>
      <c r="F660" s="152" t="s">
        <v>4353</v>
      </c>
      <c r="G660" s="153">
        <f t="shared" si="88"/>
        <v>0.25</v>
      </c>
      <c r="H660" s="154"/>
      <c r="I660" s="158"/>
      <c r="J660" s="156"/>
      <c r="K660" s="157">
        <f t="shared" si="79"/>
        <v>100</v>
      </c>
      <c r="L660" s="157">
        <f t="shared" si="80"/>
        <v>200</v>
      </c>
      <c r="M660" s="157">
        <f t="shared" si="81"/>
        <v>300</v>
      </c>
      <c r="N660" s="157">
        <f t="shared" si="82"/>
        <v>400</v>
      </c>
      <c r="O660" s="967" t="str">
        <f>CONCATENATE(O655," | ",F660)</f>
        <v>B.2.2 Konzept "Mobilitätsmarketing" | Zielgruppenspezifische Ansprache vorgesehen</v>
      </c>
      <c r="P660" s="967"/>
      <c r="Q660" s="586"/>
      <c r="R660" s="968"/>
      <c r="S660" s="595">
        <v>0</v>
      </c>
      <c r="T660" s="595">
        <v>0.13</v>
      </c>
      <c r="U660" s="588">
        <v>0.25</v>
      </c>
    </row>
    <row r="661" spans="1:21" x14ac:dyDescent="0.35">
      <c r="A661" s="123">
        <v>3.2</v>
      </c>
      <c r="B661" s="35"/>
      <c r="C661" s="151"/>
      <c r="D661" s="1708"/>
      <c r="E661" s="1709"/>
      <c r="F661" s="152" t="s">
        <v>4354</v>
      </c>
      <c r="G661" s="153">
        <f t="shared" si="88"/>
        <v>0.25</v>
      </c>
      <c r="H661" s="154"/>
      <c r="I661" s="158"/>
      <c r="J661" s="156"/>
      <c r="K661" s="157">
        <f t="shared" si="79"/>
        <v>100</v>
      </c>
      <c r="L661" s="157">
        <f t="shared" si="80"/>
        <v>200</v>
      </c>
      <c r="M661" s="157">
        <f t="shared" si="81"/>
        <v>300</v>
      </c>
      <c r="N661" s="157">
        <f t="shared" si="82"/>
        <v>400</v>
      </c>
      <c r="O661" s="967" t="str">
        <f>CONCATENATE(O655," | ",F661)</f>
        <v>B.2.2 Konzept "Mobilitätsmarketing" | Gesicherte Finanzierung der Umsetzungsmaßnahmen</v>
      </c>
      <c r="P661" s="967"/>
      <c r="Q661" s="586"/>
      <c r="R661" s="968"/>
      <c r="S661" s="595">
        <v>0</v>
      </c>
      <c r="T661" s="595">
        <v>0.13</v>
      </c>
      <c r="U661" s="588">
        <v>0.25</v>
      </c>
    </row>
    <row r="662" spans="1:21" x14ac:dyDescent="0.35">
      <c r="A662" s="123"/>
      <c r="B662" s="35"/>
      <c r="C662" s="151"/>
      <c r="D662" s="1708"/>
      <c r="E662" s="1709"/>
      <c r="F662" s="159"/>
      <c r="G662" s="160"/>
      <c r="H662" s="161"/>
      <c r="I662" s="166"/>
      <c r="J662" s="164"/>
      <c r="K662" s="1099">
        <f t="shared" si="79"/>
        <v>100</v>
      </c>
      <c r="L662" s="1099">
        <f t="shared" si="80"/>
        <v>200</v>
      </c>
      <c r="M662" s="1099">
        <f t="shared" si="81"/>
        <v>300</v>
      </c>
      <c r="N662" s="1099">
        <f t="shared" si="82"/>
        <v>400</v>
      </c>
      <c r="O662" s="1100"/>
      <c r="P662" s="967"/>
      <c r="Q662" s="586"/>
      <c r="R662" s="968"/>
      <c r="S662" s="589"/>
      <c r="T662" s="589"/>
      <c r="U662" s="589"/>
    </row>
    <row r="663" spans="1:21" x14ac:dyDescent="0.35">
      <c r="A663" s="116"/>
      <c r="B663" s="35"/>
      <c r="C663" s="117"/>
      <c r="D663" s="1708"/>
      <c r="E663" s="1709"/>
      <c r="F663" s="593" t="str">
        <f t="shared" ref="F663:F668" si="89">IF($G$2=1,R663,"Weiteres Kriterium in der Nutzung")</f>
        <v>Weiteres Kriterium in der Nutzung</v>
      </c>
      <c r="G663" s="153">
        <f t="shared" si="88"/>
        <v>0</v>
      </c>
      <c r="H663" s="154"/>
      <c r="I663" s="158"/>
      <c r="J663" s="156"/>
      <c r="K663" s="157">
        <f t="shared" si="79"/>
        <v>100</v>
      </c>
      <c r="L663" s="157">
        <f t="shared" si="80"/>
        <v>200</v>
      </c>
      <c r="M663" s="157">
        <f t="shared" si="81"/>
        <v>300</v>
      </c>
      <c r="N663" s="157">
        <f t="shared" si="82"/>
        <v>400</v>
      </c>
      <c r="O663" s="967" t="str">
        <f>CONCATENATE(O655," | ",F663)</f>
        <v>B.2.2 Konzept "Mobilitätsmarketing" | Weiteres Kriterium in der Nutzung</v>
      </c>
      <c r="P663" s="967"/>
      <c r="Q663" s="586"/>
      <c r="R663" s="968" t="s">
        <v>5329</v>
      </c>
      <c r="S663" s="594">
        <v>0.12</v>
      </c>
      <c r="T663" s="588">
        <v>0.06</v>
      </c>
      <c r="U663" s="588">
        <v>0</v>
      </c>
    </row>
    <row r="664" spans="1:21" x14ac:dyDescent="0.35">
      <c r="A664" s="116"/>
      <c r="B664" s="35"/>
      <c r="C664" s="117"/>
      <c r="D664" s="1708"/>
      <c r="E664" s="1709"/>
      <c r="F664" s="593" t="str">
        <f t="shared" si="89"/>
        <v>Weiteres Kriterium in der Nutzung</v>
      </c>
      <c r="G664" s="153">
        <f t="shared" si="88"/>
        <v>0</v>
      </c>
      <c r="H664" s="154"/>
      <c r="I664" s="158"/>
      <c r="J664" s="156"/>
      <c r="K664" s="157">
        <f t="shared" si="79"/>
        <v>100</v>
      </c>
      <c r="L664" s="157">
        <f t="shared" si="80"/>
        <v>200</v>
      </c>
      <c r="M664" s="157">
        <f t="shared" si="81"/>
        <v>300</v>
      </c>
      <c r="N664" s="157">
        <f t="shared" si="82"/>
        <v>400</v>
      </c>
      <c r="O664" s="967" t="str">
        <f>CONCATENATE(O655," | ",F664)</f>
        <v>B.2.2 Konzept "Mobilitätsmarketing" | Weiteres Kriterium in der Nutzung</v>
      </c>
      <c r="P664" s="967"/>
      <c r="Q664" s="586"/>
      <c r="R664" s="968" t="s">
        <v>5327</v>
      </c>
      <c r="S664" s="594">
        <v>0.12</v>
      </c>
      <c r="T664" s="588">
        <v>0.06</v>
      </c>
      <c r="U664" s="588">
        <v>0</v>
      </c>
    </row>
    <row r="665" spans="1:21" x14ac:dyDescent="0.35">
      <c r="A665" s="116"/>
      <c r="B665" s="35"/>
      <c r="C665" s="117"/>
      <c r="D665" s="1708"/>
      <c r="E665" s="1709"/>
      <c r="F665" s="593" t="str">
        <f t="shared" si="89"/>
        <v>Weiteres Kriterium in der Nutzung</v>
      </c>
      <c r="G665" s="153">
        <f t="shared" si="88"/>
        <v>0</v>
      </c>
      <c r="H665" s="154"/>
      <c r="I665" s="158"/>
      <c r="J665" s="156"/>
      <c r="K665" s="157">
        <f t="shared" si="79"/>
        <v>100</v>
      </c>
      <c r="L665" s="157">
        <f t="shared" si="80"/>
        <v>200</v>
      </c>
      <c r="M665" s="157">
        <f t="shared" si="81"/>
        <v>300</v>
      </c>
      <c r="N665" s="157">
        <f t="shared" si="82"/>
        <v>400</v>
      </c>
      <c r="O665" s="967" t="str">
        <f>CONCATENATE(O655," | ",F665)</f>
        <v>B.2.2 Konzept "Mobilitätsmarketing" | Weiteres Kriterium in der Nutzung</v>
      </c>
      <c r="P665" s="967"/>
      <c r="Q665" s="586"/>
      <c r="R665" s="968" t="s">
        <v>5599</v>
      </c>
      <c r="S665" s="594">
        <v>0.12</v>
      </c>
      <c r="T665" s="588">
        <v>0.06</v>
      </c>
      <c r="U665" s="588">
        <v>0</v>
      </c>
    </row>
    <row r="666" spans="1:21" x14ac:dyDescent="0.35">
      <c r="A666" s="123"/>
      <c r="B666" s="35"/>
      <c r="C666" s="151"/>
      <c r="D666" s="1708"/>
      <c r="E666" s="1709"/>
      <c r="F666" s="593" t="str">
        <f t="shared" si="89"/>
        <v>Weiteres Kriterium in der Nutzung</v>
      </c>
      <c r="G666" s="153">
        <f t="shared" si="88"/>
        <v>0</v>
      </c>
      <c r="H666" s="154"/>
      <c r="I666" s="158"/>
      <c r="J666" s="156"/>
      <c r="K666" s="157">
        <f t="shared" si="79"/>
        <v>100</v>
      </c>
      <c r="L666" s="157">
        <f t="shared" si="80"/>
        <v>200</v>
      </c>
      <c r="M666" s="157">
        <f t="shared" si="81"/>
        <v>300</v>
      </c>
      <c r="N666" s="157">
        <f t="shared" si="82"/>
        <v>400</v>
      </c>
      <c r="O666" s="967" t="str">
        <f>CONCATENATE(O655," | ",F666)</f>
        <v>B.2.2 Konzept "Mobilitätsmarketing" | Weiteres Kriterium in der Nutzung</v>
      </c>
      <c r="P666" s="967"/>
      <c r="Q666" s="586"/>
      <c r="R666" s="968" t="s">
        <v>5328</v>
      </c>
      <c r="S666" s="594">
        <v>0.12</v>
      </c>
      <c r="T666" s="588">
        <v>0.06</v>
      </c>
      <c r="U666" s="588">
        <v>0</v>
      </c>
    </row>
    <row r="667" spans="1:21" x14ac:dyDescent="0.35">
      <c r="A667" s="116"/>
      <c r="B667" s="35"/>
      <c r="C667" s="117"/>
      <c r="D667" s="1708"/>
      <c r="E667" s="1709"/>
      <c r="F667" s="593" t="str">
        <f t="shared" si="89"/>
        <v>Weiteres Kriterium in der Nutzung</v>
      </c>
      <c r="G667" s="153">
        <f t="shared" si="88"/>
        <v>0</v>
      </c>
      <c r="H667" s="154"/>
      <c r="I667" s="158"/>
      <c r="J667" s="156"/>
      <c r="K667" s="157">
        <f t="shared" si="79"/>
        <v>100</v>
      </c>
      <c r="L667" s="157">
        <f t="shared" si="80"/>
        <v>200</v>
      </c>
      <c r="M667" s="157">
        <f t="shared" si="81"/>
        <v>300</v>
      </c>
      <c r="N667" s="157">
        <f t="shared" si="82"/>
        <v>400</v>
      </c>
      <c r="O667" s="967" t="str">
        <f>CONCATENATE(O655," | ",F667)</f>
        <v>B.2.2 Konzept "Mobilitätsmarketing" | Weiteres Kriterium in der Nutzung</v>
      </c>
      <c r="P667" s="967"/>
      <c r="Q667" s="586"/>
      <c r="R667" s="968" t="s">
        <v>5511</v>
      </c>
      <c r="S667" s="594">
        <v>0.12</v>
      </c>
      <c r="T667" s="588">
        <v>0.06</v>
      </c>
      <c r="U667" s="588">
        <v>0</v>
      </c>
    </row>
    <row r="668" spans="1:21" x14ac:dyDescent="0.35">
      <c r="A668" s="116"/>
      <c r="B668" s="117"/>
      <c r="C668" s="117"/>
      <c r="D668" s="1708"/>
      <c r="E668" s="1709"/>
      <c r="F668" s="593" t="str">
        <f t="shared" si="89"/>
        <v>Weiteres Kriterium in der Nutzung</v>
      </c>
      <c r="G668" s="153">
        <f t="shared" ref="G668" si="90">IF($H$2=1,S668,IF($H$2=2,T668,U668))</f>
        <v>0</v>
      </c>
      <c r="H668" s="154"/>
      <c r="I668" s="158"/>
      <c r="J668" s="156"/>
      <c r="K668" s="157">
        <f t="shared" si="79"/>
        <v>100</v>
      </c>
      <c r="L668" s="157">
        <f t="shared" si="80"/>
        <v>200</v>
      </c>
      <c r="M668" s="157">
        <f t="shared" si="81"/>
        <v>300</v>
      </c>
      <c r="N668" s="157">
        <f t="shared" si="82"/>
        <v>400</v>
      </c>
      <c r="O668" s="967" t="str">
        <f>CONCATENATE(O656," | ",F668)</f>
        <v xml:space="preserve"> | Weiteres Kriterium in der Nutzung</v>
      </c>
      <c r="P668" s="967"/>
      <c r="Q668" s="586"/>
      <c r="R668" s="968" t="s">
        <v>5512</v>
      </c>
      <c r="S668" s="594">
        <v>0.4</v>
      </c>
      <c r="T668" s="588">
        <v>0.2</v>
      </c>
      <c r="U668" s="588">
        <v>0</v>
      </c>
    </row>
    <row r="669" spans="1:21" x14ac:dyDescent="0.35">
      <c r="A669" s="116"/>
      <c r="B669" s="117"/>
      <c r="C669" s="117"/>
      <c r="D669" s="1708"/>
      <c r="E669" s="1709"/>
      <c r="F669" s="169"/>
      <c r="G669" s="170"/>
      <c r="H669" s="171"/>
      <c r="I669" s="172"/>
      <c r="J669" s="173"/>
      <c r="K669" s="157">
        <f t="shared" si="79"/>
        <v>100</v>
      </c>
      <c r="L669" s="157">
        <f t="shared" si="80"/>
        <v>200</v>
      </c>
      <c r="M669" s="157">
        <f t="shared" si="81"/>
        <v>300</v>
      </c>
      <c r="N669" s="157">
        <f t="shared" si="82"/>
        <v>400</v>
      </c>
      <c r="O669" s="959"/>
      <c r="P669" s="967"/>
      <c r="Q669" s="586"/>
      <c r="R669" s="968"/>
      <c r="S669" s="589"/>
      <c r="T669" s="589"/>
      <c r="U669" s="589"/>
    </row>
    <row r="670" spans="1:21" ht="28.5" customHeight="1" x14ac:dyDescent="0.35">
      <c r="A670" s="116"/>
      <c r="B670" s="117"/>
      <c r="C670" s="117"/>
      <c r="D670" s="174"/>
      <c r="E670" s="175"/>
      <c r="F670" s="1689" t="s">
        <v>2</v>
      </c>
      <c r="G670" s="1689"/>
      <c r="H670" s="176">
        <f>IF(O670&gt;1,"Zielerreichung übersteigt 100%!",O670)</f>
        <v>0</v>
      </c>
      <c r="I670" s="177"/>
      <c r="J670" s="178"/>
      <c r="K670" s="157">
        <f t="shared" si="79"/>
        <v>100</v>
      </c>
      <c r="L670" s="157">
        <f t="shared" si="80"/>
        <v>200</v>
      </c>
      <c r="M670" s="157">
        <f t="shared" si="81"/>
        <v>300</v>
      </c>
      <c r="N670" s="157">
        <f t="shared" si="82"/>
        <v>400</v>
      </c>
      <c r="O670" s="959">
        <f>SUM(H658:H669)</f>
        <v>0</v>
      </c>
      <c r="P670" s="967"/>
      <c r="Q670" s="586"/>
      <c r="R670" s="968"/>
      <c r="S670" s="589"/>
      <c r="T670" s="589"/>
      <c r="U670" s="589"/>
    </row>
    <row r="671" spans="1:21" x14ac:dyDescent="0.35">
      <c r="A671" s="116"/>
      <c r="B671" s="117"/>
      <c r="C671" s="117"/>
      <c r="D671" s="179"/>
      <c r="E671" s="180"/>
      <c r="F671" s="1690" t="s">
        <v>3</v>
      </c>
      <c r="G671" s="1691"/>
      <c r="H671" s="181">
        <v>20</v>
      </c>
      <c r="I671" s="177"/>
      <c r="J671" s="178"/>
      <c r="K671" s="157">
        <f t="shared" si="79"/>
        <v>100</v>
      </c>
      <c r="L671" s="157">
        <f t="shared" si="80"/>
        <v>200</v>
      </c>
      <c r="M671" s="157">
        <f t="shared" si="81"/>
        <v>300</v>
      </c>
      <c r="N671" s="157">
        <f t="shared" si="82"/>
        <v>400</v>
      </c>
      <c r="O671" s="1030"/>
      <c r="P671" s="967"/>
      <c r="Q671" s="586"/>
      <c r="R671" s="968"/>
      <c r="S671" s="589"/>
      <c r="T671" s="589"/>
      <c r="U671" s="589"/>
    </row>
    <row r="672" spans="1:21" x14ac:dyDescent="0.35">
      <c r="A672" s="116"/>
      <c r="B672" s="117"/>
      <c r="C672" s="117"/>
      <c r="D672" s="179"/>
      <c r="E672" s="180"/>
      <c r="F672" s="1692"/>
      <c r="G672" s="1693"/>
      <c r="H672" s="182"/>
      <c r="I672" s="183"/>
      <c r="J672" s="178"/>
      <c r="K672" s="157">
        <f t="shared" si="79"/>
        <v>100</v>
      </c>
      <c r="L672" s="157">
        <f t="shared" si="80"/>
        <v>200</v>
      </c>
      <c r="M672" s="157">
        <f t="shared" si="81"/>
        <v>300</v>
      </c>
      <c r="N672" s="157">
        <f t="shared" si="82"/>
        <v>400</v>
      </c>
      <c r="O672" s="1030"/>
      <c r="P672" s="967"/>
      <c r="Q672" s="586"/>
      <c r="R672" s="968"/>
      <c r="S672" s="589"/>
      <c r="T672" s="589"/>
      <c r="U672" s="589"/>
    </row>
    <row r="673" spans="1:21" x14ac:dyDescent="0.35">
      <c r="A673" s="184"/>
      <c r="B673" s="185"/>
      <c r="C673" s="185"/>
      <c r="D673" s="179"/>
      <c r="E673" s="180"/>
      <c r="F673" s="186"/>
      <c r="G673" s="186"/>
      <c r="H673" s="187"/>
      <c r="I673" s="177"/>
      <c r="J673" s="178"/>
      <c r="K673" s="157">
        <f t="shared" si="79"/>
        <v>100</v>
      </c>
      <c r="L673" s="157">
        <f t="shared" si="80"/>
        <v>200</v>
      </c>
      <c r="M673" s="157">
        <f t="shared" si="81"/>
        <v>300</v>
      </c>
      <c r="N673" s="157">
        <f t="shared" si="82"/>
        <v>400</v>
      </c>
      <c r="O673" s="1030"/>
      <c r="P673" s="967"/>
      <c r="Q673" s="586"/>
      <c r="R673" s="968"/>
      <c r="S673" s="589"/>
      <c r="T673" s="589"/>
      <c r="U673" s="589"/>
    </row>
    <row r="674" spans="1:21" ht="15.75" customHeight="1" x14ac:dyDescent="0.35">
      <c r="A674" s="116"/>
      <c r="B674" s="185"/>
      <c r="C674" s="1711"/>
      <c r="D674" s="1712"/>
      <c r="E674" s="221"/>
      <c r="F674" s="1710" t="s">
        <v>5</v>
      </c>
      <c r="G674" s="1710"/>
      <c r="H674" s="222">
        <f>IF(ISNUMBER(H672),H672*H670,H671*H670)</f>
        <v>0</v>
      </c>
      <c r="I674" s="223"/>
      <c r="J674" s="224"/>
      <c r="K674" s="157">
        <f t="shared" si="79"/>
        <v>100</v>
      </c>
      <c r="L674" s="157">
        <f t="shared" si="80"/>
        <v>200</v>
      </c>
      <c r="M674" s="157">
        <f t="shared" si="81"/>
        <v>300</v>
      </c>
      <c r="N674" s="157">
        <f t="shared" si="82"/>
        <v>400</v>
      </c>
      <c r="O674" s="1030"/>
      <c r="P674" s="967"/>
      <c r="Q674" s="586"/>
      <c r="R674" s="968"/>
      <c r="S674" s="589"/>
      <c r="T674" s="589"/>
      <c r="U674" s="589"/>
    </row>
    <row r="675" spans="1:21" x14ac:dyDescent="0.35">
      <c r="B675" s="185"/>
      <c r="K675" s="157">
        <f t="shared" si="79"/>
        <v>100</v>
      </c>
      <c r="L675" s="157">
        <f t="shared" si="80"/>
        <v>200</v>
      </c>
      <c r="M675" s="157">
        <f t="shared" si="81"/>
        <v>300</v>
      </c>
      <c r="N675" s="157">
        <f t="shared" si="82"/>
        <v>400</v>
      </c>
      <c r="O675" s="967"/>
      <c r="P675" s="967"/>
      <c r="Q675" s="586"/>
      <c r="R675" s="968"/>
      <c r="S675" s="589"/>
      <c r="T675" s="589"/>
      <c r="U675" s="589"/>
    </row>
    <row r="676" spans="1:21" ht="7.5" customHeight="1" x14ac:dyDescent="0.35">
      <c r="K676" s="157">
        <f t="shared" si="79"/>
        <v>100</v>
      </c>
      <c r="L676" s="157">
        <f t="shared" si="80"/>
        <v>200</v>
      </c>
      <c r="M676" s="157">
        <f t="shared" si="81"/>
        <v>300</v>
      </c>
      <c r="N676" s="157">
        <f t="shared" si="82"/>
        <v>400</v>
      </c>
      <c r="O676" s="967"/>
      <c r="P676" s="967"/>
      <c r="Q676" s="586"/>
      <c r="R676" s="968"/>
      <c r="S676" s="589"/>
      <c r="T676" s="589"/>
      <c r="U676" s="589"/>
    </row>
    <row r="677" spans="1:21" ht="15.5" x14ac:dyDescent="0.35">
      <c r="A677" s="208"/>
      <c r="B677" s="209" t="s">
        <v>4788</v>
      </c>
      <c r="C677" s="209" t="s">
        <v>22</v>
      </c>
      <c r="D677" s="210"/>
      <c r="E677" s="210"/>
      <c r="F677" s="211" t="str">
        <f>IF($F$3=1,O677,"")</f>
        <v>B.3 Vorbildwirkung</v>
      </c>
      <c r="G677" s="212"/>
      <c r="H677" s="213"/>
      <c r="I677" s="214"/>
      <c r="J677" s="215"/>
      <c r="K677" s="157">
        <f t="shared" si="79"/>
        <v>100</v>
      </c>
      <c r="L677" s="157">
        <f t="shared" si="80"/>
        <v>200</v>
      </c>
      <c r="M677" s="157">
        <f t="shared" si="81"/>
        <v>300</v>
      </c>
      <c r="N677" s="157">
        <f t="shared" si="82"/>
        <v>400</v>
      </c>
      <c r="O677" s="967" t="str">
        <f>CONCATENATE(B677," ",C677)</f>
        <v>B.3 Vorbildwirkung</v>
      </c>
      <c r="P677" s="958"/>
      <c r="Q677" s="586"/>
      <c r="R677" s="968"/>
      <c r="S677" s="589"/>
      <c r="T677" s="589"/>
      <c r="U677" s="589"/>
    </row>
    <row r="678" spans="1:21" x14ac:dyDescent="0.35">
      <c r="B678" s="185"/>
      <c r="K678" s="157">
        <f t="shared" si="79"/>
        <v>100</v>
      </c>
      <c r="L678" s="157">
        <f t="shared" si="80"/>
        <v>200</v>
      </c>
      <c r="M678" s="157">
        <f t="shared" si="81"/>
        <v>300</v>
      </c>
      <c r="N678" s="157">
        <f t="shared" si="82"/>
        <v>400</v>
      </c>
      <c r="O678" s="967"/>
      <c r="P678" s="967"/>
      <c r="Q678" s="586"/>
      <c r="R678" s="968"/>
      <c r="S678" s="589"/>
      <c r="T678" s="589"/>
      <c r="U678" s="589"/>
    </row>
    <row r="679" spans="1:21" ht="7.5" customHeight="1" x14ac:dyDescent="0.35">
      <c r="A679" s="116"/>
      <c r="B679" s="117"/>
      <c r="C679" s="117"/>
      <c r="D679" s="116"/>
      <c r="E679" s="116"/>
      <c r="F679" s="118"/>
      <c r="G679" s="119"/>
      <c r="H679" s="116"/>
      <c r="I679" s="120"/>
      <c r="J679" s="121"/>
      <c r="K679" s="157">
        <f t="shared" si="79"/>
        <v>100</v>
      </c>
      <c r="L679" s="157">
        <f t="shared" si="80"/>
        <v>200</v>
      </c>
      <c r="M679" s="157">
        <f t="shared" si="81"/>
        <v>300</v>
      </c>
      <c r="N679" s="157">
        <f t="shared" si="82"/>
        <v>400</v>
      </c>
      <c r="O679" s="968"/>
      <c r="P679" s="968"/>
      <c r="Q679" s="586"/>
      <c r="R679" s="968"/>
      <c r="S679" s="589"/>
      <c r="T679" s="589"/>
      <c r="U679" s="589"/>
    </row>
    <row r="680" spans="1:21" ht="15.5" x14ac:dyDescent="0.35">
      <c r="A680" s="124"/>
      <c r="B680" s="125"/>
      <c r="C680" s="126" t="s">
        <v>4789</v>
      </c>
      <c r="D680" s="127" t="s">
        <v>5435</v>
      </c>
      <c r="E680" s="128"/>
      <c r="F680" s="129" t="str">
        <f>IF($F$3=1,O680,"")</f>
        <v>B.3.1 Qualität der Information</v>
      </c>
      <c r="G680" s="204"/>
      <c r="H680" s="205"/>
      <c r="I680" s="520" t="s">
        <v>23</v>
      </c>
      <c r="J680" s="130"/>
      <c r="K680" s="157">
        <f t="shared" si="79"/>
        <v>100</v>
      </c>
      <c r="L680" s="157">
        <f t="shared" si="80"/>
        <v>200</v>
      </c>
      <c r="M680" s="157">
        <f t="shared" si="81"/>
        <v>300</v>
      </c>
      <c r="N680" s="157">
        <f t="shared" si="82"/>
        <v>400</v>
      </c>
      <c r="O680" s="967" t="str">
        <f>CONCATENATE(C680," ",D680)</f>
        <v>B.3.1 Qualität der Information</v>
      </c>
      <c r="P680" s="966"/>
      <c r="Q680" s="586"/>
      <c r="R680" s="968"/>
      <c r="S680" s="589"/>
      <c r="T680" s="589"/>
      <c r="U680" s="589"/>
    </row>
    <row r="681" spans="1:21" x14ac:dyDescent="0.35">
      <c r="A681" s="124"/>
      <c r="B681" s="134"/>
      <c r="C681" s="135"/>
      <c r="D681" s="136"/>
      <c r="E681" s="136"/>
      <c r="F681" s="137"/>
      <c r="G681" s="138"/>
      <c r="H681" s="124"/>
      <c r="I681" s="139"/>
      <c r="J681" s="140"/>
      <c r="K681" s="157">
        <f t="shared" si="79"/>
        <v>100</v>
      </c>
      <c r="L681" s="157">
        <f t="shared" si="80"/>
        <v>200</v>
      </c>
      <c r="M681" s="157">
        <f t="shared" si="81"/>
        <v>300</v>
      </c>
      <c r="N681" s="157">
        <f t="shared" si="82"/>
        <v>400</v>
      </c>
      <c r="O681" s="968"/>
      <c r="P681" s="966"/>
      <c r="Q681" s="586"/>
      <c r="R681" s="968"/>
      <c r="S681" s="589"/>
      <c r="T681" s="589"/>
      <c r="U681" s="589"/>
    </row>
    <row r="682" spans="1:21" x14ac:dyDescent="0.35">
      <c r="A682" s="142"/>
      <c r="B682" s="35"/>
      <c r="C682" s="143"/>
      <c r="D682" s="1685" t="s">
        <v>18</v>
      </c>
      <c r="E682" s="1686"/>
      <c r="F682" s="144" t="s">
        <v>19</v>
      </c>
      <c r="G682" s="145" t="s">
        <v>0</v>
      </c>
      <c r="H682" s="146" t="s">
        <v>20</v>
      </c>
      <c r="I682" s="147" t="s">
        <v>1</v>
      </c>
      <c r="J682" s="147" t="s">
        <v>4375</v>
      </c>
      <c r="K682" s="157">
        <f t="shared" si="79"/>
        <v>100</v>
      </c>
      <c r="L682" s="157">
        <f t="shared" si="80"/>
        <v>200</v>
      </c>
      <c r="M682" s="157">
        <f t="shared" si="81"/>
        <v>300</v>
      </c>
      <c r="N682" s="157">
        <f t="shared" si="82"/>
        <v>400</v>
      </c>
      <c r="O682" s="587"/>
      <c r="P682" s="967"/>
      <c r="Q682" s="586"/>
      <c r="R682" s="968"/>
      <c r="S682" s="589"/>
      <c r="T682" s="589"/>
      <c r="U682" s="589"/>
    </row>
    <row r="683" spans="1:21" ht="24" x14ac:dyDescent="0.35">
      <c r="A683" s="123"/>
      <c r="B683" s="35"/>
      <c r="C683" s="151"/>
      <c r="D683" s="1687" t="s">
        <v>4670</v>
      </c>
      <c r="E683" s="1688"/>
      <c r="F683" s="152" t="s">
        <v>5600</v>
      </c>
      <c r="G683" s="153">
        <f t="shared" ref="G683:G686" si="91">IF($H$2=1,S683,IF($H$2=2,T683,U683))</f>
        <v>0.25</v>
      </c>
      <c r="H683" s="154"/>
      <c r="I683" s="155"/>
      <c r="J683" s="156"/>
      <c r="K683" s="157">
        <f t="shared" si="79"/>
        <v>100</v>
      </c>
      <c r="L683" s="157">
        <f t="shared" si="80"/>
        <v>200</v>
      </c>
      <c r="M683" s="157">
        <f t="shared" si="81"/>
        <v>300</v>
      </c>
      <c r="N683" s="157">
        <f t="shared" si="82"/>
        <v>400</v>
      </c>
      <c r="O683" s="967" t="str">
        <f>CONCATENATE(O680," | ",F683)</f>
        <v>B.3.1 Qualität der Information | Corporate Identity: Eigenes Logo, Spruch usw., die klimarelevante Inhalte transportieren</v>
      </c>
      <c r="P683" s="967"/>
      <c r="Q683" s="586"/>
      <c r="R683" s="968"/>
      <c r="S683" s="588">
        <v>0</v>
      </c>
      <c r="T683" s="588">
        <v>0.25</v>
      </c>
      <c r="U683" s="588">
        <v>0.25</v>
      </c>
    </row>
    <row r="684" spans="1:21" ht="24" x14ac:dyDescent="0.35">
      <c r="A684" s="123"/>
      <c r="B684" s="35"/>
      <c r="C684" s="151"/>
      <c r="D684" s="1687"/>
      <c r="E684" s="1688"/>
      <c r="F684" s="152" t="s">
        <v>4563</v>
      </c>
      <c r="G684" s="153">
        <f t="shared" si="91"/>
        <v>0.25</v>
      </c>
      <c r="H684" s="154"/>
      <c r="I684" s="158"/>
      <c r="J684" s="156"/>
      <c r="K684" s="157">
        <f t="shared" ref="K684:K747" si="92">IF($J684=$K$41,K683+1,K683+0)</f>
        <v>100</v>
      </c>
      <c r="L684" s="157">
        <f t="shared" ref="L684:L747" si="93">IF($J684=$L$41,L683+1,L683+0)</f>
        <v>200</v>
      </c>
      <c r="M684" s="157">
        <f t="shared" ref="M684:M747" si="94">IF($J684=$M$41,M683+1,M683+0)</f>
        <v>300</v>
      </c>
      <c r="N684" s="157">
        <f t="shared" ref="N684:N747" si="95">IF($J684=$N$41,N683+1,N683+0)</f>
        <v>400</v>
      </c>
      <c r="O684" s="967" t="str">
        <f>CONCATENATE(O680," | ",F684)</f>
        <v>B.3.1 Qualität der Information | Berücksichtigte Zielgruppen lokal, regional, national: Gemeinde, Behörden, Bevölkerung, Wirtschaft</v>
      </c>
      <c r="P684" s="967"/>
      <c r="Q684" s="586"/>
      <c r="R684" s="968"/>
      <c r="S684" s="588">
        <v>0</v>
      </c>
      <c r="T684" s="588">
        <v>0.25</v>
      </c>
      <c r="U684" s="588">
        <v>0.25</v>
      </c>
    </row>
    <row r="685" spans="1:21" ht="24" x14ac:dyDescent="0.35">
      <c r="A685" s="123"/>
      <c r="B685" s="35"/>
      <c r="C685" s="151"/>
      <c r="D685" s="1687"/>
      <c r="E685" s="1688"/>
      <c r="F685" s="152" t="s">
        <v>4564</v>
      </c>
      <c r="G685" s="153">
        <f t="shared" si="91"/>
        <v>0.25</v>
      </c>
      <c r="H685" s="154"/>
      <c r="I685" s="158"/>
      <c r="J685" s="156"/>
      <c r="K685" s="157">
        <f t="shared" si="92"/>
        <v>100</v>
      </c>
      <c r="L685" s="157">
        <f t="shared" si="93"/>
        <v>200</v>
      </c>
      <c r="M685" s="157">
        <f t="shared" si="94"/>
        <v>300</v>
      </c>
      <c r="N685" s="157">
        <f t="shared" si="95"/>
        <v>400</v>
      </c>
      <c r="O685" s="967" t="str">
        <f>CONCATENATE(O680," | ",F685)</f>
        <v>B.3.1 Qualität der Information | Medium: Website, Medien, Regionalpresse, Berichterstattung an Gemeinde, Flyer, Broschüre</v>
      </c>
      <c r="P685" s="967"/>
      <c r="Q685" s="586"/>
      <c r="R685" s="968"/>
      <c r="S685" s="588">
        <v>0</v>
      </c>
      <c r="T685" s="588">
        <v>0.25</v>
      </c>
      <c r="U685" s="588">
        <v>0.25</v>
      </c>
    </row>
    <row r="686" spans="1:21" ht="24" x14ac:dyDescent="0.35">
      <c r="A686" s="123">
        <v>3.2</v>
      </c>
      <c r="B686" s="35"/>
      <c r="C686" s="151"/>
      <c r="D686" s="1687"/>
      <c r="E686" s="1688"/>
      <c r="F686" s="152" t="s">
        <v>4565</v>
      </c>
      <c r="G686" s="153">
        <f t="shared" si="91"/>
        <v>0.25</v>
      </c>
      <c r="H686" s="154"/>
      <c r="I686" s="158"/>
      <c r="J686" s="156"/>
      <c r="K686" s="157">
        <f t="shared" si="92"/>
        <v>100</v>
      </c>
      <c r="L686" s="157">
        <f t="shared" si="93"/>
        <v>200</v>
      </c>
      <c r="M686" s="157">
        <f t="shared" si="94"/>
        <v>300</v>
      </c>
      <c r="N686" s="157">
        <f t="shared" si="95"/>
        <v>400</v>
      </c>
      <c r="O686" s="967" t="str">
        <f>CONCATENATE(O680," | ",F686)</f>
        <v>B.3.1 Qualität der Information | Aktionen: Veranstaltung, Marktstand, Tag der offenen Türe, Baustellenfest etc.</v>
      </c>
      <c r="P686" s="967"/>
      <c r="Q686" s="586"/>
      <c r="R686" s="968"/>
      <c r="S686" s="588">
        <v>0</v>
      </c>
      <c r="T686" s="588">
        <v>0.25</v>
      </c>
      <c r="U686" s="588">
        <v>0.25</v>
      </c>
    </row>
    <row r="687" spans="1:21" x14ac:dyDescent="0.35">
      <c r="A687" s="123"/>
      <c r="B687" s="35"/>
      <c r="C687" s="151"/>
      <c r="D687" s="1687"/>
      <c r="E687" s="1688"/>
      <c r="F687" s="159"/>
      <c r="G687" s="160"/>
      <c r="H687" s="161"/>
      <c r="I687" s="166"/>
      <c r="J687" s="164"/>
      <c r="K687" s="157">
        <f t="shared" si="92"/>
        <v>100</v>
      </c>
      <c r="L687" s="157">
        <f t="shared" si="93"/>
        <v>200</v>
      </c>
      <c r="M687" s="157">
        <f t="shared" si="94"/>
        <v>300</v>
      </c>
      <c r="N687" s="157">
        <f t="shared" si="95"/>
        <v>400</v>
      </c>
      <c r="O687" s="967"/>
      <c r="P687" s="967"/>
      <c r="Q687" s="586"/>
      <c r="R687" s="968"/>
      <c r="S687" s="589"/>
      <c r="T687" s="589"/>
      <c r="U687" s="589"/>
    </row>
    <row r="688" spans="1:21" x14ac:dyDescent="0.35">
      <c r="A688" s="116"/>
      <c r="B688" s="35"/>
      <c r="C688" s="117"/>
      <c r="D688" s="1687"/>
      <c r="E688" s="1688"/>
      <c r="F688" s="159"/>
      <c r="G688" s="160"/>
      <c r="H688" s="161"/>
      <c r="I688" s="162"/>
      <c r="J688" s="164"/>
      <c r="K688" s="157">
        <f t="shared" si="92"/>
        <v>100</v>
      </c>
      <c r="L688" s="157">
        <f t="shared" si="93"/>
        <v>200</v>
      </c>
      <c r="M688" s="157">
        <f t="shared" si="94"/>
        <v>300</v>
      </c>
      <c r="N688" s="157">
        <f t="shared" si="95"/>
        <v>400</v>
      </c>
      <c r="O688" s="959"/>
      <c r="P688" s="967"/>
      <c r="Q688" s="586"/>
      <c r="R688" s="968"/>
      <c r="S688" s="589"/>
      <c r="T688" s="589"/>
      <c r="U688" s="589"/>
    </row>
    <row r="689" spans="1:21" x14ac:dyDescent="0.35">
      <c r="A689" s="116"/>
      <c r="B689" s="35"/>
      <c r="C689" s="117"/>
      <c r="D689" s="1687"/>
      <c r="E689" s="1688"/>
      <c r="F689" s="159"/>
      <c r="G689" s="160"/>
      <c r="H689" s="161"/>
      <c r="I689" s="162"/>
      <c r="J689" s="164"/>
      <c r="K689" s="157">
        <f t="shared" si="92"/>
        <v>100</v>
      </c>
      <c r="L689" s="157">
        <f t="shared" si="93"/>
        <v>200</v>
      </c>
      <c r="M689" s="157">
        <f t="shared" si="94"/>
        <v>300</v>
      </c>
      <c r="N689" s="157">
        <f t="shared" si="95"/>
        <v>400</v>
      </c>
      <c r="O689" s="959"/>
      <c r="P689" s="967"/>
      <c r="Q689" s="586"/>
      <c r="R689" s="968"/>
      <c r="S689" s="589"/>
      <c r="T689" s="589"/>
      <c r="U689" s="589"/>
    </row>
    <row r="690" spans="1:21" x14ac:dyDescent="0.35">
      <c r="A690" s="116"/>
      <c r="B690" s="35"/>
      <c r="C690" s="117"/>
      <c r="D690" s="1687"/>
      <c r="E690" s="1688"/>
      <c r="F690" s="159"/>
      <c r="G690" s="160"/>
      <c r="H690" s="161"/>
      <c r="I690" s="162"/>
      <c r="J690" s="164"/>
      <c r="K690" s="157">
        <f t="shared" si="92"/>
        <v>100</v>
      </c>
      <c r="L690" s="157">
        <f t="shared" si="93"/>
        <v>200</v>
      </c>
      <c r="M690" s="157">
        <f t="shared" si="94"/>
        <v>300</v>
      </c>
      <c r="N690" s="157">
        <f t="shared" si="95"/>
        <v>400</v>
      </c>
      <c r="O690" s="959"/>
      <c r="P690" s="967"/>
      <c r="Q690" s="586"/>
      <c r="R690" s="968"/>
      <c r="S690" s="589"/>
      <c r="T690" s="589"/>
      <c r="U690" s="589"/>
    </row>
    <row r="691" spans="1:21" x14ac:dyDescent="0.35">
      <c r="A691" s="123"/>
      <c r="B691" s="35"/>
      <c r="C691" s="151"/>
      <c r="D691" s="1687"/>
      <c r="E691" s="1688"/>
      <c r="F691" s="165"/>
      <c r="G691" s="160"/>
      <c r="H691" s="161"/>
      <c r="I691" s="166"/>
      <c r="J691" s="167"/>
      <c r="K691" s="157">
        <f t="shared" si="92"/>
        <v>100</v>
      </c>
      <c r="L691" s="157">
        <f t="shared" si="93"/>
        <v>200</v>
      </c>
      <c r="M691" s="157">
        <f t="shared" si="94"/>
        <v>300</v>
      </c>
      <c r="N691" s="157">
        <f t="shared" si="95"/>
        <v>400</v>
      </c>
      <c r="O691" s="959"/>
      <c r="P691" s="967"/>
      <c r="Q691" s="586"/>
      <c r="R691" s="968"/>
      <c r="S691" s="589"/>
      <c r="T691" s="589"/>
      <c r="U691" s="589"/>
    </row>
    <row r="692" spans="1:21" x14ac:dyDescent="0.35">
      <c r="A692" s="116"/>
      <c r="B692" s="35"/>
      <c r="C692" s="117"/>
      <c r="D692" s="1687"/>
      <c r="E692" s="1688"/>
      <c r="F692" s="159"/>
      <c r="G692" s="160"/>
      <c r="H692" s="168"/>
      <c r="I692" s="162"/>
      <c r="J692" s="164"/>
      <c r="K692" s="157">
        <f t="shared" si="92"/>
        <v>100</v>
      </c>
      <c r="L692" s="157">
        <f t="shared" si="93"/>
        <v>200</v>
      </c>
      <c r="M692" s="157">
        <f t="shared" si="94"/>
        <v>300</v>
      </c>
      <c r="N692" s="157">
        <f t="shared" si="95"/>
        <v>400</v>
      </c>
      <c r="O692" s="959"/>
      <c r="P692" s="967"/>
      <c r="Q692" s="586"/>
      <c r="R692" s="968"/>
      <c r="S692" s="589"/>
      <c r="T692" s="589"/>
      <c r="U692" s="589"/>
    </row>
    <row r="693" spans="1:21" x14ac:dyDescent="0.35">
      <c r="A693" s="116"/>
      <c r="B693" s="117"/>
      <c r="C693" s="117"/>
      <c r="D693" s="1687"/>
      <c r="E693" s="1688"/>
      <c r="F693" s="159"/>
      <c r="G693" s="160"/>
      <c r="H693" s="168"/>
      <c r="I693" s="162"/>
      <c r="J693" s="164"/>
      <c r="K693" s="157">
        <f t="shared" si="92"/>
        <v>100</v>
      </c>
      <c r="L693" s="157">
        <f t="shared" si="93"/>
        <v>200</v>
      </c>
      <c r="M693" s="157">
        <f t="shared" si="94"/>
        <v>300</v>
      </c>
      <c r="N693" s="157">
        <f t="shared" si="95"/>
        <v>400</v>
      </c>
      <c r="O693" s="959"/>
      <c r="P693" s="967"/>
      <c r="Q693" s="586"/>
      <c r="R693" s="968"/>
      <c r="S693" s="589"/>
      <c r="T693" s="589"/>
      <c r="U693" s="589"/>
    </row>
    <row r="694" spans="1:21" x14ac:dyDescent="0.35">
      <c r="A694" s="116"/>
      <c r="B694" s="117"/>
      <c r="C694" s="117"/>
      <c r="D694" s="1687"/>
      <c r="E694" s="1688"/>
      <c r="F694" s="169"/>
      <c r="G694" s="170"/>
      <c r="H694" s="171"/>
      <c r="I694" s="172"/>
      <c r="J694" s="173"/>
      <c r="K694" s="157">
        <f t="shared" si="92"/>
        <v>100</v>
      </c>
      <c r="L694" s="157">
        <f t="shared" si="93"/>
        <v>200</v>
      </c>
      <c r="M694" s="157">
        <f t="shared" si="94"/>
        <v>300</v>
      </c>
      <c r="N694" s="157">
        <f t="shared" si="95"/>
        <v>400</v>
      </c>
      <c r="O694" s="959"/>
      <c r="P694" s="967"/>
      <c r="Q694" s="586"/>
      <c r="R694" s="968"/>
      <c r="S694" s="589"/>
      <c r="T694" s="589"/>
      <c r="U694" s="589"/>
    </row>
    <row r="695" spans="1:21" ht="28.5" customHeight="1" x14ac:dyDescent="0.35">
      <c r="A695" s="116"/>
      <c r="B695" s="117"/>
      <c r="C695" s="117"/>
      <c r="D695" s="174"/>
      <c r="E695" s="175"/>
      <c r="F695" s="1689" t="s">
        <v>2</v>
      </c>
      <c r="G695" s="1689"/>
      <c r="H695" s="176">
        <f>IF(O695&gt;1,"Zielerreichung übersteigt 100%!",O695)</f>
        <v>0</v>
      </c>
      <c r="I695" s="177"/>
      <c r="J695" s="178"/>
      <c r="K695" s="157">
        <f t="shared" si="92"/>
        <v>100</v>
      </c>
      <c r="L695" s="157">
        <f t="shared" si="93"/>
        <v>200</v>
      </c>
      <c r="M695" s="157">
        <f t="shared" si="94"/>
        <v>300</v>
      </c>
      <c r="N695" s="157">
        <f t="shared" si="95"/>
        <v>400</v>
      </c>
      <c r="O695" s="959">
        <f>SUM(H683:H694)</f>
        <v>0</v>
      </c>
      <c r="P695" s="967"/>
      <c r="Q695" s="586"/>
      <c r="R695" s="968"/>
      <c r="S695" s="589"/>
      <c r="T695" s="589"/>
      <c r="U695" s="589"/>
    </row>
    <row r="696" spans="1:21" x14ac:dyDescent="0.35">
      <c r="A696" s="116"/>
      <c r="B696" s="117"/>
      <c r="C696" s="117"/>
      <c r="D696" s="179"/>
      <c r="E696" s="180"/>
      <c r="F696" s="1690" t="s">
        <v>3</v>
      </c>
      <c r="G696" s="1691"/>
      <c r="H696" s="181">
        <v>5</v>
      </c>
      <c r="I696" s="177"/>
      <c r="J696" s="178"/>
      <c r="K696" s="157">
        <f t="shared" si="92"/>
        <v>100</v>
      </c>
      <c r="L696" s="157">
        <f t="shared" si="93"/>
        <v>200</v>
      </c>
      <c r="M696" s="157">
        <f t="shared" si="94"/>
        <v>300</v>
      </c>
      <c r="N696" s="157">
        <f t="shared" si="95"/>
        <v>400</v>
      </c>
      <c r="O696" s="1030"/>
      <c r="P696" s="967"/>
      <c r="Q696" s="586"/>
      <c r="R696" s="968"/>
      <c r="S696" s="589"/>
      <c r="T696" s="589"/>
      <c r="U696" s="589"/>
    </row>
    <row r="697" spans="1:21" x14ac:dyDescent="0.35">
      <c r="A697" s="116"/>
      <c r="B697" s="117"/>
      <c r="C697" s="117"/>
      <c r="D697" s="179"/>
      <c r="E697" s="180"/>
      <c r="F697" s="1700" t="s">
        <v>5494</v>
      </c>
      <c r="G697" s="1701"/>
      <c r="H697" s="1089" t="str">
        <f>IF($H$2=1,0,"")</f>
        <v/>
      </c>
      <c r="I697" s="183"/>
      <c r="J697" s="178"/>
      <c r="K697" s="157">
        <f t="shared" si="92"/>
        <v>100</v>
      </c>
      <c r="L697" s="157">
        <f t="shared" si="93"/>
        <v>200</v>
      </c>
      <c r="M697" s="157">
        <f t="shared" si="94"/>
        <v>300</v>
      </c>
      <c r="N697" s="157">
        <f t="shared" si="95"/>
        <v>400</v>
      </c>
      <c r="O697" s="1030"/>
      <c r="P697" s="967"/>
      <c r="Q697" s="586"/>
      <c r="R697" s="968"/>
      <c r="S697" s="589"/>
      <c r="T697" s="589"/>
      <c r="U697" s="589"/>
    </row>
    <row r="698" spans="1:21" x14ac:dyDescent="0.35">
      <c r="A698" s="184"/>
      <c r="B698" s="185"/>
      <c r="C698" s="185"/>
      <c r="D698" s="179"/>
      <c r="E698" s="180"/>
      <c r="F698" s="186"/>
      <c r="G698" s="186"/>
      <c r="H698" s="187"/>
      <c r="I698" s="177"/>
      <c r="J698" s="178"/>
      <c r="K698" s="157">
        <f t="shared" si="92"/>
        <v>100</v>
      </c>
      <c r="L698" s="157">
        <f t="shared" si="93"/>
        <v>200</v>
      </c>
      <c r="M698" s="157">
        <f t="shared" si="94"/>
        <v>300</v>
      </c>
      <c r="N698" s="157">
        <f t="shared" si="95"/>
        <v>400</v>
      </c>
      <c r="O698" s="1030"/>
      <c r="P698" s="967"/>
      <c r="Q698" s="586"/>
      <c r="R698" s="968"/>
      <c r="S698" s="589"/>
      <c r="T698" s="589"/>
      <c r="U698" s="589"/>
    </row>
    <row r="699" spans="1:21" ht="15.5" x14ac:dyDescent="0.35">
      <c r="A699" s="116"/>
      <c r="B699" s="117"/>
      <c r="C699" s="1711"/>
      <c r="D699" s="1712"/>
      <c r="E699" s="221"/>
      <c r="F699" s="1710" t="s">
        <v>5</v>
      </c>
      <c r="G699" s="1710"/>
      <c r="H699" s="222">
        <f>IF(ISNUMBER(H697),H697*H695,H696*H695)</f>
        <v>0</v>
      </c>
      <c r="I699" s="223"/>
      <c r="J699" s="224"/>
      <c r="K699" s="157">
        <f t="shared" si="92"/>
        <v>100</v>
      </c>
      <c r="L699" s="157">
        <f t="shared" si="93"/>
        <v>200</v>
      </c>
      <c r="M699" s="157">
        <f t="shared" si="94"/>
        <v>300</v>
      </c>
      <c r="N699" s="157">
        <f t="shared" si="95"/>
        <v>400</v>
      </c>
      <c r="O699" s="1030"/>
      <c r="P699" s="967"/>
      <c r="Q699" s="586"/>
      <c r="R699" s="968"/>
      <c r="S699" s="589"/>
      <c r="T699" s="589"/>
      <c r="U699" s="589"/>
    </row>
    <row r="700" spans="1:21" x14ac:dyDescent="0.35">
      <c r="K700" s="157">
        <f t="shared" si="92"/>
        <v>100</v>
      </c>
      <c r="L700" s="157">
        <f t="shared" si="93"/>
        <v>200</v>
      </c>
      <c r="M700" s="157">
        <f t="shared" si="94"/>
        <v>300</v>
      </c>
      <c r="N700" s="157">
        <f t="shared" si="95"/>
        <v>400</v>
      </c>
      <c r="O700" s="967"/>
      <c r="P700" s="967"/>
      <c r="Q700" s="586"/>
      <c r="R700" s="968"/>
      <c r="S700" s="589"/>
      <c r="T700" s="589"/>
      <c r="U700" s="589"/>
    </row>
    <row r="701" spans="1:21" ht="7.5" customHeight="1" x14ac:dyDescent="0.35">
      <c r="A701" s="116"/>
      <c r="B701" s="117"/>
      <c r="C701" s="117"/>
      <c r="D701" s="116"/>
      <c r="E701" s="116"/>
      <c r="F701" s="118"/>
      <c r="G701" s="119"/>
      <c r="H701" s="116"/>
      <c r="I701" s="120"/>
      <c r="J701" s="121"/>
      <c r="K701" s="157">
        <f t="shared" si="92"/>
        <v>100</v>
      </c>
      <c r="L701" s="157">
        <f t="shared" si="93"/>
        <v>200</v>
      </c>
      <c r="M701" s="157">
        <f t="shared" si="94"/>
        <v>300</v>
      </c>
      <c r="N701" s="157">
        <f t="shared" si="95"/>
        <v>400</v>
      </c>
      <c r="O701" s="968"/>
      <c r="P701" s="968"/>
      <c r="Q701" s="586"/>
      <c r="R701" s="968"/>
      <c r="S701" s="589"/>
      <c r="T701" s="589"/>
      <c r="U701" s="589"/>
    </row>
    <row r="702" spans="1:21" ht="15.5" x14ac:dyDescent="0.35">
      <c r="A702" s="124"/>
      <c r="B702" s="125"/>
      <c r="C702" s="126" t="s">
        <v>4790</v>
      </c>
      <c r="D702" s="127" t="s">
        <v>4356</v>
      </c>
      <c r="E702" s="128"/>
      <c r="F702" s="129" t="str">
        <f>IF($F$3=1,O702,"")</f>
        <v>B.3.2 Häufigkeit der Kommunikation</v>
      </c>
      <c r="G702" s="204"/>
      <c r="H702" s="205"/>
      <c r="I702" s="520" t="s">
        <v>23</v>
      </c>
      <c r="J702" s="130"/>
      <c r="K702" s="157">
        <f t="shared" si="92"/>
        <v>100</v>
      </c>
      <c r="L702" s="157">
        <f t="shared" si="93"/>
        <v>200</v>
      </c>
      <c r="M702" s="157">
        <f t="shared" si="94"/>
        <v>300</v>
      </c>
      <c r="N702" s="157">
        <f t="shared" si="95"/>
        <v>400</v>
      </c>
      <c r="O702" s="967" t="str">
        <f>CONCATENATE(C702," ",D702)</f>
        <v>B.3.2 Häufigkeit der Kommunikation</v>
      </c>
      <c r="P702" s="966"/>
      <c r="Q702" s="586"/>
      <c r="R702" s="968"/>
      <c r="S702" s="589"/>
      <c r="T702" s="589"/>
      <c r="U702" s="589"/>
    </row>
    <row r="703" spans="1:21" x14ac:dyDescent="0.35">
      <c r="A703" s="124"/>
      <c r="B703" s="134"/>
      <c r="C703" s="135"/>
      <c r="D703" s="136"/>
      <c r="E703" s="136"/>
      <c r="F703" s="137"/>
      <c r="G703" s="138"/>
      <c r="H703" s="124"/>
      <c r="I703" s="139"/>
      <c r="J703" s="140"/>
      <c r="K703" s="157">
        <f t="shared" si="92"/>
        <v>100</v>
      </c>
      <c r="L703" s="157">
        <f t="shared" si="93"/>
        <v>200</v>
      </c>
      <c r="M703" s="157">
        <f t="shared" si="94"/>
        <v>300</v>
      </c>
      <c r="N703" s="157">
        <f t="shared" si="95"/>
        <v>400</v>
      </c>
      <c r="O703" s="968"/>
      <c r="P703" s="966"/>
      <c r="Q703" s="586"/>
      <c r="R703" s="968"/>
      <c r="S703" s="589"/>
      <c r="T703" s="589"/>
      <c r="U703" s="589"/>
    </row>
    <row r="704" spans="1:21" ht="15" thickBot="1" x14ac:dyDescent="0.4">
      <c r="A704" s="142"/>
      <c r="B704" s="35"/>
      <c r="C704" s="143"/>
      <c r="D704" s="1685" t="s">
        <v>18</v>
      </c>
      <c r="E704" s="1686"/>
      <c r="F704" s="144" t="s">
        <v>19</v>
      </c>
      <c r="G704" s="145" t="s">
        <v>0</v>
      </c>
      <c r="H704" s="146" t="s">
        <v>20</v>
      </c>
      <c r="I704" s="147" t="s">
        <v>1</v>
      </c>
      <c r="J704" s="147" t="s">
        <v>4375</v>
      </c>
      <c r="K704" s="157">
        <f t="shared" si="92"/>
        <v>100</v>
      </c>
      <c r="L704" s="157">
        <f t="shared" si="93"/>
        <v>200</v>
      </c>
      <c r="M704" s="157">
        <f t="shared" si="94"/>
        <v>300</v>
      </c>
      <c r="N704" s="157">
        <f t="shared" si="95"/>
        <v>400</v>
      </c>
      <c r="O704" s="587"/>
      <c r="P704" s="1053"/>
      <c r="Q704" s="1054"/>
      <c r="R704" s="968"/>
      <c r="S704" s="589"/>
      <c r="T704" s="589"/>
      <c r="U704" s="589"/>
    </row>
    <row r="705" spans="1:21" x14ac:dyDescent="0.35">
      <c r="A705" s="123"/>
      <c r="B705" s="35"/>
      <c r="C705" s="151"/>
      <c r="D705" s="1687" t="s">
        <v>4671</v>
      </c>
      <c r="E705" s="1688"/>
      <c r="F705" s="225" t="s">
        <v>5514</v>
      </c>
      <c r="G705" s="153">
        <f t="shared" ref="G705" si="96">IF($H$2=1,S705,IF($H$2=2,T705,U705))</f>
        <v>1</v>
      </c>
      <c r="H705" s="1079">
        <f>VLOOKUP(F705,$P$705:$Q$708,2,0)*G705</f>
        <v>0</v>
      </c>
      <c r="I705" s="155"/>
      <c r="J705" s="156"/>
      <c r="K705" s="157">
        <f t="shared" si="92"/>
        <v>100</v>
      </c>
      <c r="L705" s="157">
        <f t="shared" si="93"/>
        <v>200</v>
      </c>
      <c r="M705" s="157">
        <f t="shared" si="94"/>
        <v>300</v>
      </c>
      <c r="N705" s="157">
        <f t="shared" si="95"/>
        <v>400</v>
      </c>
      <c r="O705" s="1051" t="str">
        <f>CONCATENATE(O702," | ",F705)</f>
        <v>B.3.2 Häufigkeit der Kommunikation | Planung/Umsetzung: Keine Kommunikation vorgesehen</v>
      </c>
      <c r="P705" s="1072" t="s">
        <v>5514</v>
      </c>
      <c r="Q705" s="1058">
        <v>0</v>
      </c>
      <c r="R705" s="1052"/>
      <c r="S705" s="588">
        <v>0</v>
      </c>
      <c r="T705" s="588">
        <v>0.7</v>
      </c>
      <c r="U705" s="588">
        <v>1</v>
      </c>
    </row>
    <row r="706" spans="1:21" x14ac:dyDescent="0.35">
      <c r="A706" s="123"/>
      <c r="B706" s="35"/>
      <c r="C706" s="151"/>
      <c r="D706" s="1687"/>
      <c r="E706" s="1688"/>
      <c r="F706" s="159"/>
      <c r="G706" s="160"/>
      <c r="H706" s="161"/>
      <c r="I706" s="166"/>
      <c r="J706" s="164"/>
      <c r="K706" s="157">
        <f t="shared" si="92"/>
        <v>100</v>
      </c>
      <c r="L706" s="157">
        <f t="shared" si="93"/>
        <v>200</v>
      </c>
      <c r="M706" s="157">
        <f t="shared" si="94"/>
        <v>300</v>
      </c>
      <c r="N706" s="157">
        <f t="shared" si="95"/>
        <v>400</v>
      </c>
      <c r="O706" s="1051"/>
      <c r="P706" s="1059" t="s">
        <v>4568</v>
      </c>
      <c r="Q706" s="1060">
        <v>0.5</v>
      </c>
      <c r="R706" s="1052"/>
      <c r="S706" s="589"/>
      <c r="T706" s="589"/>
      <c r="U706" s="589"/>
    </row>
    <row r="707" spans="1:21" x14ac:dyDescent="0.35">
      <c r="A707" s="123"/>
      <c r="B707" s="35"/>
      <c r="C707" s="151"/>
      <c r="D707" s="1687"/>
      <c r="E707" s="1688"/>
      <c r="F707" s="225" t="s">
        <v>5515</v>
      </c>
      <c r="G707" s="153">
        <f>IF($H$2=1,S710,IF($H$2=2,T710,U710))</f>
        <v>0</v>
      </c>
      <c r="H707" s="1079">
        <f>VLOOKUP(F707,$P$710:$Q$713,2,0)*G707</f>
        <v>0</v>
      </c>
      <c r="I707" s="155"/>
      <c r="J707" s="156"/>
      <c r="K707" s="157">
        <f t="shared" si="92"/>
        <v>100</v>
      </c>
      <c r="L707" s="157">
        <f t="shared" si="93"/>
        <v>200</v>
      </c>
      <c r="M707" s="157">
        <f t="shared" si="94"/>
        <v>300</v>
      </c>
      <c r="N707" s="157">
        <f t="shared" si="95"/>
        <v>400</v>
      </c>
      <c r="O707" s="1051"/>
      <c r="P707" s="1059" t="s">
        <v>4566</v>
      </c>
      <c r="Q707" s="1060">
        <v>0.75</v>
      </c>
      <c r="R707" s="1052"/>
      <c r="S707" s="589"/>
      <c r="T707" s="589"/>
      <c r="U707" s="589"/>
    </row>
    <row r="708" spans="1:21" ht="15" thickBot="1" x14ac:dyDescent="0.4">
      <c r="A708" s="123">
        <v>3.2</v>
      </c>
      <c r="B708" s="35"/>
      <c r="C708" s="151"/>
      <c r="D708" s="1687"/>
      <c r="E708" s="1688"/>
      <c r="F708" s="159"/>
      <c r="G708" s="160"/>
      <c r="H708" s="161"/>
      <c r="I708" s="166"/>
      <c r="J708" s="164"/>
      <c r="K708" s="157">
        <f t="shared" si="92"/>
        <v>100</v>
      </c>
      <c r="L708" s="157">
        <f t="shared" si="93"/>
        <v>200</v>
      </c>
      <c r="M708" s="157">
        <f t="shared" si="94"/>
        <v>300</v>
      </c>
      <c r="N708" s="157">
        <f t="shared" si="95"/>
        <v>400</v>
      </c>
      <c r="O708" s="1051"/>
      <c r="P708" s="1061" t="s">
        <v>4567</v>
      </c>
      <c r="Q708" s="1062">
        <v>1</v>
      </c>
      <c r="R708" s="1052"/>
      <c r="S708" s="589"/>
      <c r="T708" s="589"/>
      <c r="U708" s="589"/>
    </row>
    <row r="709" spans="1:21" ht="15" thickBot="1" x14ac:dyDescent="0.4">
      <c r="A709" s="123"/>
      <c r="B709" s="35"/>
      <c r="C709" s="151"/>
      <c r="D709" s="1687"/>
      <c r="E709" s="1688"/>
      <c r="F709" s="159"/>
      <c r="G709" s="160"/>
      <c r="H709" s="161"/>
      <c r="I709" s="166"/>
      <c r="J709" s="164"/>
      <c r="K709" s="157">
        <f t="shared" si="92"/>
        <v>100</v>
      </c>
      <c r="L709" s="157">
        <f t="shared" si="93"/>
        <v>200</v>
      </c>
      <c r="M709" s="157">
        <f t="shared" si="94"/>
        <v>300</v>
      </c>
      <c r="N709" s="157">
        <f t="shared" si="95"/>
        <v>400</v>
      </c>
      <c r="O709" s="967"/>
      <c r="P709" s="1055"/>
      <c r="Q709" s="1064"/>
      <c r="R709" s="968"/>
      <c r="S709" s="589"/>
      <c r="T709" s="589"/>
      <c r="U709" s="589"/>
    </row>
    <row r="710" spans="1:21" x14ac:dyDescent="0.35">
      <c r="A710" s="116"/>
      <c r="B710" s="35"/>
      <c r="C710" s="117"/>
      <c r="D710" s="1687"/>
      <c r="E710" s="1688"/>
      <c r="F710" s="159"/>
      <c r="G710" s="160"/>
      <c r="H710" s="161"/>
      <c r="I710" s="162"/>
      <c r="J710" s="164"/>
      <c r="K710" s="157">
        <f t="shared" si="92"/>
        <v>100</v>
      </c>
      <c r="L710" s="157">
        <f t="shared" si="93"/>
        <v>200</v>
      </c>
      <c r="M710" s="157">
        <f t="shared" si="94"/>
        <v>300</v>
      </c>
      <c r="N710" s="157">
        <f t="shared" si="95"/>
        <v>400</v>
      </c>
      <c r="O710" s="959"/>
      <c r="P710" s="1072" t="s">
        <v>5515</v>
      </c>
      <c r="Q710" s="1058">
        <v>0</v>
      </c>
      <c r="R710" s="968"/>
      <c r="S710" s="588">
        <v>1</v>
      </c>
      <c r="T710" s="588">
        <v>0.3</v>
      </c>
      <c r="U710" s="588">
        <v>0</v>
      </c>
    </row>
    <row r="711" spans="1:21" x14ac:dyDescent="0.35">
      <c r="A711" s="116"/>
      <c r="B711" s="35"/>
      <c r="C711" s="117"/>
      <c r="D711" s="1687"/>
      <c r="E711" s="1688"/>
      <c r="F711" s="159"/>
      <c r="G711" s="160"/>
      <c r="H711" s="161"/>
      <c r="I711" s="162"/>
      <c r="J711" s="164"/>
      <c r="K711" s="157">
        <f t="shared" si="92"/>
        <v>100</v>
      </c>
      <c r="L711" s="157">
        <f t="shared" si="93"/>
        <v>200</v>
      </c>
      <c r="M711" s="157">
        <f t="shared" si="94"/>
        <v>300</v>
      </c>
      <c r="N711" s="157">
        <f t="shared" si="95"/>
        <v>400</v>
      </c>
      <c r="O711" s="959"/>
      <c r="P711" s="1059" t="s">
        <v>4568</v>
      </c>
      <c r="Q711" s="1060">
        <v>0.5</v>
      </c>
      <c r="R711" s="968"/>
      <c r="S711" s="589"/>
      <c r="T711" s="589"/>
      <c r="U711" s="589"/>
    </row>
    <row r="712" spans="1:21" x14ac:dyDescent="0.35">
      <c r="A712" s="116"/>
      <c r="B712" s="35"/>
      <c r="C712" s="117"/>
      <c r="D712" s="1687"/>
      <c r="E712" s="1688"/>
      <c r="F712" s="159"/>
      <c r="G712" s="160"/>
      <c r="H712" s="161"/>
      <c r="I712" s="162"/>
      <c r="J712" s="164"/>
      <c r="K712" s="157">
        <f t="shared" si="92"/>
        <v>100</v>
      </c>
      <c r="L712" s="157">
        <f t="shared" si="93"/>
        <v>200</v>
      </c>
      <c r="M712" s="157">
        <f t="shared" si="94"/>
        <v>300</v>
      </c>
      <c r="N712" s="157">
        <f t="shared" si="95"/>
        <v>400</v>
      </c>
      <c r="O712" s="959"/>
      <c r="P712" s="1059" t="s">
        <v>4566</v>
      </c>
      <c r="Q712" s="1060">
        <v>0.75</v>
      </c>
      <c r="R712" s="968"/>
      <c r="S712" s="589"/>
      <c r="T712" s="589"/>
      <c r="U712" s="589"/>
    </row>
    <row r="713" spans="1:21" ht="15" thickBot="1" x14ac:dyDescent="0.4">
      <c r="A713" s="123"/>
      <c r="B713" s="35"/>
      <c r="C713" s="151"/>
      <c r="D713" s="1687"/>
      <c r="E713" s="1688"/>
      <c r="F713" s="165"/>
      <c r="G713" s="160"/>
      <c r="H713" s="161"/>
      <c r="I713" s="166"/>
      <c r="J713" s="167"/>
      <c r="K713" s="157">
        <f t="shared" si="92"/>
        <v>100</v>
      </c>
      <c r="L713" s="157">
        <f t="shared" si="93"/>
        <v>200</v>
      </c>
      <c r="M713" s="157">
        <f t="shared" si="94"/>
        <v>300</v>
      </c>
      <c r="N713" s="157">
        <f t="shared" si="95"/>
        <v>400</v>
      </c>
      <c r="O713" s="959"/>
      <c r="P713" s="1061" t="s">
        <v>4567</v>
      </c>
      <c r="Q713" s="1062">
        <v>1</v>
      </c>
      <c r="R713" s="968"/>
      <c r="S713" s="589"/>
      <c r="T713" s="589"/>
      <c r="U713" s="589"/>
    </row>
    <row r="714" spans="1:21" x14ac:dyDescent="0.35">
      <c r="A714" s="116"/>
      <c r="B714" s="35"/>
      <c r="C714" s="117"/>
      <c r="D714" s="1687"/>
      <c r="E714" s="1688"/>
      <c r="F714" s="159"/>
      <c r="G714" s="160"/>
      <c r="H714" s="168"/>
      <c r="I714" s="162"/>
      <c r="J714" s="164"/>
      <c r="K714" s="157">
        <f t="shared" si="92"/>
        <v>100</v>
      </c>
      <c r="L714" s="157">
        <f t="shared" si="93"/>
        <v>200</v>
      </c>
      <c r="M714" s="157">
        <f t="shared" si="94"/>
        <v>300</v>
      </c>
      <c r="N714" s="157">
        <f t="shared" si="95"/>
        <v>400</v>
      </c>
      <c r="O714" s="959"/>
      <c r="P714" s="967"/>
      <c r="Q714" s="586"/>
      <c r="R714" s="968"/>
      <c r="S714" s="589"/>
      <c r="T714" s="589"/>
      <c r="U714" s="589"/>
    </row>
    <row r="715" spans="1:21" x14ac:dyDescent="0.35">
      <c r="A715" s="116"/>
      <c r="B715" s="117"/>
      <c r="C715" s="117"/>
      <c r="D715" s="1687"/>
      <c r="E715" s="1688"/>
      <c r="F715" s="159"/>
      <c r="G715" s="160"/>
      <c r="H715" s="168"/>
      <c r="I715" s="162"/>
      <c r="J715" s="164"/>
      <c r="K715" s="157">
        <f t="shared" si="92"/>
        <v>100</v>
      </c>
      <c r="L715" s="157">
        <f t="shared" si="93"/>
        <v>200</v>
      </c>
      <c r="M715" s="157">
        <f t="shared" si="94"/>
        <v>300</v>
      </c>
      <c r="N715" s="157">
        <f t="shared" si="95"/>
        <v>400</v>
      </c>
      <c r="O715" s="959"/>
      <c r="P715" s="967"/>
      <c r="Q715" s="586"/>
      <c r="R715" s="968"/>
      <c r="S715" s="589"/>
      <c r="T715" s="589"/>
      <c r="U715" s="589"/>
    </row>
    <row r="716" spans="1:21" x14ac:dyDescent="0.35">
      <c r="A716" s="116"/>
      <c r="B716" s="117"/>
      <c r="C716" s="117"/>
      <c r="D716" s="1687"/>
      <c r="E716" s="1688"/>
      <c r="F716" s="169"/>
      <c r="G716" s="170"/>
      <c r="H716" s="171"/>
      <c r="I716" s="172"/>
      <c r="J716" s="173"/>
      <c r="K716" s="157">
        <f t="shared" si="92"/>
        <v>100</v>
      </c>
      <c r="L716" s="157">
        <f t="shared" si="93"/>
        <v>200</v>
      </c>
      <c r="M716" s="157">
        <f t="shared" si="94"/>
        <v>300</v>
      </c>
      <c r="N716" s="157">
        <f t="shared" si="95"/>
        <v>400</v>
      </c>
      <c r="O716" s="959"/>
      <c r="P716" s="967"/>
      <c r="Q716" s="586"/>
      <c r="R716" s="968"/>
      <c r="S716" s="589"/>
      <c r="T716" s="589"/>
      <c r="U716" s="589"/>
    </row>
    <row r="717" spans="1:21" ht="28.5" customHeight="1" x14ac:dyDescent="0.35">
      <c r="A717" s="116"/>
      <c r="B717" s="117"/>
      <c r="C717" s="117"/>
      <c r="D717" s="174"/>
      <c r="E717" s="175"/>
      <c r="F717" s="1689" t="s">
        <v>2</v>
      </c>
      <c r="G717" s="1689"/>
      <c r="H717" s="176">
        <f>IF(O717&gt;1,"Zielerreichung übersteigt 100%!",O717)</f>
        <v>0</v>
      </c>
      <c r="I717" s="177"/>
      <c r="J717" s="178"/>
      <c r="K717" s="157">
        <f t="shared" si="92"/>
        <v>100</v>
      </c>
      <c r="L717" s="157">
        <f t="shared" si="93"/>
        <v>200</v>
      </c>
      <c r="M717" s="157">
        <f t="shared" si="94"/>
        <v>300</v>
      </c>
      <c r="N717" s="157">
        <f t="shared" si="95"/>
        <v>400</v>
      </c>
      <c r="O717" s="959">
        <f>SUM(H705:H716)</f>
        <v>0</v>
      </c>
      <c r="P717" s="967"/>
      <c r="Q717" s="586"/>
      <c r="R717" s="968"/>
      <c r="S717" s="589"/>
      <c r="T717" s="589"/>
      <c r="U717" s="589"/>
    </row>
    <row r="718" spans="1:21" x14ac:dyDescent="0.35">
      <c r="A718" s="116"/>
      <c r="B718" s="117"/>
      <c r="C718" s="117"/>
      <c r="D718" s="179"/>
      <c r="E718" s="180"/>
      <c r="F718" s="1690" t="s">
        <v>3</v>
      </c>
      <c r="G718" s="1691"/>
      <c r="H718" s="181">
        <v>5</v>
      </c>
      <c r="I718" s="177"/>
      <c r="J718" s="178"/>
      <c r="K718" s="157">
        <f t="shared" si="92"/>
        <v>100</v>
      </c>
      <c r="L718" s="157">
        <f t="shared" si="93"/>
        <v>200</v>
      </c>
      <c r="M718" s="157">
        <f t="shared" si="94"/>
        <v>300</v>
      </c>
      <c r="N718" s="157">
        <f t="shared" si="95"/>
        <v>400</v>
      </c>
      <c r="O718" s="1030"/>
      <c r="P718" s="967"/>
      <c r="Q718" s="586"/>
      <c r="R718" s="968"/>
      <c r="S718" s="589"/>
      <c r="T718" s="589"/>
      <c r="U718" s="589"/>
    </row>
    <row r="719" spans="1:21" x14ac:dyDescent="0.35">
      <c r="A719" s="116"/>
      <c r="B719" s="117"/>
      <c r="C719" s="117"/>
      <c r="D719" s="179"/>
      <c r="E719" s="180"/>
      <c r="F719" s="1700" t="s">
        <v>5494</v>
      </c>
      <c r="G719" s="1701"/>
      <c r="H719" s="1089" t="str">
        <f>IF($H$2=1,10,"")</f>
        <v/>
      </c>
      <c r="I719" s="183"/>
      <c r="J719" s="178"/>
      <c r="K719" s="157">
        <f t="shared" si="92"/>
        <v>100</v>
      </c>
      <c r="L719" s="157">
        <f t="shared" si="93"/>
        <v>200</v>
      </c>
      <c r="M719" s="157">
        <f t="shared" si="94"/>
        <v>300</v>
      </c>
      <c r="N719" s="157">
        <f t="shared" si="95"/>
        <v>400</v>
      </c>
      <c r="O719" s="1030"/>
      <c r="P719" s="967"/>
      <c r="Q719" s="586"/>
      <c r="R719" s="968"/>
      <c r="S719" s="589"/>
      <c r="T719" s="589"/>
      <c r="U719" s="589"/>
    </row>
    <row r="720" spans="1:21" x14ac:dyDescent="0.35">
      <c r="A720" s="184"/>
      <c r="B720" s="185"/>
      <c r="C720" s="185"/>
      <c r="D720" s="179"/>
      <c r="E720" s="180"/>
      <c r="F720" s="186"/>
      <c r="G720" s="186"/>
      <c r="H720" s="187"/>
      <c r="I720" s="177"/>
      <c r="J720" s="178"/>
      <c r="K720" s="157">
        <f t="shared" si="92"/>
        <v>100</v>
      </c>
      <c r="L720" s="157">
        <f t="shared" si="93"/>
        <v>200</v>
      </c>
      <c r="M720" s="157">
        <f t="shared" si="94"/>
        <v>300</v>
      </c>
      <c r="N720" s="157">
        <f t="shared" si="95"/>
        <v>400</v>
      </c>
      <c r="O720" s="1030"/>
      <c r="P720" s="967"/>
      <c r="Q720" s="586"/>
      <c r="R720" s="968"/>
      <c r="S720" s="589"/>
      <c r="T720" s="589"/>
      <c r="U720" s="589"/>
    </row>
    <row r="721" spans="1:21" ht="15.75" customHeight="1" x14ac:dyDescent="0.35">
      <c r="A721" s="116"/>
      <c r="B721" s="185"/>
      <c r="C721" s="1711"/>
      <c r="D721" s="1712"/>
      <c r="E721" s="221"/>
      <c r="F721" s="1710" t="s">
        <v>5</v>
      </c>
      <c r="G721" s="1710"/>
      <c r="H721" s="222">
        <f>IF(ISNUMBER(H719),H719*H717,H718*H717)</f>
        <v>0</v>
      </c>
      <c r="I721" s="223"/>
      <c r="J721" s="224"/>
      <c r="K721" s="157">
        <f t="shared" si="92"/>
        <v>100</v>
      </c>
      <c r="L721" s="157">
        <f t="shared" si="93"/>
        <v>200</v>
      </c>
      <c r="M721" s="157">
        <f t="shared" si="94"/>
        <v>300</v>
      </c>
      <c r="N721" s="157">
        <f t="shared" si="95"/>
        <v>400</v>
      </c>
      <c r="O721" s="1030"/>
      <c r="P721" s="967"/>
      <c r="Q721" s="586"/>
      <c r="R721" s="968"/>
      <c r="S721" s="589"/>
      <c r="T721" s="589"/>
      <c r="U721" s="589"/>
    </row>
    <row r="722" spans="1:21" x14ac:dyDescent="0.35">
      <c r="B722" s="185"/>
      <c r="K722" s="157">
        <f t="shared" si="92"/>
        <v>100</v>
      </c>
      <c r="L722" s="157">
        <f t="shared" si="93"/>
        <v>200</v>
      </c>
      <c r="M722" s="157">
        <f t="shared" si="94"/>
        <v>300</v>
      </c>
      <c r="N722" s="157">
        <f t="shared" si="95"/>
        <v>400</v>
      </c>
      <c r="O722" s="967"/>
      <c r="P722" s="967"/>
      <c r="Q722" s="586"/>
      <c r="R722" s="968"/>
      <c r="S722" s="589"/>
      <c r="T722" s="589"/>
      <c r="U722" s="589"/>
    </row>
    <row r="723" spans="1:21" ht="7.5" customHeight="1" x14ac:dyDescent="0.35">
      <c r="A723" s="116"/>
      <c r="B723" s="117"/>
      <c r="C723" s="117"/>
      <c r="D723" s="116"/>
      <c r="E723" s="116"/>
      <c r="F723" s="118"/>
      <c r="G723" s="119"/>
      <c r="H723" s="116"/>
      <c r="I723" s="120"/>
      <c r="J723" s="121"/>
      <c r="K723" s="157">
        <f t="shared" si="92"/>
        <v>100</v>
      </c>
      <c r="L723" s="157">
        <f t="shared" si="93"/>
        <v>200</v>
      </c>
      <c r="M723" s="157">
        <f t="shared" si="94"/>
        <v>300</v>
      </c>
      <c r="N723" s="157">
        <f t="shared" si="95"/>
        <v>400</v>
      </c>
      <c r="O723" s="968"/>
      <c r="P723" s="968"/>
      <c r="Q723" s="586"/>
      <c r="R723" s="968"/>
      <c r="S723" s="589"/>
      <c r="T723" s="589"/>
      <c r="U723" s="589"/>
    </row>
    <row r="724" spans="1:21" ht="24" customHeight="1" x14ac:dyDescent="0.35">
      <c r="A724" s="104"/>
      <c r="B724" s="856" t="s">
        <v>4791</v>
      </c>
      <c r="C724" s="857"/>
      <c r="D724" s="858"/>
      <c r="E724" s="858"/>
      <c r="F724" s="859" t="str">
        <f>IF($F$3=1,Handlungsfeld3,"")</f>
        <v>Handlungsfeld C - Städtebau</v>
      </c>
      <c r="G724" s="860"/>
      <c r="H724" s="858"/>
      <c r="I724" s="861"/>
      <c r="J724" s="858"/>
      <c r="K724" s="157">
        <f t="shared" si="92"/>
        <v>100</v>
      </c>
      <c r="L724" s="157">
        <f t="shared" si="93"/>
        <v>200</v>
      </c>
      <c r="M724" s="157">
        <f t="shared" si="94"/>
        <v>300</v>
      </c>
      <c r="N724" s="157">
        <f t="shared" si="95"/>
        <v>400</v>
      </c>
      <c r="O724" s="590"/>
      <c r="P724" s="584"/>
      <c r="Q724" s="586"/>
      <c r="R724" s="968"/>
      <c r="S724" s="589"/>
      <c r="T724" s="589"/>
      <c r="U724" s="589"/>
    </row>
    <row r="725" spans="1:21" ht="15.5" x14ac:dyDescent="0.35">
      <c r="A725" s="104"/>
      <c r="B725" s="107"/>
      <c r="C725" s="108"/>
      <c r="D725" s="104"/>
      <c r="E725" s="104"/>
      <c r="F725" s="109"/>
      <c r="G725" s="105"/>
      <c r="H725" s="104"/>
      <c r="I725" s="110"/>
      <c r="J725" s="104"/>
      <c r="K725" s="157">
        <f t="shared" si="92"/>
        <v>100</v>
      </c>
      <c r="L725" s="157">
        <f t="shared" si="93"/>
        <v>200</v>
      </c>
      <c r="M725" s="157">
        <f t="shared" si="94"/>
        <v>300</v>
      </c>
      <c r="N725" s="157">
        <f t="shared" si="95"/>
        <v>400</v>
      </c>
      <c r="O725" s="590"/>
      <c r="P725" s="584"/>
      <c r="Q725" s="586"/>
      <c r="R725" s="968"/>
      <c r="S725" s="589"/>
      <c r="T725" s="589"/>
      <c r="U725" s="589"/>
    </row>
    <row r="726" spans="1:21" ht="7.5" customHeight="1" x14ac:dyDescent="0.35">
      <c r="B726" s="35"/>
      <c r="E726" s="1"/>
      <c r="K726" s="157">
        <f t="shared" si="92"/>
        <v>100</v>
      </c>
      <c r="L726" s="157">
        <f t="shared" si="93"/>
        <v>200</v>
      </c>
      <c r="M726" s="157">
        <f t="shared" si="94"/>
        <v>300</v>
      </c>
      <c r="N726" s="157">
        <f t="shared" si="95"/>
        <v>400</v>
      </c>
      <c r="O726" s="967"/>
      <c r="P726" s="967"/>
      <c r="Q726" s="586"/>
      <c r="R726" s="968"/>
      <c r="S726" s="589"/>
      <c r="T726" s="589"/>
      <c r="U726" s="589"/>
    </row>
    <row r="727" spans="1:21" ht="15.5" x14ac:dyDescent="0.35">
      <c r="A727" s="208"/>
      <c r="B727" s="227" t="s">
        <v>4792</v>
      </c>
      <c r="C727" s="227" t="s">
        <v>4452</v>
      </c>
      <c r="D727" s="228"/>
      <c r="E727" s="228"/>
      <c r="F727" s="229" t="str">
        <f>IF($F$3=1,O727,"")</f>
        <v>C.1 Bauliche Dichte</v>
      </c>
      <c r="G727" s="230"/>
      <c r="H727" s="231"/>
      <c r="I727" s="232"/>
      <c r="J727" s="233"/>
      <c r="K727" s="157">
        <f t="shared" si="92"/>
        <v>100</v>
      </c>
      <c r="L727" s="157">
        <f t="shared" si="93"/>
        <v>200</v>
      </c>
      <c r="M727" s="157">
        <f t="shared" si="94"/>
        <v>300</v>
      </c>
      <c r="N727" s="157">
        <f t="shared" si="95"/>
        <v>400</v>
      </c>
      <c r="O727" s="967" t="str">
        <f>CONCATENATE(B727," ",C727)</f>
        <v>C.1 Bauliche Dichte</v>
      </c>
      <c r="P727" s="958"/>
      <c r="Q727" s="586"/>
      <c r="R727" s="968"/>
      <c r="S727" s="589"/>
      <c r="T727" s="589"/>
      <c r="U727" s="589"/>
    </row>
    <row r="728" spans="1:21" ht="15.5" x14ac:dyDescent="0.35">
      <c r="A728" s="208"/>
      <c r="B728" s="216"/>
      <c r="C728" s="216"/>
      <c r="D728" s="208"/>
      <c r="E728" s="208"/>
      <c r="F728" s="16"/>
      <c r="G728" s="217"/>
      <c r="H728" s="218"/>
      <c r="I728" s="219"/>
      <c r="J728" s="220"/>
      <c r="K728" s="157">
        <f t="shared" si="92"/>
        <v>100</v>
      </c>
      <c r="L728" s="157">
        <f t="shared" si="93"/>
        <v>200</v>
      </c>
      <c r="M728" s="157">
        <f t="shared" si="94"/>
        <v>300</v>
      </c>
      <c r="N728" s="157">
        <f t="shared" si="95"/>
        <v>400</v>
      </c>
      <c r="O728" s="967"/>
      <c r="P728" s="958"/>
      <c r="Q728" s="586"/>
      <c r="R728" s="968"/>
      <c r="S728" s="589"/>
      <c r="T728" s="589"/>
      <c r="U728" s="589"/>
    </row>
    <row r="729" spans="1:21" ht="7.5" customHeight="1" x14ac:dyDescent="0.35">
      <c r="A729" s="116"/>
      <c r="B729" s="117"/>
      <c r="C729" s="117"/>
      <c r="D729" s="116"/>
      <c r="E729" s="116"/>
      <c r="F729" s="118"/>
      <c r="G729" s="119"/>
      <c r="H729" s="116"/>
      <c r="I729" s="120"/>
      <c r="J729" s="121"/>
      <c r="K729" s="157">
        <f t="shared" si="92"/>
        <v>100</v>
      </c>
      <c r="L729" s="157">
        <f t="shared" si="93"/>
        <v>200</v>
      </c>
      <c r="M729" s="157">
        <f t="shared" si="94"/>
        <v>300</v>
      </c>
      <c r="N729" s="157">
        <f t="shared" si="95"/>
        <v>400</v>
      </c>
      <c r="O729" s="968"/>
      <c r="P729" s="968"/>
      <c r="Q729" s="586"/>
      <c r="R729" s="968"/>
      <c r="S729" s="589"/>
      <c r="T729" s="589"/>
      <c r="U729" s="589"/>
    </row>
    <row r="730" spans="1:21" ht="15.5" x14ac:dyDescent="0.35">
      <c r="A730" s="124"/>
      <c r="B730" s="125"/>
      <c r="C730" s="126" t="s">
        <v>4793</v>
      </c>
      <c r="D730" s="127" t="s">
        <v>5436</v>
      </c>
      <c r="E730" s="128"/>
      <c r="F730" s="129" t="str">
        <f>IF($F$3=1,O730,"")</f>
        <v>C.1.1 Umgang mit Dichte</v>
      </c>
      <c r="G730" s="204"/>
      <c r="H730" s="205"/>
      <c r="I730" s="520" t="s">
        <v>23</v>
      </c>
      <c r="J730" s="130"/>
      <c r="K730" s="157">
        <f t="shared" si="92"/>
        <v>100</v>
      </c>
      <c r="L730" s="157">
        <f t="shared" si="93"/>
        <v>200</v>
      </c>
      <c r="M730" s="157">
        <f t="shared" si="94"/>
        <v>300</v>
      </c>
      <c r="N730" s="157">
        <f t="shared" si="95"/>
        <v>400</v>
      </c>
      <c r="O730" s="967" t="str">
        <f>CONCATENATE(C730," ",D730)</f>
        <v>C.1.1 Umgang mit Dichte</v>
      </c>
      <c r="P730" s="966"/>
      <c r="Q730" s="586"/>
      <c r="R730" s="968"/>
      <c r="S730" s="589"/>
      <c r="T730" s="589"/>
      <c r="U730" s="589"/>
    </row>
    <row r="731" spans="1:21" x14ac:dyDescent="0.35">
      <c r="A731" s="124"/>
      <c r="B731" s="134"/>
      <c r="C731" s="135"/>
      <c r="D731" s="136"/>
      <c r="E731" s="136"/>
      <c r="F731" s="137"/>
      <c r="G731" s="138"/>
      <c r="H731" s="124"/>
      <c r="I731" s="139"/>
      <c r="J731" s="140"/>
      <c r="K731" s="157">
        <f t="shared" si="92"/>
        <v>100</v>
      </c>
      <c r="L731" s="157">
        <f t="shared" si="93"/>
        <v>200</v>
      </c>
      <c r="M731" s="157">
        <f t="shared" si="94"/>
        <v>300</v>
      </c>
      <c r="N731" s="157">
        <f t="shared" si="95"/>
        <v>400</v>
      </c>
      <c r="O731" s="968"/>
      <c r="P731" s="966"/>
      <c r="Q731" s="586"/>
      <c r="R731" s="968"/>
      <c r="S731" s="589"/>
      <c r="T731" s="589"/>
      <c r="U731" s="589"/>
    </row>
    <row r="732" spans="1:21" x14ac:dyDescent="0.35">
      <c r="A732" s="142"/>
      <c r="B732" s="35"/>
      <c r="C732" s="143"/>
      <c r="D732" s="1685" t="s">
        <v>18</v>
      </c>
      <c r="E732" s="1686"/>
      <c r="F732" s="144" t="s">
        <v>19</v>
      </c>
      <c r="G732" s="145" t="s">
        <v>0</v>
      </c>
      <c r="H732" s="146" t="s">
        <v>20</v>
      </c>
      <c r="I732" s="147" t="s">
        <v>1</v>
      </c>
      <c r="J732" s="147" t="s">
        <v>4375</v>
      </c>
      <c r="K732" s="157">
        <f t="shared" si="92"/>
        <v>100</v>
      </c>
      <c r="L732" s="157">
        <f t="shared" si="93"/>
        <v>200</v>
      </c>
      <c r="M732" s="157">
        <f t="shared" si="94"/>
        <v>300</v>
      </c>
      <c r="N732" s="157">
        <f t="shared" si="95"/>
        <v>400</v>
      </c>
      <c r="O732" s="587"/>
      <c r="P732" s="967"/>
      <c r="Q732" s="586"/>
      <c r="R732" s="968"/>
      <c r="S732" s="589"/>
      <c r="T732" s="589"/>
      <c r="U732" s="589"/>
    </row>
    <row r="733" spans="1:21" ht="36" x14ac:dyDescent="0.35">
      <c r="A733" s="123"/>
      <c r="B733" s="35"/>
      <c r="C733" s="151"/>
      <c r="D733" s="1687" t="s">
        <v>4672</v>
      </c>
      <c r="E733" s="1688"/>
      <c r="F733" s="152" t="s">
        <v>4502</v>
      </c>
      <c r="G733" s="153">
        <f t="shared" ref="G733:G735" si="97">IF($H$2=1,S733,IF($H$2=2,T733,U733))</f>
        <v>0.2</v>
      </c>
      <c r="H733" s="154"/>
      <c r="I733" s="155"/>
      <c r="J733" s="156"/>
      <c r="K733" s="157">
        <f t="shared" si="92"/>
        <v>100</v>
      </c>
      <c r="L733" s="157">
        <f t="shared" si="93"/>
        <v>200</v>
      </c>
      <c r="M733" s="157">
        <f t="shared" si="94"/>
        <v>300</v>
      </c>
      <c r="N733" s="157">
        <f t="shared" si="95"/>
        <v>400</v>
      </c>
      <c r="O733" s="967" t="str">
        <f>CONCATENATE(O730," | ",F733)</f>
        <v>C.1.1 Umgang mit Dichte | Beispiele für qualitätsvolle Nachverdichtung sind bekannt und wurden für relevante Zielgruppen aufbereitet</v>
      </c>
      <c r="P733" s="967"/>
      <c r="Q733" s="586"/>
      <c r="R733" s="968"/>
      <c r="S733" s="588">
        <v>0</v>
      </c>
      <c r="T733" s="588">
        <v>0.2</v>
      </c>
      <c r="U733" s="588">
        <v>0.2</v>
      </c>
    </row>
    <row r="734" spans="1:21" ht="36" x14ac:dyDescent="0.35">
      <c r="A734" s="123"/>
      <c r="B734" s="35"/>
      <c r="C734" s="151"/>
      <c r="D734" s="1687"/>
      <c r="E734" s="1688"/>
      <c r="F734" s="152" t="s">
        <v>4503</v>
      </c>
      <c r="G734" s="153">
        <f t="shared" si="97"/>
        <v>0.2</v>
      </c>
      <c r="H734" s="154"/>
      <c r="I734" s="158"/>
      <c r="J734" s="156"/>
      <c r="K734" s="157">
        <f t="shared" si="92"/>
        <v>100</v>
      </c>
      <c r="L734" s="157">
        <f t="shared" si="93"/>
        <v>200</v>
      </c>
      <c r="M734" s="157">
        <f t="shared" si="94"/>
        <v>300</v>
      </c>
      <c r="N734" s="157">
        <f t="shared" si="95"/>
        <v>400</v>
      </c>
      <c r="O734" s="967" t="str">
        <f>CONCATENATE(O730," | ",F734)</f>
        <v>C.1.1 Umgang mit Dichte | Die Geschossflächenzahl wurde in Abstimmung mit der lokalen Baubehörde für das vorliegende Bauvorhaben optimiert</v>
      </c>
      <c r="P734" s="967"/>
      <c r="Q734" s="586"/>
      <c r="R734" s="968"/>
      <c r="S734" s="588">
        <v>0</v>
      </c>
      <c r="T734" s="588">
        <v>0.2</v>
      </c>
      <c r="U734" s="588">
        <v>0.2</v>
      </c>
    </row>
    <row r="735" spans="1:21" x14ac:dyDescent="0.35">
      <c r="A735" s="123"/>
      <c r="B735" s="35"/>
      <c r="C735" s="151"/>
      <c r="D735" s="1687"/>
      <c r="E735" s="1688"/>
      <c r="F735" s="152" t="s">
        <v>4736</v>
      </c>
      <c r="G735" s="153">
        <f t="shared" si="97"/>
        <v>0.6</v>
      </c>
      <c r="H735" s="226">
        <f>IF(R736&gt;0.6,0.6,R736)*G735/60%</f>
        <v>0</v>
      </c>
      <c r="I735" s="158"/>
      <c r="J735" s="156"/>
      <c r="K735" s="157">
        <f t="shared" si="92"/>
        <v>100</v>
      </c>
      <c r="L735" s="157">
        <f t="shared" si="93"/>
        <v>200</v>
      </c>
      <c r="M735" s="157">
        <f t="shared" si="94"/>
        <v>300</v>
      </c>
      <c r="N735" s="157">
        <f t="shared" si="95"/>
        <v>400</v>
      </c>
      <c r="O735" s="967" t="str">
        <f>CONCATENATE(O730," | ",F735)</f>
        <v>C.1.1 Umgang mit Dichte | Die Geschossflächenzahl (GFZ) ist &gt;= 0,5</v>
      </c>
      <c r="P735" s="967"/>
      <c r="Q735" s="586"/>
      <c r="R735" s="1039" t="e">
        <f>IF(OR(F737="Bestandsanalyse und Sanierung",F737="Bestandsanalyse und Transformation"),Eckdaten!C23*2,Eckdaten!C23)</f>
        <v>#DIV/0!</v>
      </c>
      <c r="S735" s="588">
        <v>0</v>
      </c>
      <c r="T735" s="588">
        <v>0.6</v>
      </c>
      <c r="U735" s="588">
        <v>0.6</v>
      </c>
    </row>
    <row r="736" spans="1:21" x14ac:dyDescent="0.35">
      <c r="A736" s="123">
        <v>3.2</v>
      </c>
      <c r="B736" s="35"/>
      <c r="C736" s="151"/>
      <c r="D736" s="1687"/>
      <c r="E736" s="1688"/>
      <c r="F736" s="159"/>
      <c r="G736" s="160"/>
      <c r="H736" s="161"/>
      <c r="I736" s="166"/>
      <c r="J736" s="164"/>
      <c r="K736" s="157">
        <f t="shared" si="92"/>
        <v>100</v>
      </c>
      <c r="L736" s="157">
        <f t="shared" si="93"/>
        <v>200</v>
      </c>
      <c r="M736" s="157">
        <f t="shared" si="94"/>
        <v>300</v>
      </c>
      <c r="N736" s="157">
        <f t="shared" si="95"/>
        <v>400</v>
      </c>
      <c r="O736" s="967"/>
      <c r="P736" s="967"/>
      <c r="Q736" s="586"/>
      <c r="R736" s="226">
        <f>IFERROR(-0.0228*R735^2+0.2442*R735-0.0092,0)</f>
        <v>0</v>
      </c>
      <c r="S736" s="589"/>
      <c r="T736" s="589"/>
      <c r="U736" s="589"/>
    </row>
    <row r="737" spans="1:21" x14ac:dyDescent="0.35">
      <c r="A737" s="123"/>
      <c r="B737" s="35"/>
      <c r="C737" s="151"/>
      <c r="D737" s="1687"/>
      <c r="E737" s="1688"/>
      <c r="F737" s="1037" t="str">
        <f>Eckdaten!C19</f>
        <v>Bestandsanalyse und Transformation</v>
      </c>
      <c r="G737" s="160"/>
      <c r="H737" s="161"/>
      <c r="I737" s="162" t="s">
        <v>5392</v>
      </c>
      <c r="J737" s="164"/>
      <c r="K737" s="157">
        <f t="shared" si="92"/>
        <v>100</v>
      </c>
      <c r="L737" s="157">
        <f t="shared" si="93"/>
        <v>200</v>
      </c>
      <c r="M737" s="157">
        <f t="shared" si="94"/>
        <v>300</v>
      </c>
      <c r="N737" s="157">
        <f t="shared" si="95"/>
        <v>400</v>
      </c>
      <c r="O737" s="967"/>
      <c r="P737" s="967"/>
      <c r="Q737" s="586"/>
      <c r="R737" s="968"/>
      <c r="S737" s="589"/>
      <c r="T737" s="589"/>
      <c r="U737" s="589"/>
    </row>
    <row r="738" spans="1:21" x14ac:dyDescent="0.35">
      <c r="A738" s="116"/>
      <c r="B738" s="35"/>
      <c r="C738" s="117"/>
      <c r="D738" s="1687"/>
      <c r="E738" s="1688"/>
      <c r="F738" s="159"/>
      <c r="G738" s="160"/>
      <c r="H738" s="161"/>
      <c r="I738" s="162"/>
      <c r="J738" s="164"/>
      <c r="K738" s="157">
        <f t="shared" si="92"/>
        <v>100</v>
      </c>
      <c r="L738" s="157">
        <f t="shared" si="93"/>
        <v>200</v>
      </c>
      <c r="M738" s="157">
        <f t="shared" si="94"/>
        <v>300</v>
      </c>
      <c r="N738" s="157">
        <f t="shared" si="95"/>
        <v>400</v>
      </c>
      <c r="O738" s="959"/>
      <c r="P738" s="967"/>
      <c r="Q738" s="586"/>
      <c r="R738" s="968"/>
      <c r="S738" s="589"/>
      <c r="T738" s="589"/>
      <c r="U738" s="589"/>
    </row>
    <row r="739" spans="1:21" x14ac:dyDescent="0.35">
      <c r="A739" s="116"/>
      <c r="B739" s="35"/>
      <c r="C739" s="117"/>
      <c r="D739" s="1687"/>
      <c r="E739" s="1688"/>
      <c r="F739" s="159"/>
      <c r="G739" s="160"/>
      <c r="H739" s="161"/>
      <c r="I739" s="162"/>
      <c r="J739" s="164"/>
      <c r="K739" s="157">
        <f t="shared" si="92"/>
        <v>100</v>
      </c>
      <c r="L739" s="157">
        <f t="shared" si="93"/>
        <v>200</v>
      </c>
      <c r="M739" s="157">
        <f t="shared" si="94"/>
        <v>300</v>
      </c>
      <c r="N739" s="157">
        <f t="shared" si="95"/>
        <v>400</v>
      </c>
      <c r="O739" s="959"/>
      <c r="P739" s="967"/>
      <c r="Q739" s="586"/>
      <c r="R739" s="968"/>
      <c r="S739" s="589"/>
      <c r="T739" s="589"/>
      <c r="U739" s="589"/>
    </row>
    <row r="740" spans="1:21" x14ac:dyDescent="0.35">
      <c r="A740" s="116"/>
      <c r="B740" s="35"/>
      <c r="C740" s="117"/>
      <c r="D740" s="1687"/>
      <c r="E740" s="1688"/>
      <c r="F740" s="159"/>
      <c r="G740" s="160"/>
      <c r="H740" s="161"/>
      <c r="I740" s="162"/>
      <c r="J740" s="164"/>
      <c r="K740" s="157">
        <f t="shared" si="92"/>
        <v>100</v>
      </c>
      <c r="L740" s="157">
        <f t="shared" si="93"/>
        <v>200</v>
      </c>
      <c r="M740" s="157">
        <f t="shared" si="94"/>
        <v>300</v>
      </c>
      <c r="N740" s="157">
        <f t="shared" si="95"/>
        <v>400</v>
      </c>
      <c r="O740" s="959"/>
      <c r="P740" s="967"/>
      <c r="Q740" s="586"/>
      <c r="R740" s="968"/>
      <c r="S740" s="589"/>
      <c r="T740" s="589"/>
      <c r="U740" s="589"/>
    </row>
    <row r="741" spans="1:21" x14ac:dyDescent="0.35">
      <c r="A741" s="123"/>
      <c r="B741" s="35"/>
      <c r="C741" s="151"/>
      <c r="D741" s="1687"/>
      <c r="E741" s="1688"/>
      <c r="F741" s="165"/>
      <c r="G741" s="160"/>
      <c r="H741" s="161"/>
      <c r="I741" s="166"/>
      <c r="J741" s="167"/>
      <c r="K741" s="157">
        <f t="shared" si="92"/>
        <v>100</v>
      </c>
      <c r="L741" s="157">
        <f t="shared" si="93"/>
        <v>200</v>
      </c>
      <c r="M741" s="157">
        <f t="shared" si="94"/>
        <v>300</v>
      </c>
      <c r="N741" s="157">
        <f t="shared" si="95"/>
        <v>400</v>
      </c>
      <c r="O741" s="959"/>
      <c r="P741" s="967"/>
      <c r="Q741" s="586"/>
      <c r="R741" s="968"/>
      <c r="S741" s="589"/>
      <c r="T741" s="589"/>
      <c r="U741" s="589"/>
    </row>
    <row r="742" spans="1:21" x14ac:dyDescent="0.35">
      <c r="A742" s="116"/>
      <c r="B742" s="35"/>
      <c r="C742" s="117"/>
      <c r="D742" s="1687"/>
      <c r="E742" s="1688"/>
      <c r="F742" s="159"/>
      <c r="G742" s="160"/>
      <c r="H742" s="168"/>
      <c r="I742" s="162"/>
      <c r="J742" s="164"/>
      <c r="K742" s="157">
        <f t="shared" si="92"/>
        <v>100</v>
      </c>
      <c r="L742" s="157">
        <f t="shared" si="93"/>
        <v>200</v>
      </c>
      <c r="M742" s="157">
        <f t="shared" si="94"/>
        <v>300</v>
      </c>
      <c r="N742" s="157">
        <f t="shared" si="95"/>
        <v>400</v>
      </c>
      <c r="O742" s="959"/>
      <c r="P742" s="967"/>
      <c r="Q742" s="586"/>
      <c r="R742" s="968"/>
      <c r="S742" s="589"/>
      <c r="T742" s="589"/>
      <c r="U742" s="589"/>
    </row>
    <row r="743" spans="1:21" x14ac:dyDescent="0.35">
      <c r="A743" s="116"/>
      <c r="B743" s="117"/>
      <c r="C743" s="117"/>
      <c r="D743" s="1687"/>
      <c r="E743" s="1688"/>
      <c r="F743" s="159"/>
      <c r="G743" s="160"/>
      <c r="H743" s="168"/>
      <c r="I743" s="162"/>
      <c r="J743" s="164"/>
      <c r="K743" s="157">
        <f t="shared" si="92"/>
        <v>100</v>
      </c>
      <c r="L743" s="157">
        <f t="shared" si="93"/>
        <v>200</v>
      </c>
      <c r="M743" s="157">
        <f t="shared" si="94"/>
        <v>300</v>
      </c>
      <c r="N743" s="157">
        <f t="shared" si="95"/>
        <v>400</v>
      </c>
      <c r="O743" s="959"/>
      <c r="P743" s="967"/>
      <c r="Q743" s="586"/>
      <c r="R743" s="968"/>
      <c r="S743" s="589"/>
      <c r="T743" s="589"/>
      <c r="U743" s="589"/>
    </row>
    <row r="744" spans="1:21" x14ac:dyDescent="0.35">
      <c r="A744" s="116"/>
      <c r="B744" s="117"/>
      <c r="C744" s="117"/>
      <c r="D744" s="1687"/>
      <c r="E744" s="1688"/>
      <c r="F744" s="169"/>
      <c r="G744" s="170"/>
      <c r="H744" s="171"/>
      <c r="I744" s="172"/>
      <c r="J744" s="173"/>
      <c r="K744" s="157">
        <f t="shared" si="92"/>
        <v>100</v>
      </c>
      <c r="L744" s="157">
        <f t="shared" si="93"/>
        <v>200</v>
      </c>
      <c r="M744" s="157">
        <f t="shared" si="94"/>
        <v>300</v>
      </c>
      <c r="N744" s="157">
        <f t="shared" si="95"/>
        <v>400</v>
      </c>
      <c r="O744" s="959"/>
      <c r="P744" s="967"/>
      <c r="Q744" s="586"/>
      <c r="R744" s="968"/>
      <c r="S744" s="589"/>
      <c r="T744" s="589"/>
      <c r="U744" s="589"/>
    </row>
    <row r="745" spans="1:21" ht="28.5" customHeight="1" x14ac:dyDescent="0.35">
      <c r="A745" s="116"/>
      <c r="B745" s="117"/>
      <c r="C745" s="117"/>
      <c r="D745" s="174"/>
      <c r="E745" s="175"/>
      <c r="F745" s="1689" t="s">
        <v>2</v>
      </c>
      <c r="G745" s="1689"/>
      <c r="H745" s="176">
        <f>IF(O745&gt;1,"Zielerreichung übersteigt 100%!",O745)</f>
        <v>0</v>
      </c>
      <c r="I745" s="177"/>
      <c r="J745" s="178"/>
      <c r="K745" s="157">
        <f t="shared" si="92"/>
        <v>100</v>
      </c>
      <c r="L745" s="157">
        <f t="shared" si="93"/>
        <v>200</v>
      </c>
      <c r="M745" s="157">
        <f t="shared" si="94"/>
        <v>300</v>
      </c>
      <c r="N745" s="157">
        <f t="shared" si="95"/>
        <v>400</v>
      </c>
      <c r="O745" s="959">
        <f>SUM(H733:H744)</f>
        <v>0</v>
      </c>
      <c r="P745" s="967"/>
      <c r="Q745" s="586"/>
      <c r="R745" s="968"/>
      <c r="S745" s="589"/>
      <c r="T745" s="589"/>
      <c r="U745" s="589"/>
    </row>
    <row r="746" spans="1:21" x14ac:dyDescent="0.35">
      <c r="A746" s="116"/>
      <c r="B746" s="117"/>
      <c r="C746" s="117"/>
      <c r="D746" s="179"/>
      <c r="E746" s="180"/>
      <c r="F746" s="1690" t="s">
        <v>3</v>
      </c>
      <c r="G746" s="1691"/>
      <c r="H746" s="181">
        <v>53</v>
      </c>
      <c r="I746" s="177"/>
      <c r="J746" s="178"/>
      <c r="K746" s="157">
        <f t="shared" si="92"/>
        <v>100</v>
      </c>
      <c r="L746" s="157">
        <f t="shared" si="93"/>
        <v>200</v>
      </c>
      <c r="M746" s="157">
        <f t="shared" si="94"/>
        <v>300</v>
      </c>
      <c r="N746" s="157">
        <f t="shared" si="95"/>
        <v>400</v>
      </c>
      <c r="O746" s="1030"/>
      <c r="P746" s="967"/>
      <c r="Q746" s="586"/>
      <c r="R746" s="968"/>
      <c r="S746" s="589"/>
      <c r="T746" s="589"/>
      <c r="U746" s="589"/>
    </row>
    <row r="747" spans="1:21" x14ac:dyDescent="0.35">
      <c r="A747" s="116"/>
      <c r="B747" s="117"/>
      <c r="C747" s="117"/>
      <c r="D747" s="179"/>
      <c r="E747" s="180"/>
      <c r="F747" s="1700" t="s">
        <v>5494</v>
      </c>
      <c r="G747" s="1701"/>
      <c r="H747" s="1084" t="str">
        <f>IF($H$2=1,0,"")</f>
        <v/>
      </c>
      <c r="I747" s="183"/>
      <c r="J747" s="178"/>
      <c r="K747" s="157">
        <f t="shared" si="92"/>
        <v>100</v>
      </c>
      <c r="L747" s="157">
        <f t="shared" si="93"/>
        <v>200</v>
      </c>
      <c r="M747" s="157">
        <f t="shared" si="94"/>
        <v>300</v>
      </c>
      <c r="N747" s="157">
        <f t="shared" si="95"/>
        <v>400</v>
      </c>
      <c r="O747" s="1030"/>
      <c r="P747" s="967"/>
      <c r="Q747" s="586"/>
      <c r="R747" s="968"/>
      <c r="S747" s="589"/>
      <c r="T747" s="589"/>
      <c r="U747" s="589"/>
    </row>
    <row r="748" spans="1:21" x14ac:dyDescent="0.35">
      <c r="A748" s="184"/>
      <c r="B748" s="185"/>
      <c r="C748" s="185"/>
      <c r="D748" s="179"/>
      <c r="E748" s="180"/>
      <c r="F748" s="186"/>
      <c r="G748" s="186"/>
      <c r="H748" s="187"/>
      <c r="I748" s="177"/>
      <c r="J748" s="178"/>
      <c r="K748" s="157">
        <f t="shared" ref="K748:K811" si="98">IF($J748=$K$41,K747+1,K747+0)</f>
        <v>100</v>
      </c>
      <c r="L748" s="157">
        <f t="shared" ref="L748:L811" si="99">IF($J748=$L$41,L747+1,L747+0)</f>
        <v>200</v>
      </c>
      <c r="M748" s="157">
        <f t="shared" ref="M748:M811" si="100">IF($J748=$M$41,M747+1,M747+0)</f>
        <v>300</v>
      </c>
      <c r="N748" s="157">
        <f t="shared" ref="N748:N811" si="101">IF($J748=$N$41,N747+1,N747+0)</f>
        <v>400</v>
      </c>
      <c r="O748" s="1030"/>
      <c r="P748" s="967"/>
      <c r="Q748" s="586"/>
      <c r="R748" s="968"/>
      <c r="S748" s="589"/>
      <c r="T748" s="589"/>
      <c r="U748" s="589"/>
    </row>
    <row r="749" spans="1:21" ht="15.5" x14ac:dyDescent="0.35">
      <c r="A749" s="116"/>
      <c r="B749" s="117"/>
      <c r="C749" s="1702"/>
      <c r="D749" s="1703"/>
      <c r="E749" s="234"/>
      <c r="F749" s="1704" t="s">
        <v>5</v>
      </c>
      <c r="G749" s="1704"/>
      <c r="H749" s="235">
        <f>IF(ISNUMBER(H747),H747*H745,H746*H745)</f>
        <v>0</v>
      </c>
      <c r="I749" s="236"/>
      <c r="J749" s="237"/>
      <c r="K749" s="157">
        <f t="shared" si="98"/>
        <v>100</v>
      </c>
      <c r="L749" s="157">
        <f t="shared" si="99"/>
        <v>200</v>
      </c>
      <c r="M749" s="157">
        <f t="shared" si="100"/>
        <v>300</v>
      </c>
      <c r="N749" s="157">
        <f t="shared" si="101"/>
        <v>400</v>
      </c>
      <c r="O749" s="1030"/>
      <c r="P749" s="967"/>
      <c r="Q749" s="586"/>
      <c r="R749" s="968"/>
      <c r="S749" s="589"/>
      <c r="T749" s="589"/>
      <c r="U749" s="589"/>
    </row>
    <row r="750" spans="1:21" ht="15.75" customHeight="1" x14ac:dyDescent="0.35">
      <c r="A750" s="116"/>
      <c r="B750" s="185"/>
      <c r="C750" s="200"/>
      <c r="D750" s="200"/>
      <c r="E750" s="201"/>
      <c r="F750" s="202"/>
      <c r="G750" s="202"/>
      <c r="H750" s="203"/>
      <c r="I750" s="177"/>
      <c r="J750" s="178"/>
      <c r="K750" s="157">
        <f t="shared" si="98"/>
        <v>100</v>
      </c>
      <c r="L750" s="157">
        <f t="shared" si="99"/>
        <v>200</v>
      </c>
      <c r="M750" s="157">
        <f t="shared" si="100"/>
        <v>300</v>
      </c>
      <c r="N750" s="157">
        <f t="shared" si="101"/>
        <v>400</v>
      </c>
      <c r="O750" s="1030"/>
      <c r="P750" s="967"/>
      <c r="Q750" s="586"/>
      <c r="R750" s="968"/>
      <c r="S750" s="589"/>
      <c r="T750" s="589"/>
      <c r="U750" s="589"/>
    </row>
    <row r="751" spans="1:21" x14ac:dyDescent="0.35">
      <c r="B751" s="35"/>
      <c r="E751" s="1"/>
      <c r="K751" s="157">
        <f t="shared" si="98"/>
        <v>100</v>
      </c>
      <c r="L751" s="157">
        <f t="shared" si="99"/>
        <v>200</v>
      </c>
      <c r="M751" s="157">
        <f t="shared" si="100"/>
        <v>300</v>
      </c>
      <c r="N751" s="157">
        <f t="shared" si="101"/>
        <v>400</v>
      </c>
      <c r="O751" s="967"/>
      <c r="P751" s="967"/>
      <c r="Q751" s="586"/>
      <c r="R751" s="968"/>
      <c r="S751" s="589"/>
      <c r="T751" s="589"/>
      <c r="U751" s="589"/>
    </row>
    <row r="752" spans="1:21" ht="15.5" x14ac:dyDescent="0.35">
      <c r="A752" s="208"/>
      <c r="B752" s="227" t="s">
        <v>4795</v>
      </c>
      <c r="C752" s="603" t="s">
        <v>5030</v>
      </c>
      <c r="D752" s="228"/>
      <c r="E752" s="228"/>
      <c r="F752" s="229" t="str">
        <f>IF($F$3=1,O752,"")</f>
        <v>C.2 Mikroklima</v>
      </c>
      <c r="G752" s="230"/>
      <c r="H752" s="231"/>
      <c r="I752" s="232"/>
      <c r="J752" s="233"/>
      <c r="K752" s="157">
        <f t="shared" si="98"/>
        <v>100</v>
      </c>
      <c r="L752" s="157">
        <f t="shared" si="99"/>
        <v>200</v>
      </c>
      <c r="M752" s="157">
        <f t="shared" si="100"/>
        <v>300</v>
      </c>
      <c r="N752" s="157">
        <f t="shared" si="101"/>
        <v>400</v>
      </c>
      <c r="O752" s="967" t="str">
        <f>CONCATENATE(B752," ",C752)</f>
        <v>C.2 Mikroklima</v>
      </c>
      <c r="P752" s="958"/>
      <c r="Q752" s="586"/>
      <c r="R752" s="968"/>
      <c r="S752" s="589"/>
      <c r="T752" s="589"/>
      <c r="U752" s="589"/>
    </row>
    <row r="753" spans="1:21" x14ac:dyDescent="0.35">
      <c r="K753" s="157">
        <f t="shared" si="98"/>
        <v>100</v>
      </c>
      <c r="L753" s="157">
        <f t="shared" si="99"/>
        <v>200</v>
      </c>
      <c r="M753" s="157">
        <f t="shared" si="100"/>
        <v>300</v>
      </c>
      <c r="N753" s="157">
        <f t="shared" si="101"/>
        <v>400</v>
      </c>
      <c r="O753" s="967"/>
      <c r="P753" s="967"/>
      <c r="Q753" s="586"/>
      <c r="R753" s="968"/>
      <c r="S753" s="589"/>
      <c r="T753" s="589"/>
      <c r="U753" s="589"/>
    </row>
    <row r="754" spans="1:21" ht="7.5" customHeight="1" x14ac:dyDescent="0.35">
      <c r="A754" s="116"/>
      <c r="B754" s="117"/>
      <c r="C754" s="117"/>
      <c r="D754" s="116"/>
      <c r="E754" s="116"/>
      <c r="F754" s="118"/>
      <c r="G754" s="119"/>
      <c r="H754" s="116"/>
      <c r="I754" s="120"/>
      <c r="J754" s="121"/>
      <c r="K754" s="157">
        <f t="shared" si="98"/>
        <v>100</v>
      </c>
      <c r="L754" s="157">
        <f t="shared" si="99"/>
        <v>200</v>
      </c>
      <c r="M754" s="157">
        <f t="shared" si="100"/>
        <v>300</v>
      </c>
      <c r="N754" s="157">
        <f t="shared" si="101"/>
        <v>400</v>
      </c>
      <c r="O754" s="968"/>
      <c r="P754" s="968"/>
      <c r="Q754" s="586"/>
      <c r="R754" s="968"/>
      <c r="S754" s="589"/>
      <c r="T754" s="589"/>
      <c r="U754" s="589"/>
    </row>
    <row r="755" spans="1:21" ht="15.5" x14ac:dyDescent="0.35">
      <c r="A755" s="124"/>
      <c r="B755" s="125"/>
      <c r="C755" s="126" t="s">
        <v>4794</v>
      </c>
      <c r="D755" s="127" t="s">
        <v>5437</v>
      </c>
      <c r="E755" s="128"/>
      <c r="F755" s="129" t="str">
        <f>IF($F$3=1,O755,"")</f>
        <v>C.2.1 Abklärung zu Mikroklima</v>
      </c>
      <c r="G755" s="597"/>
      <c r="H755" s="205"/>
      <c r="I755" s="520" t="s">
        <v>23</v>
      </c>
      <c r="J755" s="130"/>
      <c r="K755" s="157">
        <f t="shared" si="98"/>
        <v>100</v>
      </c>
      <c r="L755" s="157">
        <f t="shared" si="99"/>
        <v>200</v>
      </c>
      <c r="M755" s="157">
        <f t="shared" si="100"/>
        <v>300</v>
      </c>
      <c r="N755" s="157">
        <f t="shared" si="101"/>
        <v>400</v>
      </c>
      <c r="O755" s="967" t="str">
        <f>CONCATENATE(C755," ",D755)</f>
        <v>C.2.1 Abklärung zu Mikroklima</v>
      </c>
      <c r="P755" s="966"/>
      <c r="Q755" s="586"/>
      <c r="R755" s="968"/>
      <c r="S755" s="589"/>
      <c r="T755" s="589"/>
      <c r="U755" s="589"/>
    </row>
    <row r="756" spans="1:21" x14ac:dyDescent="0.35">
      <c r="A756" s="124"/>
      <c r="B756" s="134"/>
      <c r="C756" s="135"/>
      <c r="D756" s="136"/>
      <c r="E756" s="136"/>
      <c r="F756" s="137"/>
      <c r="G756" s="138"/>
      <c r="H756" s="124"/>
      <c r="I756" s="139"/>
      <c r="J756" s="140"/>
      <c r="K756" s="157">
        <f t="shared" si="98"/>
        <v>100</v>
      </c>
      <c r="L756" s="157">
        <f t="shared" si="99"/>
        <v>200</v>
      </c>
      <c r="M756" s="157">
        <f t="shared" si="100"/>
        <v>300</v>
      </c>
      <c r="N756" s="157">
        <f t="shared" si="101"/>
        <v>400</v>
      </c>
      <c r="O756" s="968"/>
      <c r="P756" s="966"/>
      <c r="Q756" s="586"/>
      <c r="R756" s="968"/>
      <c r="S756" s="589"/>
      <c r="T756" s="589"/>
      <c r="U756" s="589"/>
    </row>
    <row r="757" spans="1:21" x14ac:dyDescent="0.35">
      <c r="A757" s="142"/>
      <c r="B757" s="35"/>
      <c r="C757" s="143"/>
      <c r="D757" s="1685" t="s">
        <v>18</v>
      </c>
      <c r="E757" s="1686"/>
      <c r="F757" s="144" t="s">
        <v>19</v>
      </c>
      <c r="G757" s="145" t="s">
        <v>0</v>
      </c>
      <c r="H757" s="146" t="s">
        <v>20</v>
      </c>
      <c r="I757" s="147" t="s">
        <v>1</v>
      </c>
      <c r="J757" s="147" t="s">
        <v>4375</v>
      </c>
      <c r="K757" s="157">
        <f t="shared" si="98"/>
        <v>100</v>
      </c>
      <c r="L757" s="157">
        <f t="shared" si="99"/>
        <v>200</v>
      </c>
      <c r="M757" s="157">
        <f t="shared" si="100"/>
        <v>300</v>
      </c>
      <c r="N757" s="157">
        <f t="shared" si="101"/>
        <v>400</v>
      </c>
      <c r="O757" s="587"/>
      <c r="P757" s="967"/>
      <c r="Q757" s="586"/>
      <c r="R757" s="968"/>
      <c r="S757" s="589"/>
      <c r="T757" s="589"/>
      <c r="U757" s="589"/>
    </row>
    <row r="758" spans="1:21" ht="24" x14ac:dyDescent="0.35">
      <c r="A758" s="123"/>
      <c r="B758" s="35"/>
      <c r="C758" s="151"/>
      <c r="D758" s="1687" t="s">
        <v>5174</v>
      </c>
      <c r="E758" s="1688"/>
      <c r="F758" s="152" t="s">
        <v>5172</v>
      </c>
      <c r="G758" s="153">
        <f t="shared" ref="G758:G759" si="102">IF($H$2=1,S758,IF($H$2=2,T758,U758))</f>
        <v>0.5</v>
      </c>
      <c r="H758" s="154"/>
      <c r="I758" s="155"/>
      <c r="J758" s="156"/>
      <c r="K758" s="157">
        <f t="shared" si="98"/>
        <v>100</v>
      </c>
      <c r="L758" s="157">
        <f t="shared" si="99"/>
        <v>200</v>
      </c>
      <c r="M758" s="157">
        <f t="shared" si="100"/>
        <v>300</v>
      </c>
      <c r="N758" s="157">
        <f t="shared" si="101"/>
        <v>400</v>
      </c>
      <c r="O758" s="967" t="str">
        <f>CONCATENATE(O755," | ",F758)</f>
        <v>C.2.1 Abklärung zu Mikroklima | Abklärungen zum Stadt- und Mikroklima wurden durchgeführt und die Relevanz geklärt</v>
      </c>
      <c r="P758" s="967"/>
      <c r="Q758" s="586"/>
      <c r="R758" s="968"/>
      <c r="S758" s="588">
        <v>0</v>
      </c>
      <c r="T758" s="588">
        <v>0.5</v>
      </c>
      <c r="U758" s="588">
        <v>0.5</v>
      </c>
    </row>
    <row r="759" spans="1:21" ht="24" x14ac:dyDescent="0.35">
      <c r="A759" s="123"/>
      <c r="B759" s="35"/>
      <c r="C759" s="151"/>
      <c r="D759" s="1687"/>
      <c r="E759" s="1688"/>
      <c r="F759" s="152" t="s">
        <v>5173</v>
      </c>
      <c r="G759" s="153">
        <f t="shared" si="102"/>
        <v>0.5</v>
      </c>
      <c r="H759" s="154"/>
      <c r="I759" s="158"/>
      <c r="J759" s="156"/>
      <c r="K759" s="157">
        <f t="shared" si="98"/>
        <v>100</v>
      </c>
      <c r="L759" s="157">
        <f t="shared" si="99"/>
        <v>200</v>
      </c>
      <c r="M759" s="157">
        <f t="shared" si="100"/>
        <v>300</v>
      </c>
      <c r="N759" s="157">
        <f t="shared" si="101"/>
        <v>400</v>
      </c>
      <c r="O759" s="967" t="str">
        <f>CONCATENATE(O755," | ",F759)</f>
        <v>C.2.1 Abklärung zu Mikroklima | Die Abklärung mit Folgerungen/Maßnahmen zum Stadt- und Mikroklima sind dokumentiert</v>
      </c>
      <c r="P759" s="967"/>
      <c r="Q759" s="586"/>
      <c r="R759" s="968"/>
      <c r="S759" s="588">
        <v>0</v>
      </c>
      <c r="T759" s="588">
        <v>0.5</v>
      </c>
      <c r="U759" s="588">
        <v>0.5</v>
      </c>
    </row>
    <row r="760" spans="1:21" x14ac:dyDescent="0.35">
      <c r="A760" s="123"/>
      <c r="B760" s="35"/>
      <c r="C760" s="151"/>
      <c r="D760" s="1687"/>
      <c r="E760" s="1688"/>
      <c r="F760" s="159"/>
      <c r="G760" s="160"/>
      <c r="H760" s="161"/>
      <c r="I760" s="166"/>
      <c r="J760" s="164"/>
      <c r="K760" s="157">
        <f t="shared" si="98"/>
        <v>100</v>
      </c>
      <c r="L760" s="157">
        <f t="shared" si="99"/>
        <v>200</v>
      </c>
      <c r="M760" s="157">
        <f t="shared" si="100"/>
        <v>300</v>
      </c>
      <c r="N760" s="157">
        <f t="shared" si="101"/>
        <v>400</v>
      </c>
      <c r="O760" s="967"/>
      <c r="P760" s="967"/>
      <c r="Q760" s="586"/>
      <c r="R760" s="968"/>
      <c r="S760" s="589"/>
      <c r="T760" s="589"/>
      <c r="U760" s="589"/>
    </row>
    <row r="761" spans="1:21" x14ac:dyDescent="0.35">
      <c r="A761" s="123">
        <v>3.2</v>
      </c>
      <c r="B761" s="35"/>
      <c r="C761" s="151"/>
      <c r="D761" s="1687"/>
      <c r="E761" s="1688"/>
      <c r="F761" s="159"/>
      <c r="G761" s="160"/>
      <c r="H761" s="161"/>
      <c r="I761" s="166"/>
      <c r="J761" s="164"/>
      <c r="K761" s="157">
        <f t="shared" si="98"/>
        <v>100</v>
      </c>
      <c r="L761" s="157">
        <f t="shared" si="99"/>
        <v>200</v>
      </c>
      <c r="M761" s="157">
        <f t="shared" si="100"/>
        <v>300</v>
      </c>
      <c r="N761" s="157">
        <f t="shared" si="101"/>
        <v>400</v>
      </c>
      <c r="O761" s="967"/>
      <c r="P761" s="967"/>
      <c r="Q761" s="586"/>
      <c r="R761" s="968"/>
      <c r="S761" s="589"/>
      <c r="T761" s="589"/>
      <c r="U761" s="589"/>
    </row>
    <row r="762" spans="1:21" x14ac:dyDescent="0.35">
      <c r="A762" s="123"/>
      <c r="B762" s="35"/>
      <c r="C762" s="151"/>
      <c r="D762" s="1687"/>
      <c r="E762" s="1688"/>
      <c r="F762" s="159"/>
      <c r="G762" s="160"/>
      <c r="H762" s="161"/>
      <c r="I762" s="166"/>
      <c r="J762" s="164"/>
      <c r="K762" s="157">
        <f t="shared" si="98"/>
        <v>100</v>
      </c>
      <c r="L762" s="157">
        <f t="shared" si="99"/>
        <v>200</v>
      </c>
      <c r="M762" s="157">
        <f t="shared" si="100"/>
        <v>300</v>
      </c>
      <c r="N762" s="157">
        <f t="shared" si="101"/>
        <v>400</v>
      </c>
      <c r="O762" s="967"/>
      <c r="P762" s="967"/>
      <c r="Q762" s="586"/>
      <c r="R762" s="968"/>
      <c r="S762" s="589"/>
      <c r="T762" s="589"/>
      <c r="U762" s="589"/>
    </row>
    <row r="763" spans="1:21" x14ac:dyDescent="0.35">
      <c r="A763" s="116"/>
      <c r="B763" s="35"/>
      <c r="C763" s="117"/>
      <c r="D763" s="1687"/>
      <c r="E763" s="1688"/>
      <c r="F763" s="159"/>
      <c r="G763" s="160"/>
      <c r="H763" s="161"/>
      <c r="I763" s="162"/>
      <c r="J763" s="164"/>
      <c r="K763" s="157">
        <f t="shared" si="98"/>
        <v>100</v>
      </c>
      <c r="L763" s="157">
        <f t="shared" si="99"/>
        <v>200</v>
      </c>
      <c r="M763" s="157">
        <f t="shared" si="100"/>
        <v>300</v>
      </c>
      <c r="N763" s="157">
        <f t="shared" si="101"/>
        <v>400</v>
      </c>
      <c r="O763" s="959"/>
      <c r="P763" s="967"/>
      <c r="Q763" s="586"/>
      <c r="R763" s="968"/>
      <c r="S763" s="589"/>
      <c r="T763" s="589"/>
      <c r="U763" s="589"/>
    </row>
    <row r="764" spans="1:21" x14ac:dyDescent="0.35">
      <c r="A764" s="116"/>
      <c r="B764" s="35"/>
      <c r="C764" s="117"/>
      <c r="D764" s="1687"/>
      <c r="E764" s="1688"/>
      <c r="F764" s="159"/>
      <c r="G764" s="160"/>
      <c r="H764" s="161"/>
      <c r="I764" s="162"/>
      <c r="J764" s="164"/>
      <c r="K764" s="157">
        <f t="shared" si="98"/>
        <v>100</v>
      </c>
      <c r="L764" s="157">
        <f t="shared" si="99"/>
        <v>200</v>
      </c>
      <c r="M764" s="157">
        <f t="shared" si="100"/>
        <v>300</v>
      </c>
      <c r="N764" s="157">
        <f t="shared" si="101"/>
        <v>400</v>
      </c>
      <c r="O764" s="959"/>
      <c r="P764" s="967"/>
      <c r="Q764" s="586"/>
      <c r="R764" s="968"/>
      <c r="S764" s="589"/>
      <c r="T764" s="589"/>
      <c r="U764" s="589"/>
    </row>
    <row r="765" spans="1:21" x14ac:dyDescent="0.35">
      <c r="A765" s="116"/>
      <c r="B765" s="35"/>
      <c r="C765" s="117"/>
      <c r="D765" s="1687"/>
      <c r="E765" s="1688"/>
      <c r="F765" s="159"/>
      <c r="G765" s="160"/>
      <c r="H765" s="161"/>
      <c r="I765" s="162"/>
      <c r="J765" s="164"/>
      <c r="K765" s="157">
        <f t="shared" si="98"/>
        <v>100</v>
      </c>
      <c r="L765" s="157">
        <f t="shared" si="99"/>
        <v>200</v>
      </c>
      <c r="M765" s="157">
        <f t="shared" si="100"/>
        <v>300</v>
      </c>
      <c r="N765" s="157">
        <f t="shared" si="101"/>
        <v>400</v>
      </c>
      <c r="O765" s="959"/>
      <c r="P765" s="967"/>
      <c r="Q765" s="586"/>
      <c r="R765" s="968"/>
      <c r="S765" s="589"/>
      <c r="T765" s="589"/>
      <c r="U765" s="589"/>
    </row>
    <row r="766" spans="1:21" x14ac:dyDescent="0.35">
      <c r="A766" s="123"/>
      <c r="B766" s="35"/>
      <c r="C766" s="151"/>
      <c r="D766" s="1687"/>
      <c r="E766" s="1688"/>
      <c r="F766" s="165"/>
      <c r="G766" s="160"/>
      <c r="H766" s="161"/>
      <c r="I766" s="166"/>
      <c r="J766" s="167"/>
      <c r="K766" s="157">
        <f t="shared" si="98"/>
        <v>100</v>
      </c>
      <c r="L766" s="157">
        <f t="shared" si="99"/>
        <v>200</v>
      </c>
      <c r="M766" s="157">
        <f t="shared" si="100"/>
        <v>300</v>
      </c>
      <c r="N766" s="157">
        <f t="shared" si="101"/>
        <v>400</v>
      </c>
      <c r="O766" s="959"/>
      <c r="P766" s="967"/>
      <c r="Q766" s="586"/>
      <c r="R766" s="968"/>
      <c r="S766" s="589"/>
      <c r="T766" s="589"/>
      <c r="U766" s="589"/>
    </row>
    <row r="767" spans="1:21" x14ac:dyDescent="0.35">
      <c r="A767" s="116"/>
      <c r="B767" s="35"/>
      <c r="C767" s="117"/>
      <c r="D767" s="1687"/>
      <c r="E767" s="1688"/>
      <c r="F767" s="159"/>
      <c r="G767" s="160"/>
      <c r="H767" s="168"/>
      <c r="I767" s="162"/>
      <c r="J767" s="164"/>
      <c r="K767" s="157">
        <f t="shared" si="98"/>
        <v>100</v>
      </c>
      <c r="L767" s="157">
        <f t="shared" si="99"/>
        <v>200</v>
      </c>
      <c r="M767" s="157">
        <f t="shared" si="100"/>
        <v>300</v>
      </c>
      <c r="N767" s="157">
        <f t="shared" si="101"/>
        <v>400</v>
      </c>
      <c r="O767" s="959"/>
      <c r="P767" s="967"/>
      <c r="Q767" s="586"/>
      <c r="R767" s="968"/>
      <c r="S767" s="589"/>
      <c r="T767" s="589"/>
      <c r="U767" s="589"/>
    </row>
    <row r="768" spans="1:21" x14ac:dyDescent="0.35">
      <c r="A768" s="116"/>
      <c r="B768" s="117"/>
      <c r="C768" s="117"/>
      <c r="D768" s="1687"/>
      <c r="E768" s="1688"/>
      <c r="F768" s="159"/>
      <c r="G768" s="160"/>
      <c r="H768" s="168"/>
      <c r="I768" s="162"/>
      <c r="J768" s="164"/>
      <c r="K768" s="157">
        <f t="shared" si="98"/>
        <v>100</v>
      </c>
      <c r="L768" s="157">
        <f t="shared" si="99"/>
        <v>200</v>
      </c>
      <c r="M768" s="157">
        <f t="shared" si="100"/>
        <v>300</v>
      </c>
      <c r="N768" s="157">
        <f t="shared" si="101"/>
        <v>400</v>
      </c>
      <c r="O768" s="959"/>
      <c r="P768" s="967"/>
      <c r="Q768" s="586"/>
      <c r="R768" s="968"/>
      <c r="S768" s="589"/>
      <c r="T768" s="589"/>
      <c r="U768" s="589"/>
    </row>
    <row r="769" spans="1:21" x14ac:dyDescent="0.35">
      <c r="A769" s="116"/>
      <c r="B769" s="117"/>
      <c r="C769" s="117"/>
      <c r="D769" s="1687"/>
      <c r="E769" s="1688"/>
      <c r="F769" s="169"/>
      <c r="G769" s="170"/>
      <c r="H769" s="171"/>
      <c r="I769" s="172"/>
      <c r="J769" s="173"/>
      <c r="K769" s="157">
        <f t="shared" si="98"/>
        <v>100</v>
      </c>
      <c r="L769" s="157">
        <f t="shared" si="99"/>
        <v>200</v>
      </c>
      <c r="M769" s="157">
        <f t="shared" si="100"/>
        <v>300</v>
      </c>
      <c r="N769" s="157">
        <f t="shared" si="101"/>
        <v>400</v>
      </c>
      <c r="O769" s="959"/>
      <c r="P769" s="967"/>
      <c r="Q769" s="586"/>
      <c r="R769" s="968"/>
      <c r="S769" s="589"/>
      <c r="T769" s="589"/>
      <c r="U769" s="589"/>
    </row>
    <row r="770" spans="1:21" ht="28.5" customHeight="1" x14ac:dyDescent="0.35">
      <c r="A770" s="116"/>
      <c r="B770" s="117"/>
      <c r="C770" s="117"/>
      <c r="D770" s="174"/>
      <c r="E770" s="175"/>
      <c r="F770" s="1689" t="s">
        <v>2</v>
      </c>
      <c r="G770" s="1689"/>
      <c r="H770" s="176">
        <f>IF(O770&gt;1,"Zielerreichung übersteigt 100%!",O770)</f>
        <v>0</v>
      </c>
      <c r="I770" s="177"/>
      <c r="J770" s="178"/>
      <c r="K770" s="157">
        <f t="shared" si="98"/>
        <v>100</v>
      </c>
      <c r="L770" s="157">
        <f t="shared" si="99"/>
        <v>200</v>
      </c>
      <c r="M770" s="157">
        <f t="shared" si="100"/>
        <v>300</v>
      </c>
      <c r="N770" s="157">
        <f t="shared" si="101"/>
        <v>400</v>
      </c>
      <c r="O770" s="959">
        <f>SUM(H758:H769)</f>
        <v>0</v>
      </c>
      <c r="P770" s="967"/>
      <c r="Q770" s="586"/>
      <c r="R770" s="968"/>
      <c r="S770" s="589"/>
      <c r="T770" s="589"/>
      <c r="U770" s="589"/>
    </row>
    <row r="771" spans="1:21" x14ac:dyDescent="0.35">
      <c r="A771" s="116"/>
      <c r="B771" s="117"/>
      <c r="C771" s="117"/>
      <c r="D771" s="179"/>
      <c r="E771" s="180"/>
      <c r="F771" s="1690" t="s">
        <v>3</v>
      </c>
      <c r="G771" s="1691"/>
      <c r="H771" s="181">
        <v>6</v>
      </c>
      <c r="I771" s="177"/>
      <c r="J771" s="178"/>
      <c r="K771" s="157">
        <f t="shared" si="98"/>
        <v>100</v>
      </c>
      <c r="L771" s="157">
        <f t="shared" si="99"/>
        <v>200</v>
      </c>
      <c r="M771" s="157">
        <f t="shared" si="100"/>
        <v>300</v>
      </c>
      <c r="N771" s="157">
        <f t="shared" si="101"/>
        <v>400</v>
      </c>
      <c r="O771" s="1030"/>
      <c r="P771" s="967"/>
      <c r="Q771" s="586"/>
      <c r="R771" s="968"/>
      <c r="S771" s="589"/>
      <c r="T771" s="589"/>
      <c r="U771" s="589"/>
    </row>
    <row r="772" spans="1:21" x14ac:dyDescent="0.35">
      <c r="A772" s="116"/>
      <c r="B772" s="117"/>
      <c r="C772" s="117"/>
      <c r="D772" s="179"/>
      <c r="E772" s="180"/>
      <c r="F772" s="1700" t="s">
        <v>5494</v>
      </c>
      <c r="G772" s="1701"/>
      <c r="H772" s="1084" t="str">
        <f>IF($H$2=1,0,"")</f>
        <v/>
      </c>
      <c r="I772" s="183"/>
      <c r="J772" s="178"/>
      <c r="K772" s="157">
        <f t="shared" si="98"/>
        <v>100</v>
      </c>
      <c r="L772" s="157">
        <f t="shared" si="99"/>
        <v>200</v>
      </c>
      <c r="M772" s="157">
        <f t="shared" si="100"/>
        <v>300</v>
      </c>
      <c r="N772" s="157">
        <f t="shared" si="101"/>
        <v>400</v>
      </c>
      <c r="O772" s="1030"/>
      <c r="P772" s="967"/>
      <c r="Q772" s="586"/>
      <c r="R772" s="968"/>
      <c r="S772" s="589"/>
      <c r="T772" s="589"/>
      <c r="U772" s="589"/>
    </row>
    <row r="773" spans="1:21" x14ac:dyDescent="0.35">
      <c r="A773" s="184"/>
      <c r="B773" s="185"/>
      <c r="C773" s="185"/>
      <c r="D773" s="179"/>
      <c r="E773" s="180"/>
      <c r="F773" s="186"/>
      <c r="G773" s="186"/>
      <c r="H773" s="187"/>
      <c r="I773" s="177"/>
      <c r="J773" s="178"/>
      <c r="K773" s="157">
        <f t="shared" si="98"/>
        <v>100</v>
      </c>
      <c r="L773" s="157">
        <f t="shared" si="99"/>
        <v>200</v>
      </c>
      <c r="M773" s="157">
        <f t="shared" si="100"/>
        <v>300</v>
      </c>
      <c r="N773" s="157">
        <f t="shared" si="101"/>
        <v>400</v>
      </c>
      <c r="O773" s="1030"/>
      <c r="P773" s="967"/>
      <c r="Q773" s="586"/>
      <c r="R773" s="968"/>
      <c r="S773" s="589"/>
      <c r="T773" s="589"/>
      <c r="U773" s="589"/>
    </row>
    <row r="774" spans="1:21" ht="15.75" customHeight="1" x14ac:dyDescent="0.35">
      <c r="A774" s="116"/>
      <c r="B774" s="185"/>
      <c r="C774" s="1702"/>
      <c r="D774" s="1703"/>
      <c r="E774" s="234"/>
      <c r="F774" s="1704" t="s">
        <v>5</v>
      </c>
      <c r="G774" s="1704"/>
      <c r="H774" s="235">
        <f>IF(ISNUMBER(H772),H772*H770,H771*H770)</f>
        <v>0</v>
      </c>
      <c r="I774" s="236"/>
      <c r="J774" s="237"/>
      <c r="K774" s="157">
        <f t="shared" si="98"/>
        <v>100</v>
      </c>
      <c r="L774" s="157">
        <f t="shared" si="99"/>
        <v>200</v>
      </c>
      <c r="M774" s="157">
        <f t="shared" si="100"/>
        <v>300</v>
      </c>
      <c r="N774" s="157">
        <f t="shared" si="101"/>
        <v>400</v>
      </c>
      <c r="O774" s="1030"/>
      <c r="P774" s="967"/>
      <c r="Q774" s="586"/>
      <c r="R774" s="968"/>
      <c r="S774" s="589"/>
      <c r="T774" s="589"/>
      <c r="U774" s="589"/>
    </row>
    <row r="775" spans="1:21" x14ac:dyDescent="0.35">
      <c r="K775" s="157">
        <f t="shared" si="98"/>
        <v>100</v>
      </c>
      <c r="L775" s="157">
        <f t="shared" si="99"/>
        <v>200</v>
      </c>
      <c r="M775" s="157">
        <f t="shared" si="100"/>
        <v>300</v>
      </c>
      <c r="N775" s="157">
        <f t="shared" si="101"/>
        <v>400</v>
      </c>
      <c r="O775" s="967"/>
      <c r="P775" s="967"/>
      <c r="Q775" s="586"/>
      <c r="R775" s="968"/>
      <c r="S775" s="589"/>
      <c r="T775" s="589"/>
      <c r="U775" s="589"/>
    </row>
    <row r="776" spans="1:21" ht="7.5" customHeight="1" x14ac:dyDescent="0.35">
      <c r="A776" s="116"/>
      <c r="B776" s="117"/>
      <c r="C776" s="117"/>
      <c r="D776" s="116"/>
      <c r="E776" s="116"/>
      <c r="F776" s="118"/>
      <c r="G776" s="119"/>
      <c r="H776" s="116"/>
      <c r="I776" s="120"/>
      <c r="J776" s="121"/>
      <c r="K776" s="157">
        <f t="shared" si="98"/>
        <v>100</v>
      </c>
      <c r="L776" s="157">
        <f t="shared" si="99"/>
        <v>200</v>
      </c>
      <c r="M776" s="157">
        <f t="shared" si="100"/>
        <v>300</v>
      </c>
      <c r="N776" s="157">
        <f t="shared" si="101"/>
        <v>400</v>
      </c>
      <c r="O776" s="968"/>
      <c r="P776" s="968"/>
      <c r="Q776" s="586"/>
      <c r="R776" s="968"/>
      <c r="S776" s="589"/>
      <c r="T776" s="589"/>
      <c r="U776" s="589"/>
    </row>
    <row r="777" spans="1:21" ht="15.5" x14ac:dyDescent="0.35">
      <c r="A777" s="124"/>
      <c r="B777" s="125"/>
      <c r="C777" s="126" t="s">
        <v>4796</v>
      </c>
      <c r="D777" s="127" t="s">
        <v>5438</v>
      </c>
      <c r="E777" s="128"/>
      <c r="F777" s="129" t="str">
        <f>IF($F$3=1,O777,"")</f>
        <v>C.2.2 Durchlüftung *</v>
      </c>
      <c r="G777" s="204"/>
      <c r="H777" s="205"/>
      <c r="I777" s="520" t="s">
        <v>23</v>
      </c>
      <c r="J777" s="130"/>
      <c r="K777" s="157">
        <f t="shared" si="98"/>
        <v>100</v>
      </c>
      <c r="L777" s="157">
        <f t="shared" si="99"/>
        <v>200</v>
      </c>
      <c r="M777" s="157">
        <f t="shared" si="100"/>
        <v>300</v>
      </c>
      <c r="N777" s="157">
        <f t="shared" si="101"/>
        <v>400</v>
      </c>
      <c r="O777" s="967" t="str">
        <f>CONCATENATE(C777," ",D777)</f>
        <v>C.2.2 Durchlüftung *</v>
      </c>
      <c r="P777" s="966"/>
      <c r="Q777" s="586"/>
      <c r="R777" s="968"/>
      <c r="S777" s="589"/>
      <c r="T777" s="589"/>
      <c r="U777" s="589"/>
    </row>
    <row r="778" spans="1:21" x14ac:dyDescent="0.35">
      <c r="A778" s="124"/>
      <c r="B778" s="134"/>
      <c r="C778" s="135"/>
      <c r="D778" s="136"/>
      <c r="E778" s="136"/>
      <c r="F778" s="137"/>
      <c r="G778" s="138"/>
      <c r="H778" s="124"/>
      <c r="I778" s="139"/>
      <c r="J778" s="140"/>
      <c r="K778" s="157">
        <f t="shared" si="98"/>
        <v>100</v>
      </c>
      <c r="L778" s="157">
        <f t="shared" si="99"/>
        <v>200</v>
      </c>
      <c r="M778" s="157">
        <f t="shared" si="100"/>
        <v>300</v>
      </c>
      <c r="N778" s="157">
        <f t="shared" si="101"/>
        <v>400</v>
      </c>
      <c r="O778" s="968"/>
      <c r="P778" s="966"/>
      <c r="Q778" s="586"/>
      <c r="R778" s="968"/>
      <c r="S778" s="589"/>
      <c r="T778" s="589"/>
      <c r="U778" s="589"/>
    </row>
    <row r="779" spans="1:21" x14ac:dyDescent="0.35">
      <c r="A779" s="142"/>
      <c r="B779" s="35"/>
      <c r="C779" s="143"/>
      <c r="D779" s="1685" t="s">
        <v>18</v>
      </c>
      <c r="E779" s="1686"/>
      <c r="F779" s="144" t="s">
        <v>19</v>
      </c>
      <c r="G779" s="145" t="s">
        <v>0</v>
      </c>
      <c r="H779" s="146" t="s">
        <v>20</v>
      </c>
      <c r="I779" s="147" t="s">
        <v>1</v>
      </c>
      <c r="J779" s="147" t="s">
        <v>4375</v>
      </c>
      <c r="K779" s="157">
        <f t="shared" si="98"/>
        <v>100</v>
      </c>
      <c r="L779" s="157">
        <f t="shared" si="99"/>
        <v>200</v>
      </c>
      <c r="M779" s="157">
        <f t="shared" si="100"/>
        <v>300</v>
      </c>
      <c r="N779" s="157">
        <f t="shared" si="101"/>
        <v>400</v>
      </c>
      <c r="O779" s="587"/>
      <c r="P779" s="967"/>
      <c r="Q779" s="586"/>
      <c r="R779" s="968"/>
      <c r="S779" s="589"/>
      <c r="T779" s="589"/>
      <c r="U779" s="589"/>
    </row>
    <row r="780" spans="1:21" ht="24" x14ac:dyDescent="0.35">
      <c r="A780" s="123"/>
      <c r="B780" s="35"/>
      <c r="C780" s="151"/>
      <c r="D780" s="1687" t="s">
        <v>4673</v>
      </c>
      <c r="E780" s="1688"/>
      <c r="F780" s="152" t="s">
        <v>4504</v>
      </c>
      <c r="G780" s="153">
        <f t="shared" ref="G780:G781" si="103">IF($H$2=1,S780,IF($H$2=2,T780,U780))</f>
        <v>0.5</v>
      </c>
      <c r="H780" s="154"/>
      <c r="I780" s="158"/>
      <c r="J780" s="156"/>
      <c r="K780" s="157">
        <f t="shared" si="98"/>
        <v>100</v>
      </c>
      <c r="L780" s="157">
        <f t="shared" si="99"/>
        <v>200</v>
      </c>
      <c r="M780" s="157">
        <f t="shared" si="100"/>
        <v>300</v>
      </c>
      <c r="N780" s="157">
        <f t="shared" si="101"/>
        <v>400</v>
      </c>
      <c r="O780" s="967" t="str">
        <f>CONCATENATE(O777," | ",F780)</f>
        <v>C.2.2 Durchlüftung * | Die stadträumliche Strukturierung berücksichtigt die relevanten, übergeordneten Durchlüftungsachsen</v>
      </c>
      <c r="P780" s="967"/>
      <c r="Q780" s="586"/>
      <c r="R780" s="968"/>
      <c r="S780" s="588">
        <v>0</v>
      </c>
      <c r="T780" s="588">
        <v>0.5</v>
      </c>
      <c r="U780" s="588">
        <v>0.5</v>
      </c>
    </row>
    <row r="781" spans="1:21" ht="48" x14ac:dyDescent="0.35">
      <c r="A781" s="123"/>
      <c r="B781" s="35"/>
      <c r="C781" s="151"/>
      <c r="D781" s="1687"/>
      <c r="E781" s="1688"/>
      <c r="F781" s="152" t="s">
        <v>5175</v>
      </c>
      <c r="G781" s="153">
        <f t="shared" si="103"/>
        <v>0.5</v>
      </c>
      <c r="H781" s="154"/>
      <c r="I781" s="158"/>
      <c r="J781" s="156"/>
      <c r="K781" s="157">
        <f t="shared" si="98"/>
        <v>100</v>
      </c>
      <c r="L781" s="157">
        <f t="shared" si="99"/>
        <v>200</v>
      </c>
      <c r="M781" s="157">
        <f t="shared" si="100"/>
        <v>300</v>
      </c>
      <c r="N781" s="157">
        <f t="shared" si="101"/>
        <v>400</v>
      </c>
      <c r="O781" s="967" t="str">
        <f>CONCATENATE(O777," | ",F781)</f>
        <v>C.2.2 Durchlüftung * | Durchlässige Bebauungsstrukturen und größere Freiflächen auf dem Areal und in dessen Umgebung begünstigen eine gute Durchlüftung und vermeiden Winddüsen</v>
      </c>
      <c r="P781" s="967"/>
      <c r="Q781" s="586"/>
      <c r="R781" s="968"/>
      <c r="S781" s="588">
        <v>0</v>
      </c>
      <c r="T781" s="588">
        <v>0.5</v>
      </c>
      <c r="U781" s="588">
        <v>0.5</v>
      </c>
    </row>
    <row r="782" spans="1:21" x14ac:dyDescent="0.35">
      <c r="A782" s="123"/>
      <c r="B782" s="35"/>
      <c r="C782" s="151"/>
      <c r="D782" s="1687"/>
      <c r="E782" s="1688"/>
      <c r="F782" s="159"/>
      <c r="G782" s="160"/>
      <c r="H782" s="161"/>
      <c r="I782" s="166"/>
      <c r="J782" s="164"/>
      <c r="K782" s="157">
        <f t="shared" si="98"/>
        <v>100</v>
      </c>
      <c r="L782" s="157">
        <f t="shared" si="99"/>
        <v>200</v>
      </c>
      <c r="M782" s="157">
        <f t="shared" si="100"/>
        <v>300</v>
      </c>
      <c r="N782" s="157">
        <f t="shared" si="101"/>
        <v>400</v>
      </c>
      <c r="O782" s="967"/>
      <c r="P782" s="967"/>
      <c r="Q782" s="586"/>
      <c r="R782" s="968"/>
      <c r="S782" s="589"/>
      <c r="T782" s="589"/>
      <c r="U782" s="589"/>
    </row>
    <row r="783" spans="1:21" x14ac:dyDescent="0.35">
      <c r="A783" s="123">
        <v>3.2</v>
      </c>
      <c r="B783" s="35"/>
      <c r="C783" s="151"/>
      <c r="D783" s="1687"/>
      <c r="E783" s="1688"/>
      <c r="F783" s="1083" t="s">
        <v>5485</v>
      </c>
      <c r="G783" s="1082" t="s">
        <v>2048</v>
      </c>
      <c r="H783" s="161"/>
      <c r="I783" s="166"/>
      <c r="J783" s="164"/>
      <c r="K783" s="157">
        <f t="shared" si="98"/>
        <v>100</v>
      </c>
      <c r="L783" s="157">
        <f t="shared" si="99"/>
        <v>200</v>
      </c>
      <c r="M783" s="157">
        <f t="shared" si="100"/>
        <v>300</v>
      </c>
      <c r="N783" s="157">
        <f t="shared" si="101"/>
        <v>400</v>
      </c>
      <c r="O783" s="967"/>
      <c r="P783" s="967"/>
      <c r="Q783" s="586"/>
      <c r="R783" s="968"/>
      <c r="S783" s="589"/>
      <c r="T783" s="589"/>
      <c r="U783" s="589"/>
    </row>
    <row r="784" spans="1:21" x14ac:dyDescent="0.35">
      <c r="A784" s="123"/>
      <c r="B784" s="35"/>
      <c r="C784" s="151"/>
      <c r="D784" s="1687"/>
      <c r="E784" s="1688"/>
      <c r="F784" s="159"/>
      <c r="G784" s="160"/>
      <c r="H784" s="161"/>
      <c r="I784" s="166"/>
      <c r="J784" s="164"/>
      <c r="K784" s="157">
        <f t="shared" si="98"/>
        <v>100</v>
      </c>
      <c r="L784" s="157">
        <f t="shared" si="99"/>
        <v>200</v>
      </c>
      <c r="M784" s="157">
        <f t="shared" si="100"/>
        <v>300</v>
      </c>
      <c r="N784" s="157">
        <f t="shared" si="101"/>
        <v>400</v>
      </c>
      <c r="O784" s="967"/>
      <c r="P784" s="967"/>
      <c r="Q784" s="586"/>
      <c r="R784" s="968"/>
      <c r="S784" s="589"/>
      <c r="T784" s="589"/>
      <c r="U784" s="589"/>
    </row>
    <row r="785" spans="1:21" x14ac:dyDescent="0.35">
      <c r="A785" s="116"/>
      <c r="B785" s="35"/>
      <c r="C785" s="117"/>
      <c r="D785" s="1687"/>
      <c r="E785" s="1688"/>
      <c r="F785" s="159"/>
      <c r="G785" s="160"/>
      <c r="H785" s="161"/>
      <c r="I785" s="162"/>
      <c r="J785" s="164"/>
      <c r="K785" s="157">
        <f t="shared" si="98"/>
        <v>100</v>
      </c>
      <c r="L785" s="157">
        <f t="shared" si="99"/>
        <v>200</v>
      </c>
      <c r="M785" s="157">
        <f t="shared" si="100"/>
        <v>300</v>
      </c>
      <c r="N785" s="157">
        <f t="shared" si="101"/>
        <v>400</v>
      </c>
      <c r="O785" s="959"/>
      <c r="P785" s="967"/>
      <c r="Q785" s="586"/>
      <c r="R785" s="968"/>
      <c r="S785" s="589"/>
      <c r="T785" s="589"/>
      <c r="U785" s="589"/>
    </row>
    <row r="786" spans="1:21" x14ac:dyDescent="0.35">
      <c r="A786" s="116"/>
      <c r="B786" s="35"/>
      <c r="C786" s="117"/>
      <c r="D786" s="1687"/>
      <c r="E786" s="1688"/>
      <c r="F786" s="159"/>
      <c r="G786" s="160"/>
      <c r="H786" s="161"/>
      <c r="I786" s="162"/>
      <c r="J786" s="164"/>
      <c r="K786" s="157">
        <f t="shared" si="98"/>
        <v>100</v>
      </c>
      <c r="L786" s="157">
        <f t="shared" si="99"/>
        <v>200</v>
      </c>
      <c r="M786" s="157">
        <f t="shared" si="100"/>
        <v>300</v>
      </c>
      <c r="N786" s="157">
        <f t="shared" si="101"/>
        <v>400</v>
      </c>
      <c r="O786" s="959"/>
      <c r="P786" s="967"/>
      <c r="Q786" s="586"/>
      <c r="R786" s="968"/>
      <c r="S786" s="589"/>
      <c r="T786" s="589"/>
      <c r="U786" s="589"/>
    </row>
    <row r="787" spans="1:21" x14ac:dyDescent="0.35">
      <c r="A787" s="116"/>
      <c r="B787" s="35"/>
      <c r="C787" s="117"/>
      <c r="D787" s="1687"/>
      <c r="E787" s="1688"/>
      <c r="F787" s="159"/>
      <c r="G787" s="160"/>
      <c r="H787" s="161"/>
      <c r="I787" s="162"/>
      <c r="J787" s="164"/>
      <c r="K787" s="157">
        <f t="shared" si="98"/>
        <v>100</v>
      </c>
      <c r="L787" s="157">
        <f t="shared" si="99"/>
        <v>200</v>
      </c>
      <c r="M787" s="157">
        <f t="shared" si="100"/>
        <v>300</v>
      </c>
      <c r="N787" s="157">
        <f t="shared" si="101"/>
        <v>400</v>
      </c>
      <c r="O787" s="959"/>
      <c r="P787" s="967"/>
      <c r="Q787" s="586"/>
      <c r="R787" s="968"/>
      <c r="S787" s="589"/>
      <c r="T787" s="589"/>
      <c r="U787" s="589"/>
    </row>
    <row r="788" spans="1:21" x14ac:dyDescent="0.35">
      <c r="A788" s="123"/>
      <c r="B788" s="35"/>
      <c r="C788" s="151"/>
      <c r="D788" s="1687"/>
      <c r="E788" s="1688"/>
      <c r="F788" s="165"/>
      <c r="G788" s="160"/>
      <c r="H788" s="161"/>
      <c r="I788" s="166"/>
      <c r="J788" s="167"/>
      <c r="K788" s="157">
        <f t="shared" si="98"/>
        <v>100</v>
      </c>
      <c r="L788" s="157">
        <f t="shared" si="99"/>
        <v>200</v>
      </c>
      <c r="M788" s="157">
        <f t="shared" si="100"/>
        <v>300</v>
      </c>
      <c r="N788" s="157">
        <f t="shared" si="101"/>
        <v>400</v>
      </c>
      <c r="O788" s="959"/>
      <c r="P788" s="967"/>
      <c r="Q788" s="586"/>
      <c r="R788" s="968"/>
      <c r="S788" s="589"/>
      <c r="T788" s="589"/>
      <c r="U788" s="589"/>
    </row>
    <row r="789" spans="1:21" x14ac:dyDescent="0.35">
      <c r="A789" s="116"/>
      <c r="B789" s="35"/>
      <c r="C789" s="117"/>
      <c r="D789" s="1687"/>
      <c r="E789" s="1688"/>
      <c r="F789" s="159"/>
      <c r="G789" s="160"/>
      <c r="H789" s="168"/>
      <c r="I789" s="162"/>
      <c r="J789" s="164"/>
      <c r="K789" s="157">
        <f t="shared" si="98"/>
        <v>100</v>
      </c>
      <c r="L789" s="157">
        <f t="shared" si="99"/>
        <v>200</v>
      </c>
      <c r="M789" s="157">
        <f t="shared" si="100"/>
        <v>300</v>
      </c>
      <c r="N789" s="157">
        <f t="shared" si="101"/>
        <v>400</v>
      </c>
      <c r="O789" s="959"/>
      <c r="P789" s="967"/>
      <c r="Q789" s="586"/>
      <c r="R789" s="968"/>
      <c r="S789" s="589"/>
      <c r="T789" s="589"/>
      <c r="U789" s="589"/>
    </row>
    <row r="790" spans="1:21" x14ac:dyDescent="0.35">
      <c r="A790" s="116"/>
      <c r="B790" s="117"/>
      <c r="C790" s="117"/>
      <c r="D790" s="1687"/>
      <c r="E790" s="1688"/>
      <c r="F790" s="159"/>
      <c r="G790" s="160"/>
      <c r="H790" s="168"/>
      <c r="I790" s="162"/>
      <c r="J790" s="164"/>
      <c r="K790" s="157">
        <f t="shared" si="98"/>
        <v>100</v>
      </c>
      <c r="L790" s="157">
        <f t="shared" si="99"/>
        <v>200</v>
      </c>
      <c r="M790" s="157">
        <f t="shared" si="100"/>
        <v>300</v>
      </c>
      <c r="N790" s="157">
        <f t="shared" si="101"/>
        <v>400</v>
      </c>
      <c r="O790" s="959"/>
      <c r="P790" s="967"/>
      <c r="Q790" s="586"/>
      <c r="R790" s="968"/>
      <c r="S790" s="589"/>
      <c r="T790" s="589"/>
      <c r="U790" s="589"/>
    </row>
    <row r="791" spans="1:21" x14ac:dyDescent="0.35">
      <c r="A791" s="116"/>
      <c r="B791" s="117"/>
      <c r="C791" s="117"/>
      <c r="D791" s="1687"/>
      <c r="E791" s="1688"/>
      <c r="F791" s="169"/>
      <c r="G791" s="170"/>
      <c r="H791" s="171"/>
      <c r="I791" s="172"/>
      <c r="J791" s="173"/>
      <c r="K791" s="157">
        <f t="shared" si="98"/>
        <v>100</v>
      </c>
      <c r="L791" s="157">
        <f t="shared" si="99"/>
        <v>200</v>
      </c>
      <c r="M791" s="157">
        <f t="shared" si="100"/>
        <v>300</v>
      </c>
      <c r="N791" s="157">
        <f t="shared" si="101"/>
        <v>400</v>
      </c>
      <c r="O791" s="959"/>
      <c r="P791" s="967"/>
      <c r="Q791" s="586"/>
      <c r="R791" s="968"/>
      <c r="S791" s="589"/>
      <c r="T791" s="589"/>
      <c r="U791" s="589"/>
    </row>
    <row r="792" spans="1:21" ht="28.5" customHeight="1" x14ac:dyDescent="0.35">
      <c r="A792" s="116"/>
      <c r="B792" s="117"/>
      <c r="C792" s="117"/>
      <c r="D792" s="174"/>
      <c r="E792" s="175"/>
      <c r="F792" s="1689" t="s">
        <v>2</v>
      </c>
      <c r="G792" s="1689"/>
      <c r="H792" s="176">
        <f>IF(O792&gt;1,"Zielerreichung übersteigt 100%!",O792)</f>
        <v>0</v>
      </c>
      <c r="I792" s="177"/>
      <c r="J792" s="178"/>
      <c r="K792" s="157">
        <f t="shared" si="98"/>
        <v>100</v>
      </c>
      <c r="L792" s="157">
        <f t="shared" si="99"/>
        <v>200</v>
      </c>
      <c r="M792" s="157">
        <f t="shared" si="100"/>
        <v>300</v>
      </c>
      <c r="N792" s="157">
        <f t="shared" si="101"/>
        <v>400</v>
      </c>
      <c r="O792" s="959">
        <f>SUM(H780:H791)</f>
        <v>0</v>
      </c>
      <c r="P792" s="967"/>
      <c r="Q792" s="586"/>
      <c r="R792" s="968"/>
      <c r="S792" s="589"/>
      <c r="T792" s="589"/>
      <c r="U792" s="589"/>
    </row>
    <row r="793" spans="1:21" x14ac:dyDescent="0.35">
      <c r="A793" s="116"/>
      <c r="B793" s="117"/>
      <c r="C793" s="117"/>
      <c r="D793" s="179"/>
      <c r="E793" s="180"/>
      <c r="F793" s="1690" t="s">
        <v>3</v>
      </c>
      <c r="G793" s="1691"/>
      <c r="H793" s="181">
        <v>6</v>
      </c>
      <c r="I793" s="1"/>
      <c r="J793" s="178"/>
      <c r="K793" s="157">
        <f t="shared" si="98"/>
        <v>100</v>
      </c>
      <c r="L793" s="157">
        <f t="shared" si="99"/>
        <v>200</v>
      </c>
      <c r="M793" s="157">
        <f t="shared" si="100"/>
        <v>300</v>
      </c>
      <c r="N793" s="157">
        <f t="shared" si="101"/>
        <v>400</v>
      </c>
      <c r="O793" s="1030"/>
      <c r="P793" s="967"/>
      <c r="Q793" s="586"/>
      <c r="R793" s="968"/>
      <c r="S793" s="589"/>
      <c r="T793" s="589"/>
      <c r="U793" s="589"/>
    </row>
    <row r="794" spans="1:21" x14ac:dyDescent="0.35">
      <c r="A794" s="116"/>
      <c r="B794" s="117"/>
      <c r="C794" s="117"/>
      <c r="D794" s="179"/>
      <c r="E794" s="180"/>
      <c r="F794" s="1700" t="s">
        <v>5493</v>
      </c>
      <c r="G794" s="1701"/>
      <c r="H794" s="1089" t="str">
        <f>IF(G783="ja",0,IF(H2=1,0,""))</f>
        <v/>
      </c>
      <c r="I794" s="206"/>
      <c r="J794" s="178"/>
      <c r="K794" s="157">
        <f t="shared" si="98"/>
        <v>100</v>
      </c>
      <c r="L794" s="157">
        <f t="shared" si="99"/>
        <v>200</v>
      </c>
      <c r="M794" s="157">
        <f t="shared" si="100"/>
        <v>300</v>
      </c>
      <c r="N794" s="157">
        <f t="shared" si="101"/>
        <v>400</v>
      </c>
      <c r="O794" s="1030"/>
      <c r="P794" s="967"/>
      <c r="Q794" s="586"/>
      <c r="R794" s="968"/>
      <c r="S794" s="589"/>
      <c r="T794" s="589"/>
      <c r="U794" s="589"/>
    </row>
    <row r="795" spans="1:21" x14ac:dyDescent="0.35">
      <c r="A795" s="184"/>
      <c r="B795" s="185"/>
      <c r="C795" s="185"/>
      <c r="D795" s="179"/>
      <c r="E795" s="180"/>
      <c r="F795" s="186"/>
      <c r="G795" s="186"/>
      <c r="H795" s="187"/>
      <c r="I795" s="177"/>
      <c r="J795" s="178"/>
      <c r="K795" s="157">
        <f t="shared" si="98"/>
        <v>100</v>
      </c>
      <c r="L795" s="157">
        <f t="shared" si="99"/>
        <v>200</v>
      </c>
      <c r="M795" s="157">
        <f t="shared" si="100"/>
        <v>300</v>
      </c>
      <c r="N795" s="157">
        <f t="shared" si="101"/>
        <v>400</v>
      </c>
      <c r="O795" s="1030"/>
      <c r="P795" s="967"/>
      <c r="Q795" s="586"/>
      <c r="R795" s="968"/>
      <c r="S795" s="589"/>
      <c r="T795" s="589"/>
      <c r="U795" s="589"/>
    </row>
    <row r="796" spans="1:21" ht="15.75" customHeight="1" x14ac:dyDescent="0.35">
      <c r="A796" s="116"/>
      <c r="B796" s="185"/>
      <c r="C796" s="1702"/>
      <c r="D796" s="1703"/>
      <c r="E796" s="234"/>
      <c r="F796" s="1704" t="s">
        <v>5</v>
      </c>
      <c r="G796" s="1704"/>
      <c r="H796" s="235">
        <f>IF(ISNUMBER(H794),H794*H792,H793*H792)</f>
        <v>0</v>
      </c>
      <c r="I796" s="236"/>
      <c r="J796" s="238"/>
      <c r="K796" s="157">
        <f t="shared" si="98"/>
        <v>100</v>
      </c>
      <c r="L796" s="157">
        <f t="shared" si="99"/>
        <v>200</v>
      </c>
      <c r="M796" s="157">
        <f t="shared" si="100"/>
        <v>300</v>
      </c>
      <c r="N796" s="157">
        <f t="shared" si="101"/>
        <v>400</v>
      </c>
      <c r="O796" s="1030"/>
      <c r="P796" s="967"/>
      <c r="Q796" s="586"/>
      <c r="R796" s="968"/>
      <c r="S796" s="589"/>
      <c r="T796" s="589"/>
      <c r="U796" s="589"/>
    </row>
    <row r="797" spans="1:21" x14ac:dyDescent="0.35">
      <c r="K797" s="157">
        <f t="shared" si="98"/>
        <v>100</v>
      </c>
      <c r="L797" s="157">
        <f t="shared" si="99"/>
        <v>200</v>
      </c>
      <c r="M797" s="157">
        <f t="shared" si="100"/>
        <v>300</v>
      </c>
      <c r="N797" s="157">
        <f t="shared" si="101"/>
        <v>400</v>
      </c>
      <c r="O797" s="967"/>
      <c r="P797" s="967"/>
      <c r="Q797" s="586"/>
      <c r="R797" s="968"/>
      <c r="S797" s="589"/>
      <c r="T797" s="589"/>
      <c r="U797" s="589"/>
    </row>
    <row r="798" spans="1:21" ht="7.5" customHeight="1" x14ac:dyDescent="0.35">
      <c r="A798" s="116"/>
      <c r="B798" s="117"/>
      <c r="C798" s="117"/>
      <c r="D798" s="116"/>
      <c r="E798" s="116"/>
      <c r="F798" s="118"/>
      <c r="G798" s="119"/>
      <c r="H798" s="116"/>
      <c r="I798" s="120"/>
      <c r="J798" s="121"/>
      <c r="K798" s="157">
        <f t="shared" si="98"/>
        <v>100</v>
      </c>
      <c r="L798" s="157">
        <f t="shared" si="99"/>
        <v>200</v>
      </c>
      <c r="M798" s="157">
        <f t="shared" si="100"/>
        <v>300</v>
      </c>
      <c r="N798" s="157">
        <f t="shared" si="101"/>
        <v>400</v>
      </c>
      <c r="O798" s="968"/>
      <c r="P798" s="968"/>
      <c r="Q798" s="586"/>
      <c r="R798" s="968"/>
      <c r="S798" s="589"/>
      <c r="T798" s="589"/>
      <c r="U798" s="589"/>
    </row>
    <row r="799" spans="1:21" ht="15.5" x14ac:dyDescent="0.35">
      <c r="A799" s="124"/>
      <c r="B799" s="125"/>
      <c r="C799" s="126" t="s">
        <v>4797</v>
      </c>
      <c r="D799" s="129" t="s">
        <v>5522</v>
      </c>
      <c r="E799" s="128"/>
      <c r="F799" s="129" t="str">
        <f>IF($F$3=1,O799,"")</f>
        <v>C.2.3 Aufheizung und Verdunstung</v>
      </c>
      <c r="G799" s="204"/>
      <c r="H799" s="205"/>
      <c r="I799" s="520" t="s">
        <v>23</v>
      </c>
      <c r="J799" s="130"/>
      <c r="K799" s="157">
        <f t="shared" si="98"/>
        <v>100</v>
      </c>
      <c r="L799" s="157">
        <f t="shared" si="99"/>
        <v>200</v>
      </c>
      <c r="M799" s="157">
        <f t="shared" si="100"/>
        <v>300</v>
      </c>
      <c r="N799" s="157">
        <f t="shared" si="101"/>
        <v>400</v>
      </c>
      <c r="O799" s="967" t="str">
        <f>CONCATENATE(C799," ",D799)</f>
        <v>C.2.3 Aufheizung und Verdunstung</v>
      </c>
      <c r="P799" s="966"/>
      <c r="Q799" s="586"/>
      <c r="R799" s="968"/>
      <c r="S799" s="589"/>
      <c r="T799" s="589"/>
      <c r="U799" s="589"/>
    </row>
    <row r="800" spans="1:21" x14ac:dyDescent="0.35">
      <c r="A800" s="124"/>
      <c r="B800" s="134"/>
      <c r="C800" s="135"/>
      <c r="D800" s="136"/>
      <c r="E800" s="136"/>
      <c r="F800" s="137"/>
      <c r="G800" s="138"/>
      <c r="H800" s="124"/>
      <c r="I800" s="139"/>
      <c r="J800" s="140"/>
      <c r="K800" s="157">
        <f t="shared" si="98"/>
        <v>100</v>
      </c>
      <c r="L800" s="157">
        <f t="shared" si="99"/>
        <v>200</v>
      </c>
      <c r="M800" s="157">
        <f t="shared" si="100"/>
        <v>300</v>
      </c>
      <c r="N800" s="157">
        <f t="shared" si="101"/>
        <v>400</v>
      </c>
      <c r="O800" s="968"/>
      <c r="P800" s="966"/>
      <c r="Q800" s="586"/>
      <c r="R800" s="968"/>
      <c r="S800" s="589"/>
      <c r="T800" s="589"/>
      <c r="U800" s="589"/>
    </row>
    <row r="801" spans="1:21" x14ac:dyDescent="0.35">
      <c r="A801" s="142"/>
      <c r="B801" s="35"/>
      <c r="C801" s="143"/>
      <c r="D801" s="1685" t="s">
        <v>18</v>
      </c>
      <c r="E801" s="1686"/>
      <c r="F801" s="144" t="s">
        <v>19</v>
      </c>
      <c r="G801" s="145" t="s">
        <v>0</v>
      </c>
      <c r="H801" s="146" t="s">
        <v>20</v>
      </c>
      <c r="I801" s="147" t="s">
        <v>1</v>
      </c>
      <c r="J801" s="147" t="s">
        <v>4375</v>
      </c>
      <c r="K801" s="157">
        <f t="shared" si="98"/>
        <v>100</v>
      </c>
      <c r="L801" s="157">
        <f t="shared" si="99"/>
        <v>200</v>
      </c>
      <c r="M801" s="157">
        <f t="shared" si="100"/>
        <v>300</v>
      </c>
      <c r="N801" s="157">
        <f t="shared" si="101"/>
        <v>400</v>
      </c>
      <c r="O801" s="587"/>
      <c r="P801" s="967"/>
      <c r="Q801" s="586"/>
      <c r="R801" s="968"/>
      <c r="S801" s="589"/>
      <c r="T801" s="589"/>
      <c r="U801" s="589"/>
    </row>
    <row r="802" spans="1:21" ht="24" x14ac:dyDescent="0.35">
      <c r="A802" s="123"/>
      <c r="B802" s="35"/>
      <c r="C802" s="151"/>
      <c r="D802" s="1708" t="s">
        <v>5519</v>
      </c>
      <c r="E802" s="1709"/>
      <c r="F802" s="152" t="s">
        <v>5035</v>
      </c>
      <c r="G802" s="153">
        <f t="shared" ref="G802:G803" si="104">IF($H$2=1,S802,IF($H$2=2,T802,U802))</f>
        <v>1</v>
      </c>
      <c r="H802" s="226">
        <f>'RH Städtebau'!$C$39*G802</f>
        <v>0</v>
      </c>
      <c r="I802" s="155"/>
      <c r="J802" s="156"/>
      <c r="K802" s="157">
        <f t="shared" si="98"/>
        <v>100</v>
      </c>
      <c r="L802" s="157">
        <f t="shared" si="99"/>
        <v>200</v>
      </c>
      <c r="M802" s="157">
        <f t="shared" si="100"/>
        <v>300</v>
      </c>
      <c r="N802" s="157">
        <f t="shared" si="101"/>
        <v>400</v>
      </c>
      <c r="O802" s="967" t="str">
        <f>CONCATENATE(O799," | ",F802)</f>
        <v>C.2.3 Aufheizung und Verdunstung | Variante 1 - Rechenhilfe: Erzielter Grün- und Freiflächenfaktor</v>
      </c>
      <c r="P802" s="967"/>
      <c r="Q802" s="586"/>
      <c r="R802" s="968"/>
      <c r="S802" s="588">
        <v>0</v>
      </c>
      <c r="T802" s="588">
        <v>0.7</v>
      </c>
      <c r="U802" s="588">
        <v>1</v>
      </c>
    </row>
    <row r="803" spans="1:21" ht="36" x14ac:dyDescent="0.35">
      <c r="A803" s="123"/>
      <c r="B803" s="35"/>
      <c r="C803" s="151"/>
      <c r="D803" s="1708"/>
      <c r="E803" s="1709"/>
      <c r="F803" s="152" t="s">
        <v>5036</v>
      </c>
      <c r="G803" s="153">
        <f t="shared" si="104"/>
        <v>1</v>
      </c>
      <c r="H803" s="154"/>
      <c r="I803" s="155"/>
      <c r="J803" s="156"/>
      <c r="K803" s="157">
        <f t="shared" si="98"/>
        <v>100</v>
      </c>
      <c r="L803" s="157">
        <f t="shared" si="99"/>
        <v>200</v>
      </c>
      <c r="M803" s="157">
        <f t="shared" si="100"/>
        <v>300</v>
      </c>
      <c r="N803" s="157">
        <f t="shared" si="101"/>
        <v>400</v>
      </c>
      <c r="O803" s="967" t="str">
        <f>CONCATENATE(O799," | ",F803)</f>
        <v>C.2.3 Aufheizung und Verdunstung | Variante 2 - Alternative: Gesamterfüllungsgrad entsprechend dem Ergebnis einer Grünraum (Pre)Zertifizierung (z.B. GREENPASS® oder vergleichbar).</v>
      </c>
      <c r="P803" s="967"/>
      <c r="Q803" s="586"/>
      <c r="R803" s="968"/>
      <c r="S803" s="588">
        <v>0</v>
      </c>
      <c r="T803" s="588">
        <v>0.7</v>
      </c>
      <c r="U803" s="588">
        <v>1</v>
      </c>
    </row>
    <row r="804" spans="1:21" x14ac:dyDescent="0.35">
      <c r="A804" s="123"/>
      <c r="B804" s="35"/>
      <c r="C804" s="151"/>
      <c r="D804" s="1708"/>
      <c r="E804" s="1709"/>
      <c r="F804" s="159"/>
      <c r="G804" s="268"/>
      <c r="H804" s="161"/>
      <c r="I804" s="162"/>
      <c r="J804" s="164"/>
      <c r="K804" s="157">
        <f t="shared" si="98"/>
        <v>100</v>
      </c>
      <c r="L804" s="157">
        <f t="shared" si="99"/>
        <v>200</v>
      </c>
      <c r="M804" s="157">
        <f t="shared" si="100"/>
        <v>300</v>
      </c>
      <c r="N804" s="157">
        <f t="shared" si="101"/>
        <v>400</v>
      </c>
      <c r="O804" s="967"/>
      <c r="P804" s="967"/>
      <c r="Q804" s="586"/>
      <c r="R804" s="968"/>
      <c r="S804" s="589"/>
      <c r="T804" s="589"/>
      <c r="U804" s="589"/>
    </row>
    <row r="805" spans="1:21" x14ac:dyDescent="0.35">
      <c r="A805" s="123">
        <v>3.2</v>
      </c>
      <c r="B805" s="35"/>
      <c r="C805" s="151"/>
      <c r="D805" s="1708"/>
      <c r="E805" s="1709"/>
      <c r="F805" s="269" t="s">
        <v>4611</v>
      </c>
      <c r="G805" s="160"/>
      <c r="H805" s="161">
        <f>IF(F805="Variante 1",H802,H803)</f>
        <v>0</v>
      </c>
      <c r="I805" s="162"/>
      <c r="J805" s="164"/>
      <c r="K805" s="157">
        <f t="shared" si="98"/>
        <v>100</v>
      </c>
      <c r="L805" s="157">
        <f t="shared" si="99"/>
        <v>200</v>
      </c>
      <c r="M805" s="157">
        <f t="shared" si="100"/>
        <v>300</v>
      </c>
      <c r="N805" s="157">
        <f t="shared" si="101"/>
        <v>400</v>
      </c>
      <c r="O805" s="967"/>
      <c r="P805" s="967"/>
      <c r="Q805" s="586"/>
      <c r="R805" s="968"/>
      <c r="S805" s="589"/>
      <c r="T805" s="589"/>
      <c r="U805" s="589"/>
    </row>
    <row r="806" spans="1:21" x14ac:dyDescent="0.35">
      <c r="A806" s="123"/>
      <c r="B806" s="35"/>
      <c r="C806" s="151"/>
      <c r="D806" s="1708"/>
      <c r="E806" s="1709"/>
      <c r="F806" s="159"/>
      <c r="G806" s="160"/>
      <c r="H806" s="161"/>
      <c r="I806" s="162"/>
      <c r="J806" s="164"/>
      <c r="K806" s="157">
        <f t="shared" si="98"/>
        <v>100</v>
      </c>
      <c r="L806" s="157">
        <f t="shared" si="99"/>
        <v>200</v>
      </c>
      <c r="M806" s="157">
        <f t="shared" si="100"/>
        <v>300</v>
      </c>
      <c r="N806" s="157">
        <f t="shared" si="101"/>
        <v>400</v>
      </c>
      <c r="O806" s="967"/>
      <c r="P806" s="967"/>
      <c r="Q806" s="586"/>
      <c r="R806" s="968"/>
      <c r="S806" s="589"/>
      <c r="T806" s="589"/>
      <c r="U806" s="589"/>
    </row>
    <row r="807" spans="1:21" x14ac:dyDescent="0.35">
      <c r="A807" s="116"/>
      <c r="B807" s="35"/>
      <c r="C807" s="117"/>
      <c r="D807" s="1708"/>
      <c r="E807" s="1709"/>
      <c r="F807" s="593" t="str">
        <f>IF($G$2=1,R807,"Weiteres Kriterium in der Nutzung")</f>
        <v>Weiteres Kriterium in der Nutzung</v>
      </c>
      <c r="G807" s="153">
        <f t="shared" ref="G807:G809" si="105">IF($H$2=1,S807,IF($H$2=2,T807,U807))</f>
        <v>0</v>
      </c>
      <c r="H807" s="154"/>
      <c r="I807" s="158"/>
      <c r="J807" s="156"/>
      <c r="K807" s="157">
        <f t="shared" si="98"/>
        <v>100</v>
      </c>
      <c r="L807" s="157">
        <f t="shared" si="99"/>
        <v>200</v>
      </c>
      <c r="M807" s="157">
        <f t="shared" si="100"/>
        <v>300</v>
      </c>
      <c r="N807" s="157">
        <f t="shared" si="101"/>
        <v>400</v>
      </c>
      <c r="O807" s="967" t="str">
        <f>CONCATENATE(O799," | ",F807)</f>
        <v>C.2.3 Aufheizung und Verdunstung | Weiteres Kriterium in der Nutzung</v>
      </c>
      <c r="P807" s="967"/>
      <c r="Q807" s="586"/>
      <c r="R807" s="968" t="s">
        <v>5606</v>
      </c>
      <c r="S807" s="588">
        <v>0.33</v>
      </c>
      <c r="T807" s="588">
        <v>0.1</v>
      </c>
      <c r="U807" s="588">
        <v>0</v>
      </c>
    </row>
    <row r="808" spans="1:21" x14ac:dyDescent="0.35">
      <c r="A808" s="116"/>
      <c r="B808" s="35"/>
      <c r="C808" s="117"/>
      <c r="D808" s="1708"/>
      <c r="E808" s="1709"/>
      <c r="F808" s="593" t="str">
        <f>IF($G$2=1,R808,"Weiteres Kriterium in der Nutzung")</f>
        <v>Weiteres Kriterium in der Nutzung</v>
      </c>
      <c r="G808" s="153">
        <f t="shared" si="105"/>
        <v>0</v>
      </c>
      <c r="H808" s="154"/>
      <c r="I808" s="158"/>
      <c r="J808" s="156"/>
      <c r="K808" s="157">
        <f t="shared" si="98"/>
        <v>100</v>
      </c>
      <c r="L808" s="157">
        <f t="shared" si="99"/>
        <v>200</v>
      </c>
      <c r="M808" s="157">
        <f t="shared" si="100"/>
        <v>300</v>
      </c>
      <c r="N808" s="157">
        <f t="shared" si="101"/>
        <v>400</v>
      </c>
      <c r="O808" s="967" t="str">
        <f>CONCATENATE(O799," | ",F808)</f>
        <v>C.2.3 Aufheizung und Verdunstung | Weiteres Kriterium in der Nutzung</v>
      </c>
      <c r="P808" s="967"/>
      <c r="Q808" s="586"/>
      <c r="R808" s="968" t="s">
        <v>5330</v>
      </c>
      <c r="S808" s="588">
        <v>0.33</v>
      </c>
      <c r="T808" s="588">
        <v>0.1</v>
      </c>
      <c r="U808" s="588">
        <v>0</v>
      </c>
    </row>
    <row r="809" spans="1:21" x14ac:dyDescent="0.35">
      <c r="A809" s="116"/>
      <c r="B809" s="35"/>
      <c r="C809" s="117"/>
      <c r="D809" s="1708"/>
      <c r="E809" s="1709"/>
      <c r="F809" s="593" t="str">
        <f>IF($G$2=1,R809,"Weiteres Kriterium in der Nutzung")</f>
        <v>Weiteres Kriterium in der Nutzung</v>
      </c>
      <c r="G809" s="153">
        <f t="shared" si="105"/>
        <v>0</v>
      </c>
      <c r="H809" s="154"/>
      <c r="I809" s="158"/>
      <c r="J809" s="156"/>
      <c r="K809" s="157">
        <f t="shared" si="98"/>
        <v>100</v>
      </c>
      <c r="L809" s="157">
        <f t="shared" si="99"/>
        <v>200</v>
      </c>
      <c r="M809" s="157">
        <f t="shared" si="100"/>
        <v>300</v>
      </c>
      <c r="N809" s="157">
        <f t="shared" si="101"/>
        <v>400</v>
      </c>
      <c r="O809" s="967" t="str">
        <f>CONCATENATE(O799," | ",F809)</f>
        <v>C.2.3 Aufheizung und Verdunstung | Weiteres Kriterium in der Nutzung</v>
      </c>
      <c r="P809" s="967"/>
      <c r="Q809" s="586"/>
      <c r="R809" s="968" t="s">
        <v>5331</v>
      </c>
      <c r="S809" s="588">
        <v>0.34</v>
      </c>
      <c r="T809" s="588">
        <v>0.1</v>
      </c>
      <c r="U809" s="588">
        <v>0</v>
      </c>
    </row>
    <row r="810" spans="1:21" x14ac:dyDescent="0.35">
      <c r="A810" s="123"/>
      <c r="B810" s="35"/>
      <c r="C810" s="151"/>
      <c r="D810" s="1708"/>
      <c r="E810" s="1709"/>
      <c r="F810" s="165"/>
      <c r="G810" s="160"/>
      <c r="H810" s="161"/>
      <c r="I810" s="166"/>
      <c r="J810" s="167"/>
      <c r="K810" s="157">
        <f t="shared" si="98"/>
        <v>100</v>
      </c>
      <c r="L810" s="157">
        <f t="shared" si="99"/>
        <v>200</v>
      </c>
      <c r="M810" s="157">
        <f t="shared" si="100"/>
        <v>300</v>
      </c>
      <c r="N810" s="157">
        <f t="shared" si="101"/>
        <v>400</v>
      </c>
      <c r="O810" s="959"/>
      <c r="P810" s="967"/>
      <c r="Q810" s="586"/>
      <c r="R810" s="968"/>
      <c r="S810" s="589"/>
      <c r="T810" s="589"/>
      <c r="U810" s="589"/>
    </row>
    <row r="811" spans="1:21" x14ac:dyDescent="0.35">
      <c r="A811" s="116"/>
      <c r="B811" s="35"/>
      <c r="C811" s="117"/>
      <c r="D811" s="1708"/>
      <c r="E811" s="1709"/>
      <c r="F811" s="159"/>
      <c r="G811" s="160"/>
      <c r="H811" s="168"/>
      <c r="I811" s="162"/>
      <c r="J811" s="164"/>
      <c r="K811" s="157">
        <f t="shared" si="98"/>
        <v>100</v>
      </c>
      <c r="L811" s="157">
        <f t="shared" si="99"/>
        <v>200</v>
      </c>
      <c r="M811" s="157">
        <f t="shared" si="100"/>
        <v>300</v>
      </c>
      <c r="N811" s="157">
        <f t="shared" si="101"/>
        <v>400</v>
      </c>
      <c r="O811" s="959"/>
      <c r="P811" s="967"/>
      <c r="Q811" s="586"/>
      <c r="R811" s="968"/>
      <c r="S811" s="589"/>
      <c r="T811" s="589"/>
      <c r="U811" s="589"/>
    </row>
    <row r="812" spans="1:21" x14ac:dyDescent="0.35">
      <c r="A812" s="116"/>
      <c r="B812" s="117"/>
      <c r="C812" s="117"/>
      <c r="D812" s="1708"/>
      <c r="E812" s="1709"/>
      <c r="F812" s="159"/>
      <c r="G812" s="160"/>
      <c r="H812" s="168"/>
      <c r="I812" s="162"/>
      <c r="J812" s="164"/>
      <c r="K812" s="157">
        <f t="shared" ref="K812:K875" si="106">IF($J812=$K$41,K811+1,K811+0)</f>
        <v>100</v>
      </c>
      <c r="L812" s="157">
        <f t="shared" ref="L812:L875" si="107">IF($J812=$L$41,L811+1,L811+0)</f>
        <v>200</v>
      </c>
      <c r="M812" s="157">
        <f t="shared" ref="M812:M875" si="108">IF($J812=$M$41,M811+1,M811+0)</f>
        <v>300</v>
      </c>
      <c r="N812" s="157">
        <f t="shared" ref="N812:N875" si="109">IF($J812=$N$41,N811+1,N811+0)</f>
        <v>400</v>
      </c>
      <c r="O812" s="959"/>
      <c r="P812" s="967"/>
      <c r="Q812" s="586"/>
      <c r="R812" s="968"/>
      <c r="S812" s="589"/>
      <c r="T812" s="589"/>
      <c r="U812" s="589"/>
    </row>
    <row r="813" spans="1:21" x14ac:dyDescent="0.35">
      <c r="A813" s="116"/>
      <c r="B813" s="117"/>
      <c r="C813" s="117"/>
      <c r="D813" s="1708"/>
      <c r="E813" s="1709"/>
      <c r="F813" s="169"/>
      <c r="G813" s="170"/>
      <c r="H813" s="171"/>
      <c r="I813" s="172"/>
      <c r="J813" s="173"/>
      <c r="K813" s="157">
        <f t="shared" si="106"/>
        <v>100</v>
      </c>
      <c r="L813" s="157">
        <f t="shared" si="107"/>
        <v>200</v>
      </c>
      <c r="M813" s="157">
        <f t="shared" si="108"/>
        <v>300</v>
      </c>
      <c r="N813" s="157">
        <f t="shared" si="109"/>
        <v>400</v>
      </c>
      <c r="O813" s="959"/>
      <c r="P813" s="967"/>
      <c r="Q813" s="586"/>
      <c r="R813" s="968"/>
      <c r="S813" s="589"/>
      <c r="T813" s="589"/>
      <c r="U813" s="589"/>
    </row>
    <row r="814" spans="1:21" ht="28.5" customHeight="1" x14ac:dyDescent="0.35">
      <c r="A814" s="116"/>
      <c r="B814" s="117"/>
      <c r="C814" s="117"/>
      <c r="D814" s="174"/>
      <c r="E814" s="175"/>
      <c r="F814" s="1689" t="s">
        <v>2</v>
      </c>
      <c r="G814" s="1689"/>
      <c r="H814" s="176">
        <f>IF(O814&gt;1,"Zielerreichung übersteigt 100%!",O814)</f>
        <v>0</v>
      </c>
      <c r="I814" s="177"/>
      <c r="J814" s="178"/>
      <c r="K814" s="157">
        <f t="shared" si="106"/>
        <v>100</v>
      </c>
      <c r="L814" s="157">
        <f t="shared" si="107"/>
        <v>200</v>
      </c>
      <c r="M814" s="157">
        <f t="shared" si="108"/>
        <v>300</v>
      </c>
      <c r="N814" s="157">
        <f t="shared" si="109"/>
        <v>400</v>
      </c>
      <c r="O814" s="959">
        <f>SUM(H805:H813)</f>
        <v>0</v>
      </c>
      <c r="P814" s="967"/>
      <c r="Q814" s="586"/>
      <c r="R814" s="968"/>
      <c r="S814" s="589"/>
      <c r="T814" s="589"/>
      <c r="U814" s="589"/>
    </row>
    <row r="815" spans="1:21" x14ac:dyDescent="0.35">
      <c r="A815" s="116"/>
      <c r="B815" s="117"/>
      <c r="C815" s="117"/>
      <c r="D815" s="179"/>
      <c r="E815" s="180"/>
      <c r="F815" s="1690" t="s">
        <v>3</v>
      </c>
      <c r="G815" s="1691"/>
      <c r="H815" s="181">
        <v>12</v>
      </c>
      <c r="I815" s="177"/>
      <c r="J815" s="178"/>
      <c r="K815" s="157">
        <f t="shared" si="106"/>
        <v>100</v>
      </c>
      <c r="L815" s="157">
        <f t="shared" si="107"/>
        <v>200</v>
      </c>
      <c r="M815" s="157">
        <f t="shared" si="108"/>
        <v>300</v>
      </c>
      <c r="N815" s="157">
        <f t="shared" si="109"/>
        <v>400</v>
      </c>
      <c r="O815" s="1030"/>
      <c r="P815" s="967"/>
      <c r="Q815" s="586"/>
      <c r="R815" s="968"/>
      <c r="S815" s="589"/>
      <c r="T815" s="589"/>
      <c r="U815" s="589"/>
    </row>
    <row r="816" spans="1:21" x14ac:dyDescent="0.35">
      <c r="A816" s="116"/>
      <c r="B816" s="117"/>
      <c r="C816" s="117"/>
      <c r="D816" s="179"/>
      <c r="E816" s="180"/>
      <c r="F816" s="1700" t="s">
        <v>5494</v>
      </c>
      <c r="G816" s="1701"/>
      <c r="H816" s="1084" t="str">
        <f>IF($H$2=1,24,"")</f>
        <v/>
      </c>
      <c r="I816" s="183"/>
      <c r="J816" s="178"/>
      <c r="K816" s="157">
        <f t="shared" si="106"/>
        <v>100</v>
      </c>
      <c r="L816" s="157">
        <f t="shared" si="107"/>
        <v>200</v>
      </c>
      <c r="M816" s="157">
        <f t="shared" si="108"/>
        <v>300</v>
      </c>
      <c r="N816" s="157">
        <f t="shared" si="109"/>
        <v>400</v>
      </c>
      <c r="O816" s="1030"/>
      <c r="P816" s="967"/>
      <c r="Q816" s="586"/>
      <c r="R816" s="968"/>
      <c r="S816" s="589"/>
      <c r="T816" s="589"/>
      <c r="U816" s="589"/>
    </row>
    <row r="817" spans="1:21" x14ac:dyDescent="0.35">
      <c r="A817" s="184"/>
      <c r="B817" s="185"/>
      <c r="C817" s="185"/>
      <c r="D817" s="179"/>
      <c r="E817" s="180"/>
      <c r="F817" s="186"/>
      <c r="G817" s="186"/>
      <c r="H817" s="187"/>
      <c r="I817" s="177"/>
      <c r="J817" s="178"/>
      <c r="K817" s="157">
        <f t="shared" si="106"/>
        <v>100</v>
      </c>
      <c r="L817" s="157">
        <f t="shared" si="107"/>
        <v>200</v>
      </c>
      <c r="M817" s="157">
        <f t="shared" si="108"/>
        <v>300</v>
      </c>
      <c r="N817" s="157">
        <f t="shared" si="109"/>
        <v>400</v>
      </c>
      <c r="O817" s="1030"/>
      <c r="P817" s="967"/>
      <c r="Q817" s="586"/>
      <c r="R817" s="968"/>
      <c r="S817" s="589"/>
      <c r="T817" s="589"/>
      <c r="U817" s="589"/>
    </row>
    <row r="818" spans="1:21" ht="15.75" customHeight="1" x14ac:dyDescent="0.35">
      <c r="A818" s="116"/>
      <c r="B818" s="185"/>
      <c r="C818" s="1702"/>
      <c r="D818" s="1703"/>
      <c r="E818" s="234"/>
      <c r="F818" s="1704" t="s">
        <v>5</v>
      </c>
      <c r="G818" s="1704"/>
      <c r="H818" s="235">
        <f>IF(ISNUMBER(H816),H816*H814,H815*H814)</f>
        <v>0</v>
      </c>
      <c r="I818" s="236"/>
      <c r="J818" s="237"/>
      <c r="K818" s="157">
        <f t="shared" si="106"/>
        <v>100</v>
      </c>
      <c r="L818" s="157">
        <f t="shared" si="107"/>
        <v>200</v>
      </c>
      <c r="M818" s="157">
        <f t="shared" si="108"/>
        <v>300</v>
      </c>
      <c r="N818" s="157">
        <f t="shared" si="109"/>
        <v>400</v>
      </c>
      <c r="O818" s="1030"/>
      <c r="P818" s="967"/>
      <c r="Q818" s="586"/>
      <c r="R818" s="968"/>
      <c r="S818" s="589"/>
      <c r="T818" s="589"/>
      <c r="U818" s="589"/>
    </row>
    <row r="819" spans="1:21" x14ac:dyDescent="0.35">
      <c r="K819" s="157">
        <f t="shared" si="106"/>
        <v>100</v>
      </c>
      <c r="L819" s="157">
        <f t="shared" si="107"/>
        <v>200</v>
      </c>
      <c r="M819" s="157">
        <f t="shared" si="108"/>
        <v>300</v>
      </c>
      <c r="N819" s="157">
        <f t="shared" si="109"/>
        <v>400</v>
      </c>
      <c r="O819" s="967"/>
      <c r="P819" s="967"/>
      <c r="Q819" s="586"/>
      <c r="R819" s="968"/>
      <c r="S819" s="589"/>
      <c r="T819" s="589"/>
      <c r="U819" s="589"/>
    </row>
    <row r="820" spans="1:21" x14ac:dyDescent="0.35">
      <c r="K820" s="157">
        <f t="shared" si="106"/>
        <v>100</v>
      </c>
      <c r="L820" s="157">
        <f t="shared" si="107"/>
        <v>200</v>
      </c>
      <c r="M820" s="157">
        <f t="shared" si="108"/>
        <v>300</v>
      </c>
      <c r="N820" s="157">
        <f t="shared" si="109"/>
        <v>400</v>
      </c>
      <c r="O820" s="967"/>
      <c r="P820" s="967"/>
      <c r="Q820" s="586"/>
      <c r="R820" s="968"/>
      <c r="S820" s="589"/>
      <c r="T820" s="589"/>
      <c r="U820" s="589"/>
    </row>
    <row r="821" spans="1:21" ht="15.5" x14ac:dyDescent="0.35">
      <c r="A821" s="208"/>
      <c r="B821" s="227" t="s">
        <v>4798</v>
      </c>
      <c r="C821" s="227" t="s">
        <v>2076</v>
      </c>
      <c r="D821" s="228"/>
      <c r="E821" s="228"/>
      <c r="F821" s="229" t="str">
        <f>IF($F$3=1,O821,"")</f>
        <v>C.3 Vielfalt der Nutzungen und der Nutzenden</v>
      </c>
      <c r="G821" s="230"/>
      <c r="H821" s="231"/>
      <c r="I821" s="232"/>
      <c r="J821" s="233"/>
      <c r="K821" s="157">
        <f t="shared" si="106"/>
        <v>100</v>
      </c>
      <c r="L821" s="157">
        <f t="shared" si="107"/>
        <v>200</v>
      </c>
      <c r="M821" s="157">
        <f t="shared" si="108"/>
        <v>300</v>
      </c>
      <c r="N821" s="157">
        <f t="shared" si="109"/>
        <v>400</v>
      </c>
      <c r="O821" s="967" t="str">
        <f>CONCATENATE(B821," ",C821)</f>
        <v>C.3 Vielfalt der Nutzungen und der Nutzenden</v>
      </c>
      <c r="P821" s="958"/>
      <c r="Q821" s="586"/>
      <c r="R821" s="968"/>
      <c r="S821" s="589"/>
      <c r="T821" s="589"/>
      <c r="U821" s="589"/>
    </row>
    <row r="822" spans="1:21" ht="15.5" x14ac:dyDescent="0.35">
      <c r="A822" s="208"/>
      <c r="B822" s="216"/>
      <c r="C822" s="216"/>
      <c r="D822" s="208"/>
      <c r="E822" s="208"/>
      <c r="F822" s="16"/>
      <c r="G822" s="217"/>
      <c r="H822" s="218"/>
      <c r="I822" s="219"/>
      <c r="J822" s="220"/>
      <c r="K822" s="157">
        <f t="shared" si="106"/>
        <v>100</v>
      </c>
      <c r="L822" s="157">
        <f t="shared" si="107"/>
        <v>200</v>
      </c>
      <c r="M822" s="157">
        <f t="shared" si="108"/>
        <v>300</v>
      </c>
      <c r="N822" s="157">
        <f t="shared" si="109"/>
        <v>400</v>
      </c>
      <c r="O822" s="967"/>
      <c r="P822" s="958"/>
      <c r="Q822" s="586"/>
      <c r="R822" s="968"/>
      <c r="S822" s="589"/>
      <c r="T822" s="589"/>
      <c r="U822" s="589"/>
    </row>
    <row r="823" spans="1:21" ht="7.5" customHeight="1" x14ac:dyDescent="0.35">
      <c r="A823" s="116"/>
      <c r="B823" s="117"/>
      <c r="C823" s="117"/>
      <c r="D823" s="116"/>
      <c r="E823" s="116"/>
      <c r="F823" s="118"/>
      <c r="G823" s="119"/>
      <c r="H823" s="116"/>
      <c r="I823" s="120"/>
      <c r="J823" s="121"/>
      <c r="K823" s="157">
        <f t="shared" si="106"/>
        <v>100</v>
      </c>
      <c r="L823" s="157">
        <f t="shared" si="107"/>
        <v>200</v>
      </c>
      <c r="M823" s="157">
        <f t="shared" si="108"/>
        <v>300</v>
      </c>
      <c r="N823" s="157">
        <f t="shared" si="109"/>
        <v>400</v>
      </c>
      <c r="O823" s="968"/>
      <c r="P823" s="968"/>
      <c r="Q823" s="586"/>
      <c r="R823" s="968"/>
      <c r="S823" s="589"/>
      <c r="T823" s="589"/>
      <c r="U823" s="589"/>
    </row>
    <row r="824" spans="1:21" ht="15.5" x14ac:dyDescent="0.35">
      <c r="A824" s="124"/>
      <c r="B824" s="125"/>
      <c r="C824" s="126" t="s">
        <v>4799</v>
      </c>
      <c r="D824" s="129" t="s">
        <v>5523</v>
      </c>
      <c r="E824" s="128"/>
      <c r="F824" s="129" t="str">
        <f>IF($F$3=1,O824,"")</f>
        <v>C.3.1 Zielgruppen</v>
      </c>
      <c r="G824" s="204"/>
      <c r="H824" s="205"/>
      <c r="I824" s="520" t="s">
        <v>23</v>
      </c>
      <c r="J824" s="130"/>
      <c r="K824" s="157">
        <f t="shared" si="106"/>
        <v>100</v>
      </c>
      <c r="L824" s="157">
        <f t="shared" si="107"/>
        <v>200</v>
      </c>
      <c r="M824" s="157">
        <f t="shared" si="108"/>
        <v>300</v>
      </c>
      <c r="N824" s="157">
        <f t="shared" si="109"/>
        <v>400</v>
      </c>
      <c r="O824" s="967" t="str">
        <f>CONCATENATE(C824," ",D824)</f>
        <v>C.3.1 Zielgruppen</v>
      </c>
      <c r="P824" s="966"/>
      <c r="Q824" s="586"/>
      <c r="R824" s="968"/>
      <c r="S824" s="589"/>
      <c r="T824" s="589"/>
      <c r="U824" s="589"/>
    </row>
    <row r="825" spans="1:21" x14ac:dyDescent="0.35">
      <c r="A825" s="124"/>
      <c r="B825" s="134"/>
      <c r="C825" s="135"/>
      <c r="D825" s="136"/>
      <c r="E825" s="136"/>
      <c r="F825" s="137"/>
      <c r="G825" s="138"/>
      <c r="H825" s="124"/>
      <c r="I825" s="139"/>
      <c r="J825" s="140"/>
      <c r="K825" s="157">
        <f t="shared" si="106"/>
        <v>100</v>
      </c>
      <c r="L825" s="157">
        <f t="shared" si="107"/>
        <v>200</v>
      </c>
      <c r="M825" s="157">
        <f t="shared" si="108"/>
        <v>300</v>
      </c>
      <c r="N825" s="157">
        <f t="shared" si="109"/>
        <v>400</v>
      </c>
      <c r="O825" s="968"/>
      <c r="P825" s="966"/>
      <c r="Q825" s="586"/>
      <c r="R825" s="968"/>
      <c r="S825" s="589"/>
      <c r="T825" s="589"/>
      <c r="U825" s="589"/>
    </row>
    <row r="826" spans="1:21" x14ac:dyDescent="0.35">
      <c r="A826" s="142"/>
      <c r="B826" s="35"/>
      <c r="C826" s="143"/>
      <c r="D826" s="1685" t="s">
        <v>18</v>
      </c>
      <c r="E826" s="1686"/>
      <c r="F826" s="144" t="s">
        <v>19</v>
      </c>
      <c r="G826" s="145" t="s">
        <v>0</v>
      </c>
      <c r="H826" s="146" t="s">
        <v>20</v>
      </c>
      <c r="I826" s="147" t="s">
        <v>1</v>
      </c>
      <c r="J826" s="147" t="s">
        <v>4375</v>
      </c>
      <c r="K826" s="157">
        <f t="shared" si="106"/>
        <v>100</v>
      </c>
      <c r="L826" s="157">
        <f t="shared" si="107"/>
        <v>200</v>
      </c>
      <c r="M826" s="157">
        <f t="shared" si="108"/>
        <v>300</v>
      </c>
      <c r="N826" s="157">
        <f t="shared" si="109"/>
        <v>400</v>
      </c>
      <c r="O826" s="587"/>
      <c r="P826" s="967"/>
      <c r="Q826" s="586"/>
      <c r="R826" s="968"/>
      <c r="S826" s="589"/>
      <c r="T826" s="589"/>
      <c r="U826" s="589"/>
    </row>
    <row r="827" spans="1:21" ht="36" x14ac:dyDescent="0.35">
      <c r="A827" s="123"/>
      <c r="B827" s="35"/>
      <c r="C827" s="151"/>
      <c r="D827" s="1687" t="s">
        <v>4674</v>
      </c>
      <c r="E827" s="1688"/>
      <c r="F827" s="152" t="s">
        <v>4505</v>
      </c>
      <c r="G827" s="153">
        <f t="shared" ref="G827:G828" si="110">IF($H$2=1,S827,IF($H$2=2,T827,U827))</f>
        <v>0.5</v>
      </c>
      <c r="H827" s="154"/>
      <c r="I827" s="155"/>
      <c r="J827" s="156"/>
      <c r="K827" s="157">
        <f t="shared" si="106"/>
        <v>100</v>
      </c>
      <c r="L827" s="157">
        <f t="shared" si="107"/>
        <v>200</v>
      </c>
      <c r="M827" s="157">
        <f t="shared" si="108"/>
        <v>300</v>
      </c>
      <c r="N827" s="157">
        <f t="shared" si="109"/>
        <v>400</v>
      </c>
      <c r="O827" s="967" t="str">
        <f>CONCATENATE(O824," | ",F827)</f>
        <v>C.3.1 Zielgruppen | Das Nutzungskonzept der geplanten Nutzflächen entspricht den mit der Steuerungsgruppe und der Standortgemeinde abgestimmten Zielen</v>
      </c>
      <c r="P827" s="967"/>
      <c r="Q827" s="586"/>
      <c r="R827" s="968"/>
      <c r="S827" s="588">
        <v>0</v>
      </c>
      <c r="T827" s="588">
        <v>0.5</v>
      </c>
      <c r="U827" s="588">
        <v>0.5</v>
      </c>
    </row>
    <row r="828" spans="1:21" ht="51" customHeight="1" x14ac:dyDescent="0.35">
      <c r="A828" s="123"/>
      <c r="B828" s="35"/>
      <c r="C828" s="151"/>
      <c r="D828" s="1687"/>
      <c r="E828" s="1688"/>
      <c r="F828" s="152" t="s">
        <v>4506</v>
      </c>
      <c r="G828" s="153">
        <f t="shared" si="110"/>
        <v>0.5</v>
      </c>
      <c r="H828" s="154"/>
      <c r="I828" s="158"/>
      <c r="J828" s="156"/>
      <c r="K828" s="157">
        <f t="shared" si="106"/>
        <v>100</v>
      </c>
      <c r="L828" s="157">
        <f t="shared" si="107"/>
        <v>200</v>
      </c>
      <c r="M828" s="157">
        <f t="shared" si="108"/>
        <v>300</v>
      </c>
      <c r="N828" s="157">
        <f t="shared" si="109"/>
        <v>400</v>
      </c>
      <c r="O828" s="967" t="str">
        <f>CONCATENATE(O824," | ",F828)</f>
        <v>C.3.1 Zielgruppen | Das Nutzungskonzept berücksichtigt die im Kommunikationskonzept und in der Stakeholderanalyse definierten Zielgruppen. Diese werden aktiv beworben</v>
      </c>
      <c r="P828" s="967"/>
      <c r="Q828" s="586"/>
      <c r="R828" s="968"/>
      <c r="S828" s="588">
        <v>0</v>
      </c>
      <c r="T828" s="588">
        <v>0.5</v>
      </c>
      <c r="U828" s="588">
        <v>0.5</v>
      </c>
    </row>
    <row r="829" spans="1:21" x14ac:dyDescent="0.35">
      <c r="A829" s="123"/>
      <c r="B829" s="35"/>
      <c r="C829" s="151"/>
      <c r="D829" s="1687"/>
      <c r="E829" s="1688"/>
      <c r="F829" s="159"/>
      <c r="G829" s="160"/>
      <c r="H829" s="161"/>
      <c r="I829" s="166"/>
      <c r="J829" s="164"/>
      <c r="K829" s="157">
        <f t="shared" si="106"/>
        <v>100</v>
      </c>
      <c r="L829" s="157">
        <f t="shared" si="107"/>
        <v>200</v>
      </c>
      <c r="M829" s="157">
        <f t="shared" si="108"/>
        <v>300</v>
      </c>
      <c r="N829" s="157">
        <f t="shared" si="109"/>
        <v>400</v>
      </c>
      <c r="O829" s="967"/>
      <c r="P829" s="967"/>
      <c r="Q829" s="586"/>
      <c r="R829" s="968"/>
      <c r="S829" s="589"/>
      <c r="T829" s="589"/>
      <c r="U829" s="589"/>
    </row>
    <row r="830" spans="1:21" x14ac:dyDescent="0.35">
      <c r="A830" s="123">
        <v>3.2</v>
      </c>
      <c r="B830" s="35"/>
      <c r="C830" s="151"/>
      <c r="D830" s="1687"/>
      <c r="E830" s="1688"/>
      <c r="F830" s="159"/>
      <c r="G830" s="160"/>
      <c r="H830" s="161"/>
      <c r="I830" s="166"/>
      <c r="J830" s="164"/>
      <c r="K830" s="157">
        <f t="shared" si="106"/>
        <v>100</v>
      </c>
      <c r="L830" s="157">
        <f t="shared" si="107"/>
        <v>200</v>
      </c>
      <c r="M830" s="157">
        <f t="shared" si="108"/>
        <v>300</v>
      </c>
      <c r="N830" s="157">
        <f t="shared" si="109"/>
        <v>400</v>
      </c>
      <c r="O830" s="967"/>
      <c r="P830" s="967"/>
      <c r="Q830" s="586"/>
      <c r="R830" s="968"/>
      <c r="S830" s="589"/>
      <c r="T830" s="589"/>
      <c r="U830" s="589"/>
    </row>
    <row r="831" spans="1:21" x14ac:dyDescent="0.35">
      <c r="A831" s="123"/>
      <c r="B831" s="35"/>
      <c r="C831" s="151"/>
      <c r="D831" s="1687"/>
      <c r="E831" s="1688"/>
      <c r="F831" s="159"/>
      <c r="G831" s="160"/>
      <c r="H831" s="161"/>
      <c r="I831" s="166"/>
      <c r="J831" s="164"/>
      <c r="K831" s="157">
        <f t="shared" si="106"/>
        <v>100</v>
      </c>
      <c r="L831" s="157">
        <f t="shared" si="107"/>
        <v>200</v>
      </c>
      <c r="M831" s="157">
        <f t="shared" si="108"/>
        <v>300</v>
      </c>
      <c r="N831" s="157">
        <f t="shared" si="109"/>
        <v>400</v>
      </c>
      <c r="O831" s="967"/>
      <c r="P831" s="967"/>
      <c r="Q831" s="586"/>
      <c r="R831" s="968"/>
      <c r="S831" s="589"/>
      <c r="T831" s="589"/>
      <c r="U831" s="589"/>
    </row>
    <row r="832" spans="1:21" x14ac:dyDescent="0.35">
      <c r="A832" s="116"/>
      <c r="B832" s="35"/>
      <c r="C832" s="117"/>
      <c r="D832" s="1687"/>
      <c r="E832" s="1688"/>
      <c r="F832" s="159"/>
      <c r="G832" s="160"/>
      <c r="H832" s="161"/>
      <c r="I832" s="162"/>
      <c r="J832" s="164"/>
      <c r="K832" s="157">
        <f t="shared" si="106"/>
        <v>100</v>
      </c>
      <c r="L832" s="157">
        <f t="shared" si="107"/>
        <v>200</v>
      </c>
      <c r="M832" s="157">
        <f t="shared" si="108"/>
        <v>300</v>
      </c>
      <c r="N832" s="157">
        <f t="shared" si="109"/>
        <v>400</v>
      </c>
      <c r="O832" s="959"/>
      <c r="P832" s="967"/>
      <c r="Q832" s="586"/>
      <c r="R832" s="968"/>
      <c r="S832" s="589"/>
      <c r="T832" s="589"/>
      <c r="U832" s="589"/>
    </row>
    <row r="833" spans="1:21" x14ac:dyDescent="0.35">
      <c r="A833" s="116"/>
      <c r="B833" s="35"/>
      <c r="C833" s="117"/>
      <c r="D833" s="1687"/>
      <c r="E833" s="1688"/>
      <c r="F833" s="159"/>
      <c r="G833" s="160"/>
      <c r="H833" s="161"/>
      <c r="I833" s="162"/>
      <c r="J833" s="164"/>
      <c r="K833" s="157">
        <f t="shared" si="106"/>
        <v>100</v>
      </c>
      <c r="L833" s="157">
        <f t="shared" si="107"/>
        <v>200</v>
      </c>
      <c r="M833" s="157">
        <f t="shared" si="108"/>
        <v>300</v>
      </c>
      <c r="N833" s="157">
        <f t="shared" si="109"/>
        <v>400</v>
      </c>
      <c r="O833" s="959"/>
      <c r="P833" s="967"/>
      <c r="Q833" s="586"/>
      <c r="R833" s="968"/>
      <c r="S833" s="589"/>
      <c r="T833" s="589"/>
      <c r="U833" s="589"/>
    </row>
    <row r="834" spans="1:21" x14ac:dyDescent="0.35">
      <c r="A834" s="116"/>
      <c r="B834" s="35"/>
      <c r="C834" s="117"/>
      <c r="D834" s="1687"/>
      <c r="E834" s="1688"/>
      <c r="F834" s="159"/>
      <c r="G834" s="160"/>
      <c r="H834" s="161"/>
      <c r="I834" s="162"/>
      <c r="J834" s="164"/>
      <c r="K834" s="157">
        <f t="shared" si="106"/>
        <v>100</v>
      </c>
      <c r="L834" s="157">
        <f t="shared" si="107"/>
        <v>200</v>
      </c>
      <c r="M834" s="157">
        <f t="shared" si="108"/>
        <v>300</v>
      </c>
      <c r="N834" s="157">
        <f t="shared" si="109"/>
        <v>400</v>
      </c>
      <c r="O834" s="959"/>
      <c r="P834" s="967"/>
      <c r="Q834" s="586"/>
      <c r="R834" s="968"/>
      <c r="S834" s="589"/>
      <c r="T834" s="589"/>
      <c r="U834" s="589"/>
    </row>
    <row r="835" spans="1:21" x14ac:dyDescent="0.35">
      <c r="A835" s="123"/>
      <c r="B835" s="35"/>
      <c r="C835" s="151"/>
      <c r="D835" s="1687"/>
      <c r="E835" s="1688"/>
      <c r="F835" s="165"/>
      <c r="G835" s="160"/>
      <c r="H835" s="161"/>
      <c r="I835" s="166"/>
      <c r="J835" s="167"/>
      <c r="K835" s="157">
        <f t="shared" si="106"/>
        <v>100</v>
      </c>
      <c r="L835" s="157">
        <f t="shared" si="107"/>
        <v>200</v>
      </c>
      <c r="M835" s="157">
        <f t="shared" si="108"/>
        <v>300</v>
      </c>
      <c r="N835" s="157">
        <f t="shared" si="109"/>
        <v>400</v>
      </c>
      <c r="O835" s="959"/>
      <c r="P835" s="967"/>
      <c r="Q835" s="586"/>
      <c r="R835" s="968"/>
      <c r="S835" s="589"/>
      <c r="T835" s="589"/>
      <c r="U835" s="589"/>
    </row>
    <row r="836" spans="1:21" x14ac:dyDescent="0.35">
      <c r="A836" s="116"/>
      <c r="B836" s="35"/>
      <c r="C836" s="117"/>
      <c r="D836" s="1687"/>
      <c r="E836" s="1688"/>
      <c r="F836" s="159"/>
      <c r="G836" s="160"/>
      <c r="H836" s="168"/>
      <c r="I836" s="162"/>
      <c r="J836" s="164"/>
      <c r="K836" s="157">
        <f t="shared" si="106"/>
        <v>100</v>
      </c>
      <c r="L836" s="157">
        <f t="shared" si="107"/>
        <v>200</v>
      </c>
      <c r="M836" s="157">
        <f t="shared" si="108"/>
        <v>300</v>
      </c>
      <c r="N836" s="157">
        <f t="shared" si="109"/>
        <v>400</v>
      </c>
      <c r="O836" s="959"/>
      <c r="P836" s="967"/>
      <c r="Q836" s="586"/>
      <c r="R836" s="968"/>
      <c r="S836" s="589"/>
      <c r="T836" s="589"/>
      <c r="U836" s="589"/>
    </row>
    <row r="837" spans="1:21" x14ac:dyDescent="0.35">
      <c r="A837" s="116"/>
      <c r="B837" s="117"/>
      <c r="C837" s="117"/>
      <c r="D837" s="1687"/>
      <c r="E837" s="1688"/>
      <c r="F837" s="159"/>
      <c r="G837" s="160"/>
      <c r="H837" s="168"/>
      <c r="I837" s="162"/>
      <c r="J837" s="164"/>
      <c r="K837" s="157">
        <f t="shared" si="106"/>
        <v>100</v>
      </c>
      <c r="L837" s="157">
        <f t="shared" si="107"/>
        <v>200</v>
      </c>
      <c r="M837" s="157">
        <f t="shared" si="108"/>
        <v>300</v>
      </c>
      <c r="N837" s="157">
        <f t="shared" si="109"/>
        <v>400</v>
      </c>
      <c r="O837" s="959"/>
      <c r="P837" s="967"/>
      <c r="Q837" s="586"/>
      <c r="R837" s="968"/>
      <c r="S837" s="589"/>
      <c r="T837" s="589"/>
      <c r="U837" s="589"/>
    </row>
    <row r="838" spans="1:21" x14ac:dyDescent="0.35">
      <c r="A838" s="116"/>
      <c r="B838" s="117"/>
      <c r="C838" s="117"/>
      <c r="D838" s="1687"/>
      <c r="E838" s="1688"/>
      <c r="F838" s="169"/>
      <c r="G838" s="170"/>
      <c r="H838" s="171"/>
      <c r="I838" s="172"/>
      <c r="J838" s="173"/>
      <c r="K838" s="157">
        <f t="shared" si="106"/>
        <v>100</v>
      </c>
      <c r="L838" s="157">
        <f t="shared" si="107"/>
        <v>200</v>
      </c>
      <c r="M838" s="157">
        <f t="shared" si="108"/>
        <v>300</v>
      </c>
      <c r="N838" s="157">
        <f t="shared" si="109"/>
        <v>400</v>
      </c>
      <c r="O838" s="959"/>
      <c r="P838" s="967"/>
      <c r="Q838" s="586"/>
      <c r="R838" s="968"/>
      <c r="S838" s="589"/>
      <c r="T838" s="589"/>
      <c r="U838" s="589"/>
    </row>
    <row r="839" spans="1:21" ht="28.5" customHeight="1" x14ac:dyDescent="0.35">
      <c r="A839" s="116"/>
      <c r="B839" s="117"/>
      <c r="C839" s="117"/>
      <c r="D839" s="174"/>
      <c r="E839" s="175"/>
      <c r="F839" s="1689" t="s">
        <v>2</v>
      </c>
      <c r="G839" s="1689"/>
      <c r="H839" s="176">
        <f>IF(O839&gt;1,"Zielerreichung übersteigt 100%!",O839)</f>
        <v>0</v>
      </c>
      <c r="I839" s="177"/>
      <c r="J839" s="178"/>
      <c r="K839" s="157">
        <f t="shared" si="106"/>
        <v>100</v>
      </c>
      <c r="L839" s="157">
        <f t="shared" si="107"/>
        <v>200</v>
      </c>
      <c r="M839" s="157">
        <f t="shared" si="108"/>
        <v>300</v>
      </c>
      <c r="N839" s="157">
        <f t="shared" si="109"/>
        <v>400</v>
      </c>
      <c r="O839" s="959">
        <f>SUM(H827:H838)</f>
        <v>0</v>
      </c>
      <c r="P839" s="967"/>
      <c r="Q839" s="586"/>
      <c r="R839" s="968"/>
      <c r="S839" s="589"/>
      <c r="T839" s="589"/>
      <c r="U839" s="589"/>
    </row>
    <row r="840" spans="1:21" x14ac:dyDescent="0.35">
      <c r="A840" s="116"/>
      <c r="B840" s="117"/>
      <c r="C840" s="117"/>
      <c r="D840" s="179"/>
      <c r="E840" s="180"/>
      <c r="F840" s="1690" t="s">
        <v>3</v>
      </c>
      <c r="G840" s="1691"/>
      <c r="H840" s="181">
        <v>13</v>
      </c>
      <c r="I840" s="177"/>
      <c r="J840" s="178"/>
      <c r="K840" s="157">
        <f t="shared" si="106"/>
        <v>100</v>
      </c>
      <c r="L840" s="157">
        <f t="shared" si="107"/>
        <v>200</v>
      </c>
      <c r="M840" s="157">
        <f t="shared" si="108"/>
        <v>300</v>
      </c>
      <c r="N840" s="157">
        <f t="shared" si="109"/>
        <v>400</v>
      </c>
      <c r="O840" s="1030"/>
      <c r="P840" s="967"/>
      <c r="Q840" s="586"/>
      <c r="R840" s="968"/>
      <c r="S840" s="589"/>
      <c r="T840" s="589"/>
      <c r="U840" s="589"/>
    </row>
    <row r="841" spans="1:21" x14ac:dyDescent="0.35">
      <c r="A841" s="116"/>
      <c r="B841" s="117"/>
      <c r="C841" s="117"/>
      <c r="D841" s="179"/>
      <c r="E841" s="180"/>
      <c r="F841" s="1700" t="s">
        <v>5494</v>
      </c>
      <c r="G841" s="1701"/>
      <c r="H841" s="1084" t="str">
        <f>IF($H$2=1,0,"")</f>
        <v/>
      </c>
      <c r="I841" s="183"/>
      <c r="J841" s="178"/>
      <c r="K841" s="157">
        <f t="shared" si="106"/>
        <v>100</v>
      </c>
      <c r="L841" s="157">
        <f t="shared" si="107"/>
        <v>200</v>
      </c>
      <c r="M841" s="157">
        <f t="shared" si="108"/>
        <v>300</v>
      </c>
      <c r="N841" s="157">
        <f t="shared" si="109"/>
        <v>400</v>
      </c>
      <c r="O841" s="1030"/>
      <c r="P841" s="967"/>
      <c r="Q841" s="586"/>
      <c r="R841" s="968"/>
      <c r="S841" s="589"/>
      <c r="T841" s="589"/>
      <c r="U841" s="589"/>
    </row>
    <row r="842" spans="1:21" x14ac:dyDescent="0.35">
      <c r="A842" s="184"/>
      <c r="B842" s="185"/>
      <c r="C842" s="185"/>
      <c r="D842" s="179"/>
      <c r="E842" s="180"/>
      <c r="F842" s="186"/>
      <c r="G842" s="186"/>
      <c r="H842" s="187"/>
      <c r="I842" s="177"/>
      <c r="J842" s="178"/>
      <c r="K842" s="157">
        <f t="shared" si="106"/>
        <v>100</v>
      </c>
      <c r="L842" s="157">
        <f t="shared" si="107"/>
        <v>200</v>
      </c>
      <c r="M842" s="157">
        <f t="shared" si="108"/>
        <v>300</v>
      </c>
      <c r="N842" s="157">
        <f t="shared" si="109"/>
        <v>400</v>
      </c>
      <c r="O842" s="1030"/>
      <c r="P842" s="967"/>
      <c r="Q842" s="586"/>
      <c r="R842" s="968"/>
      <c r="S842" s="589"/>
      <c r="T842" s="589"/>
      <c r="U842" s="589"/>
    </row>
    <row r="843" spans="1:21" ht="15.5" x14ac:dyDescent="0.35">
      <c r="A843" s="116"/>
      <c r="B843" s="117"/>
      <c r="C843" s="1702"/>
      <c r="D843" s="1703"/>
      <c r="E843" s="234"/>
      <c r="F843" s="1704" t="s">
        <v>5</v>
      </c>
      <c r="G843" s="1704"/>
      <c r="H843" s="235">
        <f>IF(ISNUMBER(H841),H841*H839,H840*H839)</f>
        <v>0</v>
      </c>
      <c r="I843" s="236"/>
      <c r="J843" s="237"/>
      <c r="K843" s="157">
        <f t="shared" si="106"/>
        <v>100</v>
      </c>
      <c r="L843" s="157">
        <f t="shared" si="107"/>
        <v>200</v>
      </c>
      <c r="M843" s="157">
        <f t="shared" si="108"/>
        <v>300</v>
      </c>
      <c r="N843" s="157">
        <f t="shared" si="109"/>
        <v>400</v>
      </c>
      <c r="O843" s="1030"/>
      <c r="P843" s="967"/>
      <c r="Q843" s="586"/>
      <c r="R843" s="968"/>
      <c r="S843" s="589"/>
      <c r="T843" s="589"/>
      <c r="U843" s="589"/>
    </row>
    <row r="844" spans="1:21" x14ac:dyDescent="0.35">
      <c r="K844" s="157">
        <f t="shared" si="106"/>
        <v>100</v>
      </c>
      <c r="L844" s="157">
        <f t="shared" si="107"/>
        <v>200</v>
      </c>
      <c r="M844" s="157">
        <f t="shared" si="108"/>
        <v>300</v>
      </c>
      <c r="N844" s="157">
        <f t="shared" si="109"/>
        <v>400</v>
      </c>
      <c r="O844" s="967"/>
      <c r="P844" s="967"/>
      <c r="Q844" s="586"/>
      <c r="R844" s="968"/>
      <c r="S844" s="589"/>
      <c r="T844" s="589"/>
      <c r="U844" s="589"/>
    </row>
    <row r="845" spans="1:21" ht="7.5" customHeight="1" x14ac:dyDescent="0.35">
      <c r="A845" s="116"/>
      <c r="B845" s="117"/>
      <c r="C845" s="117"/>
      <c r="D845" s="116"/>
      <c r="E845" s="116"/>
      <c r="F845" s="118"/>
      <c r="G845" s="119"/>
      <c r="H845" s="116"/>
      <c r="I845" s="120"/>
      <c r="J845" s="121"/>
      <c r="K845" s="157">
        <f t="shared" si="106"/>
        <v>100</v>
      </c>
      <c r="L845" s="157">
        <f t="shared" si="107"/>
        <v>200</v>
      </c>
      <c r="M845" s="157">
        <f t="shared" si="108"/>
        <v>300</v>
      </c>
      <c r="N845" s="157">
        <f t="shared" si="109"/>
        <v>400</v>
      </c>
      <c r="O845" s="968"/>
      <c r="P845" s="968"/>
      <c r="Q845" s="586"/>
      <c r="R845" s="968"/>
      <c r="S845" s="589"/>
      <c r="T845" s="589"/>
      <c r="U845" s="589"/>
    </row>
    <row r="846" spans="1:21" ht="15.5" x14ac:dyDescent="0.35">
      <c r="A846" s="124"/>
      <c r="B846" s="125"/>
      <c r="C846" s="126" t="s">
        <v>4800</v>
      </c>
      <c r="D846" s="127" t="s">
        <v>5439</v>
      </c>
      <c r="E846" s="128"/>
      <c r="F846" s="129" t="str">
        <f>IF($F$3=1,O846,"")</f>
        <v>C.3.2 Durchmischte Wohnnutzungen</v>
      </c>
      <c r="G846" s="204"/>
      <c r="H846" s="205"/>
      <c r="I846" s="520" t="s">
        <v>23</v>
      </c>
      <c r="J846" s="130"/>
      <c r="K846" s="157">
        <f t="shared" si="106"/>
        <v>100</v>
      </c>
      <c r="L846" s="157">
        <f t="shared" si="107"/>
        <v>200</v>
      </c>
      <c r="M846" s="157">
        <f t="shared" si="108"/>
        <v>300</v>
      </c>
      <c r="N846" s="157">
        <f t="shared" si="109"/>
        <v>400</v>
      </c>
      <c r="O846" s="967" t="str">
        <f>CONCATENATE(C846," ",D846)</f>
        <v>C.3.2 Durchmischte Wohnnutzungen</v>
      </c>
      <c r="P846" s="966"/>
      <c r="Q846" s="586"/>
      <c r="R846" s="968"/>
      <c r="S846" s="589"/>
      <c r="T846" s="589"/>
      <c r="U846" s="589"/>
    </row>
    <row r="847" spans="1:21" x14ac:dyDescent="0.35">
      <c r="A847" s="124"/>
      <c r="B847" s="134"/>
      <c r="C847" s="135"/>
      <c r="D847" s="136"/>
      <c r="E847" s="136"/>
      <c r="F847" s="137"/>
      <c r="G847" s="138"/>
      <c r="H847" s="124"/>
      <c r="I847" s="139"/>
      <c r="J847" s="140"/>
      <c r="K847" s="157">
        <f t="shared" si="106"/>
        <v>100</v>
      </c>
      <c r="L847" s="157">
        <f t="shared" si="107"/>
        <v>200</v>
      </c>
      <c r="M847" s="157">
        <f t="shared" si="108"/>
        <v>300</v>
      </c>
      <c r="N847" s="157">
        <f t="shared" si="109"/>
        <v>400</v>
      </c>
      <c r="O847" s="968"/>
      <c r="P847" s="966"/>
      <c r="Q847" s="586"/>
      <c r="R847" s="968"/>
      <c r="S847" s="589"/>
      <c r="T847" s="589"/>
      <c r="U847" s="589"/>
    </row>
    <row r="848" spans="1:21" x14ac:dyDescent="0.35">
      <c r="A848" s="142"/>
      <c r="B848" s="35"/>
      <c r="C848" s="143"/>
      <c r="D848" s="1685" t="s">
        <v>18</v>
      </c>
      <c r="E848" s="1686"/>
      <c r="F848" s="144" t="s">
        <v>19</v>
      </c>
      <c r="G848" s="145" t="s">
        <v>0</v>
      </c>
      <c r="H848" s="146" t="s">
        <v>20</v>
      </c>
      <c r="I848" s="147" t="s">
        <v>1</v>
      </c>
      <c r="J848" s="147" t="s">
        <v>4375</v>
      </c>
      <c r="K848" s="157">
        <f t="shared" si="106"/>
        <v>100</v>
      </c>
      <c r="L848" s="157">
        <f t="shared" si="107"/>
        <v>200</v>
      </c>
      <c r="M848" s="157">
        <f t="shared" si="108"/>
        <v>300</v>
      </c>
      <c r="N848" s="157">
        <f t="shared" si="109"/>
        <v>400</v>
      </c>
      <c r="O848" s="587"/>
      <c r="P848" s="967"/>
      <c r="Q848" s="586"/>
      <c r="R848" s="968"/>
      <c r="S848" s="589"/>
      <c r="T848" s="589"/>
      <c r="U848" s="589"/>
    </row>
    <row r="849" spans="1:21" ht="36" x14ac:dyDescent="0.35">
      <c r="A849" s="123"/>
      <c r="B849" s="35"/>
      <c r="C849" s="151"/>
      <c r="D849" s="1687" t="s">
        <v>4675</v>
      </c>
      <c r="E849" s="1688"/>
      <c r="F849" s="152" t="s">
        <v>4507</v>
      </c>
      <c r="G849" s="153">
        <f t="shared" ref="G849:G851" si="111">IF($H$2=1,S849,IF($H$2=2,T849,U849))</f>
        <v>0.33</v>
      </c>
      <c r="H849" s="154"/>
      <c r="I849" s="155"/>
      <c r="J849" s="156"/>
      <c r="K849" s="157">
        <f t="shared" si="106"/>
        <v>100</v>
      </c>
      <c r="L849" s="157">
        <f t="shared" si="107"/>
        <v>200</v>
      </c>
      <c r="M849" s="157">
        <f t="shared" si="108"/>
        <v>300</v>
      </c>
      <c r="N849" s="157">
        <f t="shared" si="109"/>
        <v>400</v>
      </c>
      <c r="O849" s="967" t="str">
        <f>CONCATENATE(O846," | ",F849)</f>
        <v>C.3.2 Durchmischte Wohnnutzungen | Es besteht ein attraktiver Wohnungsmix (Starter-Wohnungen, Wohnung für Alleinerziehende, betreubares Wohnen, Gästewohnungen, …)</v>
      </c>
      <c r="P849" s="967"/>
      <c r="Q849" s="586"/>
      <c r="R849" s="968"/>
      <c r="S849" s="588">
        <v>0</v>
      </c>
      <c r="T849" s="588">
        <v>0.23</v>
      </c>
      <c r="U849" s="588">
        <v>0.33</v>
      </c>
    </row>
    <row r="850" spans="1:21" ht="24" x14ac:dyDescent="0.35">
      <c r="A850" s="123"/>
      <c r="B850" s="35"/>
      <c r="C850" s="151"/>
      <c r="D850" s="1687"/>
      <c r="E850" s="1688"/>
      <c r="F850" s="152" t="s">
        <v>4508</v>
      </c>
      <c r="G850" s="153">
        <f t="shared" si="111"/>
        <v>0.33</v>
      </c>
      <c r="H850" s="154"/>
      <c r="I850" s="155"/>
      <c r="J850" s="156"/>
      <c r="K850" s="157">
        <f t="shared" si="106"/>
        <v>100</v>
      </c>
      <c r="L850" s="157">
        <f t="shared" si="107"/>
        <v>200</v>
      </c>
      <c r="M850" s="157">
        <f t="shared" si="108"/>
        <v>300</v>
      </c>
      <c r="N850" s="157">
        <f t="shared" si="109"/>
        <v>400</v>
      </c>
      <c r="O850" s="967" t="str">
        <f>CONCATENATE(O846," | ",F850)</f>
        <v>C.3.2 Durchmischte Wohnnutzungen | Es werden sowohl Mietwohnungen als auch Wohneigentum in unterschiedlichen Größen realisiert</v>
      </c>
      <c r="P850" s="967"/>
      <c r="Q850" s="586"/>
      <c r="R850" s="968"/>
      <c r="S850" s="588">
        <v>0</v>
      </c>
      <c r="T850" s="588">
        <v>0.23</v>
      </c>
      <c r="U850" s="588">
        <v>0.33</v>
      </c>
    </row>
    <row r="851" spans="1:21" ht="24" x14ac:dyDescent="0.35">
      <c r="A851" s="123"/>
      <c r="B851" s="35"/>
      <c r="C851" s="151"/>
      <c r="D851" s="1687"/>
      <c r="E851" s="1688"/>
      <c r="F851" s="152" t="s">
        <v>4509</v>
      </c>
      <c r="G851" s="153">
        <f t="shared" si="111"/>
        <v>0.34</v>
      </c>
      <c r="H851" s="154"/>
      <c r="I851" s="155"/>
      <c r="J851" s="156"/>
      <c r="K851" s="157">
        <f t="shared" si="106"/>
        <v>100</v>
      </c>
      <c r="L851" s="157">
        <f t="shared" si="107"/>
        <v>200</v>
      </c>
      <c r="M851" s="157">
        <f t="shared" si="108"/>
        <v>300</v>
      </c>
      <c r="N851" s="157">
        <f t="shared" si="109"/>
        <v>400</v>
      </c>
      <c r="O851" s="967" t="str">
        <f>CONCATENATE(O846," | ",F851)</f>
        <v>C.3.2 Durchmischte Wohnnutzungen | Der Anteil von preisgünstigen Wohnungen beträgt mindestens 20% der Wohnflächen</v>
      </c>
      <c r="P851" s="967"/>
      <c r="Q851" s="586"/>
      <c r="R851" s="968"/>
      <c r="S851" s="588">
        <v>0</v>
      </c>
      <c r="T851" s="588">
        <v>0.24</v>
      </c>
      <c r="U851" s="588">
        <v>0.34</v>
      </c>
    </row>
    <row r="852" spans="1:21" x14ac:dyDescent="0.35">
      <c r="A852" s="123">
        <v>3.2</v>
      </c>
      <c r="B852" s="35"/>
      <c r="C852" s="151"/>
      <c r="D852" s="1687"/>
      <c r="E852" s="1688"/>
      <c r="F852" s="159"/>
      <c r="G852" s="160"/>
      <c r="H852" s="161"/>
      <c r="I852" s="166"/>
      <c r="J852" s="164"/>
      <c r="K852" s="157">
        <f t="shared" si="106"/>
        <v>100</v>
      </c>
      <c r="L852" s="157">
        <f t="shared" si="107"/>
        <v>200</v>
      </c>
      <c r="M852" s="157">
        <f t="shared" si="108"/>
        <v>300</v>
      </c>
      <c r="N852" s="157">
        <f t="shared" si="109"/>
        <v>400</v>
      </c>
      <c r="O852" s="967"/>
      <c r="P852" s="967"/>
      <c r="Q852" s="586"/>
      <c r="R852" s="968"/>
      <c r="S852" s="589"/>
      <c r="T852" s="589"/>
      <c r="U852" s="589"/>
    </row>
    <row r="853" spans="1:21" x14ac:dyDescent="0.35">
      <c r="A853" s="123"/>
      <c r="B853" s="35"/>
      <c r="C853" s="151"/>
      <c r="D853" s="1687"/>
      <c r="E853" s="1688"/>
      <c r="F853" s="593" t="str">
        <f>IF($G$2=1,R853,"Weiteres Kriterium in der Nutzung")</f>
        <v>Weiteres Kriterium in der Nutzung</v>
      </c>
      <c r="G853" s="153">
        <f t="shared" ref="G853" si="112">IF($H$2=1,S853,IF($H$2=2,T853,U853))</f>
        <v>0</v>
      </c>
      <c r="H853" s="154"/>
      <c r="I853" s="158"/>
      <c r="J853" s="156"/>
      <c r="K853" s="157">
        <f t="shared" si="106"/>
        <v>100</v>
      </c>
      <c r="L853" s="157">
        <f t="shared" si="107"/>
        <v>200</v>
      </c>
      <c r="M853" s="157">
        <f t="shared" si="108"/>
        <v>300</v>
      </c>
      <c r="N853" s="157">
        <f t="shared" si="109"/>
        <v>400</v>
      </c>
      <c r="O853" s="967" t="str">
        <f>CONCATENATE(O846," | ",F853)</f>
        <v>C.3.2 Durchmischte Wohnnutzungen | Weiteres Kriterium in der Nutzung</v>
      </c>
      <c r="P853" s="967"/>
      <c r="Q853" s="586"/>
      <c r="R853" s="968" t="s">
        <v>5597</v>
      </c>
      <c r="S853" s="588">
        <v>0.33</v>
      </c>
      <c r="T853" s="588">
        <v>0.1</v>
      </c>
      <c r="U853" s="588">
        <v>0</v>
      </c>
    </row>
    <row r="854" spans="1:21" x14ac:dyDescent="0.35">
      <c r="A854" s="116"/>
      <c r="B854" s="35"/>
      <c r="C854" s="117"/>
      <c r="D854" s="1687"/>
      <c r="E854" s="1688"/>
      <c r="F854" s="593" t="str">
        <f>IF($G$2=1,R854,"Weiteres Kriterium in der Nutzung")</f>
        <v>Weiteres Kriterium in der Nutzung</v>
      </c>
      <c r="G854" s="153">
        <f t="shared" ref="G854:G855" si="113">IF($H$2=1,S854,IF($H$2=2,T854,U854))</f>
        <v>0</v>
      </c>
      <c r="H854" s="154"/>
      <c r="I854" s="158"/>
      <c r="J854" s="156"/>
      <c r="K854" s="157">
        <f t="shared" si="106"/>
        <v>100</v>
      </c>
      <c r="L854" s="157">
        <f t="shared" si="107"/>
        <v>200</v>
      </c>
      <c r="M854" s="157">
        <f t="shared" si="108"/>
        <v>300</v>
      </c>
      <c r="N854" s="157">
        <f t="shared" si="109"/>
        <v>400</v>
      </c>
      <c r="O854" s="967" t="str">
        <f>CONCATENATE(O846," | ",F854)</f>
        <v>C.3.2 Durchmischte Wohnnutzungen | Weiteres Kriterium in der Nutzung</v>
      </c>
      <c r="P854" s="967"/>
      <c r="Q854" s="586"/>
      <c r="R854" s="968" t="s">
        <v>5330</v>
      </c>
      <c r="S854" s="588">
        <v>0.33</v>
      </c>
      <c r="T854" s="588">
        <v>0.1</v>
      </c>
      <c r="U854" s="588">
        <v>0</v>
      </c>
    </row>
    <row r="855" spans="1:21" x14ac:dyDescent="0.35">
      <c r="A855" s="116"/>
      <c r="B855" s="35"/>
      <c r="C855" s="117"/>
      <c r="D855" s="1687"/>
      <c r="E855" s="1688"/>
      <c r="F855" s="593" t="str">
        <f>IF($G$2=1,R855,"Weiteres Kriterium in der Nutzung")</f>
        <v>Weiteres Kriterium in der Nutzung</v>
      </c>
      <c r="G855" s="153">
        <f t="shared" si="113"/>
        <v>0</v>
      </c>
      <c r="H855" s="154"/>
      <c r="I855" s="158"/>
      <c r="J855" s="156"/>
      <c r="K855" s="157">
        <f t="shared" si="106"/>
        <v>100</v>
      </c>
      <c r="L855" s="157">
        <f t="shared" si="107"/>
        <v>200</v>
      </c>
      <c r="M855" s="157">
        <f t="shared" si="108"/>
        <v>300</v>
      </c>
      <c r="N855" s="157">
        <f t="shared" si="109"/>
        <v>400</v>
      </c>
      <c r="O855" s="967" t="str">
        <f>CONCATENATE(O846," | ",F855)</f>
        <v>C.3.2 Durchmischte Wohnnutzungen | Weiteres Kriterium in der Nutzung</v>
      </c>
      <c r="P855" s="967"/>
      <c r="Q855" s="586"/>
      <c r="R855" s="968" t="s">
        <v>5331</v>
      </c>
      <c r="S855" s="588">
        <v>0.34</v>
      </c>
      <c r="T855" s="588">
        <v>0.1</v>
      </c>
      <c r="U855" s="588">
        <v>0</v>
      </c>
    </row>
    <row r="856" spans="1:21" x14ac:dyDescent="0.35">
      <c r="A856" s="116"/>
      <c r="B856" s="35"/>
      <c r="C856" s="117"/>
      <c r="D856" s="1687"/>
      <c r="E856" s="1688"/>
      <c r="F856" s="159"/>
      <c r="G856" s="160"/>
      <c r="H856" s="161"/>
      <c r="I856" s="162"/>
      <c r="J856" s="164"/>
      <c r="K856" s="157">
        <f t="shared" si="106"/>
        <v>100</v>
      </c>
      <c r="L856" s="157">
        <f t="shared" si="107"/>
        <v>200</v>
      </c>
      <c r="M856" s="157">
        <f t="shared" si="108"/>
        <v>300</v>
      </c>
      <c r="N856" s="157">
        <f t="shared" si="109"/>
        <v>400</v>
      </c>
      <c r="O856" s="959"/>
      <c r="P856" s="967"/>
      <c r="Q856" s="586"/>
      <c r="R856" s="968"/>
      <c r="S856" s="589"/>
      <c r="T856" s="589"/>
      <c r="U856" s="589"/>
    </row>
    <row r="857" spans="1:21" x14ac:dyDescent="0.35">
      <c r="A857" s="123"/>
      <c r="B857" s="35"/>
      <c r="C857" s="151"/>
      <c r="D857" s="1687"/>
      <c r="E857" s="1688"/>
      <c r="F857" s="165"/>
      <c r="G857" s="160"/>
      <c r="H857" s="161"/>
      <c r="I857" s="166"/>
      <c r="J857" s="167"/>
      <c r="K857" s="157">
        <f t="shared" si="106"/>
        <v>100</v>
      </c>
      <c r="L857" s="157">
        <f t="shared" si="107"/>
        <v>200</v>
      </c>
      <c r="M857" s="157">
        <f t="shared" si="108"/>
        <v>300</v>
      </c>
      <c r="N857" s="157">
        <f t="shared" si="109"/>
        <v>400</v>
      </c>
      <c r="O857" s="959"/>
      <c r="P857" s="967"/>
      <c r="Q857" s="586"/>
      <c r="R857" s="968"/>
      <c r="S857" s="589"/>
      <c r="T857" s="589"/>
      <c r="U857" s="589"/>
    </row>
    <row r="858" spans="1:21" x14ac:dyDescent="0.35">
      <c r="A858" s="116"/>
      <c r="B858" s="35"/>
      <c r="C858" s="117"/>
      <c r="D858" s="1687"/>
      <c r="E858" s="1688"/>
      <c r="F858" s="159"/>
      <c r="G858" s="160"/>
      <c r="H858" s="168"/>
      <c r="I858" s="162"/>
      <c r="J858" s="164"/>
      <c r="K858" s="157">
        <f t="shared" si="106"/>
        <v>100</v>
      </c>
      <c r="L858" s="157">
        <f t="shared" si="107"/>
        <v>200</v>
      </c>
      <c r="M858" s="157">
        <f t="shared" si="108"/>
        <v>300</v>
      </c>
      <c r="N858" s="157">
        <f t="shared" si="109"/>
        <v>400</v>
      </c>
      <c r="O858" s="959"/>
      <c r="P858" s="967"/>
      <c r="Q858" s="586"/>
      <c r="R858" s="968"/>
      <c r="S858" s="589"/>
      <c r="T858" s="589"/>
      <c r="U858" s="589"/>
    </row>
    <row r="859" spans="1:21" x14ac:dyDescent="0.35">
      <c r="A859" s="116"/>
      <c r="B859" s="117"/>
      <c r="C859" s="117"/>
      <c r="D859" s="1687"/>
      <c r="E859" s="1688"/>
      <c r="F859" s="159"/>
      <c r="G859" s="160"/>
      <c r="H859" s="168"/>
      <c r="I859" s="162"/>
      <c r="J859" s="164"/>
      <c r="K859" s="157">
        <f t="shared" si="106"/>
        <v>100</v>
      </c>
      <c r="L859" s="157">
        <f t="shared" si="107"/>
        <v>200</v>
      </c>
      <c r="M859" s="157">
        <f t="shared" si="108"/>
        <v>300</v>
      </c>
      <c r="N859" s="157">
        <f t="shared" si="109"/>
        <v>400</v>
      </c>
      <c r="O859" s="959"/>
      <c r="P859" s="967"/>
      <c r="Q859" s="586"/>
      <c r="R859" s="968"/>
      <c r="S859" s="589"/>
      <c r="T859" s="589"/>
      <c r="U859" s="589"/>
    </row>
    <row r="860" spans="1:21" x14ac:dyDescent="0.35">
      <c r="A860" s="116"/>
      <c r="B860" s="117"/>
      <c r="C860" s="117"/>
      <c r="D860" s="1687"/>
      <c r="E860" s="1688"/>
      <c r="F860" s="169"/>
      <c r="G860" s="170"/>
      <c r="H860" s="171"/>
      <c r="I860" s="172"/>
      <c r="J860" s="173"/>
      <c r="K860" s="157">
        <f t="shared" si="106"/>
        <v>100</v>
      </c>
      <c r="L860" s="157">
        <f t="shared" si="107"/>
        <v>200</v>
      </c>
      <c r="M860" s="157">
        <f t="shared" si="108"/>
        <v>300</v>
      </c>
      <c r="N860" s="157">
        <f t="shared" si="109"/>
        <v>400</v>
      </c>
      <c r="O860" s="959"/>
      <c r="P860" s="967"/>
      <c r="Q860" s="586"/>
      <c r="R860" s="968"/>
      <c r="S860" s="589"/>
      <c r="T860" s="589"/>
      <c r="U860" s="589"/>
    </row>
    <row r="861" spans="1:21" ht="28.5" customHeight="1" x14ac:dyDescent="0.35">
      <c r="A861" s="116"/>
      <c r="B861" s="117"/>
      <c r="C861" s="117"/>
      <c r="D861" s="174"/>
      <c r="E861" s="175"/>
      <c r="F861" s="1689" t="s">
        <v>2</v>
      </c>
      <c r="G861" s="1689"/>
      <c r="H861" s="176">
        <f>IF(O861&gt;1,"Zielerreichung übersteigt 100%!",O861)</f>
        <v>0</v>
      </c>
      <c r="I861" s="177"/>
      <c r="J861" s="178"/>
      <c r="K861" s="157">
        <f t="shared" si="106"/>
        <v>100</v>
      </c>
      <c r="L861" s="157">
        <f t="shared" si="107"/>
        <v>200</v>
      </c>
      <c r="M861" s="157">
        <f t="shared" si="108"/>
        <v>300</v>
      </c>
      <c r="N861" s="157">
        <f t="shared" si="109"/>
        <v>400</v>
      </c>
      <c r="O861" s="959">
        <f>SUM(H849:H860)</f>
        <v>0</v>
      </c>
      <c r="P861" s="967"/>
      <c r="Q861" s="586"/>
      <c r="R861" s="968"/>
      <c r="S861" s="589"/>
      <c r="T861" s="589"/>
      <c r="U861" s="589"/>
    </row>
    <row r="862" spans="1:21" x14ac:dyDescent="0.35">
      <c r="A862" s="116"/>
      <c r="B862" s="117"/>
      <c r="C862" s="117"/>
      <c r="D862" s="179"/>
      <c r="E862" s="180"/>
      <c r="F862" s="1690" t="s">
        <v>3</v>
      </c>
      <c r="G862" s="1691"/>
      <c r="H862" s="181">
        <v>13</v>
      </c>
      <c r="I862" s="177"/>
      <c r="J862" s="178"/>
      <c r="K862" s="157">
        <f t="shared" si="106"/>
        <v>100</v>
      </c>
      <c r="L862" s="157">
        <f t="shared" si="107"/>
        <v>200</v>
      </c>
      <c r="M862" s="157">
        <f t="shared" si="108"/>
        <v>300</v>
      </c>
      <c r="N862" s="157">
        <f t="shared" si="109"/>
        <v>400</v>
      </c>
      <c r="O862" s="1030"/>
      <c r="P862" s="967"/>
      <c r="Q862" s="586"/>
      <c r="R862" s="968"/>
      <c r="S862" s="589"/>
      <c r="T862" s="589"/>
      <c r="U862" s="589"/>
    </row>
    <row r="863" spans="1:21" x14ac:dyDescent="0.35">
      <c r="A863" s="116"/>
      <c r="B863" s="117"/>
      <c r="C863" s="117"/>
      <c r="D863" s="179"/>
      <c r="E863" s="180"/>
      <c r="F863" s="1700" t="s">
        <v>5494</v>
      </c>
      <c r="G863" s="1701"/>
      <c r="H863" s="1089" t="str">
        <f>IF($H$2=1,26,"")</f>
        <v/>
      </c>
      <c r="I863" s="183"/>
      <c r="J863" s="178"/>
      <c r="K863" s="157">
        <f t="shared" si="106"/>
        <v>100</v>
      </c>
      <c r="L863" s="157">
        <f t="shared" si="107"/>
        <v>200</v>
      </c>
      <c r="M863" s="157">
        <f t="shared" si="108"/>
        <v>300</v>
      </c>
      <c r="N863" s="157">
        <f t="shared" si="109"/>
        <v>400</v>
      </c>
      <c r="O863" s="1030"/>
      <c r="P863" s="967"/>
      <c r="Q863" s="586"/>
      <c r="R863" s="968"/>
      <c r="S863" s="589"/>
      <c r="T863" s="589"/>
      <c r="U863" s="589"/>
    </row>
    <row r="864" spans="1:21" x14ac:dyDescent="0.35">
      <c r="A864" s="184"/>
      <c r="B864" s="185"/>
      <c r="C864" s="185"/>
      <c r="D864" s="179"/>
      <c r="E864" s="180"/>
      <c r="F864" s="186"/>
      <c r="G864" s="186"/>
      <c r="H864" s="187"/>
      <c r="I864" s="177"/>
      <c r="J864" s="178"/>
      <c r="K864" s="157">
        <f t="shared" si="106"/>
        <v>100</v>
      </c>
      <c r="L864" s="157">
        <f t="shared" si="107"/>
        <v>200</v>
      </c>
      <c r="M864" s="157">
        <f t="shared" si="108"/>
        <v>300</v>
      </c>
      <c r="N864" s="157">
        <f t="shared" si="109"/>
        <v>400</v>
      </c>
      <c r="O864" s="1030"/>
      <c r="P864" s="967"/>
      <c r="Q864" s="586"/>
      <c r="R864" s="968"/>
      <c r="S864" s="589"/>
      <c r="T864" s="589"/>
      <c r="U864" s="589"/>
    </row>
    <row r="865" spans="1:21" ht="15.75" customHeight="1" x14ac:dyDescent="0.35">
      <c r="A865" s="116"/>
      <c r="B865" s="185"/>
      <c r="C865" s="1702"/>
      <c r="D865" s="1703"/>
      <c r="E865" s="234"/>
      <c r="F865" s="1704" t="s">
        <v>5</v>
      </c>
      <c r="G865" s="1704"/>
      <c r="H865" s="235">
        <f>IF(ISNUMBER(H863),H863*H861,H862*H861)</f>
        <v>0</v>
      </c>
      <c r="I865" s="236"/>
      <c r="J865" s="237"/>
      <c r="K865" s="157">
        <f t="shared" si="106"/>
        <v>100</v>
      </c>
      <c r="L865" s="157">
        <f t="shared" si="107"/>
        <v>200</v>
      </c>
      <c r="M865" s="157">
        <f t="shared" si="108"/>
        <v>300</v>
      </c>
      <c r="N865" s="157">
        <f t="shared" si="109"/>
        <v>400</v>
      </c>
      <c r="O865" s="1030"/>
      <c r="P865" s="967"/>
      <c r="Q865" s="586"/>
      <c r="R865" s="968"/>
      <c r="S865" s="589"/>
      <c r="T865" s="589"/>
      <c r="U865" s="589"/>
    </row>
    <row r="866" spans="1:21" x14ac:dyDescent="0.35">
      <c r="B866" s="185"/>
      <c r="K866" s="157">
        <f t="shared" si="106"/>
        <v>100</v>
      </c>
      <c r="L866" s="157">
        <f t="shared" si="107"/>
        <v>200</v>
      </c>
      <c r="M866" s="157">
        <f t="shared" si="108"/>
        <v>300</v>
      </c>
      <c r="N866" s="157">
        <f t="shared" si="109"/>
        <v>400</v>
      </c>
      <c r="O866" s="967"/>
      <c r="P866" s="967"/>
      <c r="Q866" s="586"/>
      <c r="R866" s="968"/>
      <c r="S866" s="589"/>
      <c r="T866" s="589"/>
      <c r="U866" s="589"/>
    </row>
    <row r="867" spans="1:21" ht="7.5" customHeight="1" x14ac:dyDescent="0.35">
      <c r="A867" s="116"/>
      <c r="B867" s="117"/>
      <c r="C867" s="117"/>
      <c r="D867" s="116"/>
      <c r="E867" s="116"/>
      <c r="F867" s="118"/>
      <c r="G867" s="119"/>
      <c r="H867" s="116"/>
      <c r="I867" s="120"/>
      <c r="J867" s="121"/>
      <c r="K867" s="157">
        <f t="shared" si="106"/>
        <v>100</v>
      </c>
      <c r="L867" s="157">
        <f t="shared" si="107"/>
        <v>200</v>
      </c>
      <c r="M867" s="157">
        <f t="shared" si="108"/>
        <v>300</v>
      </c>
      <c r="N867" s="157">
        <f t="shared" si="109"/>
        <v>400</v>
      </c>
      <c r="O867" s="968"/>
      <c r="P867" s="968"/>
      <c r="Q867" s="586"/>
      <c r="R867" s="968"/>
      <c r="S867" s="589"/>
      <c r="T867" s="589"/>
      <c r="U867" s="589"/>
    </row>
    <row r="868" spans="1:21" ht="15.5" x14ac:dyDescent="0.35">
      <c r="A868" s="124"/>
      <c r="B868" s="125"/>
      <c r="C868" s="126" t="s">
        <v>4801</v>
      </c>
      <c r="D868" s="127" t="s">
        <v>5440</v>
      </c>
      <c r="E868" s="128"/>
      <c r="F868" s="129" t="str">
        <f>IF($F$3=1,O868,"")</f>
        <v>C.3.3 Mischnutzung</v>
      </c>
      <c r="G868" s="204"/>
      <c r="H868" s="205"/>
      <c r="I868" s="520" t="s">
        <v>23</v>
      </c>
      <c r="J868" s="130"/>
      <c r="K868" s="157">
        <f t="shared" si="106"/>
        <v>100</v>
      </c>
      <c r="L868" s="157">
        <f t="shared" si="107"/>
        <v>200</v>
      </c>
      <c r="M868" s="157">
        <f t="shared" si="108"/>
        <v>300</v>
      </c>
      <c r="N868" s="157">
        <f t="shared" si="109"/>
        <v>400</v>
      </c>
      <c r="O868" s="967" t="str">
        <f>CONCATENATE(C868," ",D868)</f>
        <v>C.3.3 Mischnutzung</v>
      </c>
      <c r="P868" s="966"/>
      <c r="Q868" s="586"/>
      <c r="R868" s="968"/>
      <c r="S868" s="589"/>
      <c r="T868" s="589"/>
      <c r="U868" s="589"/>
    </row>
    <row r="869" spans="1:21" x14ac:dyDescent="0.35">
      <c r="A869" s="124"/>
      <c r="B869" s="134"/>
      <c r="C869" s="135"/>
      <c r="D869" s="136"/>
      <c r="E869" s="136"/>
      <c r="F869" s="137"/>
      <c r="G869" s="138"/>
      <c r="H869" s="124"/>
      <c r="I869" s="139"/>
      <c r="J869" s="140"/>
      <c r="K869" s="157">
        <f t="shared" si="106"/>
        <v>100</v>
      </c>
      <c r="L869" s="157">
        <f t="shared" si="107"/>
        <v>200</v>
      </c>
      <c r="M869" s="157">
        <f t="shared" si="108"/>
        <v>300</v>
      </c>
      <c r="N869" s="157">
        <f t="shared" si="109"/>
        <v>400</v>
      </c>
      <c r="O869" s="968"/>
      <c r="P869" s="966"/>
      <c r="Q869" s="586"/>
      <c r="R869" s="968"/>
      <c r="S869" s="589"/>
      <c r="T869" s="589"/>
      <c r="U869" s="589"/>
    </row>
    <row r="870" spans="1:21" ht="15" thickBot="1" x14ac:dyDescent="0.4">
      <c r="A870" s="142"/>
      <c r="B870" s="35"/>
      <c r="C870" s="143"/>
      <c r="D870" s="1685" t="s">
        <v>18</v>
      </c>
      <c r="E870" s="1686"/>
      <c r="F870" s="144" t="s">
        <v>19</v>
      </c>
      <c r="G870" s="145" t="s">
        <v>0</v>
      </c>
      <c r="H870" s="146" t="s">
        <v>20</v>
      </c>
      <c r="I870" s="147" t="s">
        <v>1</v>
      </c>
      <c r="J870" s="147" t="s">
        <v>4375</v>
      </c>
      <c r="K870" s="157">
        <f t="shared" si="106"/>
        <v>100</v>
      </c>
      <c r="L870" s="157">
        <f t="shared" si="107"/>
        <v>200</v>
      </c>
      <c r="M870" s="157">
        <f t="shared" si="108"/>
        <v>300</v>
      </c>
      <c r="N870" s="157">
        <f t="shared" si="109"/>
        <v>400</v>
      </c>
      <c r="O870" s="587"/>
      <c r="P870" s="1053"/>
      <c r="Q870" s="1054"/>
      <c r="R870" s="968"/>
      <c r="S870" s="589"/>
      <c r="T870" s="589"/>
      <c r="U870" s="589"/>
    </row>
    <row r="871" spans="1:21" x14ac:dyDescent="0.35">
      <c r="A871" s="123"/>
      <c r="B871" s="35"/>
      <c r="C871" s="151"/>
      <c r="D871" s="1687" t="s">
        <v>4676</v>
      </c>
      <c r="E871" s="1688"/>
      <c r="F871" s="239" t="s">
        <v>4510</v>
      </c>
      <c r="G871" s="153">
        <f t="shared" ref="G871" si="114">IF($H$2=1,S871,IF($H$2=2,T871,U871))</f>
        <v>1</v>
      </c>
      <c r="H871" s="1080">
        <f>VLOOKUP(F871,$P$871:$Q$873,2,0)*G871</f>
        <v>0</v>
      </c>
      <c r="I871" s="155"/>
      <c r="J871" s="156"/>
      <c r="K871" s="157">
        <f t="shared" si="106"/>
        <v>100</v>
      </c>
      <c r="L871" s="157">
        <f t="shared" si="107"/>
        <v>200</v>
      </c>
      <c r="M871" s="157">
        <f t="shared" si="108"/>
        <v>300</v>
      </c>
      <c r="N871" s="157">
        <f t="shared" si="109"/>
        <v>400</v>
      </c>
      <c r="O871" s="1051" t="str">
        <f>CONCATENATE(O868," | ",F871)</f>
        <v>C.3.3 Mischnutzung | Ganzes Areal dient der Hauptnutzung</v>
      </c>
      <c r="P871" s="1057" t="s">
        <v>4510</v>
      </c>
      <c r="Q871" s="1058">
        <v>0</v>
      </c>
      <c r="R871" s="1052"/>
      <c r="S871" s="588">
        <v>0</v>
      </c>
      <c r="T871" s="588">
        <v>0.7</v>
      </c>
      <c r="U871" s="588">
        <v>1</v>
      </c>
    </row>
    <row r="872" spans="1:21" x14ac:dyDescent="0.35">
      <c r="A872" s="123"/>
      <c r="B872" s="35"/>
      <c r="C872" s="151"/>
      <c r="D872" s="1687"/>
      <c r="E872" s="1688"/>
      <c r="F872" s="159"/>
      <c r="G872" s="160"/>
      <c r="H872" s="161"/>
      <c r="I872" s="166"/>
      <c r="J872" s="164"/>
      <c r="K872" s="157">
        <f t="shared" si="106"/>
        <v>100</v>
      </c>
      <c r="L872" s="157">
        <f t="shared" si="107"/>
        <v>200</v>
      </c>
      <c r="M872" s="157">
        <f t="shared" si="108"/>
        <v>300</v>
      </c>
      <c r="N872" s="157">
        <f t="shared" si="109"/>
        <v>400</v>
      </c>
      <c r="O872" s="1051"/>
      <c r="P872" s="1059" t="s">
        <v>4511</v>
      </c>
      <c r="Q872" s="1060">
        <v>0.75</v>
      </c>
      <c r="R872" s="1052"/>
      <c r="S872" s="589"/>
      <c r="T872" s="589"/>
      <c r="U872" s="589"/>
    </row>
    <row r="873" spans="1:21" ht="15" thickBot="1" x14ac:dyDescent="0.4">
      <c r="A873" s="123"/>
      <c r="B873" s="35"/>
      <c r="C873" s="151"/>
      <c r="D873" s="1687"/>
      <c r="E873" s="1688"/>
      <c r="F873" s="593" t="str">
        <f>IF($G$2=1,R873,"Weiteres Kriterium in der Nutzung")</f>
        <v>Weiteres Kriterium in der Nutzung</v>
      </c>
      <c r="G873" s="153">
        <f t="shared" ref="G873:G875" si="115">IF($H$2=1,S873,IF($H$2=2,T873,U873))</f>
        <v>0</v>
      </c>
      <c r="H873" s="154"/>
      <c r="I873" s="158"/>
      <c r="J873" s="156"/>
      <c r="K873" s="157">
        <f t="shared" si="106"/>
        <v>100</v>
      </c>
      <c r="L873" s="157">
        <f t="shared" si="107"/>
        <v>200</v>
      </c>
      <c r="M873" s="157">
        <f t="shared" si="108"/>
        <v>300</v>
      </c>
      <c r="N873" s="157">
        <f t="shared" si="109"/>
        <v>400</v>
      </c>
      <c r="O873" s="1051" t="str">
        <f>CONCATENATE(O868," | ",F873)</f>
        <v>C.3.3 Mischnutzung | Weiteres Kriterium in der Nutzung</v>
      </c>
      <c r="P873" s="1061" t="s">
        <v>4512</v>
      </c>
      <c r="Q873" s="1062">
        <v>1</v>
      </c>
      <c r="R873" s="1052" t="s">
        <v>5508</v>
      </c>
      <c r="S873" s="588">
        <v>0.33</v>
      </c>
      <c r="T873" s="588">
        <v>0.1</v>
      </c>
      <c r="U873" s="588">
        <v>0</v>
      </c>
    </row>
    <row r="874" spans="1:21" x14ac:dyDescent="0.35">
      <c r="A874" s="123">
        <v>3.2</v>
      </c>
      <c r="B874" s="35"/>
      <c r="C874" s="151"/>
      <c r="D874" s="1687"/>
      <c r="E874" s="1688"/>
      <c r="F874" s="593" t="str">
        <f>IF($G$2=1,R874,"Weiteres Kriterium in der Nutzung")</f>
        <v>Weiteres Kriterium in der Nutzung</v>
      </c>
      <c r="G874" s="153">
        <f t="shared" si="115"/>
        <v>0</v>
      </c>
      <c r="H874" s="154"/>
      <c r="I874" s="158"/>
      <c r="J874" s="156"/>
      <c r="K874" s="157">
        <f t="shared" si="106"/>
        <v>100</v>
      </c>
      <c r="L874" s="157">
        <f t="shared" si="107"/>
        <v>200</v>
      </c>
      <c r="M874" s="157">
        <f t="shared" si="108"/>
        <v>300</v>
      </c>
      <c r="N874" s="157">
        <f t="shared" si="109"/>
        <v>400</v>
      </c>
      <c r="O874" s="967" t="str">
        <f>CONCATENATE(O868," | ",F874)</f>
        <v>C.3.3 Mischnutzung | Weiteres Kriterium in der Nutzung</v>
      </c>
      <c r="P874" s="1055"/>
      <c r="Q874" s="1064"/>
      <c r="R874" s="968" t="s">
        <v>5330</v>
      </c>
      <c r="S874" s="588">
        <v>0.33</v>
      </c>
      <c r="T874" s="588">
        <v>0.1</v>
      </c>
      <c r="U874" s="588">
        <v>0</v>
      </c>
    </row>
    <row r="875" spans="1:21" x14ac:dyDescent="0.35">
      <c r="A875" s="123"/>
      <c r="B875" s="35"/>
      <c r="C875" s="151"/>
      <c r="D875" s="1687"/>
      <c r="E875" s="1688"/>
      <c r="F875" s="593" t="str">
        <f>IF($G$2=1,R875,"Weiteres Kriterium in der Nutzung")</f>
        <v>Weiteres Kriterium in der Nutzung</v>
      </c>
      <c r="G875" s="153">
        <f t="shared" si="115"/>
        <v>0</v>
      </c>
      <c r="H875" s="154"/>
      <c r="I875" s="158"/>
      <c r="J875" s="156"/>
      <c r="K875" s="157">
        <f t="shared" si="106"/>
        <v>100</v>
      </c>
      <c r="L875" s="157">
        <f t="shared" si="107"/>
        <v>200</v>
      </c>
      <c r="M875" s="157">
        <f t="shared" si="108"/>
        <v>300</v>
      </c>
      <c r="N875" s="157">
        <f t="shared" si="109"/>
        <v>400</v>
      </c>
      <c r="O875" s="967" t="str">
        <f>CONCATENATE(O868," | ",F875)</f>
        <v>C.3.3 Mischnutzung | Weiteres Kriterium in der Nutzung</v>
      </c>
      <c r="P875" s="967"/>
      <c r="Q875" s="586"/>
      <c r="R875" s="968" t="s">
        <v>5331</v>
      </c>
      <c r="S875" s="588">
        <v>0.34</v>
      </c>
      <c r="T875" s="588">
        <v>0.1</v>
      </c>
      <c r="U875" s="588">
        <v>0</v>
      </c>
    </row>
    <row r="876" spans="1:21" x14ac:dyDescent="0.35">
      <c r="A876" s="116"/>
      <c r="B876" s="35"/>
      <c r="C876" s="117"/>
      <c r="D876" s="1687"/>
      <c r="E876" s="1688"/>
      <c r="F876" s="159"/>
      <c r="G876" s="160"/>
      <c r="H876" s="161"/>
      <c r="I876" s="162"/>
      <c r="J876" s="164"/>
      <c r="K876" s="157">
        <f t="shared" ref="K876:K939" si="116">IF($J876=$K$41,K875+1,K875+0)</f>
        <v>100</v>
      </c>
      <c r="L876" s="157">
        <f t="shared" ref="L876:L939" si="117">IF($J876=$L$41,L875+1,L875+0)</f>
        <v>200</v>
      </c>
      <c r="M876" s="157">
        <f t="shared" ref="M876:M939" si="118">IF($J876=$M$41,M875+1,M875+0)</f>
        <v>300</v>
      </c>
      <c r="N876" s="157">
        <f t="shared" ref="N876:N939" si="119">IF($J876=$N$41,N875+1,N875+0)</f>
        <v>400</v>
      </c>
      <c r="O876" s="959"/>
      <c r="P876" s="967"/>
      <c r="Q876" s="586"/>
      <c r="R876" s="968"/>
      <c r="S876" s="589"/>
      <c r="T876" s="589"/>
      <c r="U876" s="589"/>
    </row>
    <row r="877" spans="1:21" x14ac:dyDescent="0.35">
      <c r="A877" s="116"/>
      <c r="B877" s="35"/>
      <c r="C877" s="117"/>
      <c r="D877" s="1687"/>
      <c r="E877" s="1688"/>
      <c r="F877" s="159"/>
      <c r="G877" s="160"/>
      <c r="H877" s="161"/>
      <c r="I877" s="162"/>
      <c r="J877" s="164"/>
      <c r="K877" s="157">
        <f t="shared" si="116"/>
        <v>100</v>
      </c>
      <c r="L877" s="157">
        <f t="shared" si="117"/>
        <v>200</v>
      </c>
      <c r="M877" s="157">
        <f t="shared" si="118"/>
        <v>300</v>
      </c>
      <c r="N877" s="157">
        <f t="shared" si="119"/>
        <v>400</v>
      </c>
      <c r="O877" s="959"/>
      <c r="P877" s="967"/>
      <c r="Q877" s="586"/>
      <c r="R877" s="968"/>
      <c r="S877" s="589"/>
      <c r="T877" s="589"/>
      <c r="U877" s="589"/>
    </row>
    <row r="878" spans="1:21" x14ac:dyDescent="0.35">
      <c r="A878" s="116"/>
      <c r="B878" s="35"/>
      <c r="C878" s="117"/>
      <c r="D878" s="1687"/>
      <c r="E878" s="1688"/>
      <c r="F878" s="159"/>
      <c r="G878" s="160"/>
      <c r="H878" s="161"/>
      <c r="I878" s="162"/>
      <c r="J878" s="164"/>
      <c r="K878" s="157">
        <f t="shared" si="116"/>
        <v>100</v>
      </c>
      <c r="L878" s="157">
        <f t="shared" si="117"/>
        <v>200</v>
      </c>
      <c r="M878" s="157">
        <f t="shared" si="118"/>
        <v>300</v>
      </c>
      <c r="N878" s="157">
        <f t="shared" si="119"/>
        <v>400</v>
      </c>
      <c r="O878" s="959"/>
      <c r="P878" s="967"/>
      <c r="Q878" s="586"/>
      <c r="R878" s="968"/>
      <c r="S878" s="589"/>
      <c r="T878" s="589"/>
      <c r="U878" s="589"/>
    </row>
    <row r="879" spans="1:21" x14ac:dyDescent="0.35">
      <c r="A879" s="123"/>
      <c r="B879" s="35"/>
      <c r="C879" s="151"/>
      <c r="D879" s="1687"/>
      <c r="E879" s="1688"/>
      <c r="F879" s="165"/>
      <c r="G879" s="160"/>
      <c r="H879" s="161"/>
      <c r="I879" s="166"/>
      <c r="J879" s="167"/>
      <c r="K879" s="157">
        <f t="shared" si="116"/>
        <v>100</v>
      </c>
      <c r="L879" s="157">
        <f t="shared" si="117"/>
        <v>200</v>
      </c>
      <c r="M879" s="157">
        <f t="shared" si="118"/>
        <v>300</v>
      </c>
      <c r="N879" s="157">
        <f t="shared" si="119"/>
        <v>400</v>
      </c>
      <c r="O879" s="959"/>
      <c r="P879" s="967"/>
      <c r="Q879" s="586"/>
      <c r="R879" s="968"/>
      <c r="S879" s="589"/>
      <c r="T879" s="589"/>
      <c r="U879" s="589"/>
    </row>
    <row r="880" spans="1:21" x14ac:dyDescent="0.35">
      <c r="A880" s="116"/>
      <c r="B880" s="35"/>
      <c r="C880" s="117"/>
      <c r="D880" s="1687"/>
      <c r="E880" s="1688"/>
      <c r="F880" s="159"/>
      <c r="G880" s="160"/>
      <c r="H880" s="168"/>
      <c r="I880" s="162"/>
      <c r="J880" s="164"/>
      <c r="K880" s="157">
        <f t="shared" si="116"/>
        <v>100</v>
      </c>
      <c r="L880" s="157">
        <f t="shared" si="117"/>
        <v>200</v>
      </c>
      <c r="M880" s="157">
        <f t="shared" si="118"/>
        <v>300</v>
      </c>
      <c r="N880" s="157">
        <f t="shared" si="119"/>
        <v>400</v>
      </c>
      <c r="O880" s="959"/>
      <c r="P880" s="967"/>
      <c r="Q880" s="586"/>
      <c r="R880" s="968"/>
      <c r="S880" s="589"/>
      <c r="T880" s="589"/>
      <c r="U880" s="589"/>
    </row>
    <row r="881" spans="1:21" x14ac:dyDescent="0.35">
      <c r="A881" s="116"/>
      <c r="B881" s="117"/>
      <c r="C881" s="117"/>
      <c r="D881" s="1687"/>
      <c r="E881" s="1688"/>
      <c r="F881" s="159"/>
      <c r="G881" s="160"/>
      <c r="H881" s="168"/>
      <c r="I881" s="162"/>
      <c r="J881" s="164"/>
      <c r="K881" s="157">
        <f t="shared" si="116"/>
        <v>100</v>
      </c>
      <c r="L881" s="157">
        <f t="shared" si="117"/>
        <v>200</v>
      </c>
      <c r="M881" s="157">
        <f t="shared" si="118"/>
        <v>300</v>
      </c>
      <c r="N881" s="157">
        <f t="shared" si="119"/>
        <v>400</v>
      </c>
      <c r="O881" s="959"/>
      <c r="P881" s="967"/>
      <c r="Q881" s="586"/>
      <c r="R881" s="968"/>
      <c r="S881" s="589"/>
      <c r="T881" s="589"/>
      <c r="U881" s="589"/>
    </row>
    <row r="882" spans="1:21" x14ac:dyDescent="0.35">
      <c r="A882" s="116"/>
      <c r="B882" s="117"/>
      <c r="C882" s="117"/>
      <c r="D882" s="1687"/>
      <c r="E882" s="1688"/>
      <c r="F882" s="169"/>
      <c r="G882" s="170"/>
      <c r="H882" s="171"/>
      <c r="I882" s="172"/>
      <c r="J882" s="173"/>
      <c r="K882" s="157">
        <f t="shared" si="116"/>
        <v>100</v>
      </c>
      <c r="L882" s="157">
        <f t="shared" si="117"/>
        <v>200</v>
      </c>
      <c r="M882" s="157">
        <f t="shared" si="118"/>
        <v>300</v>
      </c>
      <c r="N882" s="157">
        <f t="shared" si="119"/>
        <v>400</v>
      </c>
      <c r="O882" s="959"/>
      <c r="P882" s="967"/>
      <c r="Q882" s="586"/>
      <c r="R882" s="968"/>
      <c r="S882" s="589"/>
      <c r="T882" s="589"/>
      <c r="U882" s="589"/>
    </row>
    <row r="883" spans="1:21" ht="28.5" customHeight="1" x14ac:dyDescent="0.35">
      <c r="A883" s="116"/>
      <c r="B883" s="117"/>
      <c r="C883" s="117"/>
      <c r="D883" s="174"/>
      <c r="E883" s="175"/>
      <c r="F883" s="1689" t="s">
        <v>2</v>
      </c>
      <c r="G883" s="1689"/>
      <c r="H883" s="176">
        <f>IF(O883&gt;1,"Zielerreichung übersteigt 100%!",O883)</f>
        <v>0</v>
      </c>
      <c r="I883" s="177"/>
      <c r="J883" s="178"/>
      <c r="K883" s="157">
        <f t="shared" si="116"/>
        <v>100</v>
      </c>
      <c r="L883" s="157">
        <f t="shared" si="117"/>
        <v>200</v>
      </c>
      <c r="M883" s="157">
        <f t="shared" si="118"/>
        <v>300</v>
      </c>
      <c r="N883" s="157">
        <f t="shared" si="119"/>
        <v>400</v>
      </c>
      <c r="O883" s="959">
        <f>SUM(H871:H882)</f>
        <v>0</v>
      </c>
      <c r="P883" s="967"/>
      <c r="Q883" s="586"/>
      <c r="R883" s="968"/>
      <c r="S883" s="589"/>
      <c r="T883" s="589"/>
      <c r="U883" s="589"/>
    </row>
    <row r="884" spans="1:21" x14ac:dyDescent="0.35">
      <c r="A884" s="116"/>
      <c r="B884" s="117"/>
      <c r="C884" s="117"/>
      <c r="D884" s="179"/>
      <c r="E884" s="180"/>
      <c r="F884" s="1690" t="s">
        <v>3</v>
      </c>
      <c r="G884" s="1691"/>
      <c r="H884" s="181">
        <v>8</v>
      </c>
      <c r="I884" s="177"/>
      <c r="J884" s="178"/>
      <c r="K884" s="157">
        <f t="shared" si="116"/>
        <v>100</v>
      </c>
      <c r="L884" s="157">
        <f t="shared" si="117"/>
        <v>200</v>
      </c>
      <c r="M884" s="157">
        <f t="shared" si="118"/>
        <v>300</v>
      </c>
      <c r="N884" s="157">
        <f t="shared" si="119"/>
        <v>400</v>
      </c>
      <c r="O884" s="1030"/>
      <c r="P884" s="967"/>
      <c r="Q884" s="586"/>
      <c r="R884" s="968"/>
      <c r="S884" s="589"/>
      <c r="T884" s="589"/>
      <c r="U884" s="589"/>
    </row>
    <row r="885" spans="1:21" x14ac:dyDescent="0.35">
      <c r="A885" s="116"/>
      <c r="B885" s="117"/>
      <c r="C885" s="117"/>
      <c r="D885" s="179"/>
      <c r="E885" s="180"/>
      <c r="F885" s="1700" t="s">
        <v>5494</v>
      </c>
      <c r="G885" s="1701"/>
      <c r="H885" s="1084" t="str">
        <f>IF($H$2=1,16,"")</f>
        <v/>
      </c>
      <c r="I885" s="183"/>
      <c r="J885" s="178"/>
      <c r="K885" s="157">
        <f t="shared" si="116"/>
        <v>100</v>
      </c>
      <c r="L885" s="157">
        <f t="shared" si="117"/>
        <v>200</v>
      </c>
      <c r="M885" s="157">
        <f t="shared" si="118"/>
        <v>300</v>
      </c>
      <c r="N885" s="157">
        <f t="shared" si="119"/>
        <v>400</v>
      </c>
      <c r="O885" s="1030"/>
      <c r="P885" s="967"/>
      <c r="Q885" s="586"/>
      <c r="R885" s="968"/>
      <c r="S885" s="589"/>
      <c r="T885" s="589"/>
      <c r="U885" s="589"/>
    </row>
    <row r="886" spans="1:21" x14ac:dyDescent="0.35">
      <c r="A886" s="184"/>
      <c r="B886" s="185"/>
      <c r="C886" s="185"/>
      <c r="D886" s="179"/>
      <c r="E886" s="180"/>
      <c r="F886" s="186"/>
      <c r="G886" s="186"/>
      <c r="H886" s="187"/>
      <c r="I886" s="177"/>
      <c r="J886" s="178"/>
      <c r="K886" s="157">
        <f t="shared" si="116"/>
        <v>100</v>
      </c>
      <c r="L886" s="157">
        <f t="shared" si="117"/>
        <v>200</v>
      </c>
      <c r="M886" s="157">
        <f t="shared" si="118"/>
        <v>300</v>
      </c>
      <c r="N886" s="157">
        <f t="shared" si="119"/>
        <v>400</v>
      </c>
      <c r="O886" s="1030"/>
      <c r="P886" s="967"/>
      <c r="Q886" s="586"/>
      <c r="R886" s="968"/>
      <c r="S886" s="589"/>
      <c r="T886" s="589"/>
      <c r="U886" s="589"/>
    </row>
    <row r="887" spans="1:21" ht="15.5" x14ac:dyDescent="0.35">
      <c r="A887" s="116"/>
      <c r="B887" s="117"/>
      <c r="C887" s="1702"/>
      <c r="D887" s="1703"/>
      <c r="E887" s="234"/>
      <c r="F887" s="1704" t="s">
        <v>5</v>
      </c>
      <c r="G887" s="1704"/>
      <c r="H887" s="235">
        <f>IF(ISNUMBER(H885),H885*H883,H884*H883)</f>
        <v>0</v>
      </c>
      <c r="I887" s="236"/>
      <c r="J887" s="237"/>
      <c r="K887" s="157">
        <f t="shared" si="116"/>
        <v>100</v>
      </c>
      <c r="L887" s="157">
        <f t="shared" si="117"/>
        <v>200</v>
      </c>
      <c r="M887" s="157">
        <f t="shared" si="118"/>
        <v>300</v>
      </c>
      <c r="N887" s="157">
        <f t="shared" si="119"/>
        <v>400</v>
      </c>
      <c r="O887" s="1030"/>
      <c r="P887" s="967"/>
      <c r="Q887" s="586"/>
      <c r="R887" s="968"/>
      <c r="S887" s="589"/>
      <c r="T887" s="589"/>
      <c r="U887" s="589"/>
    </row>
    <row r="888" spans="1:21" x14ac:dyDescent="0.35">
      <c r="B888" s="185"/>
      <c r="K888" s="157">
        <f t="shared" si="116"/>
        <v>100</v>
      </c>
      <c r="L888" s="157">
        <f t="shared" si="117"/>
        <v>200</v>
      </c>
      <c r="M888" s="157">
        <f t="shared" si="118"/>
        <v>300</v>
      </c>
      <c r="N888" s="157">
        <f t="shared" si="119"/>
        <v>400</v>
      </c>
      <c r="O888" s="967"/>
      <c r="P888" s="967"/>
      <c r="Q888" s="586"/>
      <c r="R888" s="968"/>
      <c r="S888" s="589"/>
      <c r="T888" s="589"/>
      <c r="U888" s="589"/>
    </row>
    <row r="889" spans="1:21" ht="7.5" customHeight="1" x14ac:dyDescent="0.35">
      <c r="A889" s="116"/>
      <c r="B889" s="117"/>
      <c r="C889" s="117"/>
      <c r="D889" s="116"/>
      <c r="E889" s="116"/>
      <c r="F889" s="118"/>
      <c r="G889" s="119"/>
      <c r="H889" s="116"/>
      <c r="I889" s="120"/>
      <c r="J889" s="121"/>
      <c r="K889" s="157">
        <f t="shared" si="116"/>
        <v>100</v>
      </c>
      <c r="L889" s="157">
        <f t="shared" si="117"/>
        <v>200</v>
      </c>
      <c r="M889" s="157">
        <f t="shared" si="118"/>
        <v>300</v>
      </c>
      <c r="N889" s="157">
        <f t="shared" si="119"/>
        <v>400</v>
      </c>
      <c r="O889" s="968"/>
      <c r="P889" s="968"/>
      <c r="Q889" s="586"/>
      <c r="R889" s="968"/>
      <c r="S889" s="589"/>
      <c r="T889" s="589"/>
      <c r="U889" s="589"/>
    </row>
    <row r="890" spans="1:21" ht="15.5" x14ac:dyDescent="0.35">
      <c r="A890" s="124"/>
      <c r="B890" s="125"/>
      <c r="C890" s="126" t="s">
        <v>4802</v>
      </c>
      <c r="D890" s="127" t="s">
        <v>5441</v>
      </c>
      <c r="E890" s="128"/>
      <c r="F890" s="129" t="str">
        <f>IF($F$3=1,O890,"")</f>
        <v>C.3.4 Wirkung auf Umfeld</v>
      </c>
      <c r="G890" s="204"/>
      <c r="H890" s="205"/>
      <c r="I890" s="520" t="s">
        <v>23</v>
      </c>
      <c r="J890" s="130"/>
      <c r="K890" s="157">
        <f t="shared" si="116"/>
        <v>100</v>
      </c>
      <c r="L890" s="157">
        <f t="shared" si="117"/>
        <v>200</v>
      </c>
      <c r="M890" s="157">
        <f t="shared" si="118"/>
        <v>300</v>
      </c>
      <c r="N890" s="157">
        <f t="shared" si="119"/>
        <v>400</v>
      </c>
      <c r="O890" s="967" t="str">
        <f>CONCATENATE(C890," ",D890)</f>
        <v>C.3.4 Wirkung auf Umfeld</v>
      </c>
      <c r="P890" s="966"/>
      <c r="Q890" s="586"/>
      <c r="R890" s="968"/>
      <c r="S890" s="589"/>
      <c r="T890" s="589"/>
      <c r="U890" s="589"/>
    </row>
    <row r="891" spans="1:21" x14ac:dyDescent="0.35">
      <c r="A891" s="124"/>
      <c r="B891" s="134"/>
      <c r="C891" s="135"/>
      <c r="D891" s="136"/>
      <c r="E891" s="136"/>
      <c r="F891" s="137"/>
      <c r="G891" s="138"/>
      <c r="H891" s="124"/>
      <c r="I891" s="139"/>
      <c r="J891" s="140"/>
      <c r="K891" s="157">
        <f t="shared" si="116"/>
        <v>100</v>
      </c>
      <c r="L891" s="157">
        <f t="shared" si="117"/>
        <v>200</v>
      </c>
      <c r="M891" s="157">
        <f t="shared" si="118"/>
        <v>300</v>
      </c>
      <c r="N891" s="157">
        <f t="shared" si="119"/>
        <v>400</v>
      </c>
      <c r="O891" s="968"/>
      <c r="P891" s="966"/>
      <c r="Q891" s="586"/>
      <c r="R891" s="968"/>
      <c r="S891" s="589"/>
      <c r="T891" s="589"/>
      <c r="U891" s="589"/>
    </row>
    <row r="892" spans="1:21" x14ac:dyDescent="0.35">
      <c r="A892" s="142"/>
      <c r="B892" s="35"/>
      <c r="C892" s="143"/>
      <c r="D892" s="1685" t="s">
        <v>18</v>
      </c>
      <c r="E892" s="1686"/>
      <c r="F892" s="144" t="s">
        <v>19</v>
      </c>
      <c r="G892" s="145" t="s">
        <v>0</v>
      </c>
      <c r="H892" s="146" t="s">
        <v>20</v>
      </c>
      <c r="I892" s="147" t="s">
        <v>1</v>
      </c>
      <c r="J892" s="147" t="s">
        <v>4375</v>
      </c>
      <c r="K892" s="157">
        <f t="shared" si="116"/>
        <v>100</v>
      </c>
      <c r="L892" s="157">
        <f t="shared" si="117"/>
        <v>200</v>
      </c>
      <c r="M892" s="157">
        <f t="shared" si="118"/>
        <v>300</v>
      </c>
      <c r="N892" s="157">
        <f t="shared" si="119"/>
        <v>400</v>
      </c>
      <c r="O892" s="587"/>
      <c r="P892" s="967"/>
      <c r="Q892" s="586"/>
      <c r="R892" s="968"/>
      <c r="S892" s="589"/>
      <c r="T892" s="589"/>
      <c r="U892" s="589"/>
    </row>
    <row r="893" spans="1:21" ht="24" x14ac:dyDescent="0.35">
      <c r="A893" s="123"/>
      <c r="B893" s="35"/>
      <c r="C893" s="151"/>
      <c r="D893" s="1687" t="s">
        <v>4677</v>
      </c>
      <c r="E893" s="1688"/>
      <c r="F893" s="152" t="s">
        <v>4720</v>
      </c>
      <c r="G893" s="153">
        <f t="shared" ref="G893:G895" si="120">IF($H$2=1,S893,IF($H$2=2,T893,U893))</f>
        <v>0.33</v>
      </c>
      <c r="H893" s="154"/>
      <c r="I893" s="155"/>
      <c r="J893" s="156"/>
      <c r="K893" s="157">
        <f t="shared" si="116"/>
        <v>100</v>
      </c>
      <c r="L893" s="157">
        <f t="shared" si="117"/>
        <v>200</v>
      </c>
      <c r="M893" s="157">
        <f t="shared" si="118"/>
        <v>300</v>
      </c>
      <c r="N893" s="157">
        <f t="shared" si="119"/>
        <v>400</v>
      </c>
      <c r="O893" s="967" t="str">
        <f>CONCATENATE(O890," | ",F893)</f>
        <v>C.3.4 Wirkung auf Umfeld | Die Gebäudenutzungen sind mit dem Umfeld abgestimmt</v>
      </c>
      <c r="P893" s="967"/>
      <c r="Q893" s="586"/>
      <c r="R893" s="968"/>
      <c r="S893" s="588">
        <v>0</v>
      </c>
      <c r="T893" s="588">
        <v>0.33</v>
      </c>
      <c r="U893" s="588">
        <v>0.33</v>
      </c>
    </row>
    <row r="894" spans="1:21" ht="36" x14ac:dyDescent="0.35">
      <c r="A894" s="123"/>
      <c r="B894" s="35"/>
      <c r="C894" s="151"/>
      <c r="D894" s="1687"/>
      <c r="E894" s="1688"/>
      <c r="F894" s="152" t="s">
        <v>4721</v>
      </c>
      <c r="G894" s="153">
        <f t="shared" si="120"/>
        <v>0.33</v>
      </c>
      <c r="H894" s="154"/>
      <c r="I894" s="158"/>
      <c r="J894" s="156"/>
      <c r="K894" s="157">
        <f t="shared" si="116"/>
        <v>100</v>
      </c>
      <c r="L894" s="157">
        <f t="shared" si="117"/>
        <v>200</v>
      </c>
      <c r="M894" s="157">
        <f t="shared" si="118"/>
        <v>300</v>
      </c>
      <c r="N894" s="157">
        <f t="shared" si="119"/>
        <v>400</v>
      </c>
      <c r="O894" s="967" t="str">
        <f>CONCATENATE(O890," | ",F894)</f>
        <v>C.3.4 Wirkung auf Umfeld | Die vorgesehenen Nebennutzungen des Areals decken die lokalen Bedürfnisse der Hauptnutzungen des Umfelds mit ab (z.B. Lebensmittelnahversorgung, etc.)</v>
      </c>
      <c r="P894" s="967"/>
      <c r="Q894" s="586"/>
      <c r="R894" s="968"/>
      <c r="S894" s="588">
        <v>0</v>
      </c>
      <c r="T894" s="588">
        <v>0.33</v>
      </c>
      <c r="U894" s="588">
        <v>0.33</v>
      </c>
    </row>
    <row r="895" spans="1:21" ht="24" x14ac:dyDescent="0.35">
      <c r="A895" s="123"/>
      <c r="B895" s="35"/>
      <c r="C895" s="151"/>
      <c r="D895" s="1687"/>
      <c r="E895" s="1688"/>
      <c r="F895" s="152" t="s">
        <v>4722</v>
      </c>
      <c r="G895" s="153">
        <f t="shared" si="120"/>
        <v>0.34</v>
      </c>
      <c r="H895" s="154"/>
      <c r="I895" s="155"/>
      <c r="J895" s="156"/>
      <c r="K895" s="157">
        <f t="shared" si="116"/>
        <v>100</v>
      </c>
      <c r="L895" s="157">
        <f t="shared" si="117"/>
        <v>200</v>
      </c>
      <c r="M895" s="157">
        <f t="shared" si="118"/>
        <v>300</v>
      </c>
      <c r="N895" s="157">
        <f t="shared" si="119"/>
        <v>400</v>
      </c>
      <c r="O895" s="967" t="str">
        <f>CONCATENATE(O890," | ",F895)</f>
        <v>C.3.4 Wirkung auf Umfeld | Gegenseitige Synergiepotentiale sind erkannt und werden bei der Umsetzung berücksichtigt</v>
      </c>
      <c r="P895" s="967"/>
      <c r="Q895" s="586"/>
      <c r="R895" s="968"/>
      <c r="S895" s="588">
        <v>0</v>
      </c>
      <c r="T895" s="588">
        <v>0.34</v>
      </c>
      <c r="U895" s="588">
        <v>0.34</v>
      </c>
    </row>
    <row r="896" spans="1:21" x14ac:dyDescent="0.35">
      <c r="A896" s="123">
        <v>3.2</v>
      </c>
      <c r="B896" s="35"/>
      <c r="C896" s="151"/>
      <c r="D896" s="1687"/>
      <c r="E896" s="1688"/>
      <c r="F896" s="159"/>
      <c r="G896" s="160"/>
      <c r="H896" s="161"/>
      <c r="I896" s="166"/>
      <c r="J896" s="164"/>
      <c r="K896" s="157">
        <f t="shared" si="116"/>
        <v>100</v>
      </c>
      <c r="L896" s="157">
        <f t="shared" si="117"/>
        <v>200</v>
      </c>
      <c r="M896" s="157">
        <f t="shared" si="118"/>
        <v>300</v>
      </c>
      <c r="N896" s="157">
        <f t="shared" si="119"/>
        <v>400</v>
      </c>
      <c r="O896" s="967"/>
      <c r="P896" s="967"/>
      <c r="Q896" s="586"/>
      <c r="R896" s="968"/>
      <c r="S896" s="589"/>
      <c r="T896" s="589"/>
      <c r="U896" s="589"/>
    </row>
    <row r="897" spans="1:21" x14ac:dyDescent="0.35">
      <c r="A897" s="123"/>
      <c r="B897" s="35"/>
      <c r="C897" s="151"/>
      <c r="D897" s="1687"/>
      <c r="E897" s="1688"/>
      <c r="F897" s="159"/>
      <c r="G897" s="160"/>
      <c r="H897" s="161"/>
      <c r="I897" s="166"/>
      <c r="J897" s="164"/>
      <c r="K897" s="157">
        <f t="shared" si="116"/>
        <v>100</v>
      </c>
      <c r="L897" s="157">
        <f t="shared" si="117"/>
        <v>200</v>
      </c>
      <c r="M897" s="157">
        <f t="shared" si="118"/>
        <v>300</v>
      </c>
      <c r="N897" s="157">
        <f t="shared" si="119"/>
        <v>400</v>
      </c>
      <c r="O897" s="967"/>
      <c r="P897" s="967"/>
      <c r="Q897" s="586"/>
      <c r="R897" s="968"/>
      <c r="S897" s="589"/>
      <c r="T897" s="589"/>
      <c r="U897" s="589"/>
    </row>
    <row r="898" spans="1:21" x14ac:dyDescent="0.35">
      <c r="A898" s="116"/>
      <c r="B898" s="35"/>
      <c r="C898" s="117"/>
      <c r="D898" s="1687"/>
      <c r="E898" s="1688"/>
      <c r="F898" s="159"/>
      <c r="G898" s="160"/>
      <c r="H898" s="161"/>
      <c r="I898" s="162"/>
      <c r="J898" s="164"/>
      <c r="K898" s="157">
        <f t="shared" si="116"/>
        <v>100</v>
      </c>
      <c r="L898" s="157">
        <f t="shared" si="117"/>
        <v>200</v>
      </c>
      <c r="M898" s="157">
        <f t="shared" si="118"/>
        <v>300</v>
      </c>
      <c r="N898" s="157">
        <f t="shared" si="119"/>
        <v>400</v>
      </c>
      <c r="O898" s="959"/>
      <c r="P898" s="967"/>
      <c r="Q898" s="586"/>
      <c r="R898" s="968"/>
      <c r="S898" s="589"/>
      <c r="T898" s="589"/>
      <c r="U898" s="589"/>
    </row>
    <row r="899" spans="1:21" x14ac:dyDescent="0.35">
      <c r="A899" s="116"/>
      <c r="B899" s="35"/>
      <c r="C899" s="117"/>
      <c r="D899" s="1687"/>
      <c r="E899" s="1688"/>
      <c r="F899" s="159"/>
      <c r="G899" s="160"/>
      <c r="H899" s="161"/>
      <c r="I899" s="162"/>
      <c r="J899" s="164"/>
      <c r="K899" s="157">
        <f t="shared" si="116"/>
        <v>100</v>
      </c>
      <c r="L899" s="157">
        <f t="shared" si="117"/>
        <v>200</v>
      </c>
      <c r="M899" s="157">
        <f t="shared" si="118"/>
        <v>300</v>
      </c>
      <c r="N899" s="157">
        <f t="shared" si="119"/>
        <v>400</v>
      </c>
      <c r="O899" s="959"/>
      <c r="P899" s="967"/>
      <c r="Q899" s="586"/>
      <c r="R899" s="968"/>
      <c r="S899" s="589"/>
      <c r="T899" s="589"/>
      <c r="U899" s="589"/>
    </row>
    <row r="900" spans="1:21" x14ac:dyDescent="0.35">
      <c r="A900" s="116"/>
      <c r="B900" s="35"/>
      <c r="C900" s="117"/>
      <c r="D900" s="1687"/>
      <c r="E900" s="1688"/>
      <c r="F900" s="159"/>
      <c r="G900" s="160"/>
      <c r="H900" s="161"/>
      <c r="I900" s="162"/>
      <c r="J900" s="164"/>
      <c r="K900" s="157">
        <f t="shared" si="116"/>
        <v>100</v>
      </c>
      <c r="L900" s="157">
        <f t="shared" si="117"/>
        <v>200</v>
      </c>
      <c r="M900" s="157">
        <f t="shared" si="118"/>
        <v>300</v>
      </c>
      <c r="N900" s="157">
        <f t="shared" si="119"/>
        <v>400</v>
      </c>
      <c r="O900" s="959"/>
      <c r="P900" s="967"/>
      <c r="Q900" s="586"/>
      <c r="R900" s="968"/>
      <c r="S900" s="589"/>
      <c r="T900" s="589"/>
      <c r="U900" s="589"/>
    </row>
    <row r="901" spans="1:21" x14ac:dyDescent="0.35">
      <c r="A901" s="123"/>
      <c r="B901" s="35"/>
      <c r="C901" s="151"/>
      <c r="D901" s="1687"/>
      <c r="E901" s="1688"/>
      <c r="F901" s="165"/>
      <c r="G901" s="160"/>
      <c r="H901" s="161"/>
      <c r="I901" s="166"/>
      <c r="J901" s="167"/>
      <c r="K901" s="157">
        <f t="shared" si="116"/>
        <v>100</v>
      </c>
      <c r="L901" s="157">
        <f t="shared" si="117"/>
        <v>200</v>
      </c>
      <c r="M901" s="157">
        <f t="shared" si="118"/>
        <v>300</v>
      </c>
      <c r="N901" s="157">
        <f t="shared" si="119"/>
        <v>400</v>
      </c>
      <c r="O901" s="959"/>
      <c r="P901" s="967"/>
      <c r="Q901" s="586"/>
      <c r="R901" s="968"/>
      <c r="S901" s="589"/>
      <c r="T901" s="589"/>
      <c r="U901" s="589"/>
    </row>
    <row r="902" spans="1:21" x14ac:dyDescent="0.35">
      <c r="A902" s="116"/>
      <c r="B902" s="35"/>
      <c r="C902" s="117"/>
      <c r="D902" s="1687"/>
      <c r="E902" s="1688"/>
      <c r="F902" s="159"/>
      <c r="G902" s="160"/>
      <c r="H902" s="168"/>
      <c r="I902" s="162"/>
      <c r="J902" s="164"/>
      <c r="K902" s="157">
        <f t="shared" si="116"/>
        <v>100</v>
      </c>
      <c r="L902" s="157">
        <f t="shared" si="117"/>
        <v>200</v>
      </c>
      <c r="M902" s="157">
        <f t="shared" si="118"/>
        <v>300</v>
      </c>
      <c r="N902" s="157">
        <f t="shared" si="119"/>
        <v>400</v>
      </c>
      <c r="O902" s="959"/>
      <c r="P902" s="967"/>
      <c r="Q902" s="586"/>
      <c r="R902" s="968"/>
      <c r="S902" s="589"/>
      <c r="T902" s="589"/>
      <c r="U902" s="589"/>
    </row>
    <row r="903" spans="1:21" x14ac:dyDescent="0.35">
      <c r="A903" s="116"/>
      <c r="B903" s="117"/>
      <c r="C903" s="117"/>
      <c r="D903" s="1687"/>
      <c r="E903" s="1688"/>
      <c r="F903" s="159"/>
      <c r="G903" s="160"/>
      <c r="H903" s="168"/>
      <c r="I903" s="162"/>
      <c r="J903" s="164"/>
      <c r="K903" s="157">
        <f t="shared" si="116"/>
        <v>100</v>
      </c>
      <c r="L903" s="157">
        <f t="shared" si="117"/>
        <v>200</v>
      </c>
      <c r="M903" s="157">
        <f t="shared" si="118"/>
        <v>300</v>
      </c>
      <c r="N903" s="157">
        <f t="shared" si="119"/>
        <v>400</v>
      </c>
      <c r="O903" s="959"/>
      <c r="P903" s="967"/>
      <c r="Q903" s="586"/>
      <c r="R903" s="968"/>
      <c r="S903" s="589"/>
      <c r="T903" s="589"/>
      <c r="U903" s="589"/>
    </row>
    <row r="904" spans="1:21" x14ac:dyDescent="0.35">
      <c r="A904" s="116"/>
      <c r="B904" s="117"/>
      <c r="C904" s="117"/>
      <c r="D904" s="1687"/>
      <c r="E904" s="1688"/>
      <c r="F904" s="169"/>
      <c r="G904" s="170"/>
      <c r="H904" s="171"/>
      <c r="I904" s="172"/>
      <c r="J904" s="173"/>
      <c r="K904" s="157">
        <f t="shared" si="116"/>
        <v>100</v>
      </c>
      <c r="L904" s="157">
        <f t="shared" si="117"/>
        <v>200</v>
      </c>
      <c r="M904" s="157">
        <f t="shared" si="118"/>
        <v>300</v>
      </c>
      <c r="N904" s="157">
        <f t="shared" si="119"/>
        <v>400</v>
      </c>
      <c r="O904" s="959"/>
      <c r="P904" s="967"/>
      <c r="Q904" s="586"/>
      <c r="R904" s="968"/>
      <c r="S904" s="589"/>
      <c r="T904" s="589"/>
      <c r="U904" s="589"/>
    </row>
    <row r="905" spans="1:21" ht="28.5" customHeight="1" x14ac:dyDescent="0.35">
      <c r="A905" s="116"/>
      <c r="B905" s="117"/>
      <c r="C905" s="117"/>
      <c r="D905" s="174"/>
      <c r="E905" s="175"/>
      <c r="F905" s="1689" t="s">
        <v>2</v>
      </c>
      <c r="G905" s="1689"/>
      <c r="H905" s="176">
        <f>IF(O905&gt;1,"Zielerreichung übersteigt 100%!",O905)</f>
        <v>0</v>
      </c>
      <c r="I905" s="177"/>
      <c r="J905" s="178"/>
      <c r="K905" s="157">
        <f t="shared" si="116"/>
        <v>100</v>
      </c>
      <c r="L905" s="157">
        <f t="shared" si="117"/>
        <v>200</v>
      </c>
      <c r="M905" s="157">
        <f t="shared" si="118"/>
        <v>300</v>
      </c>
      <c r="N905" s="157">
        <f t="shared" si="119"/>
        <v>400</v>
      </c>
      <c r="O905" s="959">
        <f>SUM(H893:H904)</f>
        <v>0</v>
      </c>
      <c r="P905" s="967"/>
      <c r="Q905" s="586"/>
      <c r="R905" s="968"/>
      <c r="S905" s="589"/>
      <c r="T905" s="589"/>
      <c r="U905" s="589"/>
    </row>
    <row r="906" spans="1:21" x14ac:dyDescent="0.35">
      <c r="A906" s="116"/>
      <c r="B906" s="117"/>
      <c r="C906" s="117"/>
      <c r="D906" s="179"/>
      <c r="E906" s="180"/>
      <c r="F906" s="1690" t="s">
        <v>3</v>
      </c>
      <c r="G906" s="1691"/>
      <c r="H906" s="181">
        <v>8</v>
      </c>
      <c r="I906" s="177"/>
      <c r="J906" s="178"/>
      <c r="K906" s="157">
        <f t="shared" si="116"/>
        <v>100</v>
      </c>
      <c r="L906" s="157">
        <f t="shared" si="117"/>
        <v>200</v>
      </c>
      <c r="M906" s="157">
        <f t="shared" si="118"/>
        <v>300</v>
      </c>
      <c r="N906" s="157">
        <f t="shared" si="119"/>
        <v>400</v>
      </c>
      <c r="O906" s="1030"/>
      <c r="P906" s="967"/>
      <c r="Q906" s="586"/>
      <c r="R906" s="968"/>
      <c r="S906" s="589"/>
      <c r="T906" s="589"/>
      <c r="U906" s="589"/>
    </row>
    <row r="907" spans="1:21" x14ac:dyDescent="0.35">
      <c r="A907" s="116"/>
      <c r="B907" s="117"/>
      <c r="C907" s="117"/>
      <c r="D907" s="179"/>
      <c r="E907" s="180"/>
      <c r="F907" s="1700" t="s">
        <v>5494</v>
      </c>
      <c r="G907" s="1701"/>
      <c r="H907" s="1084" t="str">
        <f>IF($H$2=1,0,"")</f>
        <v/>
      </c>
      <c r="I907" s="183"/>
      <c r="J907" s="178"/>
      <c r="K907" s="157">
        <f t="shared" si="116"/>
        <v>100</v>
      </c>
      <c r="L907" s="157">
        <f t="shared" si="117"/>
        <v>200</v>
      </c>
      <c r="M907" s="157">
        <f t="shared" si="118"/>
        <v>300</v>
      </c>
      <c r="N907" s="157">
        <f t="shared" si="119"/>
        <v>400</v>
      </c>
      <c r="O907" s="1030"/>
      <c r="P907" s="967"/>
      <c r="Q907" s="586"/>
      <c r="R907" s="968"/>
      <c r="S907" s="589"/>
      <c r="T907" s="589"/>
      <c r="U907" s="589"/>
    </row>
    <row r="908" spans="1:21" x14ac:dyDescent="0.35">
      <c r="A908" s="184"/>
      <c r="B908" s="185"/>
      <c r="C908" s="185"/>
      <c r="D908" s="179"/>
      <c r="E908" s="180"/>
      <c r="F908" s="186"/>
      <c r="G908" s="186"/>
      <c r="H908" s="187"/>
      <c r="I908" s="177"/>
      <c r="J908" s="178"/>
      <c r="K908" s="157">
        <f t="shared" si="116"/>
        <v>100</v>
      </c>
      <c r="L908" s="157">
        <f t="shared" si="117"/>
        <v>200</v>
      </c>
      <c r="M908" s="157">
        <f t="shared" si="118"/>
        <v>300</v>
      </c>
      <c r="N908" s="157">
        <f t="shared" si="119"/>
        <v>400</v>
      </c>
      <c r="O908" s="1030"/>
      <c r="P908" s="967"/>
      <c r="Q908" s="586"/>
      <c r="R908" s="968"/>
      <c r="S908" s="589"/>
      <c r="T908" s="589"/>
      <c r="U908" s="589"/>
    </row>
    <row r="909" spans="1:21" ht="15.5" x14ac:dyDescent="0.35">
      <c r="A909" s="116"/>
      <c r="B909" s="117"/>
      <c r="C909" s="1702"/>
      <c r="D909" s="1703"/>
      <c r="E909" s="234"/>
      <c r="F909" s="1704" t="s">
        <v>5</v>
      </c>
      <c r="G909" s="1704"/>
      <c r="H909" s="235">
        <f>IF(ISNUMBER(H907),H907*H905,H906*H905)</f>
        <v>0</v>
      </c>
      <c r="I909" s="236"/>
      <c r="J909" s="237"/>
      <c r="K909" s="157">
        <f t="shared" si="116"/>
        <v>100</v>
      </c>
      <c r="L909" s="157">
        <f t="shared" si="117"/>
        <v>200</v>
      </c>
      <c r="M909" s="157">
        <f t="shared" si="118"/>
        <v>300</v>
      </c>
      <c r="N909" s="157">
        <f t="shared" si="119"/>
        <v>400</v>
      </c>
      <c r="O909" s="1030"/>
      <c r="P909" s="967"/>
      <c r="Q909" s="586"/>
      <c r="R909" s="968"/>
      <c r="S909" s="589"/>
      <c r="T909" s="589"/>
      <c r="U909" s="589"/>
    </row>
    <row r="910" spans="1:21" x14ac:dyDescent="0.35">
      <c r="K910" s="157">
        <f t="shared" si="116"/>
        <v>100</v>
      </c>
      <c r="L910" s="157">
        <f t="shared" si="117"/>
        <v>200</v>
      </c>
      <c r="M910" s="157">
        <f t="shared" si="118"/>
        <v>300</v>
      </c>
      <c r="N910" s="157">
        <f t="shared" si="119"/>
        <v>400</v>
      </c>
      <c r="O910" s="967"/>
      <c r="P910" s="967"/>
      <c r="Q910" s="586"/>
      <c r="R910" s="968"/>
      <c r="S910" s="589"/>
      <c r="T910" s="589"/>
      <c r="U910" s="589"/>
    </row>
    <row r="911" spans="1:21" x14ac:dyDescent="0.35">
      <c r="K911" s="157">
        <f t="shared" si="116"/>
        <v>100</v>
      </c>
      <c r="L911" s="157">
        <f t="shared" si="117"/>
        <v>200</v>
      </c>
      <c r="M911" s="157">
        <f t="shared" si="118"/>
        <v>300</v>
      </c>
      <c r="N911" s="157">
        <f t="shared" si="119"/>
        <v>400</v>
      </c>
      <c r="O911" s="967"/>
      <c r="P911" s="967"/>
      <c r="Q911" s="586"/>
      <c r="R911" s="968"/>
      <c r="S911" s="589"/>
      <c r="T911" s="589"/>
      <c r="U911" s="589"/>
    </row>
    <row r="912" spans="1:21" ht="15.5" x14ac:dyDescent="0.35">
      <c r="A912" s="208"/>
      <c r="B912" s="227" t="s">
        <v>4804</v>
      </c>
      <c r="C912" s="227" t="s">
        <v>4453</v>
      </c>
      <c r="D912" s="228"/>
      <c r="E912" s="228"/>
      <c r="F912" s="229" t="str">
        <f>IF($F$3=1,O912,"")</f>
        <v>C.4 Halböffentliche und öffentliche Räume</v>
      </c>
      <c r="G912" s="230"/>
      <c r="H912" s="231"/>
      <c r="I912" s="232"/>
      <c r="J912" s="233"/>
      <c r="K912" s="157">
        <f t="shared" si="116"/>
        <v>100</v>
      </c>
      <c r="L912" s="157">
        <f t="shared" si="117"/>
        <v>200</v>
      </c>
      <c r="M912" s="157">
        <f t="shared" si="118"/>
        <v>300</v>
      </c>
      <c r="N912" s="157">
        <f t="shared" si="119"/>
        <v>400</v>
      </c>
      <c r="O912" s="967" t="str">
        <f>CONCATENATE(B912," ",C912)</f>
        <v>C.4 Halböffentliche und öffentliche Räume</v>
      </c>
      <c r="P912" s="958"/>
      <c r="Q912" s="586"/>
      <c r="R912" s="968"/>
      <c r="S912" s="589"/>
      <c r="T912" s="589"/>
      <c r="U912" s="589"/>
    </row>
    <row r="913" spans="1:21" x14ac:dyDescent="0.35">
      <c r="B913" s="185"/>
      <c r="K913" s="157">
        <f t="shared" si="116"/>
        <v>100</v>
      </c>
      <c r="L913" s="157">
        <f t="shared" si="117"/>
        <v>200</v>
      </c>
      <c r="M913" s="157">
        <f t="shared" si="118"/>
        <v>300</v>
      </c>
      <c r="N913" s="157">
        <f t="shared" si="119"/>
        <v>400</v>
      </c>
      <c r="O913" s="967"/>
      <c r="P913" s="967"/>
      <c r="Q913" s="586"/>
      <c r="R913" s="968"/>
      <c r="S913" s="589"/>
      <c r="T913" s="589"/>
      <c r="U913" s="589"/>
    </row>
    <row r="914" spans="1:21" ht="7.5" customHeight="1" x14ac:dyDescent="0.35">
      <c r="A914" s="116"/>
      <c r="B914" s="117"/>
      <c r="C914" s="117"/>
      <c r="D914" s="116"/>
      <c r="E914" s="116"/>
      <c r="F914" s="118"/>
      <c r="G914" s="119"/>
      <c r="H914" s="116"/>
      <c r="I914" s="120"/>
      <c r="J914" s="121"/>
      <c r="K914" s="157">
        <f t="shared" si="116"/>
        <v>100</v>
      </c>
      <c r="L914" s="157">
        <f t="shared" si="117"/>
        <v>200</v>
      </c>
      <c r="M914" s="157">
        <f t="shared" si="118"/>
        <v>300</v>
      </c>
      <c r="N914" s="157">
        <f t="shared" si="119"/>
        <v>400</v>
      </c>
      <c r="O914" s="968"/>
      <c r="P914" s="968"/>
      <c r="Q914" s="586"/>
      <c r="R914" s="968"/>
      <c r="S914" s="589"/>
      <c r="T914" s="589"/>
      <c r="U914" s="589"/>
    </row>
    <row r="915" spans="1:21" ht="15.5" x14ac:dyDescent="0.35">
      <c r="A915" s="124"/>
      <c r="B915" s="125"/>
      <c r="C915" s="126" t="s">
        <v>4803</v>
      </c>
      <c r="D915" s="127" t="s">
        <v>5442</v>
      </c>
      <c r="E915" s="128"/>
      <c r="F915" s="129" t="str">
        <f>IF($F$3=1,O915,"")</f>
        <v>C.4.1 Erdgeschossnutzungen</v>
      </c>
      <c r="G915" s="204"/>
      <c r="H915" s="205"/>
      <c r="I915" s="520" t="s">
        <v>23</v>
      </c>
      <c r="J915" s="130"/>
      <c r="K915" s="157">
        <f t="shared" si="116"/>
        <v>100</v>
      </c>
      <c r="L915" s="157">
        <f t="shared" si="117"/>
        <v>200</v>
      </c>
      <c r="M915" s="157">
        <f t="shared" si="118"/>
        <v>300</v>
      </c>
      <c r="N915" s="157">
        <f t="shared" si="119"/>
        <v>400</v>
      </c>
      <c r="O915" s="967" t="str">
        <f>CONCATENATE(C915," ",D915)</f>
        <v>C.4.1 Erdgeschossnutzungen</v>
      </c>
      <c r="P915" s="966"/>
      <c r="Q915" s="586"/>
      <c r="R915" s="968"/>
      <c r="S915" s="589"/>
      <c r="T915" s="589"/>
      <c r="U915" s="589"/>
    </row>
    <row r="916" spans="1:21" x14ac:dyDescent="0.35">
      <c r="A916" s="124"/>
      <c r="B916" s="134"/>
      <c r="C916" s="135"/>
      <c r="D916" s="136"/>
      <c r="E916" s="136"/>
      <c r="F916" s="137"/>
      <c r="G916" s="138"/>
      <c r="H916" s="124"/>
      <c r="I916" s="139"/>
      <c r="J916" s="140"/>
      <c r="K916" s="157">
        <f t="shared" si="116"/>
        <v>100</v>
      </c>
      <c r="L916" s="157">
        <f t="shared" si="117"/>
        <v>200</v>
      </c>
      <c r="M916" s="157">
        <f t="shared" si="118"/>
        <v>300</v>
      </c>
      <c r="N916" s="157">
        <f t="shared" si="119"/>
        <v>400</v>
      </c>
      <c r="O916" s="968"/>
      <c r="P916" s="966"/>
      <c r="Q916" s="586"/>
      <c r="R916" s="968"/>
      <c r="S916" s="589"/>
      <c r="T916" s="589"/>
      <c r="U916" s="589"/>
    </row>
    <row r="917" spans="1:21" x14ac:dyDescent="0.35">
      <c r="A917" s="142"/>
      <c r="B917" s="35"/>
      <c r="C917" s="143"/>
      <c r="D917" s="1685" t="s">
        <v>18</v>
      </c>
      <c r="E917" s="1686"/>
      <c r="F917" s="144" t="s">
        <v>19</v>
      </c>
      <c r="G917" s="145" t="s">
        <v>0</v>
      </c>
      <c r="H917" s="146" t="s">
        <v>20</v>
      </c>
      <c r="I917" s="147" t="s">
        <v>1</v>
      </c>
      <c r="J917" s="147" t="s">
        <v>4375</v>
      </c>
      <c r="K917" s="157">
        <f t="shared" si="116"/>
        <v>100</v>
      </c>
      <c r="L917" s="157">
        <f t="shared" si="117"/>
        <v>200</v>
      </c>
      <c r="M917" s="157">
        <f t="shared" si="118"/>
        <v>300</v>
      </c>
      <c r="N917" s="157">
        <f t="shared" si="119"/>
        <v>400</v>
      </c>
      <c r="O917" s="587"/>
      <c r="P917" s="967"/>
      <c r="Q917" s="586"/>
      <c r="R917" s="968"/>
      <c r="S917" s="589"/>
      <c r="T917" s="589"/>
      <c r="U917" s="589"/>
    </row>
    <row r="918" spans="1:21" ht="60" x14ac:dyDescent="0.35">
      <c r="A918" s="123"/>
      <c r="B918" s="35"/>
      <c r="C918" s="151"/>
      <c r="D918" s="1687" t="s">
        <v>4731</v>
      </c>
      <c r="E918" s="1688"/>
      <c r="F918" s="152" t="s">
        <v>4678</v>
      </c>
      <c r="G918" s="153">
        <f t="shared" ref="G918" si="121">IF($H$2=1,S918,IF($H$2=2,T918,U918))</f>
        <v>1</v>
      </c>
      <c r="H918" s="1079">
        <f>'RH Gebäude'!Y20*G918</f>
        <v>0</v>
      </c>
      <c r="I918" s="155"/>
      <c r="J918" s="156"/>
      <c r="K918" s="157">
        <f t="shared" si="116"/>
        <v>100</v>
      </c>
      <c r="L918" s="157">
        <f t="shared" si="117"/>
        <v>200</v>
      </c>
      <c r="M918" s="157">
        <f t="shared" si="118"/>
        <v>300</v>
      </c>
      <c r="N918" s="157">
        <f t="shared" si="119"/>
        <v>400</v>
      </c>
      <c r="O918" s="967" t="str">
        <f>CONCATENATE(O915," | ",F918)</f>
        <v>C.4.1 Erdgeschossnutzungen | Rechenhilfe: Flächen der an den öffentlichen Raum angrenzenden Erdgeschossnutzungen, welche für die Ansiedlung publikumsorientierter Nutzung geeignet sind [m²] / Alle an den öffentlichen Raum angrenzenden Erdgeschossflächen [m²]</v>
      </c>
      <c r="P918" s="967"/>
      <c r="Q918" s="586"/>
      <c r="R918" s="968"/>
      <c r="S918" s="588">
        <v>0</v>
      </c>
      <c r="T918" s="588">
        <v>1</v>
      </c>
      <c r="U918" s="588">
        <v>1</v>
      </c>
    </row>
    <row r="919" spans="1:21" x14ac:dyDescent="0.35">
      <c r="A919" s="123"/>
      <c r="B919" s="35"/>
      <c r="C919" s="151"/>
      <c r="D919" s="1687"/>
      <c r="E919" s="1688"/>
      <c r="F919" s="159"/>
      <c r="G919" s="160"/>
      <c r="H919" s="161"/>
      <c r="I919" s="166"/>
      <c r="J919" s="164"/>
      <c r="K919" s="157">
        <f t="shared" si="116"/>
        <v>100</v>
      </c>
      <c r="L919" s="157">
        <f t="shared" si="117"/>
        <v>200</v>
      </c>
      <c r="M919" s="157">
        <f t="shared" si="118"/>
        <v>300</v>
      </c>
      <c r="N919" s="157">
        <f t="shared" si="119"/>
        <v>400</v>
      </c>
      <c r="O919" s="967"/>
      <c r="P919" s="967"/>
      <c r="Q919" s="586"/>
      <c r="R919" s="968"/>
      <c r="S919" s="589"/>
      <c r="T919" s="589"/>
      <c r="U919" s="589"/>
    </row>
    <row r="920" spans="1:21" x14ac:dyDescent="0.35">
      <c r="A920" s="123"/>
      <c r="B920" s="35"/>
      <c r="C920" s="151"/>
      <c r="D920" s="1687"/>
      <c r="E920" s="1688"/>
      <c r="F920" s="159"/>
      <c r="G920" s="160"/>
      <c r="H920" s="161"/>
      <c r="I920" s="166"/>
      <c r="J920" s="164"/>
      <c r="K920" s="157">
        <f t="shared" si="116"/>
        <v>100</v>
      </c>
      <c r="L920" s="157">
        <f t="shared" si="117"/>
        <v>200</v>
      </c>
      <c r="M920" s="157">
        <f t="shared" si="118"/>
        <v>300</v>
      </c>
      <c r="N920" s="157">
        <f t="shared" si="119"/>
        <v>400</v>
      </c>
      <c r="O920" s="967"/>
      <c r="P920" s="967"/>
      <c r="Q920" s="586"/>
      <c r="R920" s="968"/>
      <c r="S920" s="589"/>
      <c r="T920" s="589"/>
      <c r="U920" s="589"/>
    </row>
    <row r="921" spans="1:21" x14ac:dyDescent="0.35">
      <c r="A921" s="123">
        <v>3.2</v>
      </c>
      <c r="B921" s="35"/>
      <c r="C921" s="151"/>
      <c r="D921" s="1687"/>
      <c r="E921" s="1688"/>
      <c r="F921" s="159"/>
      <c r="G921" s="160"/>
      <c r="H921" s="161"/>
      <c r="I921" s="166"/>
      <c r="J921" s="164"/>
      <c r="K921" s="157">
        <f t="shared" si="116"/>
        <v>100</v>
      </c>
      <c r="L921" s="157">
        <f t="shared" si="117"/>
        <v>200</v>
      </c>
      <c r="M921" s="157">
        <f t="shared" si="118"/>
        <v>300</v>
      </c>
      <c r="N921" s="157">
        <f t="shared" si="119"/>
        <v>400</v>
      </c>
      <c r="O921" s="967"/>
      <c r="P921" s="967"/>
      <c r="Q921" s="586"/>
      <c r="R921" s="968"/>
      <c r="S921" s="589"/>
      <c r="T921" s="589"/>
      <c r="U921" s="589"/>
    </row>
    <row r="922" spans="1:21" x14ac:dyDescent="0.35">
      <c r="A922" s="123"/>
      <c r="B922" s="35"/>
      <c r="C922" s="151"/>
      <c r="D922" s="1687"/>
      <c r="E922" s="1688"/>
      <c r="F922" s="159"/>
      <c r="G922" s="160"/>
      <c r="H922" s="161"/>
      <c r="I922" s="166"/>
      <c r="J922" s="164"/>
      <c r="K922" s="157">
        <f t="shared" si="116"/>
        <v>100</v>
      </c>
      <c r="L922" s="157">
        <f t="shared" si="117"/>
        <v>200</v>
      </c>
      <c r="M922" s="157">
        <f t="shared" si="118"/>
        <v>300</v>
      </c>
      <c r="N922" s="157">
        <f t="shared" si="119"/>
        <v>400</v>
      </c>
      <c r="O922" s="967"/>
      <c r="P922" s="967"/>
      <c r="Q922" s="586"/>
      <c r="R922" s="968"/>
      <c r="S922" s="589"/>
      <c r="T922" s="589"/>
      <c r="U922" s="589"/>
    </row>
    <row r="923" spans="1:21" x14ac:dyDescent="0.35">
      <c r="A923" s="116"/>
      <c r="B923" s="35"/>
      <c r="C923" s="117"/>
      <c r="D923" s="1687"/>
      <c r="E923" s="1688"/>
      <c r="F923" s="159"/>
      <c r="G923" s="160"/>
      <c r="H923" s="161"/>
      <c r="I923" s="162"/>
      <c r="J923" s="164"/>
      <c r="K923" s="157">
        <f t="shared" si="116"/>
        <v>100</v>
      </c>
      <c r="L923" s="157">
        <f t="shared" si="117"/>
        <v>200</v>
      </c>
      <c r="M923" s="157">
        <f t="shared" si="118"/>
        <v>300</v>
      </c>
      <c r="N923" s="157">
        <f t="shared" si="119"/>
        <v>400</v>
      </c>
      <c r="O923" s="959"/>
      <c r="P923" s="967"/>
      <c r="Q923" s="586"/>
      <c r="R923" s="968"/>
      <c r="S923" s="589"/>
      <c r="T923" s="589"/>
      <c r="U923" s="589"/>
    </row>
    <row r="924" spans="1:21" x14ac:dyDescent="0.35">
      <c r="A924" s="116"/>
      <c r="B924" s="35"/>
      <c r="C924" s="117"/>
      <c r="D924" s="1687"/>
      <c r="E924" s="1688"/>
      <c r="F924" s="159"/>
      <c r="G924" s="160"/>
      <c r="H924" s="161"/>
      <c r="I924" s="162"/>
      <c r="J924" s="164"/>
      <c r="K924" s="157">
        <f t="shared" si="116"/>
        <v>100</v>
      </c>
      <c r="L924" s="157">
        <f t="shared" si="117"/>
        <v>200</v>
      </c>
      <c r="M924" s="157">
        <f t="shared" si="118"/>
        <v>300</v>
      </c>
      <c r="N924" s="157">
        <f t="shared" si="119"/>
        <v>400</v>
      </c>
      <c r="O924" s="959"/>
      <c r="P924" s="967"/>
      <c r="Q924" s="586"/>
      <c r="R924" s="968"/>
      <c r="S924" s="589"/>
      <c r="T924" s="589"/>
      <c r="U924" s="589"/>
    </row>
    <row r="925" spans="1:21" x14ac:dyDescent="0.35">
      <c r="A925" s="116"/>
      <c r="B925" s="35"/>
      <c r="C925" s="117"/>
      <c r="D925" s="1687"/>
      <c r="E925" s="1688"/>
      <c r="F925" s="159"/>
      <c r="G925" s="160"/>
      <c r="H925" s="161"/>
      <c r="I925" s="162"/>
      <c r="J925" s="164"/>
      <c r="K925" s="157">
        <f t="shared" si="116"/>
        <v>100</v>
      </c>
      <c r="L925" s="157">
        <f t="shared" si="117"/>
        <v>200</v>
      </c>
      <c r="M925" s="157">
        <f t="shared" si="118"/>
        <v>300</v>
      </c>
      <c r="N925" s="157">
        <f t="shared" si="119"/>
        <v>400</v>
      </c>
      <c r="O925" s="959"/>
      <c r="P925" s="967"/>
      <c r="Q925" s="586"/>
      <c r="R925" s="968"/>
      <c r="S925" s="589"/>
      <c r="T925" s="589"/>
      <c r="U925" s="589"/>
    </row>
    <row r="926" spans="1:21" x14ac:dyDescent="0.35">
      <c r="A926" s="123"/>
      <c r="B926" s="35"/>
      <c r="C926" s="151"/>
      <c r="D926" s="1687"/>
      <c r="E926" s="1688"/>
      <c r="F926" s="165"/>
      <c r="G926" s="160"/>
      <c r="H926" s="161"/>
      <c r="I926" s="166"/>
      <c r="J926" s="167"/>
      <c r="K926" s="157">
        <f t="shared" si="116"/>
        <v>100</v>
      </c>
      <c r="L926" s="157">
        <f t="shared" si="117"/>
        <v>200</v>
      </c>
      <c r="M926" s="157">
        <f t="shared" si="118"/>
        <v>300</v>
      </c>
      <c r="N926" s="157">
        <f t="shared" si="119"/>
        <v>400</v>
      </c>
      <c r="O926" s="959"/>
      <c r="P926" s="967"/>
      <c r="Q926" s="586"/>
      <c r="R926" s="968"/>
      <c r="S926" s="589"/>
      <c r="T926" s="589"/>
      <c r="U926" s="589"/>
    </row>
    <row r="927" spans="1:21" x14ac:dyDescent="0.35">
      <c r="A927" s="116"/>
      <c r="B927" s="35"/>
      <c r="C927" s="117"/>
      <c r="D927" s="1687"/>
      <c r="E927" s="1688"/>
      <c r="F927" s="159"/>
      <c r="G927" s="160"/>
      <c r="H927" s="168"/>
      <c r="I927" s="162"/>
      <c r="J927" s="164"/>
      <c r="K927" s="157">
        <f t="shared" si="116"/>
        <v>100</v>
      </c>
      <c r="L927" s="157">
        <f t="shared" si="117"/>
        <v>200</v>
      </c>
      <c r="M927" s="157">
        <f t="shared" si="118"/>
        <v>300</v>
      </c>
      <c r="N927" s="157">
        <f t="shared" si="119"/>
        <v>400</v>
      </c>
      <c r="O927" s="959"/>
      <c r="P927" s="967"/>
      <c r="Q927" s="586"/>
      <c r="R927" s="968"/>
      <c r="S927" s="589"/>
      <c r="T927" s="589"/>
      <c r="U927" s="589"/>
    </row>
    <row r="928" spans="1:21" x14ac:dyDescent="0.35">
      <c r="A928" s="116"/>
      <c r="B928" s="117"/>
      <c r="C928" s="117"/>
      <c r="D928" s="1687"/>
      <c r="E928" s="1688"/>
      <c r="F928" s="159"/>
      <c r="G928" s="160"/>
      <c r="H928" s="168"/>
      <c r="I928" s="162"/>
      <c r="J928" s="164"/>
      <c r="K928" s="157">
        <f t="shared" si="116"/>
        <v>100</v>
      </c>
      <c r="L928" s="157">
        <f t="shared" si="117"/>
        <v>200</v>
      </c>
      <c r="M928" s="157">
        <f t="shared" si="118"/>
        <v>300</v>
      </c>
      <c r="N928" s="157">
        <f t="shared" si="119"/>
        <v>400</v>
      </c>
      <c r="O928" s="959"/>
      <c r="P928" s="967"/>
      <c r="Q928" s="586"/>
      <c r="R928" s="968"/>
      <c r="S928" s="589"/>
      <c r="T928" s="589"/>
      <c r="U928" s="589"/>
    </row>
    <row r="929" spans="1:21" x14ac:dyDescent="0.35">
      <c r="A929" s="116"/>
      <c r="B929" s="117"/>
      <c r="C929" s="117"/>
      <c r="D929" s="1687"/>
      <c r="E929" s="1688"/>
      <c r="F929" s="169"/>
      <c r="G929" s="170"/>
      <c r="H929" s="171"/>
      <c r="I929" s="172"/>
      <c r="J929" s="173"/>
      <c r="K929" s="157">
        <f t="shared" si="116"/>
        <v>100</v>
      </c>
      <c r="L929" s="157">
        <f t="shared" si="117"/>
        <v>200</v>
      </c>
      <c r="M929" s="157">
        <f t="shared" si="118"/>
        <v>300</v>
      </c>
      <c r="N929" s="157">
        <f t="shared" si="119"/>
        <v>400</v>
      </c>
      <c r="O929" s="959"/>
      <c r="P929" s="967"/>
      <c r="Q929" s="586"/>
      <c r="R929" s="968"/>
      <c r="S929" s="589"/>
      <c r="T929" s="589"/>
      <c r="U929" s="589"/>
    </row>
    <row r="930" spans="1:21" ht="28.5" customHeight="1" x14ac:dyDescent="0.35">
      <c r="A930" s="116"/>
      <c r="B930" s="117"/>
      <c r="C930" s="117"/>
      <c r="D930" s="174"/>
      <c r="E930" s="175"/>
      <c r="F930" s="1689" t="s">
        <v>2</v>
      </c>
      <c r="G930" s="1689"/>
      <c r="H930" s="176">
        <f>IF(O930&gt;1,"Zielerreichung übersteigt 100%!",O930)</f>
        <v>0</v>
      </c>
      <c r="I930" s="177"/>
      <c r="J930" s="178"/>
      <c r="K930" s="157">
        <f t="shared" si="116"/>
        <v>100</v>
      </c>
      <c r="L930" s="157">
        <f t="shared" si="117"/>
        <v>200</v>
      </c>
      <c r="M930" s="157">
        <f t="shared" si="118"/>
        <v>300</v>
      </c>
      <c r="N930" s="157">
        <f t="shared" si="119"/>
        <v>400</v>
      </c>
      <c r="O930" s="959">
        <f>SUM(H918:H929)</f>
        <v>0</v>
      </c>
      <c r="P930" s="967"/>
      <c r="Q930" s="586"/>
      <c r="R930" s="968"/>
      <c r="S930" s="589"/>
      <c r="T930" s="589"/>
      <c r="U930" s="589"/>
    </row>
    <row r="931" spans="1:21" x14ac:dyDescent="0.35">
      <c r="A931" s="116"/>
      <c r="B931" s="117"/>
      <c r="C931" s="117"/>
      <c r="D931" s="179"/>
      <c r="E931" s="180"/>
      <c r="F931" s="1690" t="s">
        <v>3</v>
      </c>
      <c r="G931" s="1691"/>
      <c r="H931" s="181">
        <v>13</v>
      </c>
      <c r="I931" s="177"/>
      <c r="J931" s="178"/>
      <c r="K931" s="157">
        <f t="shared" si="116"/>
        <v>100</v>
      </c>
      <c r="L931" s="157">
        <f t="shared" si="117"/>
        <v>200</v>
      </c>
      <c r="M931" s="157">
        <f t="shared" si="118"/>
        <v>300</v>
      </c>
      <c r="N931" s="157">
        <f t="shared" si="119"/>
        <v>400</v>
      </c>
      <c r="O931" s="1030"/>
      <c r="P931" s="967"/>
      <c r="Q931" s="586"/>
      <c r="R931" s="968"/>
      <c r="S931" s="589"/>
      <c r="T931" s="589"/>
      <c r="U931" s="589"/>
    </row>
    <row r="932" spans="1:21" x14ac:dyDescent="0.35">
      <c r="A932" s="116"/>
      <c r="B932" s="117"/>
      <c r="C932" s="117"/>
      <c r="D932" s="179"/>
      <c r="E932" s="180"/>
      <c r="F932" s="1700" t="s">
        <v>5494</v>
      </c>
      <c r="G932" s="1701"/>
      <c r="H932" s="1084" t="str">
        <f>IF($H$2=1,0,"")</f>
        <v/>
      </c>
      <c r="I932" s="183"/>
      <c r="J932" s="178"/>
      <c r="K932" s="157">
        <f t="shared" si="116"/>
        <v>100</v>
      </c>
      <c r="L932" s="157">
        <f t="shared" si="117"/>
        <v>200</v>
      </c>
      <c r="M932" s="157">
        <f t="shared" si="118"/>
        <v>300</v>
      </c>
      <c r="N932" s="157">
        <f t="shared" si="119"/>
        <v>400</v>
      </c>
      <c r="O932" s="1030"/>
      <c r="P932" s="967"/>
      <c r="Q932" s="586"/>
      <c r="R932" s="968"/>
      <c r="S932" s="589"/>
      <c r="T932" s="589"/>
      <c r="U932" s="589"/>
    </row>
    <row r="933" spans="1:21" x14ac:dyDescent="0.35">
      <c r="A933" s="184"/>
      <c r="B933" s="185"/>
      <c r="C933" s="185"/>
      <c r="D933" s="179"/>
      <c r="E933" s="180"/>
      <c r="F933" s="186"/>
      <c r="G933" s="186"/>
      <c r="H933" s="187"/>
      <c r="I933" s="177"/>
      <c r="J933" s="178"/>
      <c r="K933" s="157">
        <f t="shared" si="116"/>
        <v>100</v>
      </c>
      <c r="L933" s="157">
        <f t="shared" si="117"/>
        <v>200</v>
      </c>
      <c r="M933" s="157">
        <f t="shared" si="118"/>
        <v>300</v>
      </c>
      <c r="N933" s="157">
        <f t="shared" si="119"/>
        <v>400</v>
      </c>
      <c r="O933" s="1030"/>
      <c r="P933" s="967"/>
      <c r="Q933" s="586"/>
      <c r="R933" s="968"/>
      <c r="S933" s="589"/>
      <c r="T933" s="589"/>
      <c r="U933" s="589"/>
    </row>
    <row r="934" spans="1:21" ht="15.5" x14ac:dyDescent="0.35">
      <c r="A934" s="116"/>
      <c r="B934" s="117"/>
      <c r="C934" s="1702"/>
      <c r="D934" s="1703"/>
      <c r="E934" s="234"/>
      <c r="F934" s="1704" t="s">
        <v>5</v>
      </c>
      <c r="G934" s="1704"/>
      <c r="H934" s="235">
        <f>IF(ISNUMBER(H932),H932*H930,H931*H930)</f>
        <v>0</v>
      </c>
      <c r="I934" s="236"/>
      <c r="J934" s="237"/>
      <c r="K934" s="157">
        <f t="shared" si="116"/>
        <v>100</v>
      </c>
      <c r="L934" s="157">
        <f t="shared" si="117"/>
        <v>200</v>
      </c>
      <c r="M934" s="157">
        <f t="shared" si="118"/>
        <v>300</v>
      </c>
      <c r="N934" s="157">
        <f t="shared" si="119"/>
        <v>400</v>
      </c>
      <c r="O934" s="1030"/>
      <c r="P934" s="967"/>
      <c r="Q934" s="586"/>
      <c r="R934" s="968"/>
      <c r="S934" s="589"/>
      <c r="T934" s="589"/>
      <c r="U934" s="589"/>
    </row>
    <row r="935" spans="1:21" x14ac:dyDescent="0.35">
      <c r="B935" s="185"/>
      <c r="K935" s="157">
        <f t="shared" si="116"/>
        <v>100</v>
      </c>
      <c r="L935" s="157">
        <f t="shared" si="117"/>
        <v>200</v>
      </c>
      <c r="M935" s="157">
        <f t="shared" si="118"/>
        <v>300</v>
      </c>
      <c r="N935" s="157">
        <f t="shared" si="119"/>
        <v>400</v>
      </c>
      <c r="O935" s="967"/>
      <c r="P935" s="967"/>
      <c r="Q935" s="586"/>
      <c r="R935" s="968"/>
      <c r="S935" s="589"/>
      <c r="T935" s="589"/>
      <c r="U935" s="589"/>
    </row>
    <row r="936" spans="1:21" ht="7.5" customHeight="1" x14ac:dyDescent="0.35">
      <c r="A936" s="116"/>
      <c r="B936" s="117"/>
      <c r="C936" s="117"/>
      <c r="D936" s="116"/>
      <c r="E936" s="116"/>
      <c r="F936" s="118"/>
      <c r="G936" s="119"/>
      <c r="H936" s="116"/>
      <c r="I936" s="120"/>
      <c r="J936" s="121"/>
      <c r="K936" s="157">
        <f t="shared" si="116"/>
        <v>100</v>
      </c>
      <c r="L936" s="157">
        <f t="shared" si="117"/>
        <v>200</v>
      </c>
      <c r="M936" s="157">
        <f t="shared" si="118"/>
        <v>300</v>
      </c>
      <c r="N936" s="157">
        <f t="shared" si="119"/>
        <v>400</v>
      </c>
      <c r="O936" s="968"/>
      <c r="P936" s="968"/>
      <c r="Q936" s="586"/>
      <c r="R936" s="968"/>
      <c r="S936" s="589"/>
      <c r="T936" s="589"/>
      <c r="U936" s="589"/>
    </row>
    <row r="937" spans="1:21" ht="15.5" x14ac:dyDescent="0.35">
      <c r="A937" s="124"/>
      <c r="B937" s="125"/>
      <c r="C937" s="126" t="s">
        <v>4805</v>
      </c>
      <c r="D937" s="127" t="s">
        <v>5443</v>
      </c>
      <c r="E937" s="128"/>
      <c r="F937" s="129" t="str">
        <f>IF($F$3=1,O937,"")</f>
        <v>C.4.2 Zugang</v>
      </c>
      <c r="G937" s="204"/>
      <c r="H937" s="205"/>
      <c r="I937" s="520" t="s">
        <v>23</v>
      </c>
      <c r="J937" s="130"/>
      <c r="K937" s="157">
        <f t="shared" si="116"/>
        <v>100</v>
      </c>
      <c r="L937" s="157">
        <f t="shared" si="117"/>
        <v>200</v>
      </c>
      <c r="M937" s="157">
        <f t="shared" si="118"/>
        <v>300</v>
      </c>
      <c r="N937" s="157">
        <f t="shared" si="119"/>
        <v>400</v>
      </c>
      <c r="O937" s="967" t="str">
        <f>CONCATENATE(C937," ",D937)</f>
        <v>C.4.2 Zugang</v>
      </c>
      <c r="P937" s="966"/>
      <c r="Q937" s="586"/>
      <c r="R937" s="968"/>
      <c r="S937" s="589"/>
      <c r="T937" s="589"/>
      <c r="U937" s="589"/>
    </row>
    <row r="938" spans="1:21" x14ac:dyDescent="0.35">
      <c r="A938" s="124"/>
      <c r="B938" s="134"/>
      <c r="C938" s="135"/>
      <c r="D938" s="136"/>
      <c r="E938" s="136"/>
      <c r="F938" s="137"/>
      <c r="G938" s="138"/>
      <c r="H938" s="124"/>
      <c r="I938" s="139"/>
      <c r="J938" s="140"/>
      <c r="K938" s="157">
        <f t="shared" si="116"/>
        <v>100</v>
      </c>
      <c r="L938" s="157">
        <f t="shared" si="117"/>
        <v>200</v>
      </c>
      <c r="M938" s="157">
        <f t="shared" si="118"/>
        <v>300</v>
      </c>
      <c r="N938" s="157">
        <f t="shared" si="119"/>
        <v>400</v>
      </c>
      <c r="O938" s="968"/>
      <c r="P938" s="966"/>
      <c r="Q938" s="586"/>
      <c r="R938" s="968"/>
      <c r="S938" s="589"/>
      <c r="T938" s="589"/>
      <c r="U938" s="589"/>
    </row>
    <row r="939" spans="1:21" x14ac:dyDescent="0.35">
      <c r="A939" s="142"/>
      <c r="B939" s="35"/>
      <c r="C939" s="143"/>
      <c r="D939" s="1685" t="s">
        <v>18</v>
      </c>
      <c r="E939" s="1686"/>
      <c r="F939" s="144" t="s">
        <v>19</v>
      </c>
      <c r="G939" s="145" t="s">
        <v>0</v>
      </c>
      <c r="H939" s="146" t="s">
        <v>20</v>
      </c>
      <c r="I939" s="147" t="s">
        <v>1</v>
      </c>
      <c r="J939" s="147" t="s">
        <v>4375</v>
      </c>
      <c r="K939" s="157">
        <f t="shared" si="116"/>
        <v>100</v>
      </c>
      <c r="L939" s="157">
        <f t="shared" si="117"/>
        <v>200</v>
      </c>
      <c r="M939" s="157">
        <f t="shared" si="118"/>
        <v>300</v>
      </c>
      <c r="N939" s="157">
        <f t="shared" si="119"/>
        <v>400</v>
      </c>
      <c r="O939" s="587"/>
      <c r="P939" s="967"/>
      <c r="Q939" s="586"/>
      <c r="R939" s="968"/>
      <c r="S939" s="589"/>
      <c r="T939" s="589"/>
      <c r="U939" s="589"/>
    </row>
    <row r="940" spans="1:21" ht="24" x14ac:dyDescent="0.35">
      <c r="A940" s="123"/>
      <c r="B940" s="35"/>
      <c r="C940" s="151"/>
      <c r="D940" s="1687" t="s">
        <v>4679</v>
      </c>
      <c r="E940" s="1688"/>
      <c r="F940" s="152" t="s">
        <v>4513</v>
      </c>
      <c r="G940" s="153">
        <f t="shared" ref="G940:G942" si="122">IF($H$2=1,S940,IF($H$2=2,T940,U940))</f>
        <v>0.33</v>
      </c>
      <c r="H940" s="154"/>
      <c r="I940" s="155"/>
      <c r="J940" s="156"/>
      <c r="K940" s="157">
        <f t="shared" ref="K940:K1003" si="123">IF($J940=$K$41,K939+1,K939+0)</f>
        <v>100</v>
      </c>
      <c r="L940" s="157">
        <f t="shared" ref="L940:L1003" si="124">IF($J940=$L$41,L939+1,L939+0)</f>
        <v>200</v>
      </c>
      <c r="M940" s="157">
        <f t="shared" ref="M940:M1003" si="125">IF($J940=$M$41,M939+1,M939+0)</f>
        <v>300</v>
      </c>
      <c r="N940" s="157">
        <f t="shared" ref="N940:N1003" si="126">IF($J940=$N$41,N939+1,N939+0)</f>
        <v>400</v>
      </c>
      <c r="O940" s="967" t="str">
        <f>CONCATENATE(O937," | ",F940)</f>
        <v>C.4.2 Zugang | Die Räume verfügen über eine minimale lichte Raumhöhe von 3,60 m (Roh-Lichtmaß)</v>
      </c>
      <c r="P940" s="967"/>
      <c r="Q940" s="586"/>
      <c r="R940" s="968"/>
      <c r="S940" s="588">
        <v>0</v>
      </c>
      <c r="T940" s="588">
        <v>0.33</v>
      </c>
      <c r="U940" s="588">
        <v>0.33</v>
      </c>
    </row>
    <row r="941" spans="1:21" ht="84" x14ac:dyDescent="0.35">
      <c r="A941" s="123"/>
      <c r="B941" s="35"/>
      <c r="C941" s="151"/>
      <c r="D941" s="1687"/>
      <c r="E941" s="1688"/>
      <c r="F941" s="152" t="s">
        <v>4515</v>
      </c>
      <c r="G941" s="153">
        <f t="shared" si="122"/>
        <v>0.33</v>
      </c>
      <c r="H941" s="154"/>
      <c r="I941" s="158"/>
      <c r="J941" s="156"/>
      <c r="K941" s="157">
        <f t="shared" si="123"/>
        <v>100</v>
      </c>
      <c r="L941" s="157">
        <f t="shared" si="124"/>
        <v>200</v>
      </c>
      <c r="M941" s="157">
        <f t="shared" si="125"/>
        <v>300</v>
      </c>
      <c r="N941" s="157">
        <f t="shared" si="126"/>
        <v>400</v>
      </c>
      <c r="O941" s="967" t="str">
        <f>CONCATENATE(O937," | ",F941)</f>
        <v>C.4.2 Zugang | Der Zugang ist sichergestellt. Das heißt: Die Höhe des Erdgeschoss-Bodens von Neubauten entspricht dem angrenzenden Gehsteig-Niveau; der Vorbereich auf Privatgrund ist auf die Gestaltung des öffentlichen Raumes abgestimmt; der Zugangsbereich ist ungehindert zugänglich; die Straßenraumgestaltung reicht bis zur Gebäudefassade</v>
      </c>
      <c r="P941" s="967"/>
      <c r="Q941" s="586"/>
      <c r="R941" s="968"/>
      <c r="S941" s="588">
        <v>0</v>
      </c>
      <c r="T941" s="588">
        <v>0.33</v>
      </c>
      <c r="U941" s="588">
        <v>0.33</v>
      </c>
    </row>
    <row r="942" spans="1:21" ht="24" x14ac:dyDescent="0.35">
      <c r="A942" s="123"/>
      <c r="B942" s="35"/>
      <c r="C942" s="151"/>
      <c r="D942" s="1687"/>
      <c r="E942" s="1688"/>
      <c r="F942" s="152" t="s">
        <v>4514</v>
      </c>
      <c r="G942" s="153">
        <f t="shared" si="122"/>
        <v>0.34</v>
      </c>
      <c r="H942" s="154"/>
      <c r="I942" s="158"/>
      <c r="J942" s="156"/>
      <c r="K942" s="157">
        <f t="shared" si="123"/>
        <v>100</v>
      </c>
      <c r="L942" s="157">
        <f t="shared" si="124"/>
        <v>200</v>
      </c>
      <c r="M942" s="157">
        <f t="shared" si="125"/>
        <v>300</v>
      </c>
      <c r="N942" s="157">
        <f t="shared" si="126"/>
        <v>400</v>
      </c>
      <c r="O942" s="967" t="str">
        <f>CONCATENATE(O937," | ",F942)</f>
        <v>C.4.2 Zugang | Voraussetzungen für die Erschließung (z.B. Lüftung) sind vorhanden</v>
      </c>
      <c r="P942" s="967"/>
      <c r="Q942" s="586"/>
      <c r="R942" s="968"/>
      <c r="S942" s="588">
        <v>0</v>
      </c>
      <c r="T942" s="588">
        <v>0.34</v>
      </c>
      <c r="U942" s="588">
        <v>0.34</v>
      </c>
    </row>
    <row r="943" spans="1:21" x14ac:dyDescent="0.35">
      <c r="A943" s="123">
        <v>3.2</v>
      </c>
      <c r="B943" s="35"/>
      <c r="C943" s="151"/>
      <c r="D943" s="1687"/>
      <c r="E943" s="1688"/>
      <c r="F943" s="159"/>
      <c r="G943" s="160"/>
      <c r="H943" s="161"/>
      <c r="I943" s="166"/>
      <c r="J943" s="164"/>
      <c r="K943" s="157">
        <f t="shared" si="123"/>
        <v>100</v>
      </c>
      <c r="L943" s="157">
        <f t="shared" si="124"/>
        <v>200</v>
      </c>
      <c r="M943" s="157">
        <f t="shared" si="125"/>
        <v>300</v>
      </c>
      <c r="N943" s="157">
        <f t="shared" si="126"/>
        <v>400</v>
      </c>
      <c r="O943" s="967"/>
      <c r="P943" s="967"/>
      <c r="Q943" s="586"/>
      <c r="R943" s="968"/>
      <c r="S943" s="589"/>
      <c r="T943" s="589"/>
      <c r="U943" s="589"/>
    </row>
    <row r="944" spans="1:21" x14ac:dyDescent="0.35">
      <c r="A944" s="123"/>
      <c r="B944" s="35"/>
      <c r="C944" s="151"/>
      <c r="D944" s="1687"/>
      <c r="E944" s="1688"/>
      <c r="F944" s="159"/>
      <c r="G944" s="160"/>
      <c r="H944" s="161"/>
      <c r="I944" s="166"/>
      <c r="J944" s="164"/>
      <c r="K944" s="157">
        <f t="shared" si="123"/>
        <v>100</v>
      </c>
      <c r="L944" s="157">
        <f t="shared" si="124"/>
        <v>200</v>
      </c>
      <c r="M944" s="157">
        <f t="shared" si="125"/>
        <v>300</v>
      </c>
      <c r="N944" s="157">
        <f t="shared" si="126"/>
        <v>400</v>
      </c>
      <c r="O944" s="967"/>
      <c r="P944" s="967"/>
      <c r="Q944" s="586"/>
      <c r="R944" s="968"/>
      <c r="S944" s="589"/>
      <c r="T944" s="589"/>
      <c r="U944" s="589"/>
    </row>
    <row r="945" spans="1:21" x14ac:dyDescent="0.35">
      <c r="A945" s="116"/>
      <c r="B945" s="35"/>
      <c r="C945" s="117"/>
      <c r="D945" s="1687"/>
      <c r="E945" s="1688"/>
      <c r="F945" s="159"/>
      <c r="G945" s="160"/>
      <c r="H945" s="161"/>
      <c r="I945" s="162"/>
      <c r="J945" s="164"/>
      <c r="K945" s="157">
        <f t="shared" si="123"/>
        <v>100</v>
      </c>
      <c r="L945" s="157">
        <f t="shared" si="124"/>
        <v>200</v>
      </c>
      <c r="M945" s="157">
        <f t="shared" si="125"/>
        <v>300</v>
      </c>
      <c r="N945" s="157">
        <f t="shared" si="126"/>
        <v>400</v>
      </c>
      <c r="O945" s="959"/>
      <c r="P945" s="967"/>
      <c r="Q945" s="586"/>
      <c r="R945" s="968"/>
      <c r="S945" s="589"/>
      <c r="T945" s="589"/>
      <c r="U945" s="589"/>
    </row>
    <row r="946" spans="1:21" x14ac:dyDescent="0.35">
      <c r="A946" s="116"/>
      <c r="B946" s="35"/>
      <c r="C946" s="117"/>
      <c r="D946" s="1687"/>
      <c r="E946" s="1688"/>
      <c r="F946" s="159"/>
      <c r="G946" s="160"/>
      <c r="H946" s="161"/>
      <c r="I946" s="162"/>
      <c r="J946" s="164"/>
      <c r="K946" s="157">
        <f t="shared" si="123"/>
        <v>100</v>
      </c>
      <c r="L946" s="157">
        <f t="shared" si="124"/>
        <v>200</v>
      </c>
      <c r="M946" s="157">
        <f t="shared" si="125"/>
        <v>300</v>
      </c>
      <c r="N946" s="157">
        <f t="shared" si="126"/>
        <v>400</v>
      </c>
      <c r="O946" s="959"/>
      <c r="P946" s="967"/>
      <c r="Q946" s="586"/>
      <c r="R946" s="968"/>
      <c r="S946" s="589"/>
      <c r="T946" s="589"/>
      <c r="U946" s="589"/>
    </row>
    <row r="947" spans="1:21" x14ac:dyDescent="0.35">
      <c r="A947" s="116"/>
      <c r="B947" s="35"/>
      <c r="C947" s="117"/>
      <c r="D947" s="1687"/>
      <c r="E947" s="1688"/>
      <c r="F947" s="159"/>
      <c r="G947" s="160"/>
      <c r="H947" s="161"/>
      <c r="I947" s="162"/>
      <c r="J947" s="164"/>
      <c r="K947" s="157">
        <f t="shared" si="123"/>
        <v>100</v>
      </c>
      <c r="L947" s="157">
        <f t="shared" si="124"/>
        <v>200</v>
      </c>
      <c r="M947" s="157">
        <f t="shared" si="125"/>
        <v>300</v>
      </c>
      <c r="N947" s="157">
        <f t="shared" si="126"/>
        <v>400</v>
      </c>
      <c r="O947" s="959"/>
      <c r="P947" s="967"/>
      <c r="Q947" s="586"/>
      <c r="R947" s="968"/>
      <c r="S947" s="589"/>
      <c r="T947" s="589"/>
      <c r="U947" s="589"/>
    </row>
    <row r="948" spans="1:21" x14ac:dyDescent="0.35">
      <c r="A948" s="123"/>
      <c r="B948" s="35"/>
      <c r="C948" s="151"/>
      <c r="D948" s="1687"/>
      <c r="E948" s="1688"/>
      <c r="F948" s="165"/>
      <c r="G948" s="160"/>
      <c r="H948" s="161"/>
      <c r="I948" s="166"/>
      <c r="J948" s="167"/>
      <c r="K948" s="157">
        <f t="shared" si="123"/>
        <v>100</v>
      </c>
      <c r="L948" s="157">
        <f t="shared" si="124"/>
        <v>200</v>
      </c>
      <c r="M948" s="157">
        <f t="shared" si="125"/>
        <v>300</v>
      </c>
      <c r="N948" s="157">
        <f t="shared" si="126"/>
        <v>400</v>
      </c>
      <c r="O948" s="959"/>
      <c r="P948" s="967"/>
      <c r="Q948" s="586"/>
      <c r="R948" s="968"/>
      <c r="S948" s="589"/>
      <c r="T948" s="589"/>
      <c r="U948" s="589"/>
    </row>
    <row r="949" spans="1:21" x14ac:dyDescent="0.35">
      <c r="A949" s="116"/>
      <c r="B949" s="35"/>
      <c r="C949" s="117"/>
      <c r="D949" s="1687"/>
      <c r="E949" s="1688"/>
      <c r="F949" s="159"/>
      <c r="G949" s="160"/>
      <c r="H949" s="168"/>
      <c r="I949" s="162"/>
      <c r="J949" s="164"/>
      <c r="K949" s="157">
        <f t="shared" si="123"/>
        <v>100</v>
      </c>
      <c r="L949" s="157">
        <f t="shared" si="124"/>
        <v>200</v>
      </c>
      <c r="M949" s="157">
        <f t="shared" si="125"/>
        <v>300</v>
      </c>
      <c r="N949" s="157">
        <f t="shared" si="126"/>
        <v>400</v>
      </c>
      <c r="O949" s="959"/>
      <c r="P949" s="967"/>
      <c r="Q949" s="586"/>
      <c r="R949" s="968"/>
      <c r="S949" s="589"/>
      <c r="T949" s="589"/>
      <c r="U949" s="589"/>
    </row>
    <row r="950" spans="1:21" x14ac:dyDescent="0.35">
      <c r="A950" s="116"/>
      <c r="B950" s="117"/>
      <c r="C950" s="117"/>
      <c r="D950" s="1687"/>
      <c r="E950" s="1688"/>
      <c r="F950" s="159"/>
      <c r="G950" s="160"/>
      <c r="H950" s="168"/>
      <c r="I950" s="162"/>
      <c r="J950" s="164"/>
      <c r="K950" s="157">
        <f t="shared" si="123"/>
        <v>100</v>
      </c>
      <c r="L950" s="157">
        <f t="shared" si="124"/>
        <v>200</v>
      </c>
      <c r="M950" s="157">
        <f t="shared" si="125"/>
        <v>300</v>
      </c>
      <c r="N950" s="157">
        <f t="shared" si="126"/>
        <v>400</v>
      </c>
      <c r="O950" s="959"/>
      <c r="P950" s="967"/>
      <c r="Q950" s="586"/>
      <c r="R950" s="968"/>
      <c r="S950" s="589"/>
      <c r="T950" s="589"/>
      <c r="U950" s="589"/>
    </row>
    <row r="951" spans="1:21" x14ac:dyDescent="0.35">
      <c r="A951" s="116"/>
      <c r="B951" s="117"/>
      <c r="C951" s="117"/>
      <c r="D951" s="1687"/>
      <c r="E951" s="1688"/>
      <c r="F951" s="169"/>
      <c r="G951" s="170"/>
      <c r="H951" s="171"/>
      <c r="I951" s="172"/>
      <c r="J951" s="173"/>
      <c r="K951" s="157">
        <f t="shared" si="123"/>
        <v>100</v>
      </c>
      <c r="L951" s="157">
        <f t="shared" si="124"/>
        <v>200</v>
      </c>
      <c r="M951" s="157">
        <f t="shared" si="125"/>
        <v>300</v>
      </c>
      <c r="N951" s="157">
        <f t="shared" si="126"/>
        <v>400</v>
      </c>
      <c r="O951" s="959"/>
      <c r="P951" s="967"/>
      <c r="Q951" s="586"/>
      <c r="R951" s="968"/>
      <c r="S951" s="589"/>
      <c r="T951" s="589"/>
      <c r="U951" s="589"/>
    </row>
    <row r="952" spans="1:21" ht="28.5" customHeight="1" x14ac:dyDescent="0.35">
      <c r="A952" s="116"/>
      <c r="B952" s="117"/>
      <c r="C952" s="117"/>
      <c r="D952" s="174"/>
      <c r="E952" s="175"/>
      <c r="F952" s="1689" t="s">
        <v>2</v>
      </c>
      <c r="G952" s="1689"/>
      <c r="H952" s="176">
        <f>IF(O952&gt;1,"Zielerreichung übersteigt 100%!",O952)</f>
        <v>0</v>
      </c>
      <c r="I952" s="177"/>
      <c r="J952" s="178"/>
      <c r="K952" s="157">
        <f t="shared" si="123"/>
        <v>100</v>
      </c>
      <c r="L952" s="157">
        <f t="shared" si="124"/>
        <v>200</v>
      </c>
      <c r="M952" s="157">
        <f t="shared" si="125"/>
        <v>300</v>
      </c>
      <c r="N952" s="157">
        <f t="shared" si="126"/>
        <v>400</v>
      </c>
      <c r="O952" s="959">
        <f>SUM(H940:H951)</f>
        <v>0</v>
      </c>
      <c r="P952" s="967"/>
      <c r="Q952" s="586"/>
      <c r="R952" s="968"/>
      <c r="S952" s="589"/>
      <c r="T952" s="589"/>
      <c r="U952" s="589"/>
    </row>
    <row r="953" spans="1:21" x14ac:dyDescent="0.35">
      <c r="A953" s="116"/>
      <c r="B953" s="117"/>
      <c r="C953" s="117"/>
      <c r="D953" s="179"/>
      <c r="E953" s="180"/>
      <c r="F953" s="1690" t="s">
        <v>3</v>
      </c>
      <c r="G953" s="1691"/>
      <c r="H953" s="181">
        <v>13</v>
      </c>
      <c r="I953" s="177"/>
      <c r="J953" s="178"/>
      <c r="K953" s="157">
        <f t="shared" si="123"/>
        <v>100</v>
      </c>
      <c r="L953" s="157">
        <f t="shared" si="124"/>
        <v>200</v>
      </c>
      <c r="M953" s="157">
        <f t="shared" si="125"/>
        <v>300</v>
      </c>
      <c r="N953" s="157">
        <f t="shared" si="126"/>
        <v>400</v>
      </c>
      <c r="O953" s="1030"/>
      <c r="P953" s="967"/>
      <c r="Q953" s="586"/>
      <c r="R953" s="968"/>
      <c r="S953" s="589"/>
      <c r="T953" s="589"/>
      <c r="U953" s="589"/>
    </row>
    <row r="954" spans="1:21" x14ac:dyDescent="0.35">
      <c r="A954" s="116"/>
      <c r="B954" s="117"/>
      <c r="C954" s="117"/>
      <c r="D954" s="179"/>
      <c r="E954" s="180"/>
      <c r="F954" s="1700" t="s">
        <v>5494</v>
      </c>
      <c r="G954" s="1701"/>
      <c r="H954" s="1084" t="str">
        <f>IF($H$2=1,0,"")</f>
        <v/>
      </c>
      <c r="I954" s="183"/>
      <c r="J954" s="178"/>
      <c r="K954" s="157">
        <f t="shared" si="123"/>
        <v>100</v>
      </c>
      <c r="L954" s="157">
        <f t="shared" si="124"/>
        <v>200</v>
      </c>
      <c r="M954" s="157">
        <f t="shared" si="125"/>
        <v>300</v>
      </c>
      <c r="N954" s="157">
        <f t="shared" si="126"/>
        <v>400</v>
      </c>
      <c r="O954" s="1030"/>
      <c r="P954" s="967"/>
      <c r="Q954" s="586"/>
      <c r="R954" s="968"/>
      <c r="S954" s="589"/>
      <c r="T954" s="589"/>
      <c r="U954" s="589"/>
    </row>
    <row r="955" spans="1:21" x14ac:dyDescent="0.35">
      <c r="A955" s="184"/>
      <c r="B955" s="185"/>
      <c r="C955" s="185"/>
      <c r="D955" s="179"/>
      <c r="E955" s="180"/>
      <c r="F955" s="186"/>
      <c r="G955" s="186"/>
      <c r="H955" s="187"/>
      <c r="I955" s="177"/>
      <c r="J955" s="178"/>
      <c r="K955" s="157">
        <f t="shared" si="123"/>
        <v>100</v>
      </c>
      <c r="L955" s="157">
        <f t="shared" si="124"/>
        <v>200</v>
      </c>
      <c r="M955" s="157">
        <f t="shared" si="125"/>
        <v>300</v>
      </c>
      <c r="N955" s="157">
        <f t="shared" si="126"/>
        <v>400</v>
      </c>
      <c r="O955" s="1030"/>
      <c r="P955" s="967"/>
      <c r="Q955" s="586"/>
      <c r="R955" s="968"/>
      <c r="S955" s="589"/>
      <c r="T955" s="589"/>
      <c r="U955" s="589"/>
    </row>
    <row r="956" spans="1:21" ht="15.5" x14ac:dyDescent="0.35">
      <c r="A956" s="116"/>
      <c r="B956" s="117"/>
      <c r="C956" s="1702"/>
      <c r="D956" s="1703"/>
      <c r="E956" s="234"/>
      <c r="F956" s="1704" t="s">
        <v>5</v>
      </c>
      <c r="G956" s="1704"/>
      <c r="H956" s="235">
        <f>IF(ISNUMBER(H954),H954*H952,H953*H952)</f>
        <v>0</v>
      </c>
      <c r="I956" s="236"/>
      <c r="J956" s="237"/>
      <c r="K956" s="157">
        <f t="shared" si="123"/>
        <v>100</v>
      </c>
      <c r="L956" s="157">
        <f t="shared" si="124"/>
        <v>200</v>
      </c>
      <c r="M956" s="157">
        <f t="shared" si="125"/>
        <v>300</v>
      </c>
      <c r="N956" s="157">
        <f t="shared" si="126"/>
        <v>400</v>
      </c>
      <c r="O956" s="1030"/>
      <c r="P956" s="967"/>
      <c r="Q956" s="586"/>
      <c r="R956" s="968"/>
      <c r="S956" s="589"/>
      <c r="T956" s="589"/>
      <c r="U956" s="589"/>
    </row>
    <row r="957" spans="1:21" x14ac:dyDescent="0.35">
      <c r="B957" s="185"/>
      <c r="K957" s="157">
        <f t="shared" si="123"/>
        <v>100</v>
      </c>
      <c r="L957" s="157">
        <f t="shared" si="124"/>
        <v>200</v>
      </c>
      <c r="M957" s="157">
        <f t="shared" si="125"/>
        <v>300</v>
      </c>
      <c r="N957" s="157">
        <f t="shared" si="126"/>
        <v>400</v>
      </c>
      <c r="O957" s="967"/>
      <c r="P957" s="967"/>
      <c r="Q957" s="586"/>
      <c r="R957" s="968"/>
      <c r="S957" s="589"/>
      <c r="T957" s="589"/>
      <c r="U957" s="589"/>
    </row>
    <row r="958" spans="1:21" ht="7.5" customHeight="1" x14ac:dyDescent="0.35">
      <c r="A958" s="116"/>
      <c r="B958" s="117"/>
      <c r="C958" s="117"/>
      <c r="D958" s="116"/>
      <c r="E958" s="116"/>
      <c r="F958" s="118"/>
      <c r="G958" s="119"/>
      <c r="H958" s="116"/>
      <c r="I958" s="120"/>
      <c r="J958" s="121"/>
      <c r="K958" s="157">
        <f t="shared" si="123"/>
        <v>100</v>
      </c>
      <c r="L958" s="157">
        <f t="shared" si="124"/>
        <v>200</v>
      </c>
      <c r="M958" s="157">
        <f t="shared" si="125"/>
        <v>300</v>
      </c>
      <c r="N958" s="157">
        <f t="shared" si="126"/>
        <v>400</v>
      </c>
      <c r="O958" s="968"/>
      <c r="P958" s="968"/>
      <c r="Q958" s="586"/>
      <c r="R958" s="968"/>
      <c r="S958" s="589"/>
      <c r="T958" s="589"/>
      <c r="U958" s="589"/>
    </row>
    <row r="959" spans="1:21" ht="15.5" x14ac:dyDescent="0.35">
      <c r="A959" s="124"/>
      <c r="B959" s="125"/>
      <c r="C959" s="240" t="s">
        <v>4806</v>
      </c>
      <c r="D959" s="127" t="s">
        <v>5444</v>
      </c>
      <c r="E959" s="128"/>
      <c r="F959" s="129" t="str">
        <f>IF($F$3=1,O959,"")</f>
        <v>C.4.3 Raumangebot</v>
      </c>
      <c r="G959" s="204"/>
      <c r="H959" s="205"/>
      <c r="I959" s="520" t="s">
        <v>23</v>
      </c>
      <c r="J959" s="130"/>
      <c r="K959" s="157">
        <f t="shared" si="123"/>
        <v>100</v>
      </c>
      <c r="L959" s="157">
        <f t="shared" si="124"/>
        <v>200</v>
      </c>
      <c r="M959" s="157">
        <f t="shared" si="125"/>
        <v>300</v>
      </c>
      <c r="N959" s="157">
        <f t="shared" si="126"/>
        <v>400</v>
      </c>
      <c r="O959" s="967" t="str">
        <f>CONCATENATE(C959," ",D959)</f>
        <v>C.4.3 Raumangebot</v>
      </c>
      <c r="P959" s="966"/>
      <c r="Q959" s="586"/>
      <c r="R959" s="968"/>
      <c r="S959" s="589"/>
      <c r="T959" s="589"/>
      <c r="U959" s="589"/>
    </row>
    <row r="960" spans="1:21" x14ac:dyDescent="0.35">
      <c r="A960" s="124"/>
      <c r="B960" s="134"/>
      <c r="C960" s="135"/>
      <c r="D960" s="136"/>
      <c r="E960" s="136"/>
      <c r="F960" s="137"/>
      <c r="G960" s="138"/>
      <c r="H960" s="124"/>
      <c r="I960" s="139"/>
      <c r="J960" s="140"/>
      <c r="K960" s="157">
        <f t="shared" si="123"/>
        <v>100</v>
      </c>
      <c r="L960" s="157">
        <f t="shared" si="124"/>
        <v>200</v>
      </c>
      <c r="M960" s="157">
        <f t="shared" si="125"/>
        <v>300</v>
      </c>
      <c r="N960" s="157">
        <f t="shared" si="126"/>
        <v>400</v>
      </c>
      <c r="O960" s="968"/>
      <c r="P960" s="966"/>
      <c r="Q960" s="586"/>
      <c r="R960" s="968"/>
      <c r="S960" s="589"/>
      <c r="T960" s="589"/>
      <c r="U960" s="589"/>
    </row>
    <row r="961" spans="1:21" ht="15" thickBot="1" x14ac:dyDescent="0.4">
      <c r="A961" s="142"/>
      <c r="B961" s="35"/>
      <c r="C961" s="143"/>
      <c r="D961" s="1685" t="s">
        <v>18</v>
      </c>
      <c r="E961" s="1686"/>
      <c r="F961" s="144" t="s">
        <v>19</v>
      </c>
      <c r="G961" s="145" t="s">
        <v>0</v>
      </c>
      <c r="H961" s="146" t="s">
        <v>20</v>
      </c>
      <c r="I961" s="147" t="s">
        <v>1</v>
      </c>
      <c r="J961" s="147" t="s">
        <v>4375</v>
      </c>
      <c r="K961" s="157">
        <f t="shared" si="123"/>
        <v>100</v>
      </c>
      <c r="L961" s="157">
        <f t="shared" si="124"/>
        <v>200</v>
      </c>
      <c r="M961" s="157">
        <f t="shared" si="125"/>
        <v>300</v>
      </c>
      <c r="N961" s="157">
        <f t="shared" si="126"/>
        <v>400</v>
      </c>
      <c r="O961" s="587"/>
      <c r="P961" s="1053"/>
      <c r="Q961" s="1054"/>
      <c r="R961" s="968"/>
      <c r="S961" s="589"/>
      <c r="T961" s="589"/>
      <c r="U961" s="589"/>
    </row>
    <row r="962" spans="1:21" ht="36" x14ac:dyDescent="0.35">
      <c r="A962" s="123"/>
      <c r="B962" s="35"/>
      <c r="C962" s="151"/>
      <c r="D962" s="1687" t="s">
        <v>4680</v>
      </c>
      <c r="E962" s="1688"/>
      <c r="F962" s="239" t="s">
        <v>5488</v>
      </c>
      <c r="G962" s="153">
        <f t="shared" ref="G962" si="127">IF($H$2=1,S962,IF($H$2=2,T962,U962))</f>
        <v>1</v>
      </c>
      <c r="H962" s="1080">
        <f>VLOOKUP(F962,$P$962:$Q$964,2,0)*G962</f>
        <v>0</v>
      </c>
      <c r="I962" s="155"/>
      <c r="J962" s="156"/>
      <c r="K962" s="157">
        <f t="shared" si="123"/>
        <v>100</v>
      </c>
      <c r="L962" s="157">
        <f t="shared" si="124"/>
        <v>200</v>
      </c>
      <c r="M962" s="157">
        <f t="shared" si="125"/>
        <v>300</v>
      </c>
      <c r="N962" s="157">
        <f t="shared" si="126"/>
        <v>400</v>
      </c>
      <c r="O962" s="1051" t="str">
        <f>CONCATENATE(O959," | ",F962)</f>
        <v>C.4.3 Raumangebot | Im Innenraum und halböffentlichen Freiraum sind keine Begegnungsorte mit Sitzplätzen vorhanden und zugänglich</v>
      </c>
      <c r="P962" s="1072" t="s">
        <v>5488</v>
      </c>
      <c r="Q962" s="1058">
        <v>0</v>
      </c>
      <c r="R962" s="1052"/>
      <c r="S962" s="588">
        <v>0</v>
      </c>
      <c r="T962" s="588">
        <v>0.7</v>
      </c>
      <c r="U962" s="588">
        <v>1</v>
      </c>
    </row>
    <row r="963" spans="1:21" x14ac:dyDescent="0.35">
      <c r="A963" s="123"/>
      <c r="B963" s="35"/>
      <c r="C963" s="151"/>
      <c r="D963" s="1687"/>
      <c r="E963" s="1688"/>
      <c r="F963" s="159"/>
      <c r="G963" s="160"/>
      <c r="H963" s="161"/>
      <c r="I963" s="166"/>
      <c r="J963" s="164"/>
      <c r="K963" s="157">
        <f t="shared" si="123"/>
        <v>100</v>
      </c>
      <c r="L963" s="157">
        <f t="shared" si="124"/>
        <v>200</v>
      </c>
      <c r="M963" s="157">
        <f t="shared" si="125"/>
        <v>300</v>
      </c>
      <c r="N963" s="157">
        <f t="shared" si="126"/>
        <v>400</v>
      </c>
      <c r="O963" s="1051"/>
      <c r="P963" s="1065" t="s">
        <v>5489</v>
      </c>
      <c r="Q963" s="1060">
        <v>0.3</v>
      </c>
      <c r="R963" s="1052"/>
      <c r="S963" s="589"/>
      <c r="T963" s="589"/>
      <c r="U963" s="589"/>
    </row>
    <row r="964" spans="1:21" ht="15" thickBot="1" x14ac:dyDescent="0.4">
      <c r="A964" s="123"/>
      <c r="B964" s="35"/>
      <c r="C964" s="151"/>
      <c r="D964" s="1687"/>
      <c r="E964" s="1688"/>
      <c r="F964" s="593" t="str">
        <f>IF($G$2=1,R964,"Weiteres Kriterium in der Nutzung")</f>
        <v>Weiteres Kriterium in der Nutzung</v>
      </c>
      <c r="G964" s="153">
        <f t="shared" ref="G964:G966" si="128">IF($H$2=1,S964,IF($H$2=2,T964,U964))</f>
        <v>0</v>
      </c>
      <c r="H964" s="154"/>
      <c r="I964" s="158"/>
      <c r="J964" s="156"/>
      <c r="K964" s="157">
        <f t="shared" si="123"/>
        <v>100</v>
      </c>
      <c r="L964" s="157">
        <f t="shared" si="124"/>
        <v>200</v>
      </c>
      <c r="M964" s="157">
        <f t="shared" si="125"/>
        <v>300</v>
      </c>
      <c r="N964" s="157">
        <f t="shared" si="126"/>
        <v>400</v>
      </c>
      <c r="O964" s="1051"/>
      <c r="P964" s="1073" t="s">
        <v>5490</v>
      </c>
      <c r="Q964" s="1062">
        <v>1</v>
      </c>
      <c r="R964" s="1052" t="s">
        <v>5601</v>
      </c>
      <c r="S964" s="588">
        <v>0.33</v>
      </c>
      <c r="T964" s="588">
        <v>0.1</v>
      </c>
      <c r="U964" s="588">
        <v>0</v>
      </c>
    </row>
    <row r="965" spans="1:21" x14ac:dyDescent="0.35">
      <c r="A965" s="123">
        <v>3.2</v>
      </c>
      <c r="B965" s="35"/>
      <c r="C965" s="151"/>
      <c r="D965" s="1687"/>
      <c r="E965" s="1688"/>
      <c r="F965" s="593" t="str">
        <f>IF($G$2=1,R965,"Weiteres Kriterium in der Nutzung")</f>
        <v>Weiteres Kriterium in der Nutzung</v>
      </c>
      <c r="G965" s="153">
        <f t="shared" si="128"/>
        <v>0</v>
      </c>
      <c r="H965" s="154"/>
      <c r="I965" s="158"/>
      <c r="J965" s="156"/>
      <c r="K965" s="157">
        <f t="shared" si="123"/>
        <v>100</v>
      </c>
      <c r="L965" s="157">
        <f t="shared" si="124"/>
        <v>200</v>
      </c>
      <c r="M965" s="157">
        <f t="shared" si="125"/>
        <v>300</v>
      </c>
      <c r="N965" s="157">
        <f t="shared" si="126"/>
        <v>400</v>
      </c>
      <c r="O965" s="967"/>
      <c r="P965" s="1055"/>
      <c r="Q965" s="1056"/>
      <c r="R965" s="968" t="s">
        <v>5491</v>
      </c>
      <c r="S965" s="588">
        <v>0.33</v>
      </c>
      <c r="T965" s="588">
        <v>0.1</v>
      </c>
      <c r="U965" s="588">
        <v>0</v>
      </c>
    </row>
    <row r="966" spans="1:21" x14ac:dyDescent="0.35">
      <c r="A966" s="123"/>
      <c r="B966" s="35"/>
      <c r="C966" s="151"/>
      <c r="D966" s="1687"/>
      <c r="E966" s="1688"/>
      <c r="F966" s="593" t="str">
        <f>IF($G$2=1,R966,"Weiteres Kriterium in der Nutzung")</f>
        <v>Weiteres Kriterium in der Nutzung</v>
      </c>
      <c r="G966" s="153">
        <f t="shared" si="128"/>
        <v>0</v>
      </c>
      <c r="H966" s="154"/>
      <c r="I966" s="158"/>
      <c r="J966" s="156"/>
      <c r="K966" s="157">
        <f t="shared" si="123"/>
        <v>100</v>
      </c>
      <c r="L966" s="157">
        <f t="shared" si="124"/>
        <v>200</v>
      </c>
      <c r="M966" s="157">
        <f t="shared" si="125"/>
        <v>300</v>
      </c>
      <c r="N966" s="157">
        <f t="shared" si="126"/>
        <v>400</v>
      </c>
      <c r="O966" s="967"/>
      <c r="P966" s="967"/>
      <c r="Q966" s="586"/>
      <c r="R966" s="968" t="s">
        <v>5492</v>
      </c>
      <c r="S966" s="588">
        <v>0.34</v>
      </c>
      <c r="T966" s="588">
        <v>0.1</v>
      </c>
      <c r="U966" s="588">
        <v>0</v>
      </c>
    </row>
    <row r="967" spans="1:21" x14ac:dyDescent="0.35">
      <c r="A967" s="116"/>
      <c r="B967" s="35"/>
      <c r="C967" s="117"/>
      <c r="D967" s="1687"/>
      <c r="E967" s="1688"/>
      <c r="F967" s="159"/>
      <c r="G967" s="160"/>
      <c r="H967" s="161"/>
      <c r="I967" s="162"/>
      <c r="J967" s="164"/>
      <c r="K967" s="157">
        <f t="shared" si="123"/>
        <v>100</v>
      </c>
      <c r="L967" s="157">
        <f t="shared" si="124"/>
        <v>200</v>
      </c>
      <c r="M967" s="157">
        <f t="shared" si="125"/>
        <v>300</v>
      </c>
      <c r="N967" s="157">
        <f t="shared" si="126"/>
        <v>400</v>
      </c>
      <c r="O967" s="959"/>
      <c r="P967" s="967"/>
      <c r="Q967" s="586"/>
      <c r="R967" s="968"/>
      <c r="S967" s="589"/>
      <c r="T967" s="589"/>
      <c r="U967" s="589"/>
    </row>
    <row r="968" spans="1:21" x14ac:dyDescent="0.35">
      <c r="A968" s="116"/>
      <c r="B968" s="35"/>
      <c r="C968" s="117"/>
      <c r="D968" s="1687"/>
      <c r="E968" s="1688"/>
      <c r="F968" s="159"/>
      <c r="G968" s="160"/>
      <c r="H968" s="161"/>
      <c r="I968" s="162"/>
      <c r="J968" s="164"/>
      <c r="K968" s="157">
        <f t="shared" si="123"/>
        <v>100</v>
      </c>
      <c r="L968" s="157">
        <f t="shared" si="124"/>
        <v>200</v>
      </c>
      <c r="M968" s="157">
        <f t="shared" si="125"/>
        <v>300</v>
      </c>
      <c r="N968" s="157">
        <f t="shared" si="126"/>
        <v>400</v>
      </c>
      <c r="O968" s="959"/>
      <c r="P968" s="967"/>
      <c r="Q968" s="586"/>
      <c r="R968" s="968"/>
      <c r="S968" s="589"/>
      <c r="T968" s="589"/>
      <c r="U968" s="589"/>
    </row>
    <row r="969" spans="1:21" x14ac:dyDescent="0.35">
      <c r="A969" s="116"/>
      <c r="B969" s="35"/>
      <c r="C969" s="117"/>
      <c r="D969" s="1687"/>
      <c r="E969" s="1688"/>
      <c r="F969" s="159"/>
      <c r="G969" s="160"/>
      <c r="H969" s="161"/>
      <c r="I969" s="162"/>
      <c r="J969" s="164"/>
      <c r="K969" s="157">
        <f t="shared" si="123"/>
        <v>100</v>
      </c>
      <c r="L969" s="157">
        <f t="shared" si="124"/>
        <v>200</v>
      </c>
      <c r="M969" s="157">
        <f t="shared" si="125"/>
        <v>300</v>
      </c>
      <c r="N969" s="157">
        <f t="shared" si="126"/>
        <v>400</v>
      </c>
      <c r="O969" s="959"/>
      <c r="P969" s="967"/>
      <c r="Q969" s="586"/>
      <c r="R969" s="968"/>
      <c r="S969" s="589"/>
      <c r="T969" s="589"/>
      <c r="U969" s="589"/>
    </row>
    <row r="970" spans="1:21" x14ac:dyDescent="0.35">
      <c r="A970" s="123"/>
      <c r="B970" s="35"/>
      <c r="C970" s="151"/>
      <c r="D970" s="1687"/>
      <c r="E970" s="1688"/>
      <c r="F970" s="165"/>
      <c r="G970" s="160"/>
      <c r="H970" s="161"/>
      <c r="I970" s="166"/>
      <c r="J970" s="167"/>
      <c r="K970" s="157">
        <f t="shared" si="123"/>
        <v>100</v>
      </c>
      <c r="L970" s="157">
        <f t="shared" si="124"/>
        <v>200</v>
      </c>
      <c r="M970" s="157">
        <f t="shared" si="125"/>
        <v>300</v>
      </c>
      <c r="N970" s="157">
        <f t="shared" si="126"/>
        <v>400</v>
      </c>
      <c r="O970" s="959"/>
      <c r="P970" s="967"/>
      <c r="Q970" s="586"/>
      <c r="R970" s="968"/>
      <c r="S970" s="589"/>
      <c r="T970" s="589"/>
      <c r="U970" s="589"/>
    </row>
    <row r="971" spans="1:21" x14ac:dyDescent="0.35">
      <c r="A971" s="116"/>
      <c r="B971" s="35"/>
      <c r="C971" s="117"/>
      <c r="D971" s="1687"/>
      <c r="E971" s="1688"/>
      <c r="F971" s="159"/>
      <c r="G971" s="160"/>
      <c r="H971" s="168"/>
      <c r="I971" s="162"/>
      <c r="J971" s="164"/>
      <c r="K971" s="157">
        <f t="shared" si="123"/>
        <v>100</v>
      </c>
      <c r="L971" s="157">
        <f t="shared" si="124"/>
        <v>200</v>
      </c>
      <c r="M971" s="157">
        <f t="shared" si="125"/>
        <v>300</v>
      </c>
      <c r="N971" s="157">
        <f t="shared" si="126"/>
        <v>400</v>
      </c>
      <c r="O971" s="959"/>
      <c r="P971" s="967"/>
      <c r="Q971" s="586"/>
      <c r="R971" s="968"/>
      <c r="S971" s="589"/>
      <c r="T971" s="589"/>
      <c r="U971" s="589"/>
    </row>
    <row r="972" spans="1:21" x14ac:dyDescent="0.35">
      <c r="A972" s="116"/>
      <c r="B972" s="117"/>
      <c r="C972" s="117"/>
      <c r="D972" s="1687"/>
      <c r="E972" s="1688"/>
      <c r="F972" s="159"/>
      <c r="G972" s="160"/>
      <c r="H972" s="168"/>
      <c r="I972" s="162"/>
      <c r="J972" s="164"/>
      <c r="K972" s="157">
        <f t="shared" si="123"/>
        <v>100</v>
      </c>
      <c r="L972" s="157">
        <f t="shared" si="124"/>
        <v>200</v>
      </c>
      <c r="M972" s="157">
        <f t="shared" si="125"/>
        <v>300</v>
      </c>
      <c r="N972" s="157">
        <f t="shared" si="126"/>
        <v>400</v>
      </c>
      <c r="O972" s="959"/>
      <c r="P972" s="967"/>
      <c r="Q972" s="586"/>
      <c r="R972" s="968"/>
      <c r="S972" s="589"/>
      <c r="T972" s="589"/>
      <c r="U972" s="589"/>
    </row>
    <row r="973" spans="1:21" x14ac:dyDescent="0.35">
      <c r="A973" s="116"/>
      <c r="B973" s="117"/>
      <c r="C973" s="117"/>
      <c r="D973" s="1687"/>
      <c r="E973" s="1688"/>
      <c r="F973" s="169"/>
      <c r="G973" s="170"/>
      <c r="H973" s="171"/>
      <c r="I973" s="172"/>
      <c r="J973" s="173"/>
      <c r="K973" s="157">
        <f t="shared" si="123"/>
        <v>100</v>
      </c>
      <c r="L973" s="157">
        <f t="shared" si="124"/>
        <v>200</v>
      </c>
      <c r="M973" s="157">
        <f t="shared" si="125"/>
        <v>300</v>
      </c>
      <c r="N973" s="157">
        <f t="shared" si="126"/>
        <v>400</v>
      </c>
      <c r="O973" s="959"/>
      <c r="P973" s="967"/>
      <c r="Q973" s="586"/>
      <c r="R973" s="968"/>
      <c r="S973" s="589"/>
      <c r="T973" s="589"/>
      <c r="U973" s="589"/>
    </row>
    <row r="974" spans="1:21" ht="28.5" customHeight="1" x14ac:dyDescent="0.35">
      <c r="A974" s="116"/>
      <c r="B974" s="117"/>
      <c r="C974" s="117"/>
      <c r="D974" s="174"/>
      <c r="E974" s="175"/>
      <c r="F974" s="1689" t="s">
        <v>2</v>
      </c>
      <c r="G974" s="1689"/>
      <c r="H974" s="176">
        <f>IF(O974&gt;1,"Zielerreichung übersteigt 100%!",O974)</f>
        <v>0</v>
      </c>
      <c r="I974" s="177"/>
      <c r="J974" s="178"/>
      <c r="K974" s="157">
        <f t="shared" si="123"/>
        <v>100</v>
      </c>
      <c r="L974" s="157">
        <f t="shared" si="124"/>
        <v>200</v>
      </c>
      <c r="M974" s="157">
        <f t="shared" si="125"/>
        <v>300</v>
      </c>
      <c r="N974" s="157">
        <f t="shared" si="126"/>
        <v>400</v>
      </c>
      <c r="O974" s="959">
        <f>SUM(H962:H973)</f>
        <v>0</v>
      </c>
      <c r="P974" s="967"/>
      <c r="Q974" s="586"/>
      <c r="R974" s="968"/>
      <c r="S974" s="589"/>
      <c r="T974" s="589"/>
      <c r="U974" s="589"/>
    </row>
    <row r="975" spans="1:21" x14ac:dyDescent="0.35">
      <c r="A975" s="116"/>
      <c r="B975" s="117"/>
      <c r="C975" s="117"/>
      <c r="D975" s="179"/>
      <c r="E975" s="180"/>
      <c r="F975" s="1690" t="s">
        <v>3</v>
      </c>
      <c r="G975" s="1691"/>
      <c r="H975" s="181">
        <v>18</v>
      </c>
      <c r="I975" s="177"/>
      <c r="J975" s="178"/>
      <c r="K975" s="157">
        <f t="shared" si="123"/>
        <v>100</v>
      </c>
      <c r="L975" s="157">
        <f t="shared" si="124"/>
        <v>200</v>
      </c>
      <c r="M975" s="157">
        <f t="shared" si="125"/>
        <v>300</v>
      </c>
      <c r="N975" s="157">
        <f t="shared" si="126"/>
        <v>400</v>
      </c>
      <c r="O975" s="1030"/>
      <c r="P975" s="967"/>
      <c r="Q975" s="586"/>
      <c r="R975" s="968"/>
      <c r="S975" s="589"/>
      <c r="T975" s="589"/>
      <c r="U975" s="589"/>
    </row>
    <row r="976" spans="1:21" x14ac:dyDescent="0.35">
      <c r="A976" s="116"/>
      <c r="B976" s="117"/>
      <c r="C976" s="117"/>
      <c r="D976" s="179"/>
      <c r="E976" s="180"/>
      <c r="F976" s="1692"/>
      <c r="G976" s="1693"/>
      <c r="H976" s="182"/>
      <c r="I976" s="183"/>
      <c r="J976" s="178"/>
      <c r="K976" s="157">
        <f t="shared" si="123"/>
        <v>100</v>
      </c>
      <c r="L976" s="157">
        <f t="shared" si="124"/>
        <v>200</v>
      </c>
      <c r="M976" s="157">
        <f t="shared" si="125"/>
        <v>300</v>
      </c>
      <c r="N976" s="157">
        <f t="shared" si="126"/>
        <v>400</v>
      </c>
      <c r="O976" s="1030"/>
      <c r="P976" s="967"/>
      <c r="Q976" s="586"/>
      <c r="R976" s="968"/>
      <c r="S976" s="589"/>
      <c r="T976" s="589"/>
      <c r="U976" s="589"/>
    </row>
    <row r="977" spans="1:21" x14ac:dyDescent="0.35">
      <c r="A977" s="184"/>
      <c r="B977" s="185"/>
      <c r="C977" s="185"/>
      <c r="D977" s="179"/>
      <c r="E977" s="180"/>
      <c r="F977" s="186"/>
      <c r="G977" s="186"/>
      <c r="H977" s="187"/>
      <c r="I977" s="177"/>
      <c r="J977" s="178"/>
      <c r="K977" s="157">
        <f t="shared" si="123"/>
        <v>100</v>
      </c>
      <c r="L977" s="157">
        <f t="shared" si="124"/>
        <v>200</v>
      </c>
      <c r="M977" s="157">
        <f t="shared" si="125"/>
        <v>300</v>
      </c>
      <c r="N977" s="157">
        <f t="shared" si="126"/>
        <v>400</v>
      </c>
      <c r="O977" s="1030"/>
      <c r="P977" s="967"/>
      <c r="Q977" s="586"/>
      <c r="R977" s="968"/>
      <c r="S977" s="589"/>
      <c r="T977" s="589"/>
      <c r="U977" s="589"/>
    </row>
    <row r="978" spans="1:21" ht="15.5" x14ac:dyDescent="0.35">
      <c r="A978" s="116"/>
      <c r="B978" s="117"/>
      <c r="C978" s="1702"/>
      <c r="D978" s="1703"/>
      <c r="E978" s="234"/>
      <c r="F978" s="1704" t="s">
        <v>5</v>
      </c>
      <c r="G978" s="1704"/>
      <c r="H978" s="235">
        <f>IF(ISNUMBER(H976),H976*H974,H975*H974)</f>
        <v>0</v>
      </c>
      <c r="I978" s="236"/>
      <c r="J978" s="237"/>
      <c r="K978" s="157">
        <f t="shared" si="123"/>
        <v>100</v>
      </c>
      <c r="L978" s="157">
        <f t="shared" si="124"/>
        <v>200</v>
      </c>
      <c r="M978" s="157">
        <f t="shared" si="125"/>
        <v>300</v>
      </c>
      <c r="N978" s="157">
        <f t="shared" si="126"/>
        <v>400</v>
      </c>
      <c r="O978" s="1030"/>
      <c r="P978" s="967"/>
      <c r="Q978" s="586"/>
      <c r="R978" s="968"/>
      <c r="S978" s="589"/>
      <c r="T978" s="589"/>
      <c r="U978" s="589"/>
    </row>
    <row r="979" spans="1:21" x14ac:dyDescent="0.35">
      <c r="B979" s="185"/>
      <c r="K979" s="157">
        <f t="shared" si="123"/>
        <v>100</v>
      </c>
      <c r="L979" s="157">
        <f t="shared" si="124"/>
        <v>200</v>
      </c>
      <c r="M979" s="157">
        <f t="shared" si="125"/>
        <v>300</v>
      </c>
      <c r="N979" s="157">
        <f t="shared" si="126"/>
        <v>400</v>
      </c>
      <c r="O979" s="967"/>
      <c r="P979" s="967"/>
      <c r="Q979" s="586"/>
      <c r="R979" s="968"/>
      <c r="S979" s="589"/>
      <c r="T979" s="589"/>
      <c r="U979" s="589"/>
    </row>
    <row r="980" spans="1:21" ht="7.5" customHeight="1" x14ac:dyDescent="0.35">
      <c r="A980" s="116"/>
      <c r="B980" s="117"/>
      <c r="C980" s="117"/>
      <c r="D980" s="116"/>
      <c r="E980" s="116"/>
      <c r="F980" s="118"/>
      <c r="G980" s="119"/>
      <c r="H980" s="116"/>
      <c r="I980" s="120"/>
      <c r="J980" s="121"/>
      <c r="K980" s="157">
        <f t="shared" si="123"/>
        <v>100</v>
      </c>
      <c r="L980" s="157">
        <f t="shared" si="124"/>
        <v>200</v>
      </c>
      <c r="M980" s="157">
        <f t="shared" si="125"/>
        <v>300</v>
      </c>
      <c r="N980" s="157">
        <f t="shared" si="126"/>
        <v>400</v>
      </c>
      <c r="O980" s="968"/>
      <c r="P980" s="968"/>
      <c r="Q980" s="586"/>
      <c r="R980" s="968"/>
      <c r="S980" s="589"/>
      <c r="T980" s="589"/>
      <c r="U980" s="589"/>
    </row>
    <row r="981" spans="1:21" ht="15.5" x14ac:dyDescent="0.35">
      <c r="A981" s="124"/>
      <c r="B981" s="125"/>
      <c r="C981" s="126" t="s">
        <v>4807</v>
      </c>
      <c r="D981" s="127" t="s">
        <v>5445</v>
      </c>
      <c r="E981" s="128"/>
      <c r="F981" s="129" t="str">
        <f>IF($F$3=1,O981,"")</f>
        <v>C.4.4 Dachflächen *</v>
      </c>
      <c r="G981" s="204"/>
      <c r="H981" s="205"/>
      <c r="I981" s="520" t="s">
        <v>23</v>
      </c>
      <c r="J981" s="130"/>
      <c r="K981" s="157">
        <f t="shared" si="123"/>
        <v>100</v>
      </c>
      <c r="L981" s="157">
        <f t="shared" si="124"/>
        <v>200</v>
      </c>
      <c r="M981" s="157">
        <f t="shared" si="125"/>
        <v>300</v>
      </c>
      <c r="N981" s="157">
        <f t="shared" si="126"/>
        <v>400</v>
      </c>
      <c r="O981" s="967" t="str">
        <f>CONCATENATE(C981," ",D981)</f>
        <v>C.4.4 Dachflächen *</v>
      </c>
      <c r="P981" s="966"/>
      <c r="Q981" s="586"/>
      <c r="R981" s="968"/>
      <c r="S981" s="589"/>
      <c r="T981" s="589"/>
      <c r="U981" s="589"/>
    </row>
    <row r="982" spans="1:21" x14ac:dyDescent="0.35">
      <c r="A982" s="124"/>
      <c r="B982" s="134"/>
      <c r="C982" s="135"/>
      <c r="D982" s="136"/>
      <c r="E982" s="136"/>
      <c r="F982" s="137"/>
      <c r="G982" s="138"/>
      <c r="H982" s="124"/>
      <c r="I982" s="139"/>
      <c r="J982" s="140"/>
      <c r="K982" s="157">
        <f t="shared" si="123"/>
        <v>100</v>
      </c>
      <c r="L982" s="157">
        <f t="shared" si="124"/>
        <v>200</v>
      </c>
      <c r="M982" s="157">
        <f t="shared" si="125"/>
        <v>300</v>
      </c>
      <c r="N982" s="157">
        <f t="shared" si="126"/>
        <v>400</v>
      </c>
      <c r="O982" s="968"/>
      <c r="P982" s="966"/>
      <c r="Q982" s="586"/>
      <c r="R982" s="968"/>
      <c r="S982" s="589"/>
      <c r="T982" s="589"/>
      <c r="U982" s="589"/>
    </row>
    <row r="983" spans="1:21" x14ac:dyDescent="0.35">
      <c r="A983" s="142"/>
      <c r="B983" s="35"/>
      <c r="C983" s="143"/>
      <c r="D983" s="1685" t="s">
        <v>18</v>
      </c>
      <c r="E983" s="1686"/>
      <c r="F983" s="144" t="s">
        <v>19</v>
      </c>
      <c r="G983" s="145" t="s">
        <v>0</v>
      </c>
      <c r="H983" s="146" t="s">
        <v>20</v>
      </c>
      <c r="I983" s="147" t="s">
        <v>1</v>
      </c>
      <c r="J983" s="147" t="s">
        <v>4375</v>
      </c>
      <c r="K983" s="157">
        <f t="shared" si="123"/>
        <v>100</v>
      </c>
      <c r="L983" s="157">
        <f t="shared" si="124"/>
        <v>200</v>
      </c>
      <c r="M983" s="157">
        <f t="shared" si="125"/>
        <v>300</v>
      </c>
      <c r="N983" s="157">
        <f t="shared" si="126"/>
        <v>400</v>
      </c>
      <c r="O983" s="587"/>
      <c r="P983" s="967"/>
      <c r="Q983" s="586"/>
      <c r="R983" s="968"/>
      <c r="S983" s="589"/>
      <c r="T983" s="589"/>
      <c r="U983" s="589"/>
    </row>
    <row r="984" spans="1:21" ht="24" x14ac:dyDescent="0.35">
      <c r="A984" s="123"/>
      <c r="B984" s="35"/>
      <c r="C984" s="151"/>
      <c r="D984" s="1687" t="s">
        <v>5276</v>
      </c>
      <c r="E984" s="1688"/>
      <c r="F984" s="152" t="s">
        <v>5608</v>
      </c>
      <c r="G984" s="153">
        <f t="shared" ref="G984:G985" si="129">IF($H$2=1,S984,IF($H$2=2,T984,U984))</f>
        <v>0.5</v>
      </c>
      <c r="H984" s="1050">
        <f>'RH Gebäude'!AE20</f>
        <v>0</v>
      </c>
      <c r="I984" s="155"/>
      <c r="J984" s="156"/>
      <c r="K984" s="157">
        <f t="shared" si="123"/>
        <v>100</v>
      </c>
      <c r="L984" s="157">
        <f t="shared" si="124"/>
        <v>200</v>
      </c>
      <c r="M984" s="157">
        <f t="shared" si="125"/>
        <v>300</v>
      </c>
      <c r="N984" s="157">
        <f t="shared" si="126"/>
        <v>400</v>
      </c>
      <c r="O984" s="967" t="str">
        <f>CONCATENATE(O981," | ",F984)</f>
        <v>C.4.4 Dachflächen * | 10% der Dachflächen sind für die Arealbewohner:innen (halböffentlich) zugänglich</v>
      </c>
      <c r="P984" s="967"/>
      <c r="Q984" s="586"/>
      <c r="R984" s="968"/>
      <c r="S984" s="588">
        <v>0</v>
      </c>
      <c r="T984" s="588">
        <v>0.35</v>
      </c>
      <c r="U984" s="588">
        <v>0.5</v>
      </c>
    </row>
    <row r="985" spans="1:21" x14ac:dyDescent="0.35">
      <c r="A985" s="123"/>
      <c r="B985" s="35"/>
      <c r="C985" s="151"/>
      <c r="D985" s="1687"/>
      <c r="E985" s="1688"/>
      <c r="F985" s="152" t="s">
        <v>4730</v>
      </c>
      <c r="G985" s="153">
        <f t="shared" si="129"/>
        <v>0.5</v>
      </c>
      <c r="H985" s="154"/>
      <c r="I985" s="155"/>
      <c r="J985" s="156"/>
      <c r="K985" s="157">
        <f t="shared" si="123"/>
        <v>100</v>
      </c>
      <c r="L985" s="157">
        <f t="shared" si="124"/>
        <v>200</v>
      </c>
      <c r="M985" s="157">
        <f t="shared" si="125"/>
        <v>300</v>
      </c>
      <c r="N985" s="157">
        <f t="shared" si="126"/>
        <v>400</v>
      </c>
      <c r="O985" s="967" t="str">
        <f>CONCATENATE(O981," | ",F985)</f>
        <v>C.4.4 Dachflächen * | Ausgewählte Dachflächen sind öffentlich zugänglich</v>
      </c>
      <c r="P985" s="967"/>
      <c r="Q985" s="586"/>
      <c r="R985" s="968"/>
      <c r="S985" s="588">
        <v>0</v>
      </c>
      <c r="T985" s="588">
        <v>0.35</v>
      </c>
      <c r="U985" s="588">
        <v>0.5</v>
      </c>
    </row>
    <row r="986" spans="1:21" x14ac:dyDescent="0.35">
      <c r="A986" s="123"/>
      <c r="B986" s="35"/>
      <c r="C986" s="151"/>
      <c r="D986" s="1687"/>
      <c r="E986" s="1688"/>
      <c r="F986" s="159"/>
      <c r="G986" s="160"/>
      <c r="H986" s="161"/>
      <c r="I986" s="162"/>
      <c r="J986" s="164"/>
      <c r="K986" s="157">
        <f t="shared" si="123"/>
        <v>100</v>
      </c>
      <c r="L986" s="157">
        <f t="shared" si="124"/>
        <v>200</v>
      </c>
      <c r="M986" s="157">
        <f t="shared" si="125"/>
        <v>300</v>
      </c>
      <c r="N986" s="157">
        <f t="shared" si="126"/>
        <v>400</v>
      </c>
      <c r="O986" s="967"/>
      <c r="P986" s="967"/>
      <c r="Q986" s="586"/>
      <c r="R986" s="968"/>
      <c r="S986" s="589"/>
      <c r="T986" s="589"/>
      <c r="U986" s="589"/>
    </row>
    <row r="987" spans="1:21" x14ac:dyDescent="0.35">
      <c r="A987" s="123">
        <v>3.2</v>
      </c>
      <c r="B987" s="35"/>
      <c r="C987" s="151"/>
      <c r="D987" s="1687"/>
      <c r="E987" s="1688"/>
      <c r="F987" s="593" t="str">
        <f>IF($G$2=1,R987,"Weiteres Kriterium in der Nutzung")</f>
        <v>Weiteres Kriterium in der Nutzung</v>
      </c>
      <c r="G987" s="153">
        <f t="shared" ref="G987:G989" si="130">IF($H$2=1,S987,IF($H$2=2,T987,U987))</f>
        <v>0</v>
      </c>
      <c r="H987" s="154"/>
      <c r="I987" s="158"/>
      <c r="J987" s="156"/>
      <c r="K987" s="157">
        <f t="shared" si="123"/>
        <v>100</v>
      </c>
      <c r="L987" s="157">
        <f t="shared" si="124"/>
        <v>200</v>
      </c>
      <c r="M987" s="157">
        <f t="shared" si="125"/>
        <v>300</v>
      </c>
      <c r="N987" s="157">
        <f t="shared" si="126"/>
        <v>400</v>
      </c>
      <c r="O987" s="967"/>
      <c r="P987" s="967"/>
      <c r="Q987" s="586"/>
      <c r="R987" s="1052" t="s">
        <v>5602</v>
      </c>
      <c r="S987" s="588">
        <v>0.33</v>
      </c>
      <c r="T987" s="588">
        <v>0.1</v>
      </c>
      <c r="U987" s="595">
        <v>0</v>
      </c>
    </row>
    <row r="988" spans="1:21" x14ac:dyDescent="0.35">
      <c r="A988" s="123"/>
      <c r="B988" s="35"/>
      <c r="C988" s="151"/>
      <c r="D988" s="1687"/>
      <c r="E988" s="1688"/>
      <c r="F988" s="593" t="str">
        <f>IF($G$2=1,R988,"Weiteres Kriterium in der Nutzung")</f>
        <v>Weiteres Kriterium in der Nutzung</v>
      </c>
      <c r="G988" s="153">
        <f t="shared" si="130"/>
        <v>0</v>
      </c>
      <c r="H988" s="154"/>
      <c r="I988" s="158"/>
      <c r="J988" s="156"/>
      <c r="K988" s="157">
        <f t="shared" si="123"/>
        <v>100</v>
      </c>
      <c r="L988" s="157">
        <f t="shared" si="124"/>
        <v>200</v>
      </c>
      <c r="M988" s="157">
        <f t="shared" si="125"/>
        <v>300</v>
      </c>
      <c r="N988" s="157">
        <f t="shared" si="126"/>
        <v>400</v>
      </c>
      <c r="O988" s="967"/>
      <c r="P988" s="967"/>
      <c r="Q988" s="586"/>
      <c r="R988" s="968" t="s">
        <v>5491</v>
      </c>
      <c r="S988" s="588">
        <v>0.33</v>
      </c>
      <c r="T988" s="588">
        <v>0.1</v>
      </c>
      <c r="U988" s="595">
        <v>0</v>
      </c>
    </row>
    <row r="989" spans="1:21" x14ac:dyDescent="0.35">
      <c r="A989" s="116"/>
      <c r="B989" s="35"/>
      <c r="C989" s="117"/>
      <c r="D989" s="1687"/>
      <c r="E989" s="1688"/>
      <c r="F989" s="593" t="str">
        <f>IF($G$2=1,R989,"Weiteres Kriterium in der Nutzung")</f>
        <v>Weiteres Kriterium in der Nutzung</v>
      </c>
      <c r="G989" s="153">
        <f t="shared" si="130"/>
        <v>0</v>
      </c>
      <c r="H989" s="154"/>
      <c r="I989" s="158"/>
      <c r="J989" s="156"/>
      <c r="K989" s="157">
        <f t="shared" si="123"/>
        <v>100</v>
      </c>
      <c r="L989" s="157">
        <f t="shared" si="124"/>
        <v>200</v>
      </c>
      <c r="M989" s="157">
        <f t="shared" si="125"/>
        <v>300</v>
      </c>
      <c r="N989" s="157">
        <f t="shared" si="126"/>
        <v>400</v>
      </c>
      <c r="O989" s="959"/>
      <c r="P989" s="967"/>
      <c r="Q989" s="586"/>
      <c r="R989" s="968" t="s">
        <v>5492</v>
      </c>
      <c r="S989" s="588">
        <v>0.34</v>
      </c>
      <c r="T989" s="588">
        <v>0.1</v>
      </c>
      <c r="U989" s="595">
        <v>0</v>
      </c>
    </row>
    <row r="990" spans="1:21" x14ac:dyDescent="0.35">
      <c r="A990" s="116"/>
      <c r="B990" s="35"/>
      <c r="C990" s="117"/>
      <c r="D990" s="1687"/>
      <c r="E990" s="1688"/>
      <c r="F990" s="159"/>
      <c r="G990" s="160"/>
      <c r="H990" s="161"/>
      <c r="I990" s="162"/>
      <c r="J990" s="164"/>
      <c r="K990" s="157">
        <f t="shared" si="123"/>
        <v>100</v>
      </c>
      <c r="L990" s="157">
        <f t="shared" si="124"/>
        <v>200</v>
      </c>
      <c r="M990" s="157">
        <f t="shared" si="125"/>
        <v>300</v>
      </c>
      <c r="N990" s="157">
        <f t="shared" si="126"/>
        <v>400</v>
      </c>
      <c r="O990" s="959"/>
      <c r="P990" s="967"/>
      <c r="Q990" s="586"/>
      <c r="R990" s="968"/>
      <c r="S990" s="589"/>
      <c r="T990" s="589"/>
      <c r="U990" s="589"/>
    </row>
    <row r="991" spans="1:21" x14ac:dyDescent="0.35">
      <c r="A991" s="116"/>
      <c r="B991" s="35"/>
      <c r="C991" s="117"/>
      <c r="D991" s="1687"/>
      <c r="E991" s="1688"/>
      <c r="F991" s="1083" t="s">
        <v>5486</v>
      </c>
      <c r="G991" s="1082" t="s">
        <v>2048</v>
      </c>
      <c r="H991" s="161"/>
      <c r="I991" s="162"/>
      <c r="J991" s="164"/>
      <c r="K991" s="157">
        <f t="shared" si="123"/>
        <v>100</v>
      </c>
      <c r="L991" s="157">
        <f t="shared" si="124"/>
        <v>200</v>
      </c>
      <c r="M991" s="157">
        <f t="shared" si="125"/>
        <v>300</v>
      </c>
      <c r="N991" s="157">
        <f t="shared" si="126"/>
        <v>400</v>
      </c>
      <c r="O991" s="959"/>
      <c r="P991" s="967"/>
      <c r="Q991" s="586"/>
      <c r="R991" s="968"/>
      <c r="S991" s="589"/>
      <c r="T991" s="589"/>
      <c r="U991" s="589"/>
    </row>
    <row r="992" spans="1:21" x14ac:dyDescent="0.35">
      <c r="A992" s="123"/>
      <c r="B992" s="35"/>
      <c r="C992" s="151"/>
      <c r="D992" s="1687"/>
      <c r="E992" s="1688"/>
      <c r="F992" s="1083" t="s">
        <v>5487</v>
      </c>
      <c r="G992" s="1082" t="s">
        <v>2048</v>
      </c>
      <c r="H992" s="161"/>
      <c r="I992" s="166"/>
      <c r="J992" s="167"/>
      <c r="K992" s="157">
        <f t="shared" si="123"/>
        <v>100</v>
      </c>
      <c r="L992" s="157">
        <f t="shared" si="124"/>
        <v>200</v>
      </c>
      <c r="M992" s="157">
        <f t="shared" si="125"/>
        <v>300</v>
      </c>
      <c r="N992" s="157">
        <f t="shared" si="126"/>
        <v>400</v>
      </c>
      <c r="O992" s="959"/>
      <c r="P992" s="967"/>
      <c r="Q992" s="586"/>
      <c r="R992" s="968"/>
      <c r="S992" s="589"/>
      <c r="T992" s="589"/>
      <c r="U992" s="589"/>
    </row>
    <row r="993" spans="1:21" x14ac:dyDescent="0.35">
      <c r="A993" s="116"/>
      <c r="B993" s="35"/>
      <c r="C993" s="117"/>
      <c r="D993" s="1687"/>
      <c r="E993" s="1688"/>
      <c r="F993" s="159"/>
      <c r="G993" s="160"/>
      <c r="H993" s="168"/>
      <c r="I993" s="162"/>
      <c r="J993" s="164"/>
      <c r="K993" s="157">
        <f t="shared" si="123"/>
        <v>100</v>
      </c>
      <c r="L993" s="157">
        <f t="shared" si="124"/>
        <v>200</v>
      </c>
      <c r="M993" s="157">
        <f t="shared" si="125"/>
        <v>300</v>
      </c>
      <c r="N993" s="157">
        <f t="shared" si="126"/>
        <v>400</v>
      </c>
      <c r="O993" s="959"/>
      <c r="P993" s="967"/>
      <c r="Q993" s="586"/>
      <c r="R993" s="968"/>
      <c r="S993" s="589"/>
      <c r="T993" s="589"/>
      <c r="U993" s="589"/>
    </row>
    <row r="994" spans="1:21" x14ac:dyDescent="0.35">
      <c r="A994" s="116"/>
      <c r="B994" s="117"/>
      <c r="C994" s="117"/>
      <c r="D994" s="1687"/>
      <c r="E994" s="1688"/>
      <c r="F994" s="159"/>
      <c r="G994" s="160"/>
      <c r="H994" s="168"/>
      <c r="I994" s="162"/>
      <c r="J994" s="164"/>
      <c r="K994" s="157">
        <f t="shared" si="123"/>
        <v>100</v>
      </c>
      <c r="L994" s="157">
        <f t="shared" si="124"/>
        <v>200</v>
      </c>
      <c r="M994" s="157">
        <f t="shared" si="125"/>
        <v>300</v>
      </c>
      <c r="N994" s="157">
        <f t="shared" si="126"/>
        <v>400</v>
      </c>
      <c r="O994" s="959"/>
      <c r="P994" s="967"/>
      <c r="Q994" s="586"/>
      <c r="R994" s="968"/>
      <c r="S994" s="589"/>
      <c r="T994" s="589"/>
      <c r="U994" s="589"/>
    </row>
    <row r="995" spans="1:21" x14ac:dyDescent="0.35">
      <c r="A995" s="116"/>
      <c r="B995" s="117"/>
      <c r="C995" s="117"/>
      <c r="D995" s="1687"/>
      <c r="E995" s="1688"/>
      <c r="F995" s="169"/>
      <c r="G995" s="170"/>
      <c r="H995" s="171"/>
      <c r="I995" s="172"/>
      <c r="J995" s="173"/>
      <c r="K995" s="157">
        <f t="shared" si="123"/>
        <v>100</v>
      </c>
      <c r="L995" s="157">
        <f t="shared" si="124"/>
        <v>200</v>
      </c>
      <c r="M995" s="157">
        <f t="shared" si="125"/>
        <v>300</v>
      </c>
      <c r="N995" s="157">
        <f t="shared" si="126"/>
        <v>400</v>
      </c>
      <c r="O995" s="959"/>
      <c r="P995" s="967"/>
      <c r="Q995" s="586"/>
      <c r="R995" s="968"/>
      <c r="S995" s="589"/>
      <c r="T995" s="589"/>
      <c r="U995" s="589"/>
    </row>
    <row r="996" spans="1:21" ht="28.5" customHeight="1" x14ac:dyDescent="0.35">
      <c r="A996" s="116"/>
      <c r="B996" s="117"/>
      <c r="C996" s="117"/>
      <c r="D996" s="174"/>
      <c r="E996" s="175"/>
      <c r="F996" s="1689" t="s">
        <v>2</v>
      </c>
      <c r="G996" s="1689"/>
      <c r="H996" s="176">
        <f>IF(O996&gt;1,"Zielerreichung übersteigt 100%!",O996)</f>
        <v>0</v>
      </c>
      <c r="I996" s="177"/>
      <c r="J996" s="178"/>
      <c r="K996" s="157">
        <f t="shared" si="123"/>
        <v>100</v>
      </c>
      <c r="L996" s="157">
        <f t="shared" si="124"/>
        <v>200</v>
      </c>
      <c r="M996" s="157">
        <f t="shared" si="125"/>
        <v>300</v>
      </c>
      <c r="N996" s="157">
        <f t="shared" si="126"/>
        <v>400</v>
      </c>
      <c r="O996" s="959">
        <f>SUM(H984:H995)</f>
        <v>0</v>
      </c>
      <c r="P996" s="967"/>
      <c r="Q996" s="586"/>
      <c r="R996" s="968"/>
      <c r="S996" s="589"/>
      <c r="T996" s="589"/>
      <c r="U996" s="589"/>
    </row>
    <row r="997" spans="1:21" x14ac:dyDescent="0.35">
      <c r="A997" s="116"/>
      <c r="B997" s="117"/>
      <c r="C997" s="117"/>
      <c r="D997" s="179"/>
      <c r="E997" s="180"/>
      <c r="F997" s="1690" t="s">
        <v>3</v>
      </c>
      <c r="G997" s="1691"/>
      <c r="H997" s="181">
        <v>13</v>
      </c>
      <c r="I997" s="1"/>
      <c r="J997" s="178"/>
      <c r="K997" s="157">
        <f t="shared" si="123"/>
        <v>100</v>
      </c>
      <c r="L997" s="157">
        <f t="shared" si="124"/>
        <v>200</v>
      </c>
      <c r="M997" s="157">
        <f t="shared" si="125"/>
        <v>300</v>
      </c>
      <c r="N997" s="157">
        <f t="shared" si="126"/>
        <v>400</v>
      </c>
      <c r="O997" s="1030"/>
      <c r="P997" s="967"/>
      <c r="Q997" s="586"/>
      <c r="R997" s="968"/>
      <c r="S997" s="589"/>
      <c r="T997" s="589"/>
      <c r="U997" s="589"/>
    </row>
    <row r="998" spans="1:21" x14ac:dyDescent="0.35">
      <c r="A998" s="116"/>
      <c r="B998" s="117"/>
      <c r="C998" s="117"/>
      <c r="D998" s="179"/>
      <c r="E998" s="180"/>
      <c r="F998" s="1700" t="s">
        <v>4</v>
      </c>
      <c r="G998" s="1701"/>
      <c r="H998" s="1089" t="str">
        <f>IF(AND(G991="ja",G992="ja"),0,(IF(G991="ja",6.5,"")))</f>
        <v/>
      </c>
      <c r="I998" s="206"/>
      <c r="J998" s="178"/>
      <c r="K998" s="157">
        <f t="shared" si="123"/>
        <v>100</v>
      </c>
      <c r="L998" s="157">
        <f t="shared" si="124"/>
        <v>200</v>
      </c>
      <c r="M998" s="157">
        <f t="shared" si="125"/>
        <v>300</v>
      </c>
      <c r="N998" s="157">
        <f t="shared" si="126"/>
        <v>400</v>
      </c>
      <c r="O998" s="1030"/>
      <c r="P998" s="967"/>
      <c r="Q998" s="586"/>
      <c r="R998" s="968"/>
      <c r="S998" s="589"/>
      <c r="T998" s="589"/>
      <c r="U998" s="589"/>
    </row>
    <row r="999" spans="1:21" x14ac:dyDescent="0.35">
      <c r="A999" s="184"/>
      <c r="B999" s="185"/>
      <c r="C999" s="185"/>
      <c r="D999" s="179"/>
      <c r="E999" s="180"/>
      <c r="F999" s="186"/>
      <c r="G999" s="186"/>
      <c r="H999" s="187"/>
      <c r="I999" s="177"/>
      <c r="J999" s="178"/>
      <c r="K999" s="157">
        <f t="shared" si="123"/>
        <v>100</v>
      </c>
      <c r="L999" s="157">
        <f t="shared" si="124"/>
        <v>200</v>
      </c>
      <c r="M999" s="157">
        <f t="shared" si="125"/>
        <v>300</v>
      </c>
      <c r="N999" s="157">
        <f t="shared" si="126"/>
        <v>400</v>
      </c>
      <c r="O999" s="1030"/>
      <c r="P999" s="967"/>
      <c r="Q999" s="586"/>
      <c r="R999" s="968"/>
      <c r="S999" s="589"/>
      <c r="T999" s="589"/>
      <c r="U999" s="589"/>
    </row>
    <row r="1000" spans="1:21" ht="15.5" x14ac:dyDescent="0.35">
      <c r="A1000" s="116"/>
      <c r="B1000" s="117"/>
      <c r="C1000" s="1702"/>
      <c r="D1000" s="1703"/>
      <c r="E1000" s="234"/>
      <c r="F1000" s="1704" t="s">
        <v>5</v>
      </c>
      <c r="G1000" s="1704"/>
      <c r="H1000" s="235">
        <f>IF(ISNUMBER(H998),H998*H996,H997*H996)</f>
        <v>0</v>
      </c>
      <c r="I1000" s="236"/>
      <c r="J1000" s="237"/>
      <c r="K1000" s="157">
        <f t="shared" si="123"/>
        <v>100</v>
      </c>
      <c r="L1000" s="157">
        <f t="shared" si="124"/>
        <v>200</v>
      </c>
      <c r="M1000" s="157">
        <f t="shared" si="125"/>
        <v>300</v>
      </c>
      <c r="N1000" s="157">
        <f t="shared" si="126"/>
        <v>400</v>
      </c>
      <c r="O1000" s="1030"/>
      <c r="P1000" s="967"/>
      <c r="Q1000" s="586"/>
      <c r="R1000" s="968"/>
      <c r="S1000" s="589"/>
      <c r="T1000" s="589"/>
      <c r="U1000" s="589"/>
    </row>
    <row r="1001" spans="1:21" x14ac:dyDescent="0.35">
      <c r="B1001" s="185"/>
      <c r="K1001" s="157">
        <f t="shared" si="123"/>
        <v>100</v>
      </c>
      <c r="L1001" s="157">
        <f t="shared" si="124"/>
        <v>200</v>
      </c>
      <c r="M1001" s="157">
        <f t="shared" si="125"/>
        <v>300</v>
      </c>
      <c r="N1001" s="157">
        <f t="shared" si="126"/>
        <v>400</v>
      </c>
      <c r="O1001" s="967"/>
      <c r="P1001" s="967"/>
      <c r="Q1001" s="586"/>
      <c r="R1001" s="968"/>
      <c r="S1001" s="589"/>
      <c r="T1001" s="589"/>
      <c r="U1001" s="589"/>
    </row>
    <row r="1002" spans="1:21" ht="7.5" customHeight="1" x14ac:dyDescent="0.35">
      <c r="A1002" s="116"/>
      <c r="B1002" s="117"/>
      <c r="C1002" s="117"/>
      <c r="D1002" s="116"/>
      <c r="E1002" s="116"/>
      <c r="F1002" s="118"/>
      <c r="G1002" s="119"/>
      <c r="H1002" s="116"/>
      <c r="I1002" s="120"/>
      <c r="J1002" s="121"/>
      <c r="K1002" s="157">
        <f t="shared" si="123"/>
        <v>100</v>
      </c>
      <c r="L1002" s="157">
        <f t="shared" si="124"/>
        <v>200</v>
      </c>
      <c r="M1002" s="157">
        <f t="shared" si="125"/>
        <v>300</v>
      </c>
      <c r="N1002" s="157">
        <f t="shared" si="126"/>
        <v>400</v>
      </c>
      <c r="O1002" s="968"/>
      <c r="P1002" s="968"/>
      <c r="Q1002" s="586"/>
      <c r="R1002" s="968"/>
      <c r="S1002" s="589"/>
      <c r="T1002" s="589"/>
      <c r="U1002" s="589"/>
    </row>
    <row r="1003" spans="1:21" ht="15.5" x14ac:dyDescent="0.35">
      <c r="A1003" s="208"/>
      <c r="B1003" s="227" t="s">
        <v>4809</v>
      </c>
      <c r="C1003" s="227" t="s">
        <v>4348</v>
      </c>
      <c r="D1003" s="228"/>
      <c r="E1003" s="228"/>
      <c r="F1003" s="229" t="str">
        <f>IF($F$3=1,O1003,"")</f>
        <v>C.5 Freiraum</v>
      </c>
      <c r="G1003" s="230"/>
      <c r="H1003" s="231"/>
      <c r="I1003" s="232"/>
      <c r="J1003" s="233"/>
      <c r="K1003" s="157">
        <f t="shared" si="123"/>
        <v>100</v>
      </c>
      <c r="L1003" s="157">
        <f t="shared" si="124"/>
        <v>200</v>
      </c>
      <c r="M1003" s="157">
        <f t="shared" si="125"/>
        <v>300</v>
      </c>
      <c r="N1003" s="157">
        <f t="shared" si="126"/>
        <v>400</v>
      </c>
      <c r="O1003" s="967" t="str">
        <f>CONCATENATE(B1003," ",C1003)</f>
        <v>C.5 Freiraum</v>
      </c>
      <c r="P1003" s="958"/>
      <c r="Q1003" s="586"/>
      <c r="R1003" s="968"/>
      <c r="S1003" s="589"/>
      <c r="T1003" s="589"/>
      <c r="U1003" s="589"/>
    </row>
    <row r="1004" spans="1:21" x14ac:dyDescent="0.35">
      <c r="K1004" s="157">
        <f t="shared" ref="K1004:K1067" si="131">IF($J1004=$K$41,K1003+1,K1003+0)</f>
        <v>100</v>
      </c>
      <c r="L1004" s="157">
        <f t="shared" ref="L1004:L1067" si="132">IF($J1004=$L$41,L1003+1,L1003+0)</f>
        <v>200</v>
      </c>
      <c r="M1004" s="157">
        <f t="shared" ref="M1004:M1067" si="133">IF($J1004=$M$41,M1003+1,M1003+0)</f>
        <v>300</v>
      </c>
      <c r="N1004" s="157">
        <f t="shared" ref="N1004:N1067" si="134">IF($J1004=$N$41,N1003+1,N1003+0)</f>
        <v>400</v>
      </c>
      <c r="O1004" s="967"/>
      <c r="P1004" s="967"/>
      <c r="Q1004" s="586"/>
      <c r="R1004" s="968"/>
      <c r="S1004" s="589"/>
      <c r="T1004" s="589"/>
      <c r="U1004" s="589"/>
    </row>
    <row r="1005" spans="1:21" ht="7.5" customHeight="1" x14ac:dyDescent="0.35">
      <c r="A1005" s="116"/>
      <c r="B1005" s="117"/>
      <c r="C1005" s="117"/>
      <c r="D1005" s="116"/>
      <c r="E1005" s="116"/>
      <c r="F1005" s="118"/>
      <c r="G1005" s="119"/>
      <c r="H1005" s="116"/>
      <c r="I1005" s="120"/>
      <c r="J1005" s="121"/>
      <c r="K1005" s="157">
        <f t="shared" si="131"/>
        <v>100</v>
      </c>
      <c r="L1005" s="157">
        <f t="shared" si="132"/>
        <v>200</v>
      </c>
      <c r="M1005" s="157">
        <f t="shared" si="133"/>
        <v>300</v>
      </c>
      <c r="N1005" s="157">
        <f t="shared" si="134"/>
        <v>400</v>
      </c>
      <c r="O1005" s="968"/>
      <c r="P1005" s="968"/>
      <c r="Q1005" s="586"/>
      <c r="R1005" s="968"/>
      <c r="S1005" s="589"/>
      <c r="T1005" s="589"/>
      <c r="U1005" s="589"/>
    </row>
    <row r="1006" spans="1:21" ht="15.5" x14ac:dyDescent="0.35">
      <c r="A1006" s="124"/>
      <c r="B1006" s="125"/>
      <c r="C1006" s="126" t="s">
        <v>4808</v>
      </c>
      <c r="D1006" s="127" t="s">
        <v>5446</v>
      </c>
      <c r="E1006" s="128"/>
      <c r="F1006" s="129" t="str">
        <f>IF($F$3=1,O1006,"")</f>
        <v>C.5.1 Angebote für Erholung und Freiraum</v>
      </c>
      <c r="G1006" s="204"/>
      <c r="H1006" s="205"/>
      <c r="I1006" s="520" t="s">
        <v>23</v>
      </c>
      <c r="J1006" s="130"/>
      <c r="K1006" s="157">
        <f t="shared" si="131"/>
        <v>100</v>
      </c>
      <c r="L1006" s="157">
        <f t="shared" si="132"/>
        <v>200</v>
      </c>
      <c r="M1006" s="157">
        <f t="shared" si="133"/>
        <v>300</v>
      </c>
      <c r="N1006" s="157">
        <f t="shared" si="134"/>
        <v>400</v>
      </c>
      <c r="O1006" s="967" t="str">
        <f>CONCATENATE(C1006," ",D1006)</f>
        <v>C.5.1 Angebote für Erholung und Freiraum</v>
      </c>
      <c r="P1006" s="966"/>
      <c r="Q1006" s="586"/>
      <c r="R1006" s="968"/>
      <c r="S1006" s="589"/>
      <c r="T1006" s="589"/>
      <c r="U1006" s="589"/>
    </row>
    <row r="1007" spans="1:21" x14ac:dyDescent="0.35">
      <c r="A1007" s="124"/>
      <c r="B1007" s="134"/>
      <c r="C1007" s="135"/>
      <c r="D1007" s="136"/>
      <c r="E1007" s="136"/>
      <c r="F1007" s="137"/>
      <c r="G1007" s="138"/>
      <c r="H1007" s="124"/>
      <c r="I1007" s="139"/>
      <c r="J1007" s="140"/>
      <c r="K1007" s="157">
        <f t="shared" si="131"/>
        <v>100</v>
      </c>
      <c r="L1007" s="157">
        <f t="shared" si="132"/>
        <v>200</v>
      </c>
      <c r="M1007" s="157">
        <f t="shared" si="133"/>
        <v>300</v>
      </c>
      <c r="N1007" s="157">
        <f t="shared" si="134"/>
        <v>400</v>
      </c>
      <c r="O1007" s="968"/>
      <c r="P1007" s="966"/>
      <c r="Q1007" s="586"/>
      <c r="R1007" s="968"/>
      <c r="S1007" s="589"/>
      <c r="T1007" s="589"/>
      <c r="U1007" s="589"/>
    </row>
    <row r="1008" spans="1:21" ht="15" thickBot="1" x14ac:dyDescent="0.4">
      <c r="A1008" s="142"/>
      <c r="B1008" s="35"/>
      <c r="C1008" s="143"/>
      <c r="D1008" s="1685" t="s">
        <v>18</v>
      </c>
      <c r="E1008" s="1686"/>
      <c r="F1008" s="144" t="s">
        <v>19</v>
      </c>
      <c r="G1008" s="145" t="s">
        <v>0</v>
      </c>
      <c r="H1008" s="146" t="s">
        <v>20</v>
      </c>
      <c r="I1008" s="147" t="s">
        <v>1</v>
      </c>
      <c r="J1008" s="147" t="s">
        <v>4375</v>
      </c>
      <c r="K1008" s="157">
        <f t="shared" si="131"/>
        <v>100</v>
      </c>
      <c r="L1008" s="157">
        <f t="shared" si="132"/>
        <v>200</v>
      </c>
      <c r="M1008" s="157">
        <f t="shared" si="133"/>
        <v>300</v>
      </c>
      <c r="N1008" s="157">
        <f t="shared" si="134"/>
        <v>400</v>
      </c>
      <c r="O1008" s="587"/>
      <c r="P1008" s="1053"/>
      <c r="Q1008" s="1054"/>
      <c r="R1008" s="968"/>
      <c r="S1008" s="589"/>
      <c r="T1008" s="589"/>
      <c r="U1008" s="589"/>
    </row>
    <row r="1009" spans="1:21" x14ac:dyDescent="0.35">
      <c r="A1009" s="123"/>
      <c r="B1009" s="35"/>
      <c r="C1009" s="151"/>
      <c r="D1009" s="1687" t="s">
        <v>4681</v>
      </c>
      <c r="E1009" s="1688"/>
      <c r="F1009" s="239" t="s">
        <v>4516</v>
      </c>
      <c r="G1009" s="153">
        <f t="shared" ref="G1009" si="135">IF($H$2=1,S1009,IF($H$2=2,T1009,U1009))</f>
        <v>1</v>
      </c>
      <c r="H1009" s="1080">
        <f>VLOOKUP(F1009,$P$1009:$Q$1013,2,0)*G1009/100%</f>
        <v>0</v>
      </c>
      <c r="I1009" s="155"/>
      <c r="J1009" s="156"/>
      <c r="K1009" s="157">
        <f t="shared" si="131"/>
        <v>100</v>
      </c>
      <c r="L1009" s="157">
        <f t="shared" si="132"/>
        <v>200</v>
      </c>
      <c r="M1009" s="157">
        <f t="shared" si="133"/>
        <v>300</v>
      </c>
      <c r="N1009" s="157">
        <f t="shared" si="134"/>
        <v>400</v>
      </c>
      <c r="O1009" s="1051" t="str">
        <f>CONCATENATE(O1006," | ",F1009)</f>
        <v>C.5.1 Angebote für Erholung und Freiraum | Keine Angebote sind vorhanden und nutzbar</v>
      </c>
      <c r="P1009" s="1057" t="s">
        <v>4516</v>
      </c>
      <c r="Q1009" s="1058">
        <v>0</v>
      </c>
      <c r="R1009" s="1052"/>
      <c r="S1009" s="588">
        <v>0</v>
      </c>
      <c r="T1009" s="588">
        <v>0.5</v>
      </c>
      <c r="U1009" s="588">
        <v>1</v>
      </c>
    </row>
    <row r="1010" spans="1:21" x14ac:dyDescent="0.35">
      <c r="A1010" s="123"/>
      <c r="B1010" s="35"/>
      <c r="C1010" s="151"/>
      <c r="D1010" s="1687"/>
      <c r="E1010" s="1688"/>
      <c r="F1010" s="159"/>
      <c r="G1010" s="160"/>
      <c r="H1010" s="161"/>
      <c r="I1010" s="162"/>
      <c r="J1010" s="164"/>
      <c r="K1010" s="157">
        <f t="shared" si="131"/>
        <v>100</v>
      </c>
      <c r="L1010" s="157">
        <f t="shared" si="132"/>
        <v>200</v>
      </c>
      <c r="M1010" s="157">
        <f t="shared" si="133"/>
        <v>300</v>
      </c>
      <c r="N1010" s="157">
        <f t="shared" si="134"/>
        <v>400</v>
      </c>
      <c r="O1010" s="1051" t="str">
        <f>CONCATENATE(O1006," | ",F1010)</f>
        <v xml:space="preserve">C.5.1 Angebote für Erholung und Freiraum | </v>
      </c>
      <c r="P1010" s="1059" t="s">
        <v>4517</v>
      </c>
      <c r="Q1010" s="1060">
        <v>0.25</v>
      </c>
      <c r="R1010" s="1052"/>
      <c r="S1010" s="589"/>
      <c r="T1010" s="589"/>
      <c r="U1010" s="589"/>
    </row>
    <row r="1011" spans="1:21" x14ac:dyDescent="0.35">
      <c r="A1011" s="123"/>
      <c r="B1011" s="35"/>
      <c r="C1011" s="151"/>
      <c r="D1011" s="1687"/>
      <c r="E1011" s="1688"/>
      <c r="F1011" s="593" t="str">
        <f>IF($G$2=1,R1011,"Weiteres Kriterium in der Nutzung")</f>
        <v>Weiteres Kriterium in der Nutzung</v>
      </c>
      <c r="G1011" s="153">
        <f t="shared" ref="G1011:G1013" si="136">IF($H$2=1,S1011,IF($H$2=2,T1011,U1011))</f>
        <v>0</v>
      </c>
      <c r="H1011" s="154"/>
      <c r="I1011" s="158"/>
      <c r="J1011" s="156"/>
      <c r="K1011" s="157">
        <f t="shared" si="131"/>
        <v>100</v>
      </c>
      <c r="L1011" s="157">
        <f t="shared" si="132"/>
        <v>200</v>
      </c>
      <c r="M1011" s="157">
        <f t="shared" si="133"/>
        <v>300</v>
      </c>
      <c r="N1011" s="157">
        <f t="shared" si="134"/>
        <v>400</v>
      </c>
      <c r="O1011" s="1051" t="str">
        <f>CONCATENATE(O1006," | ",F1011)</f>
        <v>C.5.1 Angebote für Erholung und Freiraum | Weiteres Kriterium in der Nutzung</v>
      </c>
      <c r="P1011" s="1059" t="s">
        <v>4518</v>
      </c>
      <c r="Q1011" s="1060">
        <v>0.5</v>
      </c>
      <c r="R1011" s="1104" t="s">
        <v>5497</v>
      </c>
      <c r="S1011" s="588">
        <v>0.33</v>
      </c>
      <c r="T1011" s="588">
        <v>0.15</v>
      </c>
      <c r="U1011" s="588">
        <v>0</v>
      </c>
    </row>
    <row r="1012" spans="1:21" x14ac:dyDescent="0.35">
      <c r="A1012" s="123">
        <v>3.2</v>
      </c>
      <c r="B1012" s="35"/>
      <c r="C1012" s="151"/>
      <c r="D1012" s="1687"/>
      <c r="E1012" s="1688"/>
      <c r="F1012" s="593" t="str">
        <f t="shared" ref="F1012:F1013" si="137">IF($G$2=1,R1012,"Weiteres Kriterium in der Nutzung")</f>
        <v>Weiteres Kriterium in der Nutzung</v>
      </c>
      <c r="G1012" s="153">
        <f t="shared" si="136"/>
        <v>0</v>
      </c>
      <c r="H1012" s="154"/>
      <c r="I1012" s="158"/>
      <c r="J1012" s="156"/>
      <c r="K1012" s="157">
        <f t="shared" si="131"/>
        <v>100</v>
      </c>
      <c r="L1012" s="157">
        <f t="shared" si="132"/>
        <v>200</v>
      </c>
      <c r="M1012" s="157">
        <f t="shared" si="133"/>
        <v>300</v>
      </c>
      <c r="N1012" s="157">
        <f t="shared" si="134"/>
        <v>400</v>
      </c>
      <c r="O1012" s="1051" t="str">
        <f>CONCATENATE(O1006," | ",F1012)</f>
        <v>C.5.1 Angebote für Erholung und Freiraum | Weiteres Kriterium in der Nutzung</v>
      </c>
      <c r="P1012" s="1059" t="s">
        <v>4519</v>
      </c>
      <c r="Q1012" s="1060">
        <v>0.75</v>
      </c>
      <c r="R1012" s="1104" t="s">
        <v>5330</v>
      </c>
      <c r="S1012" s="588">
        <v>0.33</v>
      </c>
      <c r="T1012" s="588">
        <v>0.15</v>
      </c>
      <c r="U1012" s="588">
        <v>0</v>
      </c>
    </row>
    <row r="1013" spans="1:21" ht="15" thickBot="1" x14ac:dyDescent="0.4">
      <c r="A1013" s="123"/>
      <c r="B1013" s="35"/>
      <c r="C1013" s="151"/>
      <c r="D1013" s="1687"/>
      <c r="E1013" s="1688"/>
      <c r="F1013" s="593" t="str">
        <f t="shared" si="137"/>
        <v>Weiteres Kriterium in der Nutzung</v>
      </c>
      <c r="G1013" s="153">
        <f t="shared" si="136"/>
        <v>0</v>
      </c>
      <c r="H1013" s="154"/>
      <c r="I1013" s="158"/>
      <c r="J1013" s="156"/>
      <c r="K1013" s="157">
        <f t="shared" si="131"/>
        <v>100</v>
      </c>
      <c r="L1013" s="157">
        <f t="shared" si="132"/>
        <v>200</v>
      </c>
      <c r="M1013" s="157">
        <f t="shared" si="133"/>
        <v>300</v>
      </c>
      <c r="N1013" s="157">
        <f t="shared" si="134"/>
        <v>400</v>
      </c>
      <c r="O1013" s="1051" t="str">
        <f>CONCATENATE(O1006," | ",F1013)</f>
        <v>C.5.1 Angebote für Erholung und Freiraum | Weiteres Kriterium in der Nutzung</v>
      </c>
      <c r="P1013" s="1061" t="s">
        <v>4520</v>
      </c>
      <c r="Q1013" s="1062">
        <v>1</v>
      </c>
      <c r="R1013" s="1104" t="s">
        <v>5498</v>
      </c>
      <c r="S1013" s="588">
        <v>0.34</v>
      </c>
      <c r="T1013" s="588">
        <v>0.2</v>
      </c>
      <c r="U1013" s="588">
        <v>0</v>
      </c>
    </row>
    <row r="1014" spans="1:21" x14ac:dyDescent="0.35">
      <c r="A1014" s="116"/>
      <c r="B1014" s="35"/>
      <c r="C1014" s="117"/>
      <c r="D1014" s="1687"/>
      <c r="E1014" s="1688"/>
      <c r="F1014" s="159"/>
      <c r="G1014" s="160"/>
      <c r="H1014" s="161"/>
      <c r="I1014" s="162"/>
      <c r="J1014" s="164"/>
      <c r="K1014" s="157">
        <f t="shared" si="131"/>
        <v>100</v>
      </c>
      <c r="L1014" s="157">
        <f t="shared" si="132"/>
        <v>200</v>
      </c>
      <c r="M1014" s="157">
        <f t="shared" si="133"/>
        <v>300</v>
      </c>
      <c r="N1014" s="157">
        <f t="shared" si="134"/>
        <v>400</v>
      </c>
      <c r="O1014" s="959"/>
      <c r="P1014" s="1055"/>
      <c r="Q1014" s="1064"/>
      <c r="R1014" s="968"/>
      <c r="S1014" s="589"/>
      <c r="T1014" s="589"/>
      <c r="U1014" s="589"/>
    </row>
    <row r="1015" spans="1:21" x14ac:dyDescent="0.35">
      <c r="A1015" s="116"/>
      <c r="B1015" s="35"/>
      <c r="C1015" s="117"/>
      <c r="D1015" s="1687"/>
      <c r="E1015" s="1688"/>
      <c r="F1015" s="159"/>
      <c r="G1015" s="160"/>
      <c r="H1015" s="161"/>
      <c r="I1015" s="162"/>
      <c r="J1015" s="164"/>
      <c r="K1015" s="157">
        <f t="shared" si="131"/>
        <v>100</v>
      </c>
      <c r="L1015" s="157">
        <f t="shared" si="132"/>
        <v>200</v>
      </c>
      <c r="M1015" s="157">
        <f t="shared" si="133"/>
        <v>300</v>
      </c>
      <c r="N1015" s="157">
        <f t="shared" si="134"/>
        <v>400</v>
      </c>
      <c r="O1015" s="959"/>
      <c r="P1015" s="967"/>
      <c r="Q1015" s="586"/>
      <c r="R1015" s="968"/>
      <c r="S1015" s="589"/>
      <c r="T1015" s="589"/>
      <c r="U1015" s="589"/>
    </row>
    <row r="1016" spans="1:21" x14ac:dyDescent="0.35">
      <c r="A1016" s="116"/>
      <c r="B1016" s="35"/>
      <c r="C1016" s="117"/>
      <c r="D1016" s="1687"/>
      <c r="E1016" s="1688"/>
      <c r="F1016" s="159"/>
      <c r="G1016" s="160"/>
      <c r="H1016" s="161"/>
      <c r="I1016" s="162"/>
      <c r="J1016" s="164"/>
      <c r="K1016" s="157">
        <f t="shared" si="131"/>
        <v>100</v>
      </c>
      <c r="L1016" s="157">
        <f t="shared" si="132"/>
        <v>200</v>
      </c>
      <c r="M1016" s="157">
        <f t="shared" si="133"/>
        <v>300</v>
      </c>
      <c r="N1016" s="157">
        <f t="shared" si="134"/>
        <v>400</v>
      </c>
      <c r="O1016" s="959"/>
      <c r="P1016" s="967"/>
      <c r="Q1016" s="586"/>
      <c r="R1016" s="968"/>
      <c r="S1016" s="589"/>
      <c r="T1016" s="589"/>
      <c r="U1016" s="589"/>
    </row>
    <row r="1017" spans="1:21" x14ac:dyDescent="0.35">
      <c r="A1017" s="123"/>
      <c r="B1017" s="35"/>
      <c r="C1017" s="151"/>
      <c r="D1017" s="1687"/>
      <c r="E1017" s="1688"/>
      <c r="F1017" s="165"/>
      <c r="G1017" s="160"/>
      <c r="H1017" s="161"/>
      <c r="I1017" s="166"/>
      <c r="J1017" s="167"/>
      <c r="K1017" s="157">
        <f t="shared" si="131"/>
        <v>100</v>
      </c>
      <c r="L1017" s="157">
        <f t="shared" si="132"/>
        <v>200</v>
      </c>
      <c r="M1017" s="157">
        <f t="shared" si="133"/>
        <v>300</v>
      </c>
      <c r="N1017" s="157">
        <f t="shared" si="134"/>
        <v>400</v>
      </c>
      <c r="O1017" s="959"/>
      <c r="P1017" s="967"/>
      <c r="Q1017" s="586"/>
      <c r="R1017" s="968"/>
      <c r="S1017" s="589"/>
      <c r="T1017" s="589"/>
      <c r="U1017" s="589"/>
    </row>
    <row r="1018" spans="1:21" x14ac:dyDescent="0.35">
      <c r="A1018" s="116"/>
      <c r="B1018" s="35"/>
      <c r="C1018" s="117"/>
      <c r="D1018" s="1687"/>
      <c r="E1018" s="1688"/>
      <c r="F1018" s="159"/>
      <c r="G1018" s="160"/>
      <c r="H1018" s="168"/>
      <c r="I1018" s="162"/>
      <c r="J1018" s="164"/>
      <c r="K1018" s="157">
        <f t="shared" si="131"/>
        <v>100</v>
      </c>
      <c r="L1018" s="157">
        <f t="shared" si="132"/>
        <v>200</v>
      </c>
      <c r="M1018" s="157">
        <f t="shared" si="133"/>
        <v>300</v>
      </c>
      <c r="N1018" s="157">
        <f t="shared" si="134"/>
        <v>400</v>
      </c>
      <c r="O1018" s="959"/>
      <c r="P1018" s="967"/>
      <c r="Q1018" s="586"/>
      <c r="R1018" s="968"/>
      <c r="S1018" s="589"/>
      <c r="T1018" s="589"/>
      <c r="U1018" s="589"/>
    </row>
    <row r="1019" spans="1:21" x14ac:dyDescent="0.35">
      <c r="A1019" s="116"/>
      <c r="B1019" s="117"/>
      <c r="C1019" s="117"/>
      <c r="D1019" s="1687"/>
      <c r="E1019" s="1688"/>
      <c r="F1019" s="159"/>
      <c r="G1019" s="160"/>
      <c r="H1019" s="168"/>
      <c r="I1019" s="162"/>
      <c r="J1019" s="164"/>
      <c r="K1019" s="157">
        <f t="shared" si="131"/>
        <v>100</v>
      </c>
      <c r="L1019" s="157">
        <f t="shared" si="132"/>
        <v>200</v>
      </c>
      <c r="M1019" s="157">
        <f t="shared" si="133"/>
        <v>300</v>
      </c>
      <c r="N1019" s="157">
        <f t="shared" si="134"/>
        <v>400</v>
      </c>
      <c r="O1019" s="959"/>
      <c r="P1019" s="967"/>
      <c r="Q1019" s="586"/>
      <c r="R1019" s="968"/>
      <c r="S1019" s="589"/>
      <c r="T1019" s="589"/>
      <c r="U1019" s="589"/>
    </row>
    <row r="1020" spans="1:21" x14ac:dyDescent="0.35">
      <c r="A1020" s="116"/>
      <c r="B1020" s="117"/>
      <c r="C1020" s="117"/>
      <c r="D1020" s="1687"/>
      <c r="E1020" s="1688"/>
      <c r="F1020" s="169"/>
      <c r="G1020" s="170"/>
      <c r="H1020" s="171"/>
      <c r="I1020" s="172"/>
      <c r="J1020" s="173"/>
      <c r="K1020" s="157">
        <f t="shared" si="131"/>
        <v>100</v>
      </c>
      <c r="L1020" s="157">
        <f t="shared" si="132"/>
        <v>200</v>
      </c>
      <c r="M1020" s="157">
        <f t="shared" si="133"/>
        <v>300</v>
      </c>
      <c r="N1020" s="157">
        <f t="shared" si="134"/>
        <v>400</v>
      </c>
      <c r="O1020" s="959"/>
      <c r="P1020" s="967"/>
      <c r="Q1020" s="586"/>
      <c r="R1020" s="968"/>
      <c r="S1020" s="589"/>
      <c r="T1020" s="589"/>
      <c r="U1020" s="589"/>
    </row>
    <row r="1021" spans="1:21" ht="28.5" customHeight="1" x14ac:dyDescent="0.35">
      <c r="A1021" s="116"/>
      <c r="B1021" s="117"/>
      <c r="C1021" s="117"/>
      <c r="D1021" s="174"/>
      <c r="E1021" s="175"/>
      <c r="F1021" s="1689" t="s">
        <v>2</v>
      </c>
      <c r="G1021" s="1689"/>
      <c r="H1021" s="176">
        <f>IF(O1021&gt;1,"Zielerreichung übersteigt 100%!",O1021)</f>
        <v>0</v>
      </c>
      <c r="I1021" s="177"/>
      <c r="J1021" s="178"/>
      <c r="K1021" s="157">
        <f t="shared" si="131"/>
        <v>100</v>
      </c>
      <c r="L1021" s="157">
        <f t="shared" si="132"/>
        <v>200</v>
      </c>
      <c r="M1021" s="157">
        <f t="shared" si="133"/>
        <v>300</v>
      </c>
      <c r="N1021" s="157">
        <f t="shared" si="134"/>
        <v>400</v>
      </c>
      <c r="O1021" s="959">
        <f>SUM(H1009:H1020)</f>
        <v>0</v>
      </c>
      <c r="P1021" s="967"/>
      <c r="Q1021" s="586"/>
      <c r="R1021" s="968"/>
      <c r="S1021" s="589"/>
      <c r="T1021" s="589"/>
      <c r="U1021" s="589"/>
    </row>
    <row r="1022" spans="1:21" x14ac:dyDescent="0.35">
      <c r="A1022" s="116"/>
      <c r="B1022" s="117"/>
      <c r="C1022" s="117"/>
      <c r="D1022" s="179"/>
      <c r="E1022" s="180"/>
      <c r="F1022" s="1690" t="s">
        <v>3</v>
      </c>
      <c r="G1022" s="1691"/>
      <c r="H1022" s="181">
        <v>28</v>
      </c>
      <c r="I1022" s="177"/>
      <c r="J1022" s="178"/>
      <c r="K1022" s="157">
        <f t="shared" si="131"/>
        <v>100</v>
      </c>
      <c r="L1022" s="157">
        <f t="shared" si="132"/>
        <v>200</v>
      </c>
      <c r="M1022" s="157">
        <f t="shared" si="133"/>
        <v>300</v>
      </c>
      <c r="N1022" s="157">
        <f t="shared" si="134"/>
        <v>400</v>
      </c>
      <c r="O1022" s="1030"/>
      <c r="P1022" s="967"/>
      <c r="Q1022" s="586"/>
      <c r="R1022" s="968"/>
      <c r="S1022" s="589"/>
      <c r="T1022" s="589"/>
      <c r="U1022" s="589"/>
    </row>
    <row r="1023" spans="1:21" x14ac:dyDescent="0.35">
      <c r="A1023" s="116"/>
      <c r="B1023" s="117"/>
      <c r="C1023" s="117"/>
      <c r="D1023" s="179"/>
      <c r="E1023" s="180"/>
      <c r="F1023" s="1700" t="s">
        <v>5494</v>
      </c>
      <c r="G1023" s="1701"/>
      <c r="H1023" s="1084" t="str">
        <f>IF($H$2=1,46,"")</f>
        <v/>
      </c>
      <c r="I1023" s="183"/>
      <c r="J1023" s="178"/>
      <c r="K1023" s="157">
        <f t="shared" si="131"/>
        <v>100</v>
      </c>
      <c r="L1023" s="157">
        <f t="shared" si="132"/>
        <v>200</v>
      </c>
      <c r="M1023" s="157">
        <f t="shared" si="133"/>
        <v>300</v>
      </c>
      <c r="N1023" s="157">
        <f t="shared" si="134"/>
        <v>400</v>
      </c>
      <c r="O1023" s="1030"/>
      <c r="P1023" s="967"/>
      <c r="Q1023" s="586"/>
      <c r="R1023" s="968"/>
      <c r="S1023" s="589"/>
      <c r="T1023" s="589"/>
      <c r="U1023" s="589"/>
    </row>
    <row r="1024" spans="1:21" x14ac:dyDescent="0.35">
      <c r="A1024" s="184"/>
      <c r="B1024" s="185"/>
      <c r="C1024" s="185"/>
      <c r="D1024" s="179"/>
      <c r="E1024" s="180"/>
      <c r="F1024" s="186"/>
      <c r="G1024" s="186"/>
      <c r="H1024" s="187"/>
      <c r="I1024" s="177"/>
      <c r="J1024" s="178"/>
      <c r="K1024" s="157">
        <f t="shared" si="131"/>
        <v>100</v>
      </c>
      <c r="L1024" s="157">
        <f t="shared" si="132"/>
        <v>200</v>
      </c>
      <c r="M1024" s="157">
        <f t="shared" si="133"/>
        <v>300</v>
      </c>
      <c r="N1024" s="157">
        <f t="shared" si="134"/>
        <v>400</v>
      </c>
      <c r="O1024" s="1030"/>
      <c r="P1024" s="967"/>
      <c r="Q1024" s="586"/>
      <c r="R1024" s="968"/>
      <c r="S1024" s="589"/>
      <c r="T1024" s="589"/>
      <c r="U1024" s="589"/>
    </row>
    <row r="1025" spans="1:21" ht="15.75" customHeight="1" x14ac:dyDescent="0.35">
      <c r="A1025" s="116"/>
      <c r="B1025" s="185"/>
      <c r="C1025" s="1702"/>
      <c r="D1025" s="1703"/>
      <c r="E1025" s="234"/>
      <c r="F1025" s="1704" t="s">
        <v>5</v>
      </c>
      <c r="G1025" s="1704"/>
      <c r="H1025" s="235">
        <f>IF(ISNUMBER(H1023),H1023*H1021,H1022*H1021)</f>
        <v>0</v>
      </c>
      <c r="I1025" s="236"/>
      <c r="J1025" s="237"/>
      <c r="K1025" s="157">
        <f t="shared" si="131"/>
        <v>100</v>
      </c>
      <c r="L1025" s="157">
        <f t="shared" si="132"/>
        <v>200</v>
      </c>
      <c r="M1025" s="157">
        <f t="shared" si="133"/>
        <v>300</v>
      </c>
      <c r="N1025" s="157">
        <f t="shared" si="134"/>
        <v>400</v>
      </c>
      <c r="O1025" s="1030"/>
      <c r="P1025" s="967"/>
      <c r="Q1025" s="586"/>
      <c r="R1025" s="968"/>
      <c r="S1025" s="589"/>
      <c r="T1025" s="589"/>
      <c r="U1025" s="589"/>
    </row>
    <row r="1026" spans="1:21" x14ac:dyDescent="0.35">
      <c r="K1026" s="157">
        <f t="shared" si="131"/>
        <v>100</v>
      </c>
      <c r="L1026" s="157">
        <f t="shared" si="132"/>
        <v>200</v>
      </c>
      <c r="M1026" s="157">
        <f t="shared" si="133"/>
        <v>300</v>
      </c>
      <c r="N1026" s="157">
        <f t="shared" si="134"/>
        <v>400</v>
      </c>
      <c r="O1026" s="967"/>
      <c r="P1026" s="967"/>
      <c r="Q1026" s="586"/>
      <c r="R1026" s="968"/>
      <c r="S1026" s="589"/>
      <c r="T1026" s="589"/>
      <c r="U1026" s="589"/>
    </row>
    <row r="1027" spans="1:21" ht="7.5" customHeight="1" x14ac:dyDescent="0.35">
      <c r="A1027" s="116"/>
      <c r="B1027" s="117"/>
      <c r="C1027" s="117"/>
      <c r="D1027" s="116"/>
      <c r="E1027" s="116"/>
      <c r="F1027" s="118"/>
      <c r="G1027" s="119"/>
      <c r="H1027" s="116"/>
      <c r="I1027" s="120"/>
      <c r="J1027" s="121"/>
      <c r="K1027" s="157">
        <f t="shared" si="131"/>
        <v>100</v>
      </c>
      <c r="L1027" s="157">
        <f t="shared" si="132"/>
        <v>200</v>
      </c>
      <c r="M1027" s="157">
        <f t="shared" si="133"/>
        <v>300</v>
      </c>
      <c r="N1027" s="157">
        <f t="shared" si="134"/>
        <v>400</v>
      </c>
      <c r="O1027" s="968"/>
      <c r="P1027" s="968"/>
      <c r="Q1027" s="586"/>
      <c r="R1027" s="968"/>
      <c r="S1027" s="589"/>
      <c r="T1027" s="589"/>
      <c r="U1027" s="589"/>
    </row>
    <row r="1028" spans="1:21" ht="15.5" x14ac:dyDescent="0.35">
      <c r="A1028" s="124"/>
      <c r="B1028" s="125"/>
      <c r="C1028" s="126" t="s">
        <v>4810</v>
      </c>
      <c r="D1028" s="127" t="s">
        <v>5403</v>
      </c>
      <c r="E1028" s="128"/>
      <c r="F1028" s="129" t="str">
        <f>IF($F$3=1,O1028,"")</f>
        <v>C.5.2 Nutzung und Bewirtschaftung</v>
      </c>
      <c r="G1028" s="204"/>
      <c r="H1028" s="205"/>
      <c r="I1028" s="520" t="s">
        <v>23</v>
      </c>
      <c r="J1028" s="130"/>
      <c r="K1028" s="157">
        <f t="shared" si="131"/>
        <v>100</v>
      </c>
      <c r="L1028" s="157">
        <f t="shared" si="132"/>
        <v>200</v>
      </c>
      <c r="M1028" s="157">
        <f t="shared" si="133"/>
        <v>300</v>
      </c>
      <c r="N1028" s="157">
        <f t="shared" si="134"/>
        <v>400</v>
      </c>
      <c r="O1028" s="967" t="str">
        <f>CONCATENATE(C1028," ",D1028)</f>
        <v>C.5.2 Nutzung und Bewirtschaftung</v>
      </c>
      <c r="P1028" s="966"/>
      <c r="Q1028" s="586"/>
      <c r="R1028" s="968"/>
      <c r="S1028" s="589"/>
      <c r="T1028" s="589"/>
      <c r="U1028" s="589"/>
    </row>
    <row r="1029" spans="1:21" x14ac:dyDescent="0.35">
      <c r="A1029" s="124"/>
      <c r="B1029" s="134"/>
      <c r="C1029" s="135"/>
      <c r="D1029" s="136"/>
      <c r="E1029" s="136"/>
      <c r="F1029" s="137"/>
      <c r="G1029" s="138"/>
      <c r="H1029" s="124"/>
      <c r="I1029" s="139"/>
      <c r="J1029" s="140"/>
      <c r="K1029" s="157">
        <f t="shared" si="131"/>
        <v>100</v>
      </c>
      <c r="L1029" s="157">
        <f t="shared" si="132"/>
        <v>200</v>
      </c>
      <c r="M1029" s="157">
        <f t="shared" si="133"/>
        <v>300</v>
      </c>
      <c r="N1029" s="157">
        <f t="shared" si="134"/>
        <v>400</v>
      </c>
      <c r="O1029" s="968"/>
      <c r="P1029" s="966"/>
      <c r="Q1029" s="586"/>
      <c r="R1029" s="968"/>
      <c r="S1029" s="589"/>
      <c r="T1029" s="589"/>
      <c r="U1029" s="589"/>
    </row>
    <row r="1030" spans="1:21" x14ac:dyDescent="0.35">
      <c r="A1030" s="142"/>
      <c r="B1030" s="35"/>
      <c r="C1030" s="143"/>
      <c r="D1030" s="1685" t="s">
        <v>18</v>
      </c>
      <c r="E1030" s="1686"/>
      <c r="F1030" s="144" t="s">
        <v>19</v>
      </c>
      <c r="G1030" s="145" t="s">
        <v>0</v>
      </c>
      <c r="H1030" s="146" t="s">
        <v>20</v>
      </c>
      <c r="I1030" s="147" t="s">
        <v>1</v>
      </c>
      <c r="J1030" s="147" t="s">
        <v>4375</v>
      </c>
      <c r="K1030" s="157">
        <f t="shared" si="131"/>
        <v>100</v>
      </c>
      <c r="L1030" s="157">
        <f t="shared" si="132"/>
        <v>200</v>
      </c>
      <c r="M1030" s="157">
        <f t="shared" si="133"/>
        <v>300</v>
      </c>
      <c r="N1030" s="157">
        <f t="shared" si="134"/>
        <v>400</v>
      </c>
      <c r="O1030" s="587"/>
      <c r="P1030" s="967"/>
      <c r="Q1030" s="586"/>
      <c r="R1030" s="968"/>
      <c r="S1030" s="589"/>
      <c r="T1030" s="589"/>
      <c r="U1030" s="589"/>
    </row>
    <row r="1031" spans="1:21" ht="36" x14ac:dyDescent="0.35">
      <c r="A1031" s="123"/>
      <c r="B1031" s="35"/>
      <c r="C1031" s="151"/>
      <c r="D1031" s="1687" t="s">
        <v>4682</v>
      </c>
      <c r="E1031" s="1688"/>
      <c r="F1031" s="152" t="s">
        <v>4521</v>
      </c>
      <c r="G1031" s="153">
        <f t="shared" ref="G1031:G1034" si="138">IF($H$2=1,S1031,IF($H$2=2,T1031,U1031))</f>
        <v>0.25</v>
      </c>
      <c r="H1031" s="154"/>
      <c r="I1031" s="155"/>
      <c r="J1031" s="156"/>
      <c r="K1031" s="157">
        <f t="shared" si="131"/>
        <v>100</v>
      </c>
      <c r="L1031" s="157">
        <f t="shared" si="132"/>
        <v>200</v>
      </c>
      <c r="M1031" s="157">
        <f t="shared" si="133"/>
        <v>300</v>
      </c>
      <c r="N1031" s="157">
        <f t="shared" si="134"/>
        <v>400</v>
      </c>
      <c r="O1031" s="967" t="str">
        <f>CONCATENATE(O1028," | ",F1031)</f>
        <v>C.5.2 Nutzung und Bewirtschaftung | Die Zugänglichkeit für interne Nutzende (halböffentliche Räume) und externe Nutzende (öffentliche Räume) ist geregelt</v>
      </c>
      <c r="P1031" s="967"/>
      <c r="Q1031" s="586"/>
      <c r="R1031" s="968"/>
      <c r="S1031" s="588">
        <v>0</v>
      </c>
      <c r="T1031" s="588">
        <v>0.25</v>
      </c>
      <c r="U1031" s="588">
        <v>0.25</v>
      </c>
    </row>
    <row r="1032" spans="1:21" x14ac:dyDescent="0.35">
      <c r="A1032" s="123"/>
      <c r="B1032" s="35"/>
      <c r="C1032" s="151"/>
      <c r="D1032" s="1687"/>
      <c r="E1032" s="1688"/>
      <c r="F1032" s="152" t="s">
        <v>4522</v>
      </c>
      <c r="G1032" s="153">
        <f t="shared" si="138"/>
        <v>0.25</v>
      </c>
      <c r="H1032" s="154"/>
      <c r="I1032" s="158"/>
      <c r="J1032" s="156"/>
      <c r="K1032" s="157">
        <f t="shared" si="131"/>
        <v>100</v>
      </c>
      <c r="L1032" s="157">
        <f t="shared" si="132"/>
        <v>200</v>
      </c>
      <c r="M1032" s="157">
        <f t="shared" si="133"/>
        <v>300</v>
      </c>
      <c r="N1032" s="157">
        <f t="shared" si="134"/>
        <v>400</v>
      </c>
      <c r="O1032" s="967" t="str">
        <f>CONCATENATE(O1028," | ",F1032)</f>
        <v>C.5.2 Nutzung und Bewirtschaftung | Der Umgang mit Nutzungskonflikten ist geregelt</v>
      </c>
      <c r="P1032" s="967"/>
      <c r="Q1032" s="586"/>
      <c r="R1032" s="968"/>
      <c r="S1032" s="588">
        <v>0</v>
      </c>
      <c r="T1032" s="588">
        <v>0.25</v>
      </c>
      <c r="U1032" s="588">
        <v>0.25</v>
      </c>
    </row>
    <row r="1033" spans="1:21" ht="24" x14ac:dyDescent="0.35">
      <c r="A1033" s="123"/>
      <c r="B1033" s="35"/>
      <c r="C1033" s="151"/>
      <c r="D1033" s="1687"/>
      <c r="E1033" s="1688"/>
      <c r="F1033" s="152" t="s">
        <v>4523</v>
      </c>
      <c r="G1033" s="153">
        <f t="shared" si="138"/>
        <v>0.25</v>
      </c>
      <c r="H1033" s="154"/>
      <c r="I1033" s="158"/>
      <c r="J1033" s="156"/>
      <c r="K1033" s="157">
        <f t="shared" si="131"/>
        <v>100</v>
      </c>
      <c r="L1033" s="157">
        <f t="shared" si="132"/>
        <v>200</v>
      </c>
      <c r="M1033" s="157">
        <f t="shared" si="133"/>
        <v>300</v>
      </c>
      <c r="N1033" s="157">
        <f t="shared" si="134"/>
        <v>400</v>
      </c>
      <c r="O1033" s="967" t="str">
        <f>CONCATENATE(O1028," | ",F1033)</f>
        <v>C.5.2 Nutzung und Bewirtschaftung | Finanzierung einer frühzeitigen Ausstattung des Außenraumes ist gesichert (inkl. Unterhalt)</v>
      </c>
      <c r="P1033" s="967"/>
      <c r="Q1033" s="586"/>
      <c r="R1033" s="968"/>
      <c r="S1033" s="588">
        <v>0</v>
      </c>
      <c r="T1033" s="588">
        <v>0.25</v>
      </c>
      <c r="U1033" s="588">
        <v>0.25</v>
      </c>
    </row>
    <row r="1034" spans="1:21" ht="36" x14ac:dyDescent="0.35">
      <c r="A1034" s="123">
        <v>3.2</v>
      </c>
      <c r="B1034" s="35"/>
      <c r="C1034" s="151"/>
      <c r="D1034" s="1687"/>
      <c r="E1034" s="1688"/>
      <c r="F1034" s="152" t="s">
        <v>5400</v>
      </c>
      <c r="G1034" s="153">
        <f t="shared" si="138"/>
        <v>0.25</v>
      </c>
      <c r="H1034" s="154"/>
      <c r="I1034" s="158"/>
      <c r="J1034" s="156"/>
      <c r="K1034" s="157">
        <f t="shared" si="131"/>
        <v>100</v>
      </c>
      <c r="L1034" s="157">
        <f t="shared" si="132"/>
        <v>200</v>
      </c>
      <c r="M1034" s="157">
        <f t="shared" si="133"/>
        <v>300</v>
      </c>
      <c r="N1034" s="157">
        <f t="shared" si="134"/>
        <v>400</v>
      </c>
      <c r="O1034" s="967" t="str">
        <f>CONCATENATE(O1028," | ",F1034)</f>
        <v>C.5.2 Nutzung und Bewirtschaftung | Aktive Beteiligung der Nutzenden am Planungs- und Umsetzungsprozess sowie Gestaltungsmöglichkeiten in der Nutzungsphase sind geplant bzw. erfolgt</v>
      </c>
      <c r="P1034" s="967"/>
      <c r="Q1034" s="586"/>
      <c r="R1034" s="968"/>
      <c r="S1034" s="588">
        <v>0</v>
      </c>
      <c r="T1034" s="588">
        <v>0.25</v>
      </c>
      <c r="U1034" s="588">
        <v>0.25</v>
      </c>
    </row>
    <row r="1035" spans="1:21" x14ac:dyDescent="0.35">
      <c r="A1035" s="123"/>
      <c r="B1035" s="35"/>
      <c r="C1035" s="151"/>
      <c r="D1035" s="1687"/>
      <c r="E1035" s="1688"/>
      <c r="F1035" s="159"/>
      <c r="G1035" s="160"/>
      <c r="H1035" s="161"/>
      <c r="I1035" s="166"/>
      <c r="J1035" s="164"/>
      <c r="K1035" s="157">
        <f t="shared" si="131"/>
        <v>100</v>
      </c>
      <c r="L1035" s="157">
        <f t="shared" si="132"/>
        <v>200</v>
      </c>
      <c r="M1035" s="157">
        <f t="shared" si="133"/>
        <v>300</v>
      </c>
      <c r="N1035" s="157">
        <f t="shared" si="134"/>
        <v>400</v>
      </c>
      <c r="O1035" s="967"/>
      <c r="P1035" s="967"/>
      <c r="Q1035" s="586"/>
      <c r="R1035" s="968"/>
      <c r="S1035" s="589"/>
      <c r="T1035" s="589"/>
      <c r="U1035" s="589"/>
    </row>
    <row r="1036" spans="1:21" x14ac:dyDescent="0.35">
      <c r="A1036" s="116"/>
      <c r="B1036" s="35"/>
      <c r="C1036" s="117"/>
      <c r="D1036" s="1687"/>
      <c r="E1036" s="1688"/>
      <c r="F1036" s="165"/>
      <c r="G1036" s="160"/>
      <c r="H1036" s="161"/>
      <c r="I1036" s="166"/>
      <c r="J1036" s="167"/>
      <c r="K1036" s="157">
        <f t="shared" si="131"/>
        <v>100</v>
      </c>
      <c r="L1036" s="157">
        <f t="shared" si="132"/>
        <v>200</v>
      </c>
      <c r="M1036" s="157">
        <f t="shared" si="133"/>
        <v>300</v>
      </c>
      <c r="N1036" s="157">
        <f t="shared" si="134"/>
        <v>400</v>
      </c>
      <c r="O1036" s="959"/>
      <c r="P1036" s="967"/>
      <c r="Q1036" s="586"/>
      <c r="R1036" s="1088"/>
      <c r="S1036" s="588"/>
      <c r="T1036" s="588"/>
      <c r="U1036" s="588"/>
    </row>
    <row r="1037" spans="1:21" x14ac:dyDescent="0.35">
      <c r="A1037" s="116"/>
      <c r="B1037" s="35"/>
      <c r="C1037" s="117"/>
      <c r="D1037" s="1687"/>
      <c r="E1037" s="1688"/>
      <c r="F1037" s="165"/>
      <c r="G1037" s="160"/>
      <c r="H1037" s="161"/>
      <c r="I1037" s="166"/>
      <c r="J1037" s="167"/>
      <c r="K1037" s="157">
        <f t="shared" si="131"/>
        <v>100</v>
      </c>
      <c r="L1037" s="157">
        <f t="shared" si="132"/>
        <v>200</v>
      </c>
      <c r="M1037" s="157">
        <f t="shared" si="133"/>
        <v>300</v>
      </c>
      <c r="N1037" s="157">
        <f t="shared" si="134"/>
        <v>400</v>
      </c>
      <c r="O1037" s="959"/>
      <c r="P1037" s="967"/>
      <c r="Q1037" s="586"/>
      <c r="R1037" s="1088"/>
      <c r="S1037" s="588"/>
      <c r="T1037" s="588"/>
      <c r="U1037" s="588"/>
    </row>
    <row r="1038" spans="1:21" x14ac:dyDescent="0.35">
      <c r="A1038" s="116"/>
      <c r="B1038" s="35"/>
      <c r="C1038" s="117"/>
      <c r="D1038" s="1687"/>
      <c r="E1038" s="1688"/>
      <c r="F1038" s="165"/>
      <c r="G1038" s="160"/>
      <c r="H1038" s="161"/>
      <c r="I1038" s="166"/>
      <c r="J1038" s="167"/>
      <c r="K1038" s="157">
        <f t="shared" si="131"/>
        <v>100</v>
      </c>
      <c r="L1038" s="157">
        <f t="shared" si="132"/>
        <v>200</v>
      </c>
      <c r="M1038" s="157">
        <f t="shared" si="133"/>
        <v>300</v>
      </c>
      <c r="N1038" s="157">
        <f t="shared" si="134"/>
        <v>400</v>
      </c>
      <c r="O1038" s="959"/>
      <c r="P1038" s="967"/>
      <c r="Q1038" s="586"/>
      <c r="R1038" s="1088"/>
      <c r="S1038" s="588"/>
      <c r="T1038" s="588"/>
      <c r="U1038" s="588"/>
    </row>
    <row r="1039" spans="1:21" x14ac:dyDescent="0.35">
      <c r="A1039" s="123"/>
      <c r="B1039" s="35"/>
      <c r="C1039" s="151"/>
      <c r="D1039" s="1687"/>
      <c r="E1039" s="1688"/>
      <c r="F1039" s="165"/>
      <c r="G1039" s="160"/>
      <c r="H1039" s="161"/>
      <c r="I1039" s="166"/>
      <c r="J1039" s="167"/>
      <c r="K1039" s="157">
        <f t="shared" si="131"/>
        <v>100</v>
      </c>
      <c r="L1039" s="157">
        <f t="shared" si="132"/>
        <v>200</v>
      </c>
      <c r="M1039" s="157">
        <f t="shared" si="133"/>
        <v>300</v>
      </c>
      <c r="N1039" s="157">
        <f t="shared" si="134"/>
        <v>400</v>
      </c>
      <c r="O1039" s="959"/>
      <c r="P1039" s="967"/>
      <c r="Q1039" s="586"/>
      <c r="R1039" s="968"/>
      <c r="S1039" s="589"/>
      <c r="T1039" s="589"/>
      <c r="U1039" s="589"/>
    </row>
    <row r="1040" spans="1:21" x14ac:dyDescent="0.35">
      <c r="A1040" s="116"/>
      <c r="B1040" s="35"/>
      <c r="C1040" s="117"/>
      <c r="D1040" s="1687"/>
      <c r="E1040" s="1688"/>
      <c r="F1040" s="159"/>
      <c r="G1040" s="160"/>
      <c r="H1040" s="168"/>
      <c r="I1040" s="162"/>
      <c r="J1040" s="164"/>
      <c r="K1040" s="157">
        <f t="shared" si="131"/>
        <v>100</v>
      </c>
      <c r="L1040" s="157">
        <f t="shared" si="132"/>
        <v>200</v>
      </c>
      <c r="M1040" s="157">
        <f t="shared" si="133"/>
        <v>300</v>
      </c>
      <c r="N1040" s="157">
        <f t="shared" si="134"/>
        <v>400</v>
      </c>
      <c r="O1040" s="959"/>
      <c r="P1040" s="967"/>
      <c r="Q1040" s="586"/>
      <c r="R1040" s="968"/>
      <c r="S1040" s="589"/>
      <c r="T1040" s="589"/>
      <c r="U1040" s="589"/>
    </row>
    <row r="1041" spans="1:21" x14ac:dyDescent="0.35">
      <c r="A1041" s="116"/>
      <c r="B1041" s="117"/>
      <c r="C1041" s="117"/>
      <c r="D1041" s="1687"/>
      <c r="E1041" s="1688"/>
      <c r="F1041" s="159"/>
      <c r="G1041" s="160"/>
      <c r="H1041" s="168"/>
      <c r="I1041" s="162"/>
      <c r="J1041" s="164"/>
      <c r="K1041" s="157">
        <f t="shared" si="131"/>
        <v>100</v>
      </c>
      <c r="L1041" s="157">
        <f t="shared" si="132"/>
        <v>200</v>
      </c>
      <c r="M1041" s="157">
        <f t="shared" si="133"/>
        <v>300</v>
      </c>
      <c r="N1041" s="157">
        <f t="shared" si="134"/>
        <v>400</v>
      </c>
      <c r="O1041" s="959"/>
      <c r="P1041" s="967"/>
      <c r="Q1041" s="586"/>
      <c r="R1041" s="968"/>
      <c r="S1041" s="589"/>
      <c r="T1041" s="589"/>
      <c r="U1041" s="589"/>
    </row>
    <row r="1042" spans="1:21" x14ac:dyDescent="0.35">
      <c r="A1042" s="116"/>
      <c r="B1042" s="117"/>
      <c r="C1042" s="117"/>
      <c r="D1042" s="1687"/>
      <c r="E1042" s="1688"/>
      <c r="F1042" s="169"/>
      <c r="G1042" s="170"/>
      <c r="H1042" s="171"/>
      <c r="I1042" s="172"/>
      <c r="J1042" s="173"/>
      <c r="K1042" s="157">
        <f t="shared" si="131"/>
        <v>100</v>
      </c>
      <c r="L1042" s="157">
        <f t="shared" si="132"/>
        <v>200</v>
      </c>
      <c r="M1042" s="157">
        <f t="shared" si="133"/>
        <v>300</v>
      </c>
      <c r="N1042" s="157">
        <f t="shared" si="134"/>
        <v>400</v>
      </c>
      <c r="O1042" s="959"/>
      <c r="P1042" s="967"/>
      <c r="Q1042" s="586"/>
      <c r="R1042" s="968"/>
      <c r="S1042" s="589"/>
      <c r="T1042" s="589"/>
      <c r="U1042" s="589"/>
    </row>
    <row r="1043" spans="1:21" ht="28.5" customHeight="1" x14ac:dyDescent="0.35">
      <c r="A1043" s="116"/>
      <c r="B1043" s="117"/>
      <c r="C1043" s="117"/>
      <c r="D1043" s="174"/>
      <c r="E1043" s="175"/>
      <c r="F1043" s="1689" t="s">
        <v>2</v>
      </c>
      <c r="G1043" s="1689"/>
      <c r="H1043" s="176">
        <f>IF(O1043&gt;1,"Zielerreichung übersteigt 100%!",O1043)</f>
        <v>0</v>
      </c>
      <c r="I1043" s="177"/>
      <c r="J1043" s="178"/>
      <c r="K1043" s="157">
        <f t="shared" si="131"/>
        <v>100</v>
      </c>
      <c r="L1043" s="157">
        <f t="shared" si="132"/>
        <v>200</v>
      </c>
      <c r="M1043" s="157">
        <f t="shared" si="133"/>
        <v>300</v>
      </c>
      <c r="N1043" s="157">
        <f t="shared" si="134"/>
        <v>400</v>
      </c>
      <c r="O1043" s="959">
        <f>SUM(H1031:H1042)</f>
        <v>0</v>
      </c>
      <c r="P1043" s="967"/>
      <c r="Q1043" s="586"/>
      <c r="R1043" s="968"/>
      <c r="S1043" s="589"/>
      <c r="T1043" s="589"/>
      <c r="U1043" s="589"/>
    </row>
    <row r="1044" spans="1:21" x14ac:dyDescent="0.35">
      <c r="A1044" s="116"/>
      <c r="B1044" s="117"/>
      <c r="C1044" s="117"/>
      <c r="D1044" s="179"/>
      <c r="E1044" s="180"/>
      <c r="F1044" s="1690" t="s">
        <v>3</v>
      </c>
      <c r="G1044" s="1691"/>
      <c r="H1044" s="181">
        <v>18</v>
      </c>
      <c r="I1044" s="177"/>
      <c r="J1044" s="178"/>
      <c r="K1044" s="157">
        <f t="shared" si="131"/>
        <v>100</v>
      </c>
      <c r="L1044" s="157">
        <f t="shared" si="132"/>
        <v>200</v>
      </c>
      <c r="M1044" s="157">
        <f t="shared" si="133"/>
        <v>300</v>
      </c>
      <c r="N1044" s="157">
        <f t="shared" si="134"/>
        <v>400</v>
      </c>
      <c r="O1044" s="1030"/>
      <c r="P1044" s="967"/>
      <c r="Q1044" s="586"/>
      <c r="R1044" s="968"/>
      <c r="S1044" s="589"/>
      <c r="T1044" s="589"/>
      <c r="U1044" s="589"/>
    </row>
    <row r="1045" spans="1:21" x14ac:dyDescent="0.35">
      <c r="A1045" s="116"/>
      <c r="B1045" s="117"/>
      <c r="C1045" s="117"/>
      <c r="D1045" s="179"/>
      <c r="E1045" s="180"/>
      <c r="F1045" s="1700" t="s">
        <v>5494</v>
      </c>
      <c r="G1045" s="1701"/>
      <c r="H1045" s="1084" t="str">
        <f>IF($H$2=1,0,"")</f>
        <v/>
      </c>
      <c r="I1045" s="183"/>
      <c r="J1045" s="178"/>
      <c r="K1045" s="157">
        <f t="shared" si="131"/>
        <v>100</v>
      </c>
      <c r="L1045" s="157">
        <f t="shared" si="132"/>
        <v>200</v>
      </c>
      <c r="M1045" s="157">
        <f t="shared" si="133"/>
        <v>300</v>
      </c>
      <c r="N1045" s="157">
        <f t="shared" si="134"/>
        <v>400</v>
      </c>
      <c r="O1045" s="1030"/>
      <c r="P1045" s="967"/>
      <c r="Q1045" s="586"/>
      <c r="R1045" s="968"/>
      <c r="S1045" s="589"/>
      <c r="T1045" s="589"/>
      <c r="U1045" s="589"/>
    </row>
    <row r="1046" spans="1:21" x14ac:dyDescent="0.35">
      <c r="A1046" s="184"/>
      <c r="B1046" s="185"/>
      <c r="C1046" s="185"/>
      <c r="D1046" s="179"/>
      <c r="E1046" s="180"/>
      <c r="F1046" s="186"/>
      <c r="G1046" s="186"/>
      <c r="H1046" s="187"/>
      <c r="I1046" s="177"/>
      <c r="J1046" s="178"/>
      <c r="K1046" s="157">
        <f t="shared" si="131"/>
        <v>100</v>
      </c>
      <c r="L1046" s="157">
        <f t="shared" si="132"/>
        <v>200</v>
      </c>
      <c r="M1046" s="157">
        <f t="shared" si="133"/>
        <v>300</v>
      </c>
      <c r="N1046" s="157">
        <f t="shared" si="134"/>
        <v>400</v>
      </c>
      <c r="O1046" s="1030"/>
      <c r="P1046" s="967"/>
      <c r="Q1046" s="586"/>
      <c r="R1046" s="968"/>
      <c r="S1046" s="589"/>
      <c r="T1046" s="589"/>
      <c r="U1046" s="589"/>
    </row>
    <row r="1047" spans="1:21" ht="15.75" customHeight="1" x14ac:dyDescent="0.35">
      <c r="A1047" s="116"/>
      <c r="B1047" s="185"/>
      <c r="C1047" s="1702"/>
      <c r="D1047" s="1703"/>
      <c r="E1047" s="234"/>
      <c r="F1047" s="1704" t="s">
        <v>5</v>
      </c>
      <c r="G1047" s="1704"/>
      <c r="H1047" s="235">
        <f>IF(ISNUMBER(H1045),H1045*H1043,H1044*H1043)</f>
        <v>0</v>
      </c>
      <c r="I1047" s="236"/>
      <c r="J1047" s="237"/>
      <c r="K1047" s="157">
        <f t="shared" si="131"/>
        <v>100</v>
      </c>
      <c r="L1047" s="157">
        <f t="shared" si="132"/>
        <v>200</v>
      </c>
      <c r="M1047" s="157">
        <f t="shared" si="133"/>
        <v>300</v>
      </c>
      <c r="N1047" s="157">
        <f t="shared" si="134"/>
        <v>400</v>
      </c>
      <c r="O1047" s="1030"/>
      <c r="P1047" s="967"/>
      <c r="Q1047" s="586"/>
      <c r="R1047" s="968"/>
      <c r="S1047" s="589"/>
      <c r="T1047" s="589"/>
      <c r="U1047" s="589"/>
    </row>
    <row r="1048" spans="1:21" x14ac:dyDescent="0.35">
      <c r="K1048" s="157">
        <f t="shared" si="131"/>
        <v>100</v>
      </c>
      <c r="L1048" s="157">
        <f t="shared" si="132"/>
        <v>200</v>
      </c>
      <c r="M1048" s="157">
        <f t="shared" si="133"/>
        <v>300</v>
      </c>
      <c r="N1048" s="157">
        <f t="shared" si="134"/>
        <v>400</v>
      </c>
      <c r="O1048" s="967"/>
      <c r="P1048" s="967"/>
      <c r="Q1048" s="586"/>
      <c r="R1048" s="968"/>
      <c r="S1048" s="589"/>
      <c r="T1048" s="589"/>
      <c r="U1048" s="589"/>
    </row>
    <row r="1049" spans="1:21" ht="7.5" customHeight="1" x14ac:dyDescent="0.35">
      <c r="A1049" s="116"/>
      <c r="B1049" s="117"/>
      <c r="C1049" s="117"/>
      <c r="D1049" s="116"/>
      <c r="E1049" s="116"/>
      <c r="F1049" s="118"/>
      <c r="G1049" s="119"/>
      <c r="H1049" s="116"/>
      <c r="I1049" s="120"/>
      <c r="J1049" s="121"/>
      <c r="K1049" s="157">
        <f t="shared" si="131"/>
        <v>100</v>
      </c>
      <c r="L1049" s="157">
        <f t="shared" si="132"/>
        <v>200</v>
      </c>
      <c r="M1049" s="157">
        <f t="shared" si="133"/>
        <v>300</v>
      </c>
      <c r="N1049" s="157">
        <f t="shared" si="134"/>
        <v>400</v>
      </c>
      <c r="O1049" s="968"/>
      <c r="P1049" s="968"/>
      <c r="Q1049" s="586"/>
      <c r="R1049" s="968"/>
      <c r="S1049" s="589"/>
      <c r="T1049" s="589"/>
      <c r="U1049" s="589"/>
    </row>
    <row r="1050" spans="1:21" ht="15.5" x14ac:dyDescent="0.35">
      <c r="A1050" s="208"/>
      <c r="B1050" s="227" t="s">
        <v>4812</v>
      </c>
      <c r="C1050" s="227" t="s">
        <v>4872</v>
      </c>
      <c r="D1050" s="228"/>
      <c r="E1050" s="228"/>
      <c r="F1050" s="229" t="str">
        <f>IF($F$3=1,O1050,"")</f>
        <v>C.6 Angebote für den täglichen Bedarf</v>
      </c>
      <c r="G1050" s="230"/>
      <c r="H1050" s="231"/>
      <c r="I1050" s="232"/>
      <c r="J1050" s="233"/>
      <c r="K1050" s="157">
        <f t="shared" si="131"/>
        <v>100</v>
      </c>
      <c r="L1050" s="157">
        <f t="shared" si="132"/>
        <v>200</v>
      </c>
      <c r="M1050" s="157">
        <f t="shared" si="133"/>
        <v>300</v>
      </c>
      <c r="N1050" s="157">
        <f t="shared" si="134"/>
        <v>400</v>
      </c>
      <c r="O1050" s="967" t="str">
        <f>CONCATENATE(B1050," ",C1050)</f>
        <v>C.6 Angebote für den täglichen Bedarf</v>
      </c>
      <c r="P1050" s="958"/>
      <c r="Q1050" s="586"/>
      <c r="R1050" s="968"/>
      <c r="S1050" s="589"/>
      <c r="T1050" s="589"/>
      <c r="U1050" s="589"/>
    </row>
    <row r="1051" spans="1:21" x14ac:dyDescent="0.35">
      <c r="B1051" s="185"/>
      <c r="K1051" s="157">
        <f t="shared" si="131"/>
        <v>100</v>
      </c>
      <c r="L1051" s="157">
        <f t="shared" si="132"/>
        <v>200</v>
      </c>
      <c r="M1051" s="157">
        <f t="shared" si="133"/>
        <v>300</v>
      </c>
      <c r="N1051" s="157">
        <f t="shared" si="134"/>
        <v>400</v>
      </c>
      <c r="O1051" s="967"/>
      <c r="P1051" s="967"/>
      <c r="Q1051" s="586"/>
      <c r="R1051" s="968"/>
      <c r="S1051" s="589"/>
      <c r="T1051" s="589"/>
      <c r="U1051" s="589"/>
    </row>
    <row r="1052" spans="1:21" ht="7.5" customHeight="1" x14ac:dyDescent="0.35">
      <c r="A1052" s="116"/>
      <c r="B1052" s="117"/>
      <c r="C1052" s="117"/>
      <c r="D1052" s="116"/>
      <c r="E1052" s="116"/>
      <c r="F1052" s="118"/>
      <c r="G1052" s="119"/>
      <c r="H1052" s="116"/>
      <c r="I1052" s="120"/>
      <c r="J1052" s="121"/>
      <c r="K1052" s="157">
        <f t="shared" si="131"/>
        <v>100</v>
      </c>
      <c r="L1052" s="157">
        <f t="shared" si="132"/>
        <v>200</v>
      </c>
      <c r="M1052" s="157">
        <f t="shared" si="133"/>
        <v>300</v>
      </c>
      <c r="N1052" s="157">
        <f t="shared" si="134"/>
        <v>400</v>
      </c>
      <c r="O1052" s="968"/>
      <c r="P1052" s="968"/>
      <c r="Q1052" s="586"/>
      <c r="R1052" s="968"/>
      <c r="S1052" s="589"/>
      <c r="T1052" s="589"/>
      <c r="U1052" s="589"/>
    </row>
    <row r="1053" spans="1:21" ht="15.5" x14ac:dyDescent="0.35">
      <c r="A1053" s="124"/>
      <c r="B1053" s="125"/>
      <c r="C1053" s="126" t="s">
        <v>4811</v>
      </c>
      <c r="D1053" s="127" t="s">
        <v>5447</v>
      </c>
      <c r="E1053" s="128"/>
      <c r="F1053" s="129" t="str">
        <f>IF($F$3=1,O1053,"")</f>
        <v>C.6.1 Güter und Dienstleistungen des täglichen Bedarfs</v>
      </c>
      <c r="G1053" s="204"/>
      <c r="H1053" s="205"/>
      <c r="I1053" s="520" t="s">
        <v>23</v>
      </c>
      <c r="J1053" s="130"/>
      <c r="K1053" s="157">
        <f t="shared" si="131"/>
        <v>100</v>
      </c>
      <c r="L1053" s="157">
        <f t="shared" si="132"/>
        <v>200</v>
      </c>
      <c r="M1053" s="157">
        <f t="shared" si="133"/>
        <v>300</v>
      </c>
      <c r="N1053" s="157">
        <f t="shared" si="134"/>
        <v>400</v>
      </c>
      <c r="O1053" s="967" t="str">
        <f>CONCATENATE(C1053," ",D1053)</f>
        <v>C.6.1 Güter und Dienstleistungen des täglichen Bedarfs</v>
      </c>
      <c r="P1053" s="966"/>
      <c r="Q1053" s="586"/>
      <c r="R1053" s="968"/>
      <c r="S1053" s="589"/>
      <c r="T1053" s="589"/>
      <c r="U1053" s="589"/>
    </row>
    <row r="1054" spans="1:21" x14ac:dyDescent="0.35">
      <c r="A1054" s="124"/>
      <c r="B1054" s="134"/>
      <c r="C1054" s="135"/>
      <c r="D1054" s="136"/>
      <c r="E1054" s="136"/>
      <c r="F1054" s="137"/>
      <c r="G1054" s="138"/>
      <c r="H1054" s="124"/>
      <c r="I1054" s="139"/>
      <c r="J1054" s="140"/>
      <c r="K1054" s="157">
        <f t="shared" si="131"/>
        <v>100</v>
      </c>
      <c r="L1054" s="157">
        <f t="shared" si="132"/>
        <v>200</v>
      </c>
      <c r="M1054" s="157">
        <f t="shared" si="133"/>
        <v>300</v>
      </c>
      <c r="N1054" s="157">
        <f t="shared" si="134"/>
        <v>400</v>
      </c>
      <c r="O1054" s="968"/>
      <c r="P1054" s="966"/>
      <c r="Q1054" s="586"/>
      <c r="R1054" s="968"/>
      <c r="S1054" s="589"/>
      <c r="T1054" s="589"/>
      <c r="U1054" s="589"/>
    </row>
    <row r="1055" spans="1:21" x14ac:dyDescent="0.35">
      <c r="A1055" s="142"/>
      <c r="B1055" s="35"/>
      <c r="C1055" s="143"/>
      <c r="D1055" s="1685" t="s">
        <v>18</v>
      </c>
      <c r="E1055" s="1686"/>
      <c r="F1055" s="144" t="s">
        <v>19</v>
      </c>
      <c r="G1055" s="145" t="s">
        <v>0</v>
      </c>
      <c r="H1055" s="146" t="s">
        <v>20</v>
      </c>
      <c r="I1055" s="147" t="s">
        <v>1</v>
      </c>
      <c r="J1055" s="147" t="s">
        <v>4375</v>
      </c>
      <c r="K1055" s="157">
        <f t="shared" si="131"/>
        <v>100</v>
      </c>
      <c r="L1055" s="157">
        <f t="shared" si="132"/>
        <v>200</v>
      </c>
      <c r="M1055" s="157">
        <f t="shared" si="133"/>
        <v>300</v>
      </c>
      <c r="N1055" s="157">
        <f t="shared" si="134"/>
        <v>400</v>
      </c>
      <c r="O1055" s="587"/>
      <c r="P1055" s="967"/>
      <c r="Q1055" s="586"/>
      <c r="R1055" s="968"/>
      <c r="S1055" s="589"/>
      <c r="T1055" s="589"/>
      <c r="U1055" s="589"/>
    </row>
    <row r="1056" spans="1:21" ht="48" x14ac:dyDescent="0.35">
      <c r="A1056" s="123"/>
      <c r="B1056" s="35"/>
      <c r="C1056" s="151"/>
      <c r="D1056" s="1687" t="s">
        <v>4869</v>
      </c>
      <c r="E1056" s="1688"/>
      <c r="F1056" s="152" t="s">
        <v>4856</v>
      </c>
      <c r="G1056" s="153">
        <f t="shared" ref="G1056" si="139">IF($H$2=1,S1056,IF($H$2=2,T1056,U1056))</f>
        <v>1</v>
      </c>
      <c r="H1056" s="226">
        <f>'RH Städtebau'!$C$68*G1056/100%</f>
        <v>0</v>
      </c>
      <c r="I1056" s="155"/>
      <c r="J1056" s="156"/>
      <c r="K1056" s="157">
        <f t="shared" si="131"/>
        <v>100</v>
      </c>
      <c r="L1056" s="157">
        <f t="shared" si="132"/>
        <v>200</v>
      </c>
      <c r="M1056" s="157">
        <f t="shared" si="133"/>
        <v>300</v>
      </c>
      <c r="N1056" s="157">
        <f t="shared" si="134"/>
        <v>400</v>
      </c>
      <c r="O1056" s="967" t="str">
        <f>CONCATENATE(O1053," | ",F1056)</f>
        <v>C.6.1 Güter und Dienstleistungen des täglichen Bedarfs | Rechenhilfe: Pro Bewertungsgruppe wird eine Einrichtung angerechnet.
• Einrichtung 500 Meter vom Zentrum entfernt: 10%
• Einrichtung 1.000 Meter vom Zentrum entfernt: 2%</v>
      </c>
      <c r="P1056" s="967"/>
      <c r="Q1056" s="586"/>
      <c r="R1056" s="968"/>
      <c r="S1056" s="588">
        <v>0</v>
      </c>
      <c r="T1056" s="588">
        <v>0.7</v>
      </c>
      <c r="U1056" s="588">
        <v>1</v>
      </c>
    </row>
    <row r="1057" spans="1:21" x14ac:dyDescent="0.35">
      <c r="A1057" s="123"/>
      <c r="B1057" s="35"/>
      <c r="C1057" s="151"/>
      <c r="D1057" s="1687"/>
      <c r="E1057" s="1688"/>
      <c r="F1057" s="159"/>
      <c r="G1057" s="160"/>
      <c r="H1057" s="161"/>
      <c r="I1057" s="166"/>
      <c r="J1057" s="167"/>
      <c r="K1057" s="157">
        <f t="shared" si="131"/>
        <v>100</v>
      </c>
      <c r="L1057" s="157">
        <f t="shared" si="132"/>
        <v>200</v>
      </c>
      <c r="M1057" s="157">
        <f t="shared" si="133"/>
        <v>300</v>
      </c>
      <c r="N1057" s="157">
        <f t="shared" si="134"/>
        <v>400</v>
      </c>
      <c r="O1057" s="967"/>
      <c r="P1057" s="967"/>
      <c r="Q1057" s="586"/>
      <c r="R1057" s="968"/>
      <c r="S1057" s="589"/>
      <c r="T1057" s="589"/>
      <c r="U1057" s="589"/>
    </row>
    <row r="1058" spans="1:21" x14ac:dyDescent="0.35">
      <c r="A1058" s="123"/>
      <c r="B1058" s="35"/>
      <c r="C1058" s="151"/>
      <c r="D1058" s="1687"/>
      <c r="E1058" s="1688"/>
      <c r="F1058" s="593" t="str">
        <f>IF($G$2=1,R1058,"Weiteres Kriterium in der Nutzung")</f>
        <v>Weiteres Kriterium in der Nutzung</v>
      </c>
      <c r="G1058" s="153">
        <f t="shared" ref="G1058:G1060" si="140">IF($H$2=1,S1058,IF($H$2=2,T1058,U1058))</f>
        <v>0</v>
      </c>
      <c r="H1058" s="154"/>
      <c r="I1058" s="158"/>
      <c r="J1058" s="156"/>
      <c r="K1058" s="157">
        <f t="shared" si="131"/>
        <v>100</v>
      </c>
      <c r="L1058" s="157">
        <f t="shared" si="132"/>
        <v>200</v>
      </c>
      <c r="M1058" s="157">
        <f t="shared" si="133"/>
        <v>300</v>
      </c>
      <c r="N1058" s="157">
        <f t="shared" si="134"/>
        <v>400</v>
      </c>
      <c r="O1058" s="967" t="str">
        <f>CONCATENATE(O1053," | ",F1058)</f>
        <v>C.6.1 Güter und Dienstleistungen des täglichen Bedarfs | Weiteres Kriterium in der Nutzung</v>
      </c>
      <c r="P1058" s="967"/>
      <c r="Q1058" s="586"/>
      <c r="R1058" s="968" t="s">
        <v>5332</v>
      </c>
      <c r="S1058" s="588">
        <v>0.33</v>
      </c>
      <c r="T1058" s="588">
        <v>0.1</v>
      </c>
      <c r="U1058" s="588">
        <v>0</v>
      </c>
    </row>
    <row r="1059" spans="1:21" x14ac:dyDescent="0.35">
      <c r="A1059" s="123">
        <v>3.2</v>
      </c>
      <c r="B1059" s="35"/>
      <c r="C1059" s="151"/>
      <c r="D1059" s="1687"/>
      <c r="E1059" s="1688"/>
      <c r="F1059" s="593" t="str">
        <f t="shared" ref="F1059:F1060" si="141">IF($G$2=1,R1059,"Weiteres Kriterium in der Nutzung")</f>
        <v>Weiteres Kriterium in der Nutzung</v>
      </c>
      <c r="G1059" s="153">
        <f t="shared" si="140"/>
        <v>0</v>
      </c>
      <c r="H1059" s="154"/>
      <c r="I1059" s="158"/>
      <c r="J1059" s="156"/>
      <c r="K1059" s="157">
        <f t="shared" si="131"/>
        <v>100</v>
      </c>
      <c r="L1059" s="157">
        <f t="shared" si="132"/>
        <v>200</v>
      </c>
      <c r="M1059" s="157">
        <f t="shared" si="133"/>
        <v>300</v>
      </c>
      <c r="N1059" s="157">
        <f t="shared" si="134"/>
        <v>400</v>
      </c>
      <c r="O1059" s="967" t="str">
        <f>CONCATENATE(O1053," | ",F1059)</f>
        <v>C.6.1 Güter und Dienstleistungen des täglichen Bedarfs | Weiteres Kriterium in der Nutzung</v>
      </c>
      <c r="P1059" s="967"/>
      <c r="Q1059" s="586"/>
      <c r="R1059" s="968" t="s">
        <v>5330</v>
      </c>
      <c r="S1059" s="588">
        <v>0.33</v>
      </c>
      <c r="T1059" s="588">
        <v>0.1</v>
      </c>
      <c r="U1059" s="588">
        <v>0</v>
      </c>
    </row>
    <row r="1060" spans="1:21" x14ac:dyDescent="0.35">
      <c r="A1060" s="123"/>
      <c r="B1060" s="35"/>
      <c r="C1060" s="151"/>
      <c r="D1060" s="1687"/>
      <c r="E1060" s="1688"/>
      <c r="F1060" s="593" t="str">
        <f t="shared" si="141"/>
        <v>Weiteres Kriterium in der Nutzung</v>
      </c>
      <c r="G1060" s="153">
        <f t="shared" si="140"/>
        <v>0</v>
      </c>
      <c r="H1060" s="154"/>
      <c r="I1060" s="158"/>
      <c r="J1060" s="156"/>
      <c r="K1060" s="157">
        <f t="shared" si="131"/>
        <v>100</v>
      </c>
      <c r="L1060" s="157">
        <f t="shared" si="132"/>
        <v>200</v>
      </c>
      <c r="M1060" s="157">
        <f t="shared" si="133"/>
        <v>300</v>
      </c>
      <c r="N1060" s="157">
        <f t="shared" si="134"/>
        <v>400</v>
      </c>
      <c r="O1060" s="967" t="str">
        <f>CONCATENATE(O1053," | ",F1060)</f>
        <v>C.6.1 Güter und Dienstleistungen des täglichen Bedarfs | Weiteres Kriterium in der Nutzung</v>
      </c>
      <c r="P1060" s="967"/>
      <c r="Q1060" s="586"/>
      <c r="R1060" s="968" t="s">
        <v>5333</v>
      </c>
      <c r="S1060" s="588">
        <v>0.34</v>
      </c>
      <c r="T1060" s="588">
        <v>0.1</v>
      </c>
      <c r="U1060" s="588">
        <v>0</v>
      </c>
    </row>
    <row r="1061" spans="1:21" x14ac:dyDescent="0.35">
      <c r="A1061" s="116"/>
      <c r="B1061" s="35"/>
      <c r="C1061" s="117"/>
      <c r="D1061" s="1687"/>
      <c r="E1061" s="1688"/>
      <c r="F1061" s="159"/>
      <c r="G1061" s="160"/>
      <c r="H1061" s="161"/>
      <c r="I1061" s="162"/>
      <c r="J1061" s="167"/>
      <c r="K1061" s="157">
        <f t="shared" si="131"/>
        <v>100</v>
      </c>
      <c r="L1061" s="157">
        <f t="shared" si="132"/>
        <v>200</v>
      </c>
      <c r="M1061" s="157">
        <f t="shared" si="133"/>
        <v>300</v>
      </c>
      <c r="N1061" s="157">
        <f t="shared" si="134"/>
        <v>400</v>
      </c>
      <c r="O1061" s="959"/>
      <c r="P1061" s="967"/>
      <c r="Q1061" s="586"/>
      <c r="R1061" s="968"/>
      <c r="S1061" s="589"/>
      <c r="T1061" s="589"/>
      <c r="U1061" s="589"/>
    </row>
    <row r="1062" spans="1:21" x14ac:dyDescent="0.35">
      <c r="A1062" s="116"/>
      <c r="B1062" s="35"/>
      <c r="C1062" s="117"/>
      <c r="D1062" s="1687"/>
      <c r="E1062" s="1688"/>
      <c r="F1062" s="159"/>
      <c r="G1062" s="160"/>
      <c r="H1062" s="161"/>
      <c r="I1062" s="162"/>
      <c r="J1062" s="164"/>
      <c r="K1062" s="157">
        <f t="shared" si="131"/>
        <v>100</v>
      </c>
      <c r="L1062" s="157">
        <f t="shared" si="132"/>
        <v>200</v>
      </c>
      <c r="M1062" s="157">
        <f t="shared" si="133"/>
        <v>300</v>
      </c>
      <c r="N1062" s="157">
        <f t="shared" si="134"/>
        <v>400</v>
      </c>
      <c r="O1062" s="959"/>
      <c r="P1062" s="967"/>
      <c r="Q1062" s="586"/>
      <c r="R1062" s="968"/>
      <c r="S1062" s="589"/>
      <c r="T1062" s="589"/>
      <c r="U1062" s="589"/>
    </row>
    <row r="1063" spans="1:21" x14ac:dyDescent="0.35">
      <c r="A1063" s="116"/>
      <c r="B1063" s="35"/>
      <c r="C1063" s="117"/>
      <c r="D1063" s="1687"/>
      <c r="E1063" s="1688"/>
      <c r="F1063" s="159"/>
      <c r="G1063" s="160"/>
      <c r="H1063" s="161"/>
      <c r="I1063" s="162"/>
      <c r="J1063" s="164"/>
      <c r="K1063" s="157">
        <f t="shared" si="131"/>
        <v>100</v>
      </c>
      <c r="L1063" s="157">
        <f t="shared" si="132"/>
        <v>200</v>
      </c>
      <c r="M1063" s="157">
        <f t="shared" si="133"/>
        <v>300</v>
      </c>
      <c r="N1063" s="157">
        <f t="shared" si="134"/>
        <v>400</v>
      </c>
      <c r="O1063" s="959"/>
      <c r="P1063" s="967"/>
      <c r="Q1063" s="586"/>
      <c r="R1063" s="968"/>
      <c r="S1063" s="589"/>
      <c r="T1063" s="589"/>
      <c r="U1063" s="589"/>
    </row>
    <row r="1064" spans="1:21" x14ac:dyDescent="0.35">
      <c r="A1064" s="123"/>
      <c r="B1064" s="35"/>
      <c r="C1064" s="151"/>
      <c r="D1064" s="1687"/>
      <c r="E1064" s="1688"/>
      <c r="F1064" s="165"/>
      <c r="G1064" s="160"/>
      <c r="H1064" s="161"/>
      <c r="I1064" s="166"/>
      <c r="J1064" s="164"/>
      <c r="K1064" s="157">
        <f t="shared" si="131"/>
        <v>100</v>
      </c>
      <c r="L1064" s="157">
        <f t="shared" si="132"/>
        <v>200</v>
      </c>
      <c r="M1064" s="157">
        <f t="shared" si="133"/>
        <v>300</v>
      </c>
      <c r="N1064" s="157">
        <f t="shared" si="134"/>
        <v>400</v>
      </c>
      <c r="O1064" s="959"/>
      <c r="P1064" s="967"/>
      <c r="Q1064" s="586"/>
      <c r="R1064" s="968"/>
      <c r="S1064" s="589"/>
      <c r="T1064" s="589"/>
      <c r="U1064" s="589"/>
    </row>
    <row r="1065" spans="1:21" x14ac:dyDescent="0.35">
      <c r="A1065" s="116"/>
      <c r="B1065" s="35"/>
      <c r="C1065" s="117"/>
      <c r="D1065" s="1687"/>
      <c r="E1065" s="1688"/>
      <c r="F1065" s="159"/>
      <c r="G1065" s="160"/>
      <c r="H1065" s="168"/>
      <c r="I1065" s="162"/>
      <c r="J1065" s="167"/>
      <c r="K1065" s="157">
        <f t="shared" si="131"/>
        <v>100</v>
      </c>
      <c r="L1065" s="157">
        <f t="shared" si="132"/>
        <v>200</v>
      </c>
      <c r="M1065" s="157">
        <f t="shared" si="133"/>
        <v>300</v>
      </c>
      <c r="N1065" s="157">
        <f t="shared" si="134"/>
        <v>400</v>
      </c>
      <c r="O1065" s="959"/>
      <c r="P1065" s="967"/>
      <c r="Q1065" s="586"/>
      <c r="R1065" s="968"/>
      <c r="S1065" s="589"/>
      <c r="T1065" s="589"/>
      <c r="U1065" s="589"/>
    </row>
    <row r="1066" spans="1:21" x14ac:dyDescent="0.35">
      <c r="A1066" s="116"/>
      <c r="B1066" s="117"/>
      <c r="C1066" s="117"/>
      <c r="D1066" s="1687"/>
      <c r="E1066" s="1688"/>
      <c r="F1066" s="159"/>
      <c r="G1066" s="160"/>
      <c r="H1066" s="168"/>
      <c r="I1066" s="162"/>
      <c r="J1066" s="164"/>
      <c r="K1066" s="157">
        <f t="shared" si="131"/>
        <v>100</v>
      </c>
      <c r="L1066" s="157">
        <f t="shared" si="132"/>
        <v>200</v>
      </c>
      <c r="M1066" s="157">
        <f t="shared" si="133"/>
        <v>300</v>
      </c>
      <c r="N1066" s="157">
        <f t="shared" si="134"/>
        <v>400</v>
      </c>
      <c r="O1066" s="959"/>
      <c r="P1066" s="967"/>
      <c r="Q1066" s="586"/>
      <c r="R1066" s="968"/>
      <c r="S1066" s="589"/>
      <c r="T1066" s="589"/>
      <c r="U1066" s="589"/>
    </row>
    <row r="1067" spans="1:21" x14ac:dyDescent="0.35">
      <c r="A1067" s="116"/>
      <c r="B1067" s="117"/>
      <c r="C1067" s="117"/>
      <c r="D1067" s="1687"/>
      <c r="E1067" s="1688"/>
      <c r="F1067" s="169"/>
      <c r="G1067" s="170"/>
      <c r="H1067" s="171"/>
      <c r="I1067" s="172"/>
      <c r="J1067" s="173"/>
      <c r="K1067" s="157">
        <f t="shared" si="131"/>
        <v>100</v>
      </c>
      <c r="L1067" s="157">
        <f t="shared" si="132"/>
        <v>200</v>
      </c>
      <c r="M1067" s="157">
        <f t="shared" si="133"/>
        <v>300</v>
      </c>
      <c r="N1067" s="157">
        <f t="shared" si="134"/>
        <v>400</v>
      </c>
      <c r="O1067" s="959"/>
      <c r="P1067" s="967"/>
      <c r="Q1067" s="586"/>
      <c r="R1067" s="968"/>
      <c r="S1067" s="589"/>
      <c r="T1067" s="589"/>
      <c r="U1067" s="589"/>
    </row>
    <row r="1068" spans="1:21" ht="28.5" customHeight="1" x14ac:dyDescent="0.35">
      <c r="A1068" s="116"/>
      <c r="B1068" s="117"/>
      <c r="C1068" s="117"/>
      <c r="D1068" s="174"/>
      <c r="E1068" s="175"/>
      <c r="F1068" s="1689" t="s">
        <v>2</v>
      </c>
      <c r="G1068" s="1689"/>
      <c r="H1068" s="176">
        <f>IF(O1068&gt;1,"Zielerreichung übersteigt 100%!",O1068)</f>
        <v>0</v>
      </c>
      <c r="I1068" s="177"/>
      <c r="J1068" s="178"/>
      <c r="K1068" s="157">
        <f t="shared" ref="K1068:K1131" si="142">IF($J1068=$K$41,K1067+1,K1067+0)</f>
        <v>100</v>
      </c>
      <c r="L1068" s="157">
        <f t="shared" ref="L1068:L1131" si="143">IF($J1068=$L$41,L1067+1,L1067+0)</f>
        <v>200</v>
      </c>
      <c r="M1068" s="157">
        <f t="shared" ref="M1068:M1131" si="144">IF($J1068=$M$41,M1067+1,M1067+0)</f>
        <v>300</v>
      </c>
      <c r="N1068" s="157">
        <f t="shared" ref="N1068:N1131" si="145">IF($J1068=$N$41,N1067+1,N1067+0)</f>
        <v>400</v>
      </c>
      <c r="O1068" s="959">
        <f>SUM(H1056:H1067)</f>
        <v>0</v>
      </c>
      <c r="P1068" s="967"/>
      <c r="Q1068" s="586"/>
      <c r="R1068" s="968"/>
      <c r="S1068" s="589"/>
      <c r="T1068" s="589"/>
      <c r="U1068" s="589"/>
    </row>
    <row r="1069" spans="1:21" x14ac:dyDescent="0.35">
      <c r="A1069" s="116"/>
      <c r="B1069" s="117"/>
      <c r="C1069" s="117"/>
      <c r="D1069" s="179"/>
      <c r="E1069" s="180"/>
      <c r="F1069" s="1690" t="s">
        <v>3</v>
      </c>
      <c r="G1069" s="1691"/>
      <c r="H1069" s="181">
        <v>28</v>
      </c>
      <c r="I1069" s="177"/>
      <c r="J1069" s="178"/>
      <c r="K1069" s="157">
        <f t="shared" si="142"/>
        <v>100</v>
      </c>
      <c r="L1069" s="157">
        <f t="shared" si="143"/>
        <v>200</v>
      </c>
      <c r="M1069" s="157">
        <f t="shared" si="144"/>
        <v>300</v>
      </c>
      <c r="N1069" s="157">
        <f t="shared" si="145"/>
        <v>400</v>
      </c>
      <c r="O1069" s="1030"/>
      <c r="P1069" s="967"/>
      <c r="Q1069" s="586"/>
      <c r="R1069" s="968"/>
      <c r="S1069" s="589"/>
      <c r="T1069" s="589"/>
      <c r="U1069" s="589"/>
    </row>
    <row r="1070" spans="1:21" x14ac:dyDescent="0.35">
      <c r="A1070" s="116"/>
      <c r="B1070" s="117"/>
      <c r="C1070" s="117"/>
      <c r="D1070" s="179"/>
      <c r="E1070" s="180"/>
      <c r="F1070" s="1692"/>
      <c r="G1070" s="1693"/>
      <c r="H1070" s="182"/>
      <c r="I1070" s="183"/>
      <c r="J1070" s="178"/>
      <c r="K1070" s="157">
        <f t="shared" si="142"/>
        <v>100</v>
      </c>
      <c r="L1070" s="157">
        <f t="shared" si="143"/>
        <v>200</v>
      </c>
      <c r="M1070" s="157">
        <f t="shared" si="144"/>
        <v>300</v>
      </c>
      <c r="N1070" s="157">
        <f t="shared" si="145"/>
        <v>400</v>
      </c>
      <c r="O1070" s="1030"/>
      <c r="P1070" s="967"/>
      <c r="Q1070" s="586"/>
      <c r="R1070" s="968"/>
      <c r="S1070" s="589"/>
      <c r="T1070" s="589"/>
      <c r="U1070" s="589"/>
    </row>
    <row r="1071" spans="1:21" x14ac:dyDescent="0.35">
      <c r="A1071" s="184"/>
      <c r="B1071" s="185"/>
      <c r="C1071" s="185"/>
      <c r="D1071" s="179"/>
      <c r="E1071" s="180"/>
      <c r="F1071" s="186"/>
      <c r="G1071" s="186"/>
      <c r="H1071" s="187"/>
      <c r="I1071" s="177"/>
      <c r="J1071" s="178"/>
      <c r="K1071" s="157">
        <f t="shared" si="142"/>
        <v>100</v>
      </c>
      <c r="L1071" s="157">
        <f t="shared" si="143"/>
        <v>200</v>
      </c>
      <c r="M1071" s="157">
        <f t="shared" si="144"/>
        <v>300</v>
      </c>
      <c r="N1071" s="157">
        <f t="shared" si="145"/>
        <v>400</v>
      </c>
      <c r="O1071" s="1030"/>
      <c r="P1071" s="967"/>
      <c r="Q1071" s="586"/>
      <c r="R1071" s="968"/>
      <c r="S1071" s="589"/>
      <c r="T1071" s="589"/>
      <c r="U1071" s="589"/>
    </row>
    <row r="1072" spans="1:21" ht="15.5" x14ac:dyDescent="0.35">
      <c r="A1072" s="116"/>
      <c r="B1072" s="117"/>
      <c r="C1072" s="1702"/>
      <c r="D1072" s="1703"/>
      <c r="E1072" s="234"/>
      <c r="F1072" s="1704" t="s">
        <v>5</v>
      </c>
      <c r="G1072" s="1704"/>
      <c r="H1072" s="235">
        <f>IF(ISNUMBER(H1070),H1070*H1068,H1069*H1068)</f>
        <v>0</v>
      </c>
      <c r="I1072" s="236"/>
      <c r="J1072" s="237"/>
      <c r="K1072" s="157">
        <f t="shared" si="142"/>
        <v>100</v>
      </c>
      <c r="L1072" s="157">
        <f t="shared" si="143"/>
        <v>200</v>
      </c>
      <c r="M1072" s="157">
        <f t="shared" si="144"/>
        <v>300</v>
      </c>
      <c r="N1072" s="157">
        <f t="shared" si="145"/>
        <v>400</v>
      </c>
      <c r="O1072" s="1030"/>
      <c r="P1072" s="967"/>
      <c r="Q1072" s="586"/>
      <c r="R1072" s="968"/>
      <c r="S1072" s="589"/>
      <c r="T1072" s="589"/>
      <c r="U1072" s="589"/>
    </row>
    <row r="1073" spans="1:21" x14ac:dyDescent="0.35">
      <c r="B1073" s="185"/>
      <c r="K1073" s="157">
        <f t="shared" si="142"/>
        <v>100</v>
      </c>
      <c r="L1073" s="157">
        <f t="shared" si="143"/>
        <v>200</v>
      </c>
      <c r="M1073" s="157">
        <f t="shared" si="144"/>
        <v>300</v>
      </c>
      <c r="N1073" s="157">
        <f t="shared" si="145"/>
        <v>400</v>
      </c>
      <c r="O1073" s="967"/>
      <c r="P1073" s="967"/>
      <c r="Q1073" s="586"/>
      <c r="R1073" s="968"/>
      <c r="S1073" s="589"/>
      <c r="T1073" s="589"/>
      <c r="U1073" s="589"/>
    </row>
    <row r="1074" spans="1:21" ht="7.5" customHeight="1" x14ac:dyDescent="0.35">
      <c r="A1074" s="116"/>
      <c r="B1074" s="117"/>
      <c r="C1074" s="117"/>
      <c r="D1074" s="116"/>
      <c r="E1074" s="116"/>
      <c r="F1074" s="118"/>
      <c r="G1074" s="119"/>
      <c r="H1074" s="116"/>
      <c r="I1074" s="120"/>
      <c r="J1074" s="121"/>
      <c r="K1074" s="157">
        <f t="shared" si="142"/>
        <v>100</v>
      </c>
      <c r="L1074" s="157">
        <f t="shared" si="143"/>
        <v>200</v>
      </c>
      <c r="M1074" s="157">
        <f t="shared" si="144"/>
        <v>300</v>
      </c>
      <c r="N1074" s="157">
        <f t="shared" si="145"/>
        <v>400</v>
      </c>
      <c r="O1074" s="968"/>
      <c r="P1074" s="968"/>
      <c r="Q1074" s="586"/>
      <c r="R1074" s="968"/>
      <c r="S1074" s="589"/>
      <c r="T1074" s="589"/>
      <c r="U1074" s="589"/>
    </row>
    <row r="1075" spans="1:21" ht="24" customHeight="1" x14ac:dyDescent="0.35">
      <c r="A1075" s="104"/>
      <c r="B1075" s="850" t="s">
        <v>4813</v>
      </c>
      <c r="C1075" s="851"/>
      <c r="D1075" s="852"/>
      <c r="E1075" s="852"/>
      <c r="F1075" s="853" t="str">
        <f>IF($F$3=1,Handlungsfeld4,"")</f>
        <v>Handlungsfeld D - Gebäude</v>
      </c>
      <c r="G1075" s="854"/>
      <c r="H1075" s="852"/>
      <c r="I1075" s="855"/>
      <c r="J1075" s="852"/>
      <c r="K1075" s="157">
        <f t="shared" si="142"/>
        <v>100</v>
      </c>
      <c r="L1075" s="157">
        <f t="shared" si="143"/>
        <v>200</v>
      </c>
      <c r="M1075" s="157">
        <f t="shared" si="144"/>
        <v>300</v>
      </c>
      <c r="N1075" s="157">
        <f t="shared" si="145"/>
        <v>400</v>
      </c>
      <c r="O1075" s="590"/>
      <c r="P1075" s="584"/>
      <c r="Q1075" s="586"/>
      <c r="R1075" s="968"/>
      <c r="S1075" s="589"/>
      <c r="T1075" s="589"/>
      <c r="U1075" s="589"/>
    </row>
    <row r="1076" spans="1:21" ht="15.5" x14ac:dyDescent="0.35">
      <c r="A1076" s="104"/>
      <c r="B1076" s="107"/>
      <c r="C1076" s="108"/>
      <c r="D1076" s="104"/>
      <c r="E1076" s="104"/>
      <c r="F1076" s="109"/>
      <c r="G1076" s="105"/>
      <c r="H1076" s="104"/>
      <c r="I1076" s="110"/>
      <c r="J1076" s="104"/>
      <c r="K1076" s="157">
        <f t="shared" si="142"/>
        <v>100</v>
      </c>
      <c r="L1076" s="157">
        <f t="shared" si="143"/>
        <v>200</v>
      </c>
      <c r="M1076" s="157">
        <f t="shared" si="144"/>
        <v>300</v>
      </c>
      <c r="N1076" s="157">
        <f t="shared" si="145"/>
        <v>400</v>
      </c>
      <c r="O1076" s="590"/>
      <c r="P1076" s="584"/>
      <c r="Q1076" s="586"/>
      <c r="R1076" s="968"/>
      <c r="S1076" s="589"/>
      <c r="T1076" s="589"/>
      <c r="U1076" s="589"/>
    </row>
    <row r="1077" spans="1:21" x14ac:dyDescent="0.35">
      <c r="B1077" s="35"/>
      <c r="E1077" s="1"/>
      <c r="K1077" s="157">
        <f t="shared" si="142"/>
        <v>100</v>
      </c>
      <c r="L1077" s="157">
        <f t="shared" si="143"/>
        <v>200</v>
      </c>
      <c r="M1077" s="157">
        <f t="shared" si="144"/>
        <v>300</v>
      </c>
      <c r="N1077" s="157">
        <f t="shared" si="145"/>
        <v>400</v>
      </c>
      <c r="O1077" s="967"/>
      <c r="P1077" s="967"/>
      <c r="Q1077" s="586"/>
      <c r="R1077" s="968"/>
      <c r="S1077" s="589"/>
      <c r="T1077" s="589"/>
      <c r="U1077" s="589"/>
    </row>
    <row r="1078" spans="1:21" ht="15.5" x14ac:dyDescent="0.35">
      <c r="A1078" s="208"/>
      <c r="B1078" s="241" t="s">
        <v>4814</v>
      </c>
      <c r="C1078" s="241" t="s">
        <v>2077</v>
      </c>
      <c r="D1078" s="242"/>
      <c r="E1078" s="242"/>
      <c r="F1078" s="243" t="str">
        <f>IF($F$3=1,O1078,"")</f>
        <v>D.1 Lebenszykluskosten</v>
      </c>
      <c r="G1078" s="244"/>
      <c r="H1078" s="245"/>
      <c r="I1078" s="246"/>
      <c r="J1078" s="247"/>
      <c r="K1078" s="157">
        <f t="shared" si="142"/>
        <v>100</v>
      </c>
      <c r="L1078" s="157">
        <f t="shared" si="143"/>
        <v>200</v>
      </c>
      <c r="M1078" s="157">
        <f t="shared" si="144"/>
        <v>300</v>
      </c>
      <c r="N1078" s="157">
        <f t="shared" si="145"/>
        <v>400</v>
      </c>
      <c r="O1078" s="967" t="str">
        <f>CONCATENATE(B1078," ",C1078)</f>
        <v>D.1 Lebenszykluskosten</v>
      </c>
      <c r="P1078" s="958"/>
      <c r="Q1078" s="586"/>
      <c r="R1078" s="968"/>
      <c r="S1078" s="589"/>
      <c r="T1078" s="589"/>
      <c r="U1078" s="589"/>
    </row>
    <row r="1079" spans="1:21" ht="15.5" x14ac:dyDescent="0.35">
      <c r="A1079" s="208"/>
      <c r="B1079" s="216"/>
      <c r="C1079" s="216"/>
      <c r="D1079" s="208"/>
      <c r="E1079" s="208"/>
      <c r="F1079" s="16"/>
      <c r="G1079" s="217"/>
      <c r="H1079" s="218"/>
      <c r="I1079" s="219"/>
      <c r="J1079" s="220"/>
      <c r="K1079" s="157">
        <f t="shared" si="142"/>
        <v>100</v>
      </c>
      <c r="L1079" s="157">
        <f t="shared" si="143"/>
        <v>200</v>
      </c>
      <c r="M1079" s="157">
        <f t="shared" si="144"/>
        <v>300</v>
      </c>
      <c r="N1079" s="157">
        <f t="shared" si="145"/>
        <v>400</v>
      </c>
      <c r="O1079" s="967"/>
      <c r="P1079" s="958"/>
      <c r="Q1079" s="586"/>
      <c r="R1079" s="968"/>
      <c r="S1079" s="589"/>
      <c r="T1079" s="589"/>
      <c r="U1079" s="589"/>
    </row>
    <row r="1080" spans="1:21" ht="7.5" customHeight="1" x14ac:dyDescent="0.35">
      <c r="A1080" s="116"/>
      <c r="B1080" s="117"/>
      <c r="C1080" s="117"/>
      <c r="D1080" s="116"/>
      <c r="E1080" s="116"/>
      <c r="F1080" s="118"/>
      <c r="G1080" s="119"/>
      <c r="H1080" s="116"/>
      <c r="I1080" s="120"/>
      <c r="J1080" s="121"/>
      <c r="K1080" s="157">
        <f t="shared" si="142"/>
        <v>100</v>
      </c>
      <c r="L1080" s="157">
        <f t="shared" si="143"/>
        <v>200</v>
      </c>
      <c r="M1080" s="157">
        <f t="shared" si="144"/>
        <v>300</v>
      </c>
      <c r="N1080" s="157">
        <f t="shared" si="145"/>
        <v>400</v>
      </c>
      <c r="O1080" s="968"/>
      <c r="P1080" s="968"/>
      <c r="Q1080" s="586"/>
      <c r="R1080" s="968"/>
      <c r="S1080" s="589"/>
      <c r="T1080" s="589"/>
      <c r="U1080" s="589"/>
    </row>
    <row r="1081" spans="1:21" ht="15.5" x14ac:dyDescent="0.35">
      <c r="A1081" s="124"/>
      <c r="B1081" s="125"/>
      <c r="C1081" s="126" t="s">
        <v>4815</v>
      </c>
      <c r="D1081" s="127" t="s">
        <v>5448</v>
      </c>
      <c r="E1081" s="128"/>
      <c r="F1081" s="129" t="str">
        <f>IF($F$3=1,O1081,"")</f>
        <v>D.1.1 Lebenszykluskosten und Wirtschaftlichkeitsbewertung</v>
      </c>
      <c r="G1081" s="204"/>
      <c r="H1081" s="205"/>
      <c r="I1081" s="520" t="s">
        <v>23</v>
      </c>
      <c r="J1081" s="130"/>
      <c r="K1081" s="157">
        <f t="shared" si="142"/>
        <v>100</v>
      </c>
      <c r="L1081" s="157">
        <f t="shared" si="143"/>
        <v>200</v>
      </c>
      <c r="M1081" s="157">
        <f t="shared" si="144"/>
        <v>300</v>
      </c>
      <c r="N1081" s="157">
        <f t="shared" si="145"/>
        <v>400</v>
      </c>
      <c r="O1081" s="967" t="str">
        <f>CONCATENATE(C1081," ",D1081)</f>
        <v>D.1.1 Lebenszykluskosten und Wirtschaftlichkeitsbewertung</v>
      </c>
      <c r="P1081" s="966"/>
      <c r="Q1081" s="586"/>
      <c r="R1081" s="968"/>
      <c r="S1081" s="589"/>
      <c r="T1081" s="589"/>
      <c r="U1081" s="589"/>
    </row>
    <row r="1082" spans="1:21" x14ac:dyDescent="0.35">
      <c r="A1082" s="124"/>
      <c r="B1082" s="134"/>
      <c r="C1082" s="135"/>
      <c r="D1082" s="136"/>
      <c r="E1082" s="136"/>
      <c r="F1082" s="137"/>
      <c r="G1082" s="138"/>
      <c r="H1082" s="124"/>
      <c r="I1082" s="139"/>
      <c r="J1082" s="140"/>
      <c r="K1082" s="157">
        <f t="shared" si="142"/>
        <v>100</v>
      </c>
      <c r="L1082" s="157">
        <f t="shared" si="143"/>
        <v>200</v>
      </c>
      <c r="M1082" s="157">
        <f t="shared" si="144"/>
        <v>300</v>
      </c>
      <c r="N1082" s="157">
        <f t="shared" si="145"/>
        <v>400</v>
      </c>
      <c r="O1082" s="968"/>
      <c r="P1082" s="966"/>
      <c r="Q1082" s="586"/>
      <c r="R1082" s="968"/>
      <c r="S1082" s="589"/>
      <c r="T1082" s="589"/>
      <c r="U1082" s="589"/>
    </row>
    <row r="1083" spans="1:21" x14ac:dyDescent="0.35">
      <c r="A1083" s="142"/>
      <c r="B1083" s="35"/>
      <c r="C1083" s="143"/>
      <c r="D1083" s="1685" t="s">
        <v>18</v>
      </c>
      <c r="E1083" s="1686"/>
      <c r="F1083" s="144" t="s">
        <v>19</v>
      </c>
      <c r="G1083" s="145" t="s">
        <v>0</v>
      </c>
      <c r="H1083" s="146" t="s">
        <v>20</v>
      </c>
      <c r="I1083" s="147" t="s">
        <v>1</v>
      </c>
      <c r="J1083" s="147" t="s">
        <v>4375</v>
      </c>
      <c r="K1083" s="157">
        <f t="shared" si="142"/>
        <v>100</v>
      </c>
      <c r="L1083" s="157">
        <f t="shared" si="143"/>
        <v>200</v>
      </c>
      <c r="M1083" s="157">
        <f t="shared" si="144"/>
        <v>300</v>
      </c>
      <c r="N1083" s="157">
        <f t="shared" si="145"/>
        <v>400</v>
      </c>
      <c r="O1083" s="587"/>
      <c r="P1083" s="967"/>
      <c r="Q1083" s="586"/>
      <c r="R1083" s="968"/>
      <c r="S1083" s="589"/>
      <c r="T1083" s="589"/>
      <c r="U1083" s="589"/>
    </row>
    <row r="1084" spans="1:21" ht="24" x14ac:dyDescent="0.35">
      <c r="A1084" s="123"/>
      <c r="B1084" s="35"/>
      <c r="C1084" s="151"/>
      <c r="D1084" s="1687" t="s">
        <v>5412</v>
      </c>
      <c r="E1084" s="1688"/>
      <c r="F1084" s="152" t="s">
        <v>4524</v>
      </c>
      <c r="G1084" s="153">
        <f t="shared" ref="G1084:G1086" si="146">IF($H$2=1,S1084,IF($H$2=2,T1084,U1084))</f>
        <v>0.33</v>
      </c>
      <c r="H1084" s="154"/>
      <c r="I1084" s="155"/>
      <c r="J1084" s="156"/>
      <c r="K1084" s="157">
        <f t="shared" si="142"/>
        <v>100</v>
      </c>
      <c r="L1084" s="157">
        <f t="shared" si="143"/>
        <v>200</v>
      </c>
      <c r="M1084" s="157">
        <f t="shared" si="144"/>
        <v>300</v>
      </c>
      <c r="N1084" s="157">
        <f t="shared" si="145"/>
        <v>400</v>
      </c>
      <c r="O1084" s="967" t="str">
        <f>CONCATENATE(O1081," | ",F1084)</f>
        <v>D.1.1 Lebenszykluskosten und Wirtschaftlichkeitsbewertung | LZK- und/oder Wirtschaftlichkeitsberechnungen wurden für verschiedene Bauteilvarianten durchgeführt</v>
      </c>
      <c r="P1084" s="967"/>
      <c r="Q1084" s="586"/>
      <c r="R1084" s="968"/>
      <c r="S1084" s="588">
        <v>0</v>
      </c>
      <c r="T1084" s="594">
        <v>0.23</v>
      </c>
      <c r="U1084" s="588">
        <v>0.33</v>
      </c>
    </row>
    <row r="1085" spans="1:21" ht="24" x14ac:dyDescent="0.35">
      <c r="A1085" s="123"/>
      <c r="B1085" s="35"/>
      <c r="C1085" s="151"/>
      <c r="D1085" s="1687"/>
      <c r="E1085" s="1688"/>
      <c r="F1085" s="152" t="s">
        <v>4525</v>
      </c>
      <c r="G1085" s="153">
        <f t="shared" si="146"/>
        <v>0.33</v>
      </c>
      <c r="H1085" s="154"/>
      <c r="I1085" s="155"/>
      <c r="J1085" s="156"/>
      <c r="K1085" s="157">
        <f t="shared" si="142"/>
        <v>100</v>
      </c>
      <c r="L1085" s="157">
        <f t="shared" si="143"/>
        <v>200</v>
      </c>
      <c r="M1085" s="157">
        <f t="shared" si="144"/>
        <v>300</v>
      </c>
      <c r="N1085" s="157">
        <f t="shared" si="145"/>
        <v>400</v>
      </c>
      <c r="O1085" s="967" t="str">
        <f>CONCATENATE(O1081," | ",F1085)</f>
        <v>D.1.1 Lebenszykluskosten und Wirtschaftlichkeitsbewertung | LZK- und/oder Wirtschaftlichkeitsberechnungen wurden für verschiedene Energiesystemvarianten durchgeführt</v>
      </c>
      <c r="P1085" s="967"/>
      <c r="Q1085" s="586"/>
      <c r="R1085" s="968"/>
      <c r="S1085" s="588">
        <v>0</v>
      </c>
      <c r="T1085" s="594">
        <v>0.23</v>
      </c>
      <c r="U1085" s="588">
        <v>0.33</v>
      </c>
    </row>
    <row r="1086" spans="1:21" ht="24" x14ac:dyDescent="0.35">
      <c r="A1086" s="123"/>
      <c r="B1086" s="35"/>
      <c r="C1086" s="151"/>
      <c r="D1086" s="1687"/>
      <c r="E1086" s="1688"/>
      <c r="F1086" s="152" t="s">
        <v>4526</v>
      </c>
      <c r="G1086" s="153">
        <f t="shared" si="146"/>
        <v>0.34</v>
      </c>
      <c r="H1086" s="154"/>
      <c r="I1086" s="155"/>
      <c r="J1086" s="156"/>
      <c r="K1086" s="157">
        <f t="shared" si="142"/>
        <v>100</v>
      </c>
      <c r="L1086" s="157">
        <f t="shared" si="143"/>
        <v>200</v>
      </c>
      <c r="M1086" s="157">
        <f t="shared" si="144"/>
        <v>300</v>
      </c>
      <c r="N1086" s="157">
        <f t="shared" si="145"/>
        <v>400</v>
      </c>
      <c r="O1086" s="967" t="str">
        <f>CONCATENATE(O1081," | ",F1086)</f>
        <v>D.1.1 Lebenszykluskosten und Wirtschaftlichkeitsbewertung | Die Ergebnisse wurden bei Variantenentscheidungen berücksichtigt</v>
      </c>
      <c r="P1086" s="967"/>
      <c r="Q1086" s="586"/>
      <c r="R1086" s="968"/>
      <c r="S1086" s="588">
        <v>0</v>
      </c>
      <c r="T1086" s="594">
        <v>0.24</v>
      </c>
      <c r="U1086" s="588">
        <v>0.34</v>
      </c>
    </row>
    <row r="1087" spans="1:21" x14ac:dyDescent="0.35">
      <c r="A1087" s="123">
        <v>3.2</v>
      </c>
      <c r="B1087" s="35"/>
      <c r="C1087" s="151"/>
      <c r="D1087" s="1687"/>
      <c r="E1087" s="1688"/>
      <c r="F1087" s="159"/>
      <c r="G1087" s="160"/>
      <c r="H1087" s="161"/>
      <c r="I1087" s="166"/>
      <c r="J1087" s="164"/>
      <c r="K1087" s="157">
        <f t="shared" si="142"/>
        <v>100</v>
      </c>
      <c r="L1087" s="157">
        <f t="shared" si="143"/>
        <v>200</v>
      </c>
      <c r="M1087" s="157">
        <f t="shared" si="144"/>
        <v>300</v>
      </c>
      <c r="N1087" s="157">
        <f t="shared" si="145"/>
        <v>400</v>
      </c>
      <c r="O1087" s="967"/>
      <c r="P1087" s="967"/>
      <c r="Q1087" s="586"/>
      <c r="R1087" s="968"/>
      <c r="S1087" s="588"/>
      <c r="T1087" s="594"/>
      <c r="U1087" s="588"/>
    </row>
    <row r="1088" spans="1:21" x14ac:dyDescent="0.35">
      <c r="A1088" s="123"/>
      <c r="B1088" s="35"/>
      <c r="C1088" s="151"/>
      <c r="D1088" s="1687"/>
      <c r="E1088" s="1688"/>
      <c r="F1088" s="593" t="str">
        <f>IF($G$2=1,R1088,"Weiteres Kriterium in der Nutzung")</f>
        <v>Weiteres Kriterium in der Nutzung</v>
      </c>
      <c r="G1088" s="153">
        <f t="shared" ref="G1088:G1090" si="147">IF($H$2=1,S1088,IF($H$2=2,T1088,U1088))</f>
        <v>0</v>
      </c>
      <c r="H1088" s="154"/>
      <c r="I1088" s="158"/>
      <c r="J1088" s="156"/>
      <c r="K1088" s="157">
        <f t="shared" si="142"/>
        <v>100</v>
      </c>
      <c r="L1088" s="157">
        <f t="shared" si="143"/>
        <v>200</v>
      </c>
      <c r="M1088" s="157">
        <f t="shared" si="144"/>
        <v>300</v>
      </c>
      <c r="N1088" s="157">
        <f t="shared" si="145"/>
        <v>400</v>
      </c>
      <c r="O1088" s="967" t="str">
        <f>CONCATENATE(O1081," | ",F1088)</f>
        <v>D.1.1 Lebenszykluskosten und Wirtschaftlichkeitsbewertung | Weiteres Kriterium in der Nutzung</v>
      </c>
      <c r="P1088" s="967"/>
      <c r="Q1088" s="586"/>
      <c r="R1088" s="968" t="s">
        <v>5409</v>
      </c>
      <c r="S1088" s="588">
        <v>0.33</v>
      </c>
      <c r="T1088" s="594">
        <v>0.1</v>
      </c>
      <c r="U1088" s="588">
        <v>0</v>
      </c>
    </row>
    <row r="1089" spans="1:21" x14ac:dyDescent="0.35">
      <c r="A1089" s="116"/>
      <c r="B1089" s="35"/>
      <c r="C1089" s="117"/>
      <c r="D1089" s="1687"/>
      <c r="E1089" s="1688"/>
      <c r="F1089" s="593" t="str">
        <f t="shared" ref="F1089:F1090" si="148">IF($G$2=1,R1089,"Weiteres Kriterium in der Nutzung")</f>
        <v>Weiteres Kriterium in der Nutzung</v>
      </c>
      <c r="G1089" s="153">
        <f t="shared" si="147"/>
        <v>0</v>
      </c>
      <c r="H1089" s="154"/>
      <c r="I1089" s="158"/>
      <c r="J1089" s="156"/>
      <c r="K1089" s="157">
        <f t="shared" si="142"/>
        <v>100</v>
      </c>
      <c r="L1089" s="157">
        <f t="shared" si="143"/>
        <v>200</v>
      </c>
      <c r="M1089" s="157">
        <f t="shared" si="144"/>
        <v>300</v>
      </c>
      <c r="N1089" s="157">
        <f t="shared" si="145"/>
        <v>400</v>
      </c>
      <c r="O1089" s="967" t="str">
        <f>CONCATENATE(O1081," | ",F1089)</f>
        <v>D.1.1 Lebenszykluskosten und Wirtschaftlichkeitsbewertung | Weiteres Kriterium in der Nutzung</v>
      </c>
      <c r="P1089" s="967"/>
      <c r="Q1089" s="586"/>
      <c r="R1089" s="968" t="s">
        <v>5410</v>
      </c>
      <c r="S1089" s="588">
        <v>0.33</v>
      </c>
      <c r="T1089" s="594">
        <v>0.1</v>
      </c>
      <c r="U1089" s="588">
        <v>0</v>
      </c>
    </row>
    <row r="1090" spans="1:21" x14ac:dyDescent="0.35">
      <c r="A1090" s="116"/>
      <c r="B1090" s="35"/>
      <c r="C1090" s="117"/>
      <c r="D1090" s="1687"/>
      <c r="E1090" s="1688"/>
      <c r="F1090" s="593" t="str">
        <f t="shared" si="148"/>
        <v>Weiteres Kriterium in der Nutzung</v>
      </c>
      <c r="G1090" s="153">
        <f t="shared" si="147"/>
        <v>0</v>
      </c>
      <c r="H1090" s="154"/>
      <c r="I1090" s="158"/>
      <c r="J1090" s="156"/>
      <c r="K1090" s="157">
        <f t="shared" si="142"/>
        <v>100</v>
      </c>
      <c r="L1090" s="157">
        <f t="shared" si="143"/>
        <v>200</v>
      </c>
      <c r="M1090" s="157">
        <f t="shared" si="144"/>
        <v>300</v>
      </c>
      <c r="N1090" s="157">
        <f t="shared" si="145"/>
        <v>400</v>
      </c>
      <c r="O1090" s="967" t="str">
        <f>CONCATENATE(O1081," | ",F1090)</f>
        <v>D.1.1 Lebenszykluskosten und Wirtschaftlichkeitsbewertung | Weiteres Kriterium in der Nutzung</v>
      </c>
      <c r="P1090" s="967"/>
      <c r="Q1090" s="586"/>
      <c r="R1090" s="968" t="s">
        <v>5411</v>
      </c>
      <c r="S1090" s="588">
        <v>0.34</v>
      </c>
      <c r="T1090" s="594">
        <v>0.1</v>
      </c>
      <c r="U1090" s="588">
        <v>0</v>
      </c>
    </row>
    <row r="1091" spans="1:21" x14ac:dyDescent="0.35">
      <c r="A1091" s="116"/>
      <c r="B1091" s="35"/>
      <c r="C1091" s="117"/>
      <c r="D1091" s="1687"/>
      <c r="E1091" s="1688"/>
      <c r="F1091" s="159"/>
      <c r="G1091" s="160"/>
      <c r="H1091" s="161"/>
      <c r="I1091" s="162"/>
      <c r="J1091" s="164"/>
      <c r="K1091" s="157">
        <f t="shared" si="142"/>
        <v>100</v>
      </c>
      <c r="L1091" s="157">
        <f t="shared" si="143"/>
        <v>200</v>
      </c>
      <c r="M1091" s="157">
        <f t="shared" si="144"/>
        <v>300</v>
      </c>
      <c r="N1091" s="157">
        <f t="shared" si="145"/>
        <v>400</v>
      </c>
      <c r="O1091" s="959"/>
      <c r="P1091" s="967"/>
      <c r="Q1091" s="586"/>
      <c r="R1091" s="968"/>
      <c r="S1091" s="589"/>
      <c r="T1091" s="589"/>
      <c r="U1091" s="589"/>
    </row>
    <row r="1092" spans="1:21" x14ac:dyDescent="0.35">
      <c r="A1092" s="123"/>
      <c r="B1092" s="35"/>
      <c r="C1092" s="151"/>
      <c r="D1092" s="1687"/>
      <c r="E1092" s="1688"/>
      <c r="F1092" s="165"/>
      <c r="G1092" s="160"/>
      <c r="H1092" s="161"/>
      <c r="I1092" s="166"/>
      <c r="J1092" s="167"/>
      <c r="K1092" s="157">
        <f t="shared" si="142"/>
        <v>100</v>
      </c>
      <c r="L1092" s="157">
        <f t="shared" si="143"/>
        <v>200</v>
      </c>
      <c r="M1092" s="157">
        <f t="shared" si="144"/>
        <v>300</v>
      </c>
      <c r="N1092" s="157">
        <f t="shared" si="145"/>
        <v>400</v>
      </c>
      <c r="O1092" s="959"/>
      <c r="P1092" s="967"/>
      <c r="Q1092" s="586"/>
      <c r="R1092" s="968"/>
      <c r="S1092" s="589"/>
      <c r="T1092" s="589"/>
      <c r="U1092" s="589"/>
    </row>
    <row r="1093" spans="1:21" x14ac:dyDescent="0.35">
      <c r="A1093" s="116"/>
      <c r="B1093" s="35"/>
      <c r="C1093" s="117"/>
      <c r="D1093" s="1687"/>
      <c r="E1093" s="1688"/>
      <c r="F1093" s="159"/>
      <c r="G1093" s="160"/>
      <c r="H1093" s="168"/>
      <c r="I1093" s="162"/>
      <c r="J1093" s="164"/>
      <c r="K1093" s="157">
        <f t="shared" si="142"/>
        <v>100</v>
      </c>
      <c r="L1093" s="157">
        <f t="shared" si="143"/>
        <v>200</v>
      </c>
      <c r="M1093" s="157">
        <f t="shared" si="144"/>
        <v>300</v>
      </c>
      <c r="N1093" s="157">
        <f t="shared" si="145"/>
        <v>400</v>
      </c>
      <c r="O1093" s="959"/>
      <c r="P1093" s="967"/>
      <c r="Q1093" s="586"/>
      <c r="R1093" s="968"/>
      <c r="S1093" s="589"/>
      <c r="T1093" s="589"/>
      <c r="U1093" s="589"/>
    </row>
    <row r="1094" spans="1:21" x14ac:dyDescent="0.35">
      <c r="A1094" s="116"/>
      <c r="B1094" s="117"/>
      <c r="C1094" s="117"/>
      <c r="D1094" s="1687"/>
      <c r="E1094" s="1688"/>
      <c r="F1094" s="159"/>
      <c r="G1094" s="160"/>
      <c r="H1094" s="168"/>
      <c r="I1094" s="162"/>
      <c r="J1094" s="164"/>
      <c r="K1094" s="157">
        <f t="shared" si="142"/>
        <v>100</v>
      </c>
      <c r="L1094" s="157">
        <f t="shared" si="143"/>
        <v>200</v>
      </c>
      <c r="M1094" s="157">
        <f t="shared" si="144"/>
        <v>300</v>
      </c>
      <c r="N1094" s="157">
        <f t="shared" si="145"/>
        <v>400</v>
      </c>
      <c r="O1094" s="959"/>
      <c r="P1094" s="967"/>
      <c r="Q1094" s="586"/>
      <c r="R1094" s="968"/>
      <c r="S1094" s="589"/>
      <c r="T1094" s="589"/>
      <c r="U1094" s="589"/>
    </row>
    <row r="1095" spans="1:21" x14ac:dyDescent="0.35">
      <c r="A1095" s="116"/>
      <c r="B1095" s="117"/>
      <c r="C1095" s="117"/>
      <c r="D1095" s="1687"/>
      <c r="E1095" s="1688"/>
      <c r="F1095" s="169"/>
      <c r="G1095" s="170"/>
      <c r="H1095" s="171"/>
      <c r="I1095" s="172"/>
      <c r="J1095" s="173"/>
      <c r="K1095" s="157">
        <f t="shared" si="142"/>
        <v>100</v>
      </c>
      <c r="L1095" s="157">
        <f t="shared" si="143"/>
        <v>200</v>
      </c>
      <c r="M1095" s="157">
        <f t="shared" si="144"/>
        <v>300</v>
      </c>
      <c r="N1095" s="157">
        <f t="shared" si="145"/>
        <v>400</v>
      </c>
      <c r="O1095" s="959"/>
      <c r="P1095" s="967"/>
      <c r="Q1095" s="586"/>
      <c r="R1095" s="968"/>
      <c r="S1095" s="589"/>
      <c r="T1095" s="589"/>
      <c r="U1095" s="589"/>
    </row>
    <row r="1096" spans="1:21" ht="28.5" customHeight="1" x14ac:dyDescent="0.35">
      <c r="A1096" s="116"/>
      <c r="B1096" s="117"/>
      <c r="C1096" s="117"/>
      <c r="D1096" s="174"/>
      <c r="E1096" s="175"/>
      <c r="F1096" s="1689" t="s">
        <v>2</v>
      </c>
      <c r="G1096" s="1689"/>
      <c r="H1096" s="176">
        <f>IF(O1096&gt;1,"Zielerreichung übersteigt 100%!",O1096)</f>
        <v>0</v>
      </c>
      <c r="I1096" s="177"/>
      <c r="J1096" s="178"/>
      <c r="K1096" s="157">
        <f t="shared" si="142"/>
        <v>100</v>
      </c>
      <c r="L1096" s="157">
        <f t="shared" si="143"/>
        <v>200</v>
      </c>
      <c r="M1096" s="157">
        <f t="shared" si="144"/>
        <v>300</v>
      </c>
      <c r="N1096" s="157">
        <f t="shared" si="145"/>
        <v>400</v>
      </c>
      <c r="O1096" s="959">
        <f>SUM(H1084:H1095)</f>
        <v>0</v>
      </c>
      <c r="P1096" s="967"/>
      <c r="Q1096" s="586"/>
      <c r="R1096" s="968"/>
      <c r="S1096" s="589"/>
      <c r="T1096" s="589"/>
      <c r="U1096" s="589"/>
    </row>
    <row r="1097" spans="1:21" x14ac:dyDescent="0.35">
      <c r="A1097" s="116"/>
      <c r="B1097" s="117"/>
      <c r="C1097" s="117"/>
      <c r="D1097" s="179"/>
      <c r="E1097" s="180"/>
      <c r="F1097" s="1690" t="s">
        <v>3</v>
      </c>
      <c r="G1097" s="1691"/>
      <c r="H1097" s="181">
        <v>30</v>
      </c>
      <c r="I1097" s="177"/>
      <c r="J1097" s="178"/>
      <c r="K1097" s="157">
        <f t="shared" si="142"/>
        <v>100</v>
      </c>
      <c r="L1097" s="157">
        <f t="shared" si="143"/>
        <v>200</v>
      </c>
      <c r="M1097" s="157">
        <f t="shared" si="144"/>
        <v>300</v>
      </c>
      <c r="N1097" s="157">
        <f t="shared" si="145"/>
        <v>400</v>
      </c>
      <c r="O1097" s="1030"/>
      <c r="P1097" s="967"/>
      <c r="Q1097" s="586"/>
      <c r="R1097" s="968"/>
      <c r="S1097" s="589"/>
      <c r="T1097" s="589"/>
      <c r="U1097" s="589"/>
    </row>
    <row r="1098" spans="1:21" x14ac:dyDescent="0.35">
      <c r="A1098" s="116"/>
      <c r="B1098" s="117"/>
      <c r="C1098" s="117"/>
      <c r="D1098" s="179"/>
      <c r="E1098" s="180"/>
      <c r="F1098" s="1692"/>
      <c r="G1098" s="1693"/>
      <c r="H1098" s="182"/>
      <c r="I1098" s="183"/>
      <c r="J1098" s="178"/>
      <c r="K1098" s="157">
        <f t="shared" si="142"/>
        <v>100</v>
      </c>
      <c r="L1098" s="157">
        <f t="shared" si="143"/>
        <v>200</v>
      </c>
      <c r="M1098" s="157">
        <f t="shared" si="144"/>
        <v>300</v>
      </c>
      <c r="N1098" s="157">
        <f t="shared" si="145"/>
        <v>400</v>
      </c>
      <c r="O1098" s="1030"/>
      <c r="P1098" s="967"/>
      <c r="Q1098" s="586"/>
      <c r="R1098" s="968"/>
      <c r="S1098" s="589"/>
      <c r="T1098" s="589"/>
      <c r="U1098" s="589"/>
    </row>
    <row r="1099" spans="1:21" x14ac:dyDescent="0.35">
      <c r="A1099" s="184"/>
      <c r="B1099" s="185"/>
      <c r="C1099" s="185"/>
      <c r="D1099" s="179"/>
      <c r="E1099" s="180"/>
      <c r="F1099" s="186"/>
      <c r="G1099" s="186"/>
      <c r="H1099" s="187"/>
      <c r="I1099" s="177"/>
      <c r="J1099" s="178"/>
      <c r="K1099" s="157">
        <f t="shared" si="142"/>
        <v>100</v>
      </c>
      <c r="L1099" s="157">
        <f t="shared" si="143"/>
        <v>200</v>
      </c>
      <c r="M1099" s="157">
        <f t="shared" si="144"/>
        <v>300</v>
      </c>
      <c r="N1099" s="157">
        <f t="shared" si="145"/>
        <v>400</v>
      </c>
      <c r="O1099" s="1030"/>
      <c r="P1099" s="967"/>
      <c r="Q1099" s="586"/>
      <c r="R1099" s="968"/>
      <c r="S1099" s="589"/>
      <c r="T1099" s="589"/>
      <c r="U1099" s="589"/>
    </row>
    <row r="1100" spans="1:21" ht="15.5" x14ac:dyDescent="0.35">
      <c r="A1100" s="116"/>
      <c r="B1100" s="117"/>
      <c r="C1100" s="1705"/>
      <c r="D1100" s="1706"/>
      <c r="E1100" s="248"/>
      <c r="F1100" s="1707" t="s">
        <v>5</v>
      </c>
      <c r="G1100" s="1707"/>
      <c r="H1100" s="249">
        <f>IF(ISNUMBER(H1098),H1098*H1096,H1097*H1096)</f>
        <v>0</v>
      </c>
      <c r="I1100" s="250"/>
      <c r="J1100" s="251"/>
      <c r="K1100" s="157">
        <f t="shared" si="142"/>
        <v>100</v>
      </c>
      <c r="L1100" s="157">
        <f t="shared" si="143"/>
        <v>200</v>
      </c>
      <c r="M1100" s="157">
        <f t="shared" si="144"/>
        <v>300</v>
      </c>
      <c r="N1100" s="157">
        <f t="shared" si="145"/>
        <v>400</v>
      </c>
      <c r="O1100" s="1030"/>
      <c r="P1100" s="967"/>
      <c r="Q1100" s="586"/>
      <c r="R1100" s="968"/>
      <c r="S1100" s="589"/>
      <c r="T1100" s="589"/>
      <c r="U1100" s="589"/>
    </row>
    <row r="1101" spans="1:21" ht="14.25" customHeight="1" x14ac:dyDescent="0.35">
      <c r="A1101" s="104"/>
      <c r="B1101" s="107"/>
      <c r="C1101" s="108"/>
      <c r="D1101" s="104"/>
      <c r="E1101" s="104"/>
      <c r="F1101" s="109"/>
      <c r="G1101" s="105"/>
      <c r="H1101" s="104"/>
      <c r="I1101" s="110"/>
      <c r="J1101" s="252"/>
      <c r="K1101" s="157">
        <f t="shared" si="142"/>
        <v>100</v>
      </c>
      <c r="L1101" s="157">
        <f t="shared" si="143"/>
        <v>200</v>
      </c>
      <c r="M1101" s="157">
        <f t="shared" si="144"/>
        <v>300</v>
      </c>
      <c r="N1101" s="157">
        <f t="shared" si="145"/>
        <v>400</v>
      </c>
      <c r="O1101" s="590"/>
      <c r="P1101" s="584"/>
      <c r="Q1101" s="586"/>
      <c r="R1101" s="968"/>
      <c r="S1101" s="589"/>
      <c r="T1101" s="589"/>
      <c r="U1101" s="589"/>
    </row>
    <row r="1102" spans="1:21" ht="14.25" customHeight="1" x14ac:dyDescent="0.35">
      <c r="B1102" s="35"/>
      <c r="E1102" s="1"/>
      <c r="K1102" s="157">
        <f t="shared" si="142"/>
        <v>100</v>
      </c>
      <c r="L1102" s="157">
        <f t="shared" si="143"/>
        <v>200</v>
      </c>
      <c r="M1102" s="157">
        <f t="shared" si="144"/>
        <v>300</v>
      </c>
      <c r="N1102" s="157">
        <f t="shared" si="145"/>
        <v>400</v>
      </c>
      <c r="O1102" s="967"/>
      <c r="P1102" s="967"/>
      <c r="Q1102" s="586"/>
      <c r="R1102" s="968"/>
      <c r="S1102" s="589"/>
      <c r="T1102" s="589"/>
      <c r="U1102" s="589"/>
    </row>
    <row r="1103" spans="1:21" ht="15.5" x14ac:dyDescent="0.35">
      <c r="A1103" s="208"/>
      <c r="B1103" s="241" t="s">
        <v>4817</v>
      </c>
      <c r="C1103" s="241" t="s">
        <v>2078</v>
      </c>
      <c r="D1103" s="242"/>
      <c r="E1103" s="242"/>
      <c r="F1103" s="243" t="str">
        <f>IF($F$3=1,O1103,"")</f>
        <v>D.2 Gebäudestandards</v>
      </c>
      <c r="G1103" s="244"/>
      <c r="H1103" s="245"/>
      <c r="I1103" s="246"/>
      <c r="J1103" s="247"/>
      <c r="K1103" s="157">
        <f t="shared" si="142"/>
        <v>100</v>
      </c>
      <c r="L1103" s="157">
        <f t="shared" si="143"/>
        <v>200</v>
      </c>
      <c r="M1103" s="157">
        <f t="shared" si="144"/>
        <v>300</v>
      </c>
      <c r="N1103" s="157">
        <f t="shared" si="145"/>
        <v>400</v>
      </c>
      <c r="O1103" s="967" t="str">
        <f>CONCATENATE(B1103," ",C1103)</f>
        <v>D.2 Gebäudestandards</v>
      </c>
      <c r="P1103" s="958"/>
      <c r="Q1103" s="586"/>
      <c r="R1103" s="968"/>
      <c r="S1103" s="589"/>
      <c r="T1103" s="589"/>
      <c r="U1103" s="589"/>
    </row>
    <row r="1104" spans="1:21" ht="15.5" x14ac:dyDescent="0.35">
      <c r="A1104" s="208"/>
      <c r="B1104" s="216"/>
      <c r="C1104" s="216"/>
      <c r="D1104" s="208"/>
      <c r="E1104" s="208"/>
      <c r="F1104" s="253"/>
      <c r="G1104" s="217"/>
      <c r="H1104" s="218"/>
      <c r="I1104" s="219"/>
      <c r="J1104" s="220"/>
      <c r="K1104" s="157">
        <f t="shared" si="142"/>
        <v>100</v>
      </c>
      <c r="L1104" s="157">
        <f t="shared" si="143"/>
        <v>200</v>
      </c>
      <c r="M1104" s="157">
        <f t="shared" si="144"/>
        <v>300</v>
      </c>
      <c r="N1104" s="157">
        <f t="shared" si="145"/>
        <v>400</v>
      </c>
      <c r="O1104" s="967"/>
      <c r="P1104" s="958"/>
      <c r="Q1104" s="586"/>
      <c r="R1104" s="968"/>
      <c r="S1104" s="589"/>
      <c r="T1104" s="589"/>
      <c r="U1104" s="589"/>
    </row>
    <row r="1105" spans="1:21" ht="7.5" customHeight="1" x14ac:dyDescent="0.35">
      <c r="A1105" s="116"/>
      <c r="B1105" s="117"/>
      <c r="C1105" s="117"/>
      <c r="D1105" s="116"/>
      <c r="E1105" s="116"/>
      <c r="F1105" s="118"/>
      <c r="G1105" s="119"/>
      <c r="H1105" s="116"/>
      <c r="I1105" s="120"/>
      <c r="J1105" s="121"/>
      <c r="K1105" s="157">
        <f t="shared" si="142"/>
        <v>100</v>
      </c>
      <c r="L1105" s="157">
        <f t="shared" si="143"/>
        <v>200</v>
      </c>
      <c r="M1105" s="157">
        <f t="shared" si="144"/>
        <v>300</v>
      </c>
      <c r="N1105" s="157">
        <f t="shared" si="145"/>
        <v>400</v>
      </c>
      <c r="O1105" s="968"/>
      <c r="P1105" s="968"/>
      <c r="Q1105" s="586"/>
      <c r="R1105" s="968"/>
      <c r="S1105" s="589"/>
      <c r="T1105" s="589"/>
      <c r="U1105" s="589"/>
    </row>
    <row r="1106" spans="1:21" ht="15.5" x14ac:dyDescent="0.35">
      <c r="A1106" s="124"/>
      <c r="B1106" s="125"/>
      <c r="C1106" s="126" t="s">
        <v>4816</v>
      </c>
      <c r="D1106" s="127" t="s">
        <v>2078</v>
      </c>
      <c r="E1106" s="128"/>
      <c r="F1106" s="129" t="str">
        <f>IF($F$3=1,O1106,"")</f>
        <v>D.2.1 Gebäudestandards</v>
      </c>
      <c r="G1106" s="204"/>
      <c r="H1106" s="205"/>
      <c r="I1106" s="520" t="s">
        <v>23</v>
      </c>
      <c r="J1106" s="130"/>
      <c r="K1106" s="157">
        <f t="shared" si="142"/>
        <v>100</v>
      </c>
      <c r="L1106" s="157">
        <f t="shared" si="143"/>
        <v>200</v>
      </c>
      <c r="M1106" s="157">
        <f t="shared" si="144"/>
        <v>300</v>
      </c>
      <c r="N1106" s="157">
        <f t="shared" si="145"/>
        <v>400</v>
      </c>
      <c r="O1106" s="967" t="str">
        <f>CONCATENATE(C1106," ",D1106)</f>
        <v>D.2.1 Gebäudestandards</v>
      </c>
      <c r="P1106" s="966"/>
      <c r="Q1106" s="586"/>
      <c r="R1106" s="968"/>
      <c r="S1106" s="589"/>
      <c r="T1106" s="589"/>
      <c r="U1106" s="589"/>
    </row>
    <row r="1107" spans="1:21" x14ac:dyDescent="0.35">
      <c r="A1107" s="124"/>
      <c r="B1107" s="134"/>
      <c r="C1107" s="135"/>
      <c r="D1107" s="136"/>
      <c r="E1107" s="136"/>
      <c r="F1107" s="137"/>
      <c r="G1107" s="138"/>
      <c r="H1107" s="124"/>
      <c r="I1107" s="139"/>
      <c r="J1107" s="140"/>
      <c r="K1107" s="157">
        <f t="shared" si="142"/>
        <v>100</v>
      </c>
      <c r="L1107" s="157">
        <f t="shared" si="143"/>
        <v>200</v>
      </c>
      <c r="M1107" s="157">
        <f t="shared" si="144"/>
        <v>300</v>
      </c>
      <c r="N1107" s="157">
        <f t="shared" si="145"/>
        <v>400</v>
      </c>
      <c r="O1107" s="968"/>
      <c r="P1107" s="966"/>
      <c r="Q1107" s="586"/>
      <c r="R1107" s="968"/>
      <c r="S1107" s="589"/>
      <c r="T1107" s="589"/>
      <c r="U1107" s="589"/>
    </row>
    <row r="1108" spans="1:21" x14ac:dyDescent="0.35">
      <c r="A1108" s="142"/>
      <c r="B1108" s="35"/>
      <c r="C1108" s="143"/>
      <c r="D1108" s="1685" t="s">
        <v>18</v>
      </c>
      <c r="E1108" s="1686"/>
      <c r="F1108" s="144" t="s">
        <v>19</v>
      </c>
      <c r="G1108" s="145" t="s">
        <v>0</v>
      </c>
      <c r="H1108" s="146" t="s">
        <v>20</v>
      </c>
      <c r="I1108" s="147" t="s">
        <v>1</v>
      </c>
      <c r="J1108" s="147" t="s">
        <v>4375</v>
      </c>
      <c r="K1108" s="157">
        <f t="shared" si="142"/>
        <v>100</v>
      </c>
      <c r="L1108" s="157">
        <f t="shared" si="143"/>
        <v>200</v>
      </c>
      <c r="M1108" s="157">
        <f t="shared" si="144"/>
        <v>300</v>
      </c>
      <c r="N1108" s="157">
        <f t="shared" si="145"/>
        <v>400</v>
      </c>
      <c r="O1108" s="587"/>
      <c r="P1108" s="967"/>
      <c r="Q1108" s="586"/>
      <c r="R1108" s="968"/>
      <c r="S1108" s="589"/>
      <c r="T1108" s="589"/>
      <c r="U1108" s="589"/>
    </row>
    <row r="1109" spans="1:21" ht="72" x14ac:dyDescent="0.35">
      <c r="A1109" s="123"/>
      <c r="B1109" s="35"/>
      <c r="C1109" s="151"/>
      <c r="D1109" s="1687" t="s">
        <v>4683</v>
      </c>
      <c r="E1109" s="1688"/>
      <c r="F1109" s="254" t="s">
        <v>4738</v>
      </c>
      <c r="G1109" s="153">
        <f t="shared" ref="G1109" si="149">IF($H$2=1,S1109,IF($H$2=2,T1109,U1109))</f>
        <v>1</v>
      </c>
      <c r="H1109" s="226">
        <f>'RH Gebäude'!J20*G1109/100%</f>
        <v>0</v>
      </c>
      <c r="I1109" s="155"/>
      <c r="J1109" s="156"/>
      <c r="K1109" s="157">
        <f t="shared" si="142"/>
        <v>100</v>
      </c>
      <c r="L1109" s="157">
        <f t="shared" si="143"/>
        <v>200</v>
      </c>
      <c r="M1109" s="157">
        <f t="shared" si="144"/>
        <v>300</v>
      </c>
      <c r="N1109" s="157">
        <f t="shared" si="145"/>
        <v>400</v>
      </c>
      <c r="O1109" s="967" t="str">
        <f>CONCATENATE(O1106," | ",F1109)</f>
        <v>D.2.1 Gebäudestandards | Rechenhilfe: Bei mehreren Gebäuden mit unterschiedlichen Gebäudestandards erfolgt die Bewertung anhand der anteiligen Energiebezugsfläche.
Bewertung: Lineare Interpolation zwischen 0 bis 1.000 Punkten entsprechend dem Ergebnis der klimaaktiv Gebäudedeklaration.</v>
      </c>
      <c r="P1109" s="967"/>
      <c r="Q1109" s="586"/>
      <c r="R1109" s="968"/>
      <c r="S1109" s="588">
        <v>1</v>
      </c>
      <c r="T1109" s="588">
        <v>1</v>
      </c>
      <c r="U1109" s="588">
        <v>1</v>
      </c>
    </row>
    <row r="1110" spans="1:21" x14ac:dyDescent="0.35">
      <c r="A1110" s="123"/>
      <c r="B1110" s="35"/>
      <c r="C1110" s="151"/>
      <c r="D1110" s="1687"/>
      <c r="E1110" s="1688"/>
      <c r="F1110" s="159"/>
      <c r="G1110" s="160"/>
      <c r="H1110" s="161"/>
      <c r="I1110" s="166"/>
      <c r="J1110" s="164"/>
      <c r="K1110" s="157">
        <f t="shared" si="142"/>
        <v>100</v>
      </c>
      <c r="L1110" s="157">
        <f t="shared" si="143"/>
        <v>200</v>
      </c>
      <c r="M1110" s="157">
        <f t="shared" si="144"/>
        <v>300</v>
      </c>
      <c r="N1110" s="157">
        <f t="shared" si="145"/>
        <v>400</v>
      </c>
      <c r="O1110" s="967"/>
      <c r="P1110" s="967"/>
      <c r="Q1110" s="586"/>
      <c r="R1110" s="968"/>
      <c r="S1110" s="1018"/>
      <c r="T1110" s="1018"/>
      <c r="U1110" s="1018"/>
    </row>
    <row r="1111" spans="1:21" x14ac:dyDescent="0.35">
      <c r="A1111" s="123"/>
      <c r="B1111" s="35"/>
      <c r="C1111" s="151"/>
      <c r="D1111" s="1687"/>
      <c r="E1111" s="1688"/>
      <c r="F1111" s="159"/>
      <c r="G1111" s="160"/>
      <c r="H1111" s="161"/>
      <c r="I1111" s="166"/>
      <c r="J1111" s="164"/>
      <c r="K1111" s="157">
        <f t="shared" si="142"/>
        <v>100</v>
      </c>
      <c r="L1111" s="157">
        <f t="shared" si="143"/>
        <v>200</v>
      </c>
      <c r="M1111" s="157">
        <f t="shared" si="144"/>
        <v>300</v>
      </c>
      <c r="N1111" s="157">
        <f t="shared" si="145"/>
        <v>400</v>
      </c>
      <c r="O1111" s="967"/>
      <c r="P1111" s="967"/>
      <c r="Q1111" s="586"/>
      <c r="R1111" s="968"/>
      <c r="S1111" s="588"/>
      <c r="T1111" s="588"/>
      <c r="U1111" s="588"/>
    </row>
    <row r="1112" spans="1:21" x14ac:dyDescent="0.35">
      <c r="A1112" s="123">
        <v>3.2</v>
      </c>
      <c r="B1112" s="35"/>
      <c r="C1112" s="151"/>
      <c r="D1112" s="1687"/>
      <c r="E1112" s="1688"/>
      <c r="F1112" s="159"/>
      <c r="G1112" s="160"/>
      <c r="H1112" s="161"/>
      <c r="I1112" s="166"/>
      <c r="J1112" s="164"/>
      <c r="K1112" s="157">
        <f t="shared" si="142"/>
        <v>100</v>
      </c>
      <c r="L1112" s="157">
        <f t="shared" si="143"/>
        <v>200</v>
      </c>
      <c r="M1112" s="157">
        <f t="shared" si="144"/>
        <v>300</v>
      </c>
      <c r="N1112" s="157">
        <f t="shared" si="145"/>
        <v>400</v>
      </c>
      <c r="O1112" s="967"/>
      <c r="P1112" s="967"/>
      <c r="Q1112" s="586"/>
      <c r="R1112" s="968"/>
      <c r="S1112" s="588"/>
      <c r="T1112" s="588"/>
      <c r="U1112" s="588"/>
    </row>
    <row r="1113" spans="1:21" x14ac:dyDescent="0.35">
      <c r="A1113" s="123"/>
      <c r="B1113" s="35"/>
      <c r="C1113" s="151"/>
      <c r="D1113" s="1687"/>
      <c r="E1113" s="1688"/>
      <c r="F1113" s="159"/>
      <c r="G1113" s="160"/>
      <c r="H1113" s="161"/>
      <c r="I1113" s="166"/>
      <c r="J1113" s="164"/>
      <c r="K1113" s="157">
        <f t="shared" si="142"/>
        <v>100</v>
      </c>
      <c r="L1113" s="157">
        <f t="shared" si="143"/>
        <v>200</v>
      </c>
      <c r="M1113" s="157">
        <f t="shared" si="144"/>
        <v>300</v>
      </c>
      <c r="N1113" s="157">
        <f t="shared" si="145"/>
        <v>400</v>
      </c>
      <c r="O1113" s="967"/>
      <c r="P1113" s="967"/>
      <c r="Q1113" s="586"/>
      <c r="R1113" s="968"/>
      <c r="S1113" s="588"/>
      <c r="T1113" s="588"/>
      <c r="U1113" s="588"/>
    </row>
    <row r="1114" spans="1:21" x14ac:dyDescent="0.35">
      <c r="A1114" s="116"/>
      <c r="B1114" s="35"/>
      <c r="C1114" s="117"/>
      <c r="D1114" s="1687"/>
      <c r="E1114" s="1688"/>
      <c r="F1114" s="159"/>
      <c r="G1114" s="160"/>
      <c r="H1114" s="161"/>
      <c r="I1114" s="162"/>
      <c r="J1114" s="164"/>
      <c r="K1114" s="157">
        <f t="shared" si="142"/>
        <v>100</v>
      </c>
      <c r="L1114" s="157">
        <f t="shared" si="143"/>
        <v>200</v>
      </c>
      <c r="M1114" s="157">
        <f t="shared" si="144"/>
        <v>300</v>
      </c>
      <c r="N1114" s="157">
        <f t="shared" si="145"/>
        <v>400</v>
      </c>
      <c r="O1114" s="959"/>
      <c r="P1114" s="967"/>
      <c r="Q1114" s="586"/>
      <c r="R1114" s="968"/>
      <c r="S1114" s="588"/>
      <c r="T1114" s="588"/>
      <c r="U1114" s="588"/>
    </row>
    <row r="1115" spans="1:21" x14ac:dyDescent="0.35">
      <c r="A1115" s="116"/>
      <c r="B1115" s="35"/>
      <c r="C1115" s="117"/>
      <c r="D1115" s="1687"/>
      <c r="E1115" s="1688"/>
      <c r="F1115" s="159"/>
      <c r="G1115" s="160"/>
      <c r="H1115" s="161"/>
      <c r="I1115" s="162"/>
      <c r="J1115" s="164"/>
      <c r="K1115" s="157">
        <f t="shared" si="142"/>
        <v>100</v>
      </c>
      <c r="L1115" s="157">
        <f t="shared" si="143"/>
        <v>200</v>
      </c>
      <c r="M1115" s="157">
        <f t="shared" si="144"/>
        <v>300</v>
      </c>
      <c r="N1115" s="157">
        <f t="shared" si="145"/>
        <v>400</v>
      </c>
      <c r="O1115" s="959"/>
      <c r="P1115" s="967"/>
      <c r="Q1115" s="586"/>
      <c r="R1115" s="968"/>
      <c r="S1115" s="588"/>
      <c r="T1115" s="588"/>
      <c r="U1115" s="588"/>
    </row>
    <row r="1116" spans="1:21" x14ac:dyDescent="0.35">
      <c r="A1116" s="116"/>
      <c r="B1116" s="35"/>
      <c r="C1116" s="117"/>
      <c r="D1116" s="1687"/>
      <c r="E1116" s="1688"/>
      <c r="F1116" s="159"/>
      <c r="G1116" s="160"/>
      <c r="H1116" s="161"/>
      <c r="I1116" s="162"/>
      <c r="J1116" s="164"/>
      <c r="K1116" s="157">
        <f t="shared" si="142"/>
        <v>100</v>
      </c>
      <c r="L1116" s="157">
        <f t="shared" si="143"/>
        <v>200</v>
      </c>
      <c r="M1116" s="157">
        <f t="shared" si="144"/>
        <v>300</v>
      </c>
      <c r="N1116" s="157">
        <f t="shared" si="145"/>
        <v>400</v>
      </c>
      <c r="O1116" s="959"/>
      <c r="P1116" s="967"/>
      <c r="Q1116" s="586"/>
      <c r="R1116" s="968"/>
      <c r="S1116" s="589"/>
      <c r="T1116" s="589"/>
      <c r="U1116" s="589"/>
    </row>
    <row r="1117" spans="1:21" x14ac:dyDescent="0.35">
      <c r="A1117" s="123"/>
      <c r="B1117" s="35"/>
      <c r="C1117" s="151"/>
      <c r="D1117" s="1687"/>
      <c r="E1117" s="1688"/>
      <c r="F1117" s="165"/>
      <c r="G1117" s="160"/>
      <c r="H1117" s="161"/>
      <c r="I1117" s="166"/>
      <c r="J1117" s="167"/>
      <c r="K1117" s="157">
        <f t="shared" si="142"/>
        <v>100</v>
      </c>
      <c r="L1117" s="157">
        <f t="shared" si="143"/>
        <v>200</v>
      </c>
      <c r="M1117" s="157">
        <f t="shared" si="144"/>
        <v>300</v>
      </c>
      <c r="N1117" s="157">
        <f t="shared" si="145"/>
        <v>400</v>
      </c>
      <c r="O1117" s="959"/>
      <c r="P1117" s="967"/>
      <c r="Q1117" s="586"/>
      <c r="R1117" s="968"/>
      <c r="S1117" s="589"/>
      <c r="T1117" s="589"/>
      <c r="U1117" s="589"/>
    </row>
    <row r="1118" spans="1:21" x14ac:dyDescent="0.35">
      <c r="A1118" s="116"/>
      <c r="B1118" s="35"/>
      <c r="C1118" s="117"/>
      <c r="D1118" s="1687"/>
      <c r="E1118" s="1688"/>
      <c r="F1118" s="159"/>
      <c r="G1118" s="160"/>
      <c r="H1118" s="168"/>
      <c r="I1118" s="162"/>
      <c r="J1118" s="164"/>
      <c r="K1118" s="157">
        <f t="shared" si="142"/>
        <v>100</v>
      </c>
      <c r="L1118" s="157">
        <f t="shared" si="143"/>
        <v>200</v>
      </c>
      <c r="M1118" s="157">
        <f t="shared" si="144"/>
        <v>300</v>
      </c>
      <c r="N1118" s="157">
        <f t="shared" si="145"/>
        <v>400</v>
      </c>
      <c r="O1118" s="959"/>
      <c r="P1118" s="967"/>
      <c r="Q1118" s="586"/>
      <c r="R1118" s="968"/>
      <c r="S1118" s="589"/>
      <c r="T1118" s="589"/>
      <c r="U1118" s="589"/>
    </row>
    <row r="1119" spans="1:21" x14ac:dyDescent="0.35">
      <c r="A1119" s="116"/>
      <c r="B1119" s="117"/>
      <c r="C1119" s="117"/>
      <c r="D1119" s="1687"/>
      <c r="E1119" s="1688"/>
      <c r="F1119" s="159"/>
      <c r="G1119" s="160"/>
      <c r="H1119" s="168"/>
      <c r="I1119" s="162"/>
      <c r="J1119" s="164"/>
      <c r="K1119" s="157">
        <f t="shared" si="142"/>
        <v>100</v>
      </c>
      <c r="L1119" s="157">
        <f t="shared" si="143"/>
        <v>200</v>
      </c>
      <c r="M1119" s="157">
        <f t="shared" si="144"/>
        <v>300</v>
      </c>
      <c r="N1119" s="157">
        <f t="shared" si="145"/>
        <v>400</v>
      </c>
      <c r="O1119" s="959"/>
      <c r="P1119" s="967"/>
      <c r="Q1119" s="586"/>
      <c r="R1119" s="968"/>
      <c r="S1119" s="589"/>
      <c r="T1119" s="589"/>
      <c r="U1119" s="589"/>
    </row>
    <row r="1120" spans="1:21" x14ac:dyDescent="0.35">
      <c r="A1120" s="116"/>
      <c r="B1120" s="117"/>
      <c r="C1120" s="117"/>
      <c r="D1120" s="1687"/>
      <c r="E1120" s="1688"/>
      <c r="F1120" s="169"/>
      <c r="G1120" s="170"/>
      <c r="H1120" s="171"/>
      <c r="I1120" s="172"/>
      <c r="J1120" s="173"/>
      <c r="K1120" s="157">
        <f t="shared" si="142"/>
        <v>100</v>
      </c>
      <c r="L1120" s="157">
        <f t="shared" si="143"/>
        <v>200</v>
      </c>
      <c r="M1120" s="157">
        <f t="shared" si="144"/>
        <v>300</v>
      </c>
      <c r="N1120" s="157">
        <f t="shared" si="145"/>
        <v>400</v>
      </c>
      <c r="O1120" s="959"/>
      <c r="P1120" s="967"/>
      <c r="Q1120" s="586"/>
      <c r="R1120" s="968"/>
      <c r="S1120" s="589"/>
      <c r="T1120" s="589"/>
      <c r="U1120" s="589"/>
    </row>
    <row r="1121" spans="1:21" ht="28.5" customHeight="1" x14ac:dyDescent="0.35">
      <c r="A1121" s="116"/>
      <c r="B1121" s="117"/>
      <c r="C1121" s="117"/>
      <c r="D1121" s="174"/>
      <c r="E1121" s="175"/>
      <c r="F1121" s="1689" t="s">
        <v>2</v>
      </c>
      <c r="G1121" s="1689"/>
      <c r="H1121" s="176">
        <f>IF(O1121&gt;1,"Zielerreichung übersteigt 100%!",O1121)</f>
        <v>0</v>
      </c>
      <c r="I1121" s="177"/>
      <c r="J1121" s="178"/>
      <c r="K1121" s="157">
        <f t="shared" si="142"/>
        <v>100</v>
      </c>
      <c r="L1121" s="157">
        <f t="shared" si="143"/>
        <v>200</v>
      </c>
      <c r="M1121" s="157">
        <f t="shared" si="144"/>
        <v>300</v>
      </c>
      <c r="N1121" s="157">
        <f t="shared" si="145"/>
        <v>400</v>
      </c>
      <c r="O1121" s="959">
        <f>SUM(H1109:H1120)</f>
        <v>0</v>
      </c>
      <c r="P1121" s="967"/>
      <c r="Q1121" s="586"/>
      <c r="R1121" s="968"/>
      <c r="S1121" s="589"/>
      <c r="T1121" s="589"/>
      <c r="U1121" s="589"/>
    </row>
    <row r="1122" spans="1:21" x14ac:dyDescent="0.35">
      <c r="A1122" s="116"/>
      <c r="B1122" s="117"/>
      <c r="C1122" s="117"/>
      <c r="D1122" s="179"/>
      <c r="E1122" s="180"/>
      <c r="F1122" s="1690" t="s">
        <v>3</v>
      </c>
      <c r="G1122" s="1691"/>
      <c r="H1122" s="181">
        <v>75</v>
      </c>
      <c r="I1122" s="177"/>
      <c r="J1122" s="178"/>
      <c r="K1122" s="157">
        <f t="shared" si="142"/>
        <v>100</v>
      </c>
      <c r="L1122" s="157">
        <f t="shared" si="143"/>
        <v>200</v>
      </c>
      <c r="M1122" s="157">
        <f t="shared" si="144"/>
        <v>300</v>
      </c>
      <c r="N1122" s="157">
        <f t="shared" si="145"/>
        <v>400</v>
      </c>
      <c r="O1122" s="1030"/>
      <c r="P1122" s="967"/>
      <c r="Q1122" s="586"/>
      <c r="R1122" s="968"/>
      <c r="S1122" s="589"/>
      <c r="T1122" s="589"/>
      <c r="U1122" s="589"/>
    </row>
    <row r="1123" spans="1:21" x14ac:dyDescent="0.35">
      <c r="A1123" s="116"/>
      <c r="B1123" s="117"/>
      <c r="C1123" s="117"/>
      <c r="D1123" s="179"/>
      <c r="E1123" s="180"/>
      <c r="F1123" s="1692"/>
      <c r="G1123" s="1693"/>
      <c r="H1123" s="182"/>
      <c r="I1123" s="183"/>
      <c r="J1123" s="178"/>
      <c r="K1123" s="157">
        <f t="shared" si="142"/>
        <v>100</v>
      </c>
      <c r="L1123" s="157">
        <f t="shared" si="143"/>
        <v>200</v>
      </c>
      <c r="M1123" s="157">
        <f t="shared" si="144"/>
        <v>300</v>
      </c>
      <c r="N1123" s="157">
        <f t="shared" si="145"/>
        <v>400</v>
      </c>
      <c r="O1123" s="1030"/>
      <c r="P1123" s="967"/>
      <c r="Q1123" s="586"/>
      <c r="R1123" s="968"/>
      <c r="S1123" s="589"/>
      <c r="T1123" s="589"/>
      <c r="U1123" s="589"/>
    </row>
    <row r="1124" spans="1:21" x14ac:dyDescent="0.35">
      <c r="A1124" s="184"/>
      <c r="B1124" s="185"/>
      <c r="C1124" s="185"/>
      <c r="D1124" s="179"/>
      <c r="E1124" s="180"/>
      <c r="F1124" s="186"/>
      <c r="G1124" s="186"/>
      <c r="H1124" s="187"/>
      <c r="I1124" s="177"/>
      <c r="J1124" s="178"/>
      <c r="K1124" s="157">
        <f t="shared" si="142"/>
        <v>100</v>
      </c>
      <c r="L1124" s="157">
        <f t="shared" si="143"/>
        <v>200</v>
      </c>
      <c r="M1124" s="157">
        <f t="shared" si="144"/>
        <v>300</v>
      </c>
      <c r="N1124" s="157">
        <f t="shared" si="145"/>
        <v>400</v>
      </c>
      <c r="O1124" s="1030"/>
      <c r="P1124" s="967"/>
      <c r="Q1124" s="586"/>
      <c r="R1124" s="968"/>
      <c r="S1124" s="589"/>
      <c r="T1124" s="589"/>
      <c r="U1124" s="589"/>
    </row>
    <row r="1125" spans="1:21" ht="15.5" x14ac:dyDescent="0.35">
      <c r="A1125" s="116"/>
      <c r="B1125" s="117"/>
      <c r="C1125" s="1705"/>
      <c r="D1125" s="1706"/>
      <c r="E1125" s="248"/>
      <c r="F1125" s="1707" t="s">
        <v>5</v>
      </c>
      <c r="G1125" s="1707"/>
      <c r="H1125" s="249">
        <f>IF(ISNUMBER(H1123),H1123*H1121,H1122*H1121)</f>
        <v>0</v>
      </c>
      <c r="I1125" s="250"/>
      <c r="J1125" s="255"/>
      <c r="K1125" s="157">
        <f t="shared" si="142"/>
        <v>100</v>
      </c>
      <c r="L1125" s="157">
        <f t="shared" si="143"/>
        <v>200</v>
      </c>
      <c r="M1125" s="157">
        <f t="shared" si="144"/>
        <v>300</v>
      </c>
      <c r="N1125" s="157">
        <f t="shared" si="145"/>
        <v>400</v>
      </c>
      <c r="O1125" s="1030"/>
      <c r="P1125" s="967"/>
      <c r="Q1125" s="586"/>
      <c r="R1125" s="968"/>
      <c r="S1125" s="589"/>
      <c r="T1125" s="589"/>
      <c r="U1125" s="589"/>
    </row>
    <row r="1126" spans="1:21" x14ac:dyDescent="0.35">
      <c r="K1126" s="157">
        <f t="shared" si="142"/>
        <v>100</v>
      </c>
      <c r="L1126" s="157">
        <f t="shared" si="143"/>
        <v>200</v>
      </c>
      <c r="M1126" s="157">
        <f t="shared" si="144"/>
        <v>300</v>
      </c>
      <c r="N1126" s="157">
        <f t="shared" si="145"/>
        <v>400</v>
      </c>
      <c r="O1126" s="967"/>
      <c r="P1126" s="967"/>
      <c r="Q1126" s="586"/>
      <c r="R1126" s="968"/>
      <c r="S1126" s="589"/>
      <c r="T1126" s="589"/>
      <c r="U1126" s="589"/>
    </row>
    <row r="1127" spans="1:21" x14ac:dyDescent="0.35">
      <c r="K1127" s="157">
        <f t="shared" si="142"/>
        <v>100</v>
      </c>
      <c r="L1127" s="157">
        <f t="shared" si="143"/>
        <v>200</v>
      </c>
      <c r="M1127" s="157">
        <f t="shared" si="144"/>
        <v>300</v>
      </c>
      <c r="N1127" s="157">
        <f t="shared" si="145"/>
        <v>400</v>
      </c>
      <c r="O1127" s="967"/>
      <c r="P1127" s="967"/>
      <c r="Q1127" s="586"/>
      <c r="R1127" s="968"/>
      <c r="S1127" s="589"/>
      <c r="T1127" s="589"/>
      <c r="U1127" s="589"/>
    </row>
    <row r="1128" spans="1:21" ht="15.5" x14ac:dyDescent="0.35">
      <c r="A1128" s="208"/>
      <c r="B1128" s="241" t="s">
        <v>4818</v>
      </c>
      <c r="C1128" s="241" t="s">
        <v>2079</v>
      </c>
      <c r="D1128" s="242"/>
      <c r="E1128" s="242"/>
      <c r="F1128" s="243" t="str">
        <f>IF($F$3=1,O1128,"")</f>
        <v>D.3 Angemessene Nutzungsdichte</v>
      </c>
      <c r="G1128" s="244"/>
      <c r="H1128" s="245"/>
      <c r="I1128" s="246"/>
      <c r="J1128" s="247"/>
      <c r="K1128" s="157">
        <f t="shared" si="142"/>
        <v>100</v>
      </c>
      <c r="L1128" s="157">
        <f t="shared" si="143"/>
        <v>200</v>
      </c>
      <c r="M1128" s="157">
        <f t="shared" si="144"/>
        <v>300</v>
      </c>
      <c r="N1128" s="157">
        <f t="shared" si="145"/>
        <v>400</v>
      </c>
      <c r="O1128" s="967" t="str">
        <f>CONCATENATE(B1128," ",C1128)</f>
        <v>D.3 Angemessene Nutzungsdichte</v>
      </c>
      <c r="P1128" s="958"/>
      <c r="Q1128" s="586"/>
      <c r="R1128" s="968"/>
      <c r="S1128" s="589"/>
      <c r="T1128" s="589"/>
      <c r="U1128" s="589"/>
    </row>
    <row r="1129" spans="1:21" x14ac:dyDescent="0.35">
      <c r="K1129" s="157">
        <f t="shared" si="142"/>
        <v>100</v>
      </c>
      <c r="L1129" s="157">
        <f t="shared" si="143"/>
        <v>200</v>
      </c>
      <c r="M1129" s="157">
        <f t="shared" si="144"/>
        <v>300</v>
      </c>
      <c r="N1129" s="157">
        <f t="shared" si="145"/>
        <v>400</v>
      </c>
      <c r="O1129" s="967"/>
      <c r="P1129" s="967"/>
      <c r="Q1129" s="586"/>
      <c r="R1129" s="968"/>
      <c r="S1129" s="589"/>
      <c r="T1129" s="589"/>
      <c r="U1129" s="589"/>
    </row>
    <row r="1130" spans="1:21" ht="7.5" customHeight="1" x14ac:dyDescent="0.35">
      <c r="A1130" s="116"/>
      <c r="B1130" s="117"/>
      <c r="C1130" s="117"/>
      <c r="D1130" s="116"/>
      <c r="E1130" s="116"/>
      <c r="F1130" s="118"/>
      <c r="G1130" s="119"/>
      <c r="H1130" s="116"/>
      <c r="I1130" s="120"/>
      <c r="J1130" s="121"/>
      <c r="K1130" s="157">
        <f t="shared" si="142"/>
        <v>100</v>
      </c>
      <c r="L1130" s="157">
        <f t="shared" si="143"/>
        <v>200</v>
      </c>
      <c r="M1130" s="157">
        <f t="shared" si="144"/>
        <v>300</v>
      </c>
      <c r="N1130" s="157">
        <f t="shared" si="145"/>
        <v>400</v>
      </c>
      <c r="O1130" s="968"/>
      <c r="P1130" s="968"/>
      <c r="Q1130" s="586"/>
      <c r="R1130" s="968"/>
      <c r="S1130" s="589"/>
      <c r="T1130" s="589"/>
      <c r="U1130" s="589"/>
    </row>
    <row r="1131" spans="1:21" ht="15.5" x14ac:dyDescent="0.35">
      <c r="A1131" s="124"/>
      <c r="B1131" s="125"/>
      <c r="C1131" s="126" t="s">
        <v>4819</v>
      </c>
      <c r="D1131" s="127" t="s">
        <v>5449</v>
      </c>
      <c r="E1131" s="128"/>
      <c r="F1131" s="129" t="str">
        <f>IF($F$3=1,O1131,"")</f>
        <v>D.3.1 Personenfläche</v>
      </c>
      <c r="G1131" s="204"/>
      <c r="H1131" s="205"/>
      <c r="I1131" s="520" t="s">
        <v>23</v>
      </c>
      <c r="J1131" s="130"/>
      <c r="K1131" s="157">
        <f t="shared" si="142"/>
        <v>100</v>
      </c>
      <c r="L1131" s="157">
        <f t="shared" si="143"/>
        <v>200</v>
      </c>
      <c r="M1131" s="157">
        <f t="shared" si="144"/>
        <v>300</v>
      </c>
      <c r="N1131" s="157">
        <f t="shared" si="145"/>
        <v>400</v>
      </c>
      <c r="O1131" s="967" t="str">
        <f>CONCATENATE(C1131," ",D1131)</f>
        <v>D.3.1 Personenfläche</v>
      </c>
      <c r="P1131" s="966"/>
      <c r="Q1131" s="586"/>
      <c r="R1131" s="968"/>
      <c r="S1131" s="589"/>
      <c r="T1131" s="589"/>
      <c r="U1131" s="589"/>
    </row>
    <row r="1132" spans="1:21" x14ac:dyDescent="0.35">
      <c r="A1132" s="124"/>
      <c r="B1132" s="134"/>
      <c r="C1132" s="135"/>
      <c r="D1132" s="136"/>
      <c r="E1132" s="136"/>
      <c r="F1132" s="137"/>
      <c r="G1132" s="138"/>
      <c r="H1132" s="124"/>
      <c r="I1132" s="139"/>
      <c r="J1132" s="140"/>
      <c r="K1132" s="157">
        <f t="shared" ref="K1132:K1195" si="150">IF($J1132=$K$41,K1131+1,K1131+0)</f>
        <v>100</v>
      </c>
      <c r="L1132" s="157">
        <f t="shared" ref="L1132:L1195" si="151">IF($J1132=$L$41,L1131+1,L1131+0)</f>
        <v>200</v>
      </c>
      <c r="M1132" s="157">
        <f t="shared" ref="M1132:M1195" si="152">IF($J1132=$M$41,M1131+1,M1131+0)</f>
        <v>300</v>
      </c>
      <c r="N1132" s="157">
        <f t="shared" ref="N1132:N1195" si="153">IF($J1132=$N$41,N1131+1,N1131+0)</f>
        <v>400</v>
      </c>
      <c r="O1132" s="968"/>
      <c r="P1132" s="966"/>
      <c r="Q1132" s="586"/>
      <c r="R1132" s="968"/>
      <c r="S1132" s="589"/>
      <c r="T1132" s="589"/>
      <c r="U1132" s="589"/>
    </row>
    <row r="1133" spans="1:21" x14ac:dyDescent="0.35">
      <c r="A1133" s="142"/>
      <c r="B1133" s="35"/>
      <c r="C1133" s="143"/>
      <c r="D1133" s="1685" t="s">
        <v>18</v>
      </c>
      <c r="E1133" s="1686"/>
      <c r="F1133" s="144" t="s">
        <v>19</v>
      </c>
      <c r="G1133" s="145" t="s">
        <v>0</v>
      </c>
      <c r="H1133" s="146" t="s">
        <v>20</v>
      </c>
      <c r="I1133" s="147" t="s">
        <v>1</v>
      </c>
      <c r="J1133" s="147" t="s">
        <v>4375</v>
      </c>
      <c r="K1133" s="157">
        <f t="shared" si="150"/>
        <v>100</v>
      </c>
      <c r="L1133" s="157">
        <f t="shared" si="151"/>
        <v>200</v>
      </c>
      <c r="M1133" s="157">
        <f t="shared" si="152"/>
        <v>300</v>
      </c>
      <c r="N1133" s="157">
        <f t="shared" si="153"/>
        <v>400</v>
      </c>
      <c r="O1133" s="587"/>
      <c r="P1133" s="967"/>
      <c r="Q1133" s="586"/>
      <c r="R1133" s="968"/>
      <c r="S1133" s="589"/>
      <c r="T1133" s="589"/>
      <c r="U1133" s="589"/>
    </row>
    <row r="1134" spans="1:21" ht="72" x14ac:dyDescent="0.35">
      <c r="A1134" s="123"/>
      <c r="B1134" s="35"/>
      <c r="C1134" s="151"/>
      <c r="D1134" s="1687" t="s">
        <v>4684</v>
      </c>
      <c r="E1134" s="1688"/>
      <c r="F1134" s="1021" t="s">
        <v>4685</v>
      </c>
      <c r="G1134" s="153">
        <f t="shared" ref="G1134" si="154">IF($H$2=1,S1134,IF($H$2=2,T1134,U1134))</f>
        <v>1</v>
      </c>
      <c r="H1134" s="226">
        <f>'RH Gebäude'!G67*100%</f>
        <v>0</v>
      </c>
      <c r="I1134" s="155"/>
      <c r="J1134" s="156"/>
      <c r="K1134" s="157">
        <f t="shared" si="150"/>
        <v>100</v>
      </c>
      <c r="L1134" s="157">
        <f t="shared" si="151"/>
        <v>200</v>
      </c>
      <c r="M1134" s="157">
        <f t="shared" si="152"/>
        <v>300</v>
      </c>
      <c r="N1134" s="157">
        <f t="shared" si="153"/>
        <v>400</v>
      </c>
      <c r="O1134" s="967" t="str">
        <f>CONCATENATE(O1131," | ",F1134)</f>
        <v>D.3.1 Personenfläche | Rechenhilfe: Bei mehreren Gebäuden mit unterschiedlichen Nutzungen erfolgt die Bewertung anhand der anteiligen Nutzfläche lt. ÖNORM B 1800, 2013
• Wohnen: 40-30 m² NF pro Person
• Verwaltung: 23-17 m² NF pro Person</v>
      </c>
      <c r="P1134" s="967"/>
      <c r="Q1134" s="586"/>
      <c r="R1134" s="968"/>
      <c r="S1134" s="588">
        <v>0</v>
      </c>
      <c r="T1134" s="594">
        <v>1</v>
      </c>
      <c r="U1134" s="588">
        <v>1</v>
      </c>
    </row>
    <row r="1135" spans="1:21" x14ac:dyDescent="0.35">
      <c r="A1135" s="123"/>
      <c r="B1135" s="35"/>
      <c r="C1135" s="151"/>
      <c r="D1135" s="1687"/>
      <c r="E1135" s="1688"/>
      <c r="F1135" s="159"/>
      <c r="G1135" s="160"/>
      <c r="H1135" s="161"/>
      <c r="I1135" s="166"/>
      <c r="J1135" s="164"/>
      <c r="K1135" s="157">
        <f t="shared" si="150"/>
        <v>100</v>
      </c>
      <c r="L1135" s="157">
        <f t="shared" si="151"/>
        <v>200</v>
      </c>
      <c r="M1135" s="157">
        <f t="shared" si="152"/>
        <v>300</v>
      </c>
      <c r="N1135" s="157">
        <f t="shared" si="153"/>
        <v>400</v>
      </c>
      <c r="O1135" s="967"/>
      <c r="P1135" s="967"/>
      <c r="Q1135" s="586"/>
      <c r="R1135" s="968"/>
      <c r="S1135" s="588"/>
      <c r="T1135" s="594"/>
      <c r="U1135" s="588"/>
    </row>
    <row r="1136" spans="1:21" x14ac:dyDescent="0.35">
      <c r="A1136" s="123"/>
      <c r="B1136" s="35"/>
      <c r="C1136" s="151"/>
      <c r="D1136" s="1687"/>
      <c r="E1136" s="1688"/>
      <c r="F1136" s="159"/>
      <c r="G1136" s="160"/>
      <c r="H1136" s="161"/>
      <c r="I1136" s="162"/>
      <c r="J1136" s="164"/>
      <c r="K1136" s="157">
        <f t="shared" si="150"/>
        <v>100</v>
      </c>
      <c r="L1136" s="157">
        <f t="shared" si="151"/>
        <v>200</v>
      </c>
      <c r="M1136" s="157">
        <f t="shared" si="152"/>
        <v>300</v>
      </c>
      <c r="N1136" s="157">
        <f t="shared" si="153"/>
        <v>400</v>
      </c>
      <c r="O1136" s="967"/>
      <c r="P1136" s="967"/>
      <c r="Q1136" s="586"/>
      <c r="R1136" s="968"/>
      <c r="S1136" s="588"/>
      <c r="T1136" s="594"/>
      <c r="U1136" s="588"/>
    </row>
    <row r="1137" spans="1:21" x14ac:dyDescent="0.35">
      <c r="A1137" s="123">
        <v>3.2</v>
      </c>
      <c r="B1137" s="35"/>
      <c r="C1137" s="151"/>
      <c r="D1137" s="1687"/>
      <c r="E1137" s="1688"/>
      <c r="F1137" s="159"/>
      <c r="G1137" s="160"/>
      <c r="H1137" s="161"/>
      <c r="I1137" s="162"/>
      <c r="J1137" s="164"/>
      <c r="K1137" s="157">
        <f t="shared" si="150"/>
        <v>100</v>
      </c>
      <c r="L1137" s="157">
        <f t="shared" si="151"/>
        <v>200</v>
      </c>
      <c r="M1137" s="157">
        <f t="shared" si="152"/>
        <v>300</v>
      </c>
      <c r="N1137" s="157">
        <f t="shared" si="153"/>
        <v>400</v>
      </c>
      <c r="O1137" s="967"/>
      <c r="P1137" s="967"/>
      <c r="Q1137" s="586"/>
      <c r="R1137" s="968"/>
      <c r="S1137" s="588"/>
      <c r="T1137" s="594"/>
      <c r="U1137" s="588"/>
    </row>
    <row r="1138" spans="1:21" x14ac:dyDescent="0.35">
      <c r="A1138" s="123"/>
      <c r="B1138" s="35"/>
      <c r="C1138" s="151"/>
      <c r="D1138" s="1687"/>
      <c r="E1138" s="1688"/>
      <c r="F1138" s="159"/>
      <c r="G1138" s="160"/>
      <c r="H1138" s="161"/>
      <c r="I1138" s="162"/>
      <c r="J1138" s="164"/>
      <c r="K1138" s="157">
        <f t="shared" si="150"/>
        <v>100</v>
      </c>
      <c r="L1138" s="157">
        <f t="shared" si="151"/>
        <v>200</v>
      </c>
      <c r="M1138" s="157">
        <f t="shared" si="152"/>
        <v>300</v>
      </c>
      <c r="N1138" s="157">
        <f t="shared" si="153"/>
        <v>400</v>
      </c>
      <c r="O1138" s="967"/>
      <c r="P1138" s="967"/>
      <c r="Q1138" s="586"/>
      <c r="R1138" s="968"/>
      <c r="S1138" s="588"/>
      <c r="T1138" s="594"/>
      <c r="U1138" s="588"/>
    </row>
    <row r="1139" spans="1:21" x14ac:dyDescent="0.35">
      <c r="A1139" s="116"/>
      <c r="B1139" s="35"/>
      <c r="C1139" s="117"/>
      <c r="D1139" s="1687"/>
      <c r="E1139" s="1688"/>
      <c r="F1139" s="159"/>
      <c r="G1139" s="160"/>
      <c r="H1139" s="161"/>
      <c r="I1139" s="162"/>
      <c r="J1139" s="164"/>
      <c r="K1139" s="157">
        <f t="shared" si="150"/>
        <v>100</v>
      </c>
      <c r="L1139" s="157">
        <f t="shared" si="151"/>
        <v>200</v>
      </c>
      <c r="M1139" s="157">
        <f t="shared" si="152"/>
        <v>300</v>
      </c>
      <c r="N1139" s="157">
        <f t="shared" si="153"/>
        <v>400</v>
      </c>
      <c r="O1139" s="959"/>
      <c r="P1139" s="967"/>
      <c r="Q1139" s="586"/>
      <c r="R1139" s="968"/>
      <c r="S1139" s="589"/>
      <c r="T1139" s="589"/>
      <c r="U1139" s="589"/>
    </row>
    <row r="1140" spans="1:21" x14ac:dyDescent="0.35">
      <c r="A1140" s="116"/>
      <c r="B1140" s="35"/>
      <c r="C1140" s="117"/>
      <c r="D1140" s="1687"/>
      <c r="E1140" s="1688"/>
      <c r="F1140" s="159"/>
      <c r="G1140" s="160"/>
      <c r="H1140" s="161"/>
      <c r="I1140" s="162"/>
      <c r="J1140" s="164"/>
      <c r="K1140" s="157">
        <f t="shared" si="150"/>
        <v>100</v>
      </c>
      <c r="L1140" s="157">
        <f t="shared" si="151"/>
        <v>200</v>
      </c>
      <c r="M1140" s="157">
        <f t="shared" si="152"/>
        <v>300</v>
      </c>
      <c r="N1140" s="157">
        <f t="shared" si="153"/>
        <v>400</v>
      </c>
      <c r="O1140" s="959"/>
      <c r="P1140" s="967"/>
      <c r="Q1140" s="586"/>
      <c r="R1140" s="968"/>
      <c r="S1140" s="589"/>
      <c r="T1140" s="589"/>
      <c r="U1140" s="589"/>
    </row>
    <row r="1141" spans="1:21" x14ac:dyDescent="0.35">
      <c r="A1141" s="116"/>
      <c r="B1141" s="35"/>
      <c r="C1141" s="117"/>
      <c r="D1141" s="1687"/>
      <c r="E1141" s="1688"/>
      <c r="F1141" s="159"/>
      <c r="G1141" s="160"/>
      <c r="H1141" s="161"/>
      <c r="I1141" s="162"/>
      <c r="J1141" s="164"/>
      <c r="K1141" s="157">
        <f t="shared" si="150"/>
        <v>100</v>
      </c>
      <c r="L1141" s="157">
        <f t="shared" si="151"/>
        <v>200</v>
      </c>
      <c r="M1141" s="157">
        <f t="shared" si="152"/>
        <v>300</v>
      </c>
      <c r="N1141" s="157">
        <f t="shared" si="153"/>
        <v>400</v>
      </c>
      <c r="O1141" s="959"/>
      <c r="P1141" s="967"/>
      <c r="Q1141" s="586"/>
      <c r="R1141" s="968"/>
      <c r="S1141" s="589"/>
      <c r="T1141" s="589"/>
      <c r="U1141" s="589"/>
    </row>
    <row r="1142" spans="1:21" x14ac:dyDescent="0.35">
      <c r="A1142" s="123"/>
      <c r="B1142" s="35"/>
      <c r="C1142" s="151"/>
      <c r="D1142" s="1687"/>
      <c r="E1142" s="1688"/>
      <c r="F1142" s="165"/>
      <c r="G1142" s="160"/>
      <c r="H1142" s="161"/>
      <c r="I1142" s="166"/>
      <c r="J1142" s="167"/>
      <c r="K1142" s="157">
        <f t="shared" si="150"/>
        <v>100</v>
      </c>
      <c r="L1142" s="157">
        <f t="shared" si="151"/>
        <v>200</v>
      </c>
      <c r="M1142" s="157">
        <f t="shared" si="152"/>
        <v>300</v>
      </c>
      <c r="N1142" s="157">
        <f t="shared" si="153"/>
        <v>400</v>
      </c>
      <c r="O1142" s="959"/>
      <c r="P1142" s="967"/>
      <c r="Q1142" s="586"/>
      <c r="R1142" s="968"/>
      <c r="S1142" s="589"/>
      <c r="T1142" s="589"/>
      <c r="U1142" s="589"/>
    </row>
    <row r="1143" spans="1:21" x14ac:dyDescent="0.35">
      <c r="A1143" s="116"/>
      <c r="B1143" s="35"/>
      <c r="C1143" s="117"/>
      <c r="D1143" s="1687"/>
      <c r="E1143" s="1688"/>
      <c r="F1143" s="159"/>
      <c r="G1143" s="160"/>
      <c r="H1143" s="168"/>
      <c r="I1143" s="162"/>
      <c r="J1143" s="164"/>
      <c r="K1143" s="157">
        <f t="shared" si="150"/>
        <v>100</v>
      </c>
      <c r="L1143" s="157">
        <f t="shared" si="151"/>
        <v>200</v>
      </c>
      <c r="M1143" s="157">
        <f t="shared" si="152"/>
        <v>300</v>
      </c>
      <c r="N1143" s="157">
        <f t="shared" si="153"/>
        <v>400</v>
      </c>
      <c r="O1143" s="959"/>
      <c r="P1143" s="967"/>
      <c r="Q1143" s="586"/>
      <c r="R1143" s="968"/>
      <c r="S1143" s="589"/>
      <c r="T1143" s="589"/>
      <c r="U1143" s="589"/>
    </row>
    <row r="1144" spans="1:21" x14ac:dyDescent="0.35">
      <c r="A1144" s="116"/>
      <c r="B1144" s="117"/>
      <c r="C1144" s="117"/>
      <c r="D1144" s="1687"/>
      <c r="E1144" s="1688"/>
      <c r="F1144" s="159"/>
      <c r="G1144" s="160"/>
      <c r="H1144" s="168"/>
      <c r="I1144" s="162"/>
      <c r="J1144" s="164"/>
      <c r="K1144" s="157">
        <f t="shared" si="150"/>
        <v>100</v>
      </c>
      <c r="L1144" s="157">
        <f t="shared" si="151"/>
        <v>200</v>
      </c>
      <c r="M1144" s="157">
        <f t="shared" si="152"/>
        <v>300</v>
      </c>
      <c r="N1144" s="157">
        <f t="shared" si="153"/>
        <v>400</v>
      </c>
      <c r="O1144" s="959"/>
      <c r="P1144" s="967"/>
      <c r="Q1144" s="586"/>
      <c r="R1144" s="968"/>
      <c r="S1144" s="589"/>
      <c r="T1144" s="589"/>
      <c r="U1144" s="589"/>
    </row>
    <row r="1145" spans="1:21" x14ac:dyDescent="0.35">
      <c r="A1145" s="116"/>
      <c r="B1145" s="117"/>
      <c r="C1145" s="117"/>
      <c r="D1145" s="1687"/>
      <c r="E1145" s="1688"/>
      <c r="F1145" s="169"/>
      <c r="G1145" s="170"/>
      <c r="H1145" s="171"/>
      <c r="I1145" s="172"/>
      <c r="J1145" s="173"/>
      <c r="K1145" s="157">
        <f t="shared" si="150"/>
        <v>100</v>
      </c>
      <c r="L1145" s="157">
        <f t="shared" si="151"/>
        <v>200</v>
      </c>
      <c r="M1145" s="157">
        <f t="shared" si="152"/>
        <v>300</v>
      </c>
      <c r="N1145" s="157">
        <f t="shared" si="153"/>
        <v>400</v>
      </c>
      <c r="O1145" s="959"/>
      <c r="P1145" s="967"/>
      <c r="Q1145" s="586"/>
      <c r="R1145" s="968"/>
      <c r="S1145" s="589"/>
      <c r="T1145" s="589"/>
      <c r="U1145" s="589"/>
    </row>
    <row r="1146" spans="1:21" ht="28.5" customHeight="1" x14ac:dyDescent="0.35">
      <c r="A1146" s="116"/>
      <c r="B1146" s="117"/>
      <c r="C1146" s="117"/>
      <c r="D1146" s="174"/>
      <c r="E1146" s="175"/>
      <c r="F1146" s="1689" t="s">
        <v>2</v>
      </c>
      <c r="G1146" s="1689"/>
      <c r="H1146" s="176">
        <f>IF(O1146&gt;1,"Zielerreichung übersteigt 100%!",O1146)</f>
        <v>0</v>
      </c>
      <c r="I1146" s="177"/>
      <c r="J1146" s="178"/>
      <c r="K1146" s="157">
        <f t="shared" si="150"/>
        <v>100</v>
      </c>
      <c r="L1146" s="157">
        <f t="shared" si="151"/>
        <v>200</v>
      </c>
      <c r="M1146" s="157">
        <f t="shared" si="152"/>
        <v>300</v>
      </c>
      <c r="N1146" s="157">
        <f t="shared" si="153"/>
        <v>400</v>
      </c>
      <c r="O1146" s="959">
        <f>SUM(H1134:H1145)</f>
        <v>0</v>
      </c>
      <c r="P1146" s="967"/>
      <c r="Q1146" s="586"/>
      <c r="R1146" s="968"/>
      <c r="S1146" s="589"/>
      <c r="T1146" s="589"/>
      <c r="U1146" s="589"/>
    </row>
    <row r="1147" spans="1:21" x14ac:dyDescent="0.35">
      <c r="A1147" s="116"/>
      <c r="B1147" s="117"/>
      <c r="C1147" s="117"/>
      <c r="D1147" s="179"/>
      <c r="E1147" s="180"/>
      <c r="F1147" s="1690" t="s">
        <v>3</v>
      </c>
      <c r="G1147" s="1691"/>
      <c r="H1147" s="181">
        <v>25</v>
      </c>
      <c r="I1147" s="177"/>
      <c r="J1147" s="178"/>
      <c r="K1147" s="157">
        <f t="shared" si="150"/>
        <v>100</v>
      </c>
      <c r="L1147" s="157">
        <f t="shared" si="151"/>
        <v>200</v>
      </c>
      <c r="M1147" s="157">
        <f t="shared" si="152"/>
        <v>300</v>
      </c>
      <c r="N1147" s="157">
        <f t="shared" si="153"/>
        <v>400</v>
      </c>
      <c r="O1147" s="1030"/>
      <c r="P1147" s="967"/>
      <c r="Q1147" s="586"/>
      <c r="R1147" s="968"/>
      <c r="S1147" s="589"/>
      <c r="T1147" s="589"/>
      <c r="U1147" s="589"/>
    </row>
    <row r="1148" spans="1:21" x14ac:dyDescent="0.35">
      <c r="A1148" s="116"/>
      <c r="B1148" s="117"/>
      <c r="C1148" s="117"/>
      <c r="D1148" s="179"/>
      <c r="E1148" s="180"/>
      <c r="F1148" s="1700" t="s">
        <v>5494</v>
      </c>
      <c r="G1148" s="1701"/>
      <c r="H1148" s="1084" t="str">
        <f>IF($H$2=1,0,"")</f>
        <v/>
      </c>
      <c r="I1148" s="183"/>
      <c r="J1148" s="178"/>
      <c r="K1148" s="157">
        <f t="shared" si="150"/>
        <v>100</v>
      </c>
      <c r="L1148" s="157">
        <f t="shared" si="151"/>
        <v>200</v>
      </c>
      <c r="M1148" s="157">
        <f t="shared" si="152"/>
        <v>300</v>
      </c>
      <c r="N1148" s="157">
        <f t="shared" si="153"/>
        <v>400</v>
      </c>
      <c r="O1148" s="1030"/>
      <c r="P1148" s="967"/>
      <c r="Q1148" s="586"/>
      <c r="R1148" s="968"/>
      <c r="S1148" s="589"/>
      <c r="T1148" s="589"/>
      <c r="U1148" s="589"/>
    </row>
    <row r="1149" spans="1:21" x14ac:dyDescent="0.35">
      <c r="A1149" s="184"/>
      <c r="B1149" s="185"/>
      <c r="C1149" s="185"/>
      <c r="D1149" s="179"/>
      <c r="E1149" s="180"/>
      <c r="F1149" s="186"/>
      <c r="G1149" s="186"/>
      <c r="H1149" s="187"/>
      <c r="I1149" s="177"/>
      <c r="J1149" s="178"/>
      <c r="K1149" s="157">
        <f t="shared" si="150"/>
        <v>100</v>
      </c>
      <c r="L1149" s="157">
        <f t="shared" si="151"/>
        <v>200</v>
      </c>
      <c r="M1149" s="157">
        <f t="shared" si="152"/>
        <v>300</v>
      </c>
      <c r="N1149" s="157">
        <f t="shared" si="153"/>
        <v>400</v>
      </c>
      <c r="O1149" s="1030"/>
      <c r="P1149" s="967"/>
      <c r="Q1149" s="586"/>
      <c r="R1149" s="968"/>
      <c r="S1149" s="589"/>
      <c r="T1149" s="589"/>
      <c r="U1149" s="589"/>
    </row>
    <row r="1150" spans="1:21" ht="15.75" customHeight="1" x14ac:dyDescent="0.35">
      <c r="A1150" s="116"/>
      <c r="B1150" s="185"/>
      <c r="C1150" s="1705"/>
      <c r="D1150" s="1706"/>
      <c r="E1150" s="248"/>
      <c r="F1150" s="1707" t="s">
        <v>5</v>
      </c>
      <c r="G1150" s="1707"/>
      <c r="H1150" s="249">
        <f>IF(ISNUMBER(H1148),H1148*H1146,H1147*H1146)</f>
        <v>0</v>
      </c>
      <c r="I1150" s="250"/>
      <c r="J1150" s="255"/>
      <c r="K1150" s="157">
        <f t="shared" si="150"/>
        <v>100</v>
      </c>
      <c r="L1150" s="157">
        <f t="shared" si="151"/>
        <v>200</v>
      </c>
      <c r="M1150" s="157">
        <f t="shared" si="152"/>
        <v>300</v>
      </c>
      <c r="N1150" s="157">
        <f t="shared" si="153"/>
        <v>400</v>
      </c>
      <c r="O1150" s="1030"/>
      <c r="P1150" s="967"/>
      <c r="Q1150" s="586"/>
      <c r="R1150" s="968"/>
      <c r="S1150" s="589"/>
      <c r="T1150" s="589"/>
      <c r="U1150" s="589"/>
    </row>
    <row r="1151" spans="1:21" x14ac:dyDescent="0.35">
      <c r="B1151" s="185"/>
      <c r="K1151" s="157">
        <f t="shared" si="150"/>
        <v>100</v>
      </c>
      <c r="L1151" s="157">
        <f t="shared" si="151"/>
        <v>200</v>
      </c>
      <c r="M1151" s="157">
        <f t="shared" si="152"/>
        <v>300</v>
      </c>
      <c r="N1151" s="157">
        <f t="shared" si="153"/>
        <v>400</v>
      </c>
      <c r="O1151" s="967"/>
      <c r="P1151" s="967"/>
      <c r="Q1151" s="586"/>
      <c r="R1151" s="968"/>
      <c r="S1151" s="589"/>
      <c r="T1151" s="589"/>
      <c r="U1151" s="589"/>
    </row>
    <row r="1152" spans="1:21" ht="7.5" customHeight="1" x14ac:dyDescent="0.35">
      <c r="A1152" s="116"/>
      <c r="B1152" s="117"/>
      <c r="C1152" s="117"/>
      <c r="D1152" s="116"/>
      <c r="E1152" s="116"/>
      <c r="F1152" s="118"/>
      <c r="G1152" s="119"/>
      <c r="H1152" s="116"/>
      <c r="I1152" s="120"/>
      <c r="J1152" s="121"/>
      <c r="K1152" s="157">
        <f t="shared" si="150"/>
        <v>100</v>
      </c>
      <c r="L1152" s="157">
        <f t="shared" si="151"/>
        <v>200</v>
      </c>
      <c r="M1152" s="157">
        <f t="shared" si="152"/>
        <v>300</v>
      </c>
      <c r="N1152" s="157">
        <f t="shared" si="153"/>
        <v>400</v>
      </c>
      <c r="O1152" s="968"/>
      <c r="P1152" s="968"/>
      <c r="Q1152" s="586"/>
      <c r="R1152" s="968"/>
      <c r="S1152" s="589"/>
      <c r="T1152" s="589"/>
      <c r="U1152" s="589"/>
    </row>
    <row r="1153" spans="1:21" ht="15.5" x14ac:dyDescent="0.35">
      <c r="A1153" s="124"/>
      <c r="B1153" s="125"/>
      <c r="C1153" s="126" t="s">
        <v>4820</v>
      </c>
      <c r="D1153" s="127" t="s">
        <v>5450</v>
      </c>
      <c r="E1153" s="128"/>
      <c r="F1153" s="129" t="str">
        <f>IF($F$3=1,O1153,"")</f>
        <v>D.3.2 Flexibel nutzbare Raumangebote</v>
      </c>
      <c r="G1153" s="204"/>
      <c r="H1153" s="205"/>
      <c r="I1153" s="520" t="s">
        <v>23</v>
      </c>
      <c r="J1153" s="130"/>
      <c r="K1153" s="157">
        <f t="shared" si="150"/>
        <v>100</v>
      </c>
      <c r="L1153" s="157">
        <f t="shared" si="151"/>
        <v>200</v>
      </c>
      <c r="M1153" s="157">
        <f t="shared" si="152"/>
        <v>300</v>
      </c>
      <c r="N1153" s="157">
        <f t="shared" si="153"/>
        <v>400</v>
      </c>
      <c r="O1153" s="967" t="str">
        <f>CONCATENATE(C1153," ",D1153)</f>
        <v>D.3.2 Flexibel nutzbare Raumangebote</v>
      </c>
      <c r="P1153" s="966"/>
      <c r="Q1153" s="586"/>
      <c r="R1153" s="968"/>
      <c r="S1153" s="589"/>
      <c r="T1153" s="589"/>
      <c r="U1153" s="589"/>
    </row>
    <row r="1154" spans="1:21" x14ac:dyDescent="0.35">
      <c r="A1154" s="124"/>
      <c r="B1154" s="134"/>
      <c r="C1154" s="135"/>
      <c r="D1154" s="136"/>
      <c r="E1154" s="136"/>
      <c r="F1154" s="137"/>
      <c r="G1154" s="138"/>
      <c r="H1154" s="124"/>
      <c r="I1154" s="139"/>
      <c r="J1154" s="140"/>
      <c r="K1154" s="157">
        <f t="shared" si="150"/>
        <v>100</v>
      </c>
      <c r="L1154" s="157">
        <f t="shared" si="151"/>
        <v>200</v>
      </c>
      <c r="M1154" s="157">
        <f t="shared" si="152"/>
        <v>300</v>
      </c>
      <c r="N1154" s="157">
        <f t="shared" si="153"/>
        <v>400</v>
      </c>
      <c r="O1154" s="968"/>
      <c r="P1154" s="966"/>
      <c r="Q1154" s="586"/>
      <c r="R1154" s="968"/>
      <c r="S1154" s="589"/>
      <c r="T1154" s="589"/>
      <c r="U1154" s="589"/>
    </row>
    <row r="1155" spans="1:21" ht="15" thickBot="1" x14ac:dyDescent="0.4">
      <c r="A1155" s="142"/>
      <c r="B1155" s="35"/>
      <c r="C1155" s="143"/>
      <c r="D1155" s="1685" t="s">
        <v>18</v>
      </c>
      <c r="E1155" s="1686"/>
      <c r="F1155" s="144" t="s">
        <v>19</v>
      </c>
      <c r="G1155" s="145" t="s">
        <v>0</v>
      </c>
      <c r="H1155" s="146" t="s">
        <v>20</v>
      </c>
      <c r="I1155" s="147" t="s">
        <v>1</v>
      </c>
      <c r="J1155" s="147" t="s">
        <v>4375</v>
      </c>
      <c r="K1155" s="157">
        <f t="shared" si="150"/>
        <v>100</v>
      </c>
      <c r="L1155" s="157">
        <f t="shared" si="151"/>
        <v>200</v>
      </c>
      <c r="M1155" s="157">
        <f t="shared" si="152"/>
        <v>300</v>
      </c>
      <c r="N1155" s="157">
        <f t="shared" si="153"/>
        <v>400</v>
      </c>
      <c r="O1155" s="587"/>
      <c r="P1155" s="1053"/>
      <c r="Q1155" s="1054"/>
      <c r="R1155" s="968"/>
      <c r="S1155" s="589"/>
      <c r="T1155" s="589"/>
      <c r="U1155" s="589"/>
    </row>
    <row r="1156" spans="1:21" ht="24" x14ac:dyDescent="0.35">
      <c r="A1156" s="123"/>
      <c r="B1156" s="35"/>
      <c r="C1156" s="151"/>
      <c r="D1156" s="1687" t="s">
        <v>4686</v>
      </c>
      <c r="E1156" s="1688"/>
      <c r="F1156" s="239" t="s">
        <v>4723</v>
      </c>
      <c r="G1156" s="153">
        <f t="shared" ref="G1156" si="155">IF($H$2=1,S1156,IF($H$2=2,T1156,U1156))</f>
        <v>1</v>
      </c>
      <c r="H1156" s="1066">
        <f>VLOOKUP(F1156,$P$1156:$Q$1162,2,0)*G1156/100%</f>
        <v>0</v>
      </c>
      <c r="I1156" s="155"/>
      <c r="J1156" s="156"/>
      <c r="K1156" s="157">
        <f t="shared" si="150"/>
        <v>100</v>
      </c>
      <c r="L1156" s="157">
        <f t="shared" si="151"/>
        <v>200</v>
      </c>
      <c r="M1156" s="157">
        <f t="shared" si="152"/>
        <v>300</v>
      </c>
      <c r="N1156" s="157">
        <f t="shared" si="153"/>
        <v>400</v>
      </c>
      <c r="O1156" s="1051" t="str">
        <f>CONCATENATE(O1153," | ",F1156)</f>
        <v>D.3.2 Flexibel nutzbare Raumangebote | Bei reiner Hauptnutzung (Wohnen/Verwaltung) bestehen keine entsprechenden flexiblen Angebote: 0%</v>
      </c>
      <c r="P1156" s="1057" t="s">
        <v>4723</v>
      </c>
      <c r="Q1156" s="1058">
        <v>0</v>
      </c>
      <c r="R1156" s="1052"/>
      <c r="S1156" s="588">
        <v>0</v>
      </c>
      <c r="T1156" s="588">
        <v>0.7</v>
      </c>
      <c r="U1156" s="588">
        <v>1</v>
      </c>
    </row>
    <row r="1157" spans="1:21" x14ac:dyDescent="0.35">
      <c r="A1157" s="123"/>
      <c r="B1157" s="35"/>
      <c r="C1157" s="151"/>
      <c r="D1157" s="1687"/>
      <c r="E1157" s="1688"/>
      <c r="F1157" s="159"/>
      <c r="G1157" s="160"/>
      <c r="H1157" s="161"/>
      <c r="I1157" s="166"/>
      <c r="J1157" s="164"/>
      <c r="K1157" s="157">
        <f t="shared" si="150"/>
        <v>100</v>
      </c>
      <c r="L1157" s="157">
        <f t="shared" si="151"/>
        <v>200</v>
      </c>
      <c r="M1157" s="157">
        <f t="shared" si="152"/>
        <v>300</v>
      </c>
      <c r="N1157" s="157">
        <f t="shared" si="153"/>
        <v>400</v>
      </c>
      <c r="O1157" s="1051"/>
      <c r="P1157" s="1059" t="s">
        <v>4724</v>
      </c>
      <c r="Q1157" s="1060">
        <v>0.5</v>
      </c>
      <c r="R1157" s="1052"/>
      <c r="S1157" s="589"/>
      <c r="T1157" s="589"/>
      <c r="U1157" s="589"/>
    </row>
    <row r="1158" spans="1:21" x14ac:dyDescent="0.35">
      <c r="A1158" s="123"/>
      <c r="B1158" s="35"/>
      <c r="C1158" s="151"/>
      <c r="D1158" s="1687"/>
      <c r="E1158" s="1688"/>
      <c r="F1158" s="593" t="str">
        <f>IF($G$2=1,R1158,"Weiteres Kriterium in der Nutzung")</f>
        <v>Weiteres Kriterium in der Nutzung</v>
      </c>
      <c r="G1158" s="153">
        <f t="shared" ref="G1158:G1160" si="156">IF($H$2=1,S1158,IF($H$2=2,T1158,U1158))</f>
        <v>0</v>
      </c>
      <c r="H1158" s="154"/>
      <c r="I1158" s="158"/>
      <c r="J1158" s="156"/>
      <c r="K1158" s="157">
        <f t="shared" si="150"/>
        <v>100</v>
      </c>
      <c r="L1158" s="157">
        <f t="shared" si="151"/>
        <v>200</v>
      </c>
      <c r="M1158" s="157">
        <f t="shared" si="152"/>
        <v>300</v>
      </c>
      <c r="N1158" s="157">
        <f t="shared" si="153"/>
        <v>400</v>
      </c>
      <c r="O1158" s="1051" t="str">
        <f>CONCATENATE(O1153," | ",F1158)</f>
        <v>D.3.2 Flexibel nutzbare Raumangebote | Weiteres Kriterium in der Nutzung</v>
      </c>
      <c r="P1158" s="1059" t="s">
        <v>4725</v>
      </c>
      <c r="Q1158" s="1060">
        <v>1</v>
      </c>
      <c r="R1158" s="1052" t="s">
        <v>5334</v>
      </c>
      <c r="S1158" s="588">
        <v>0.33</v>
      </c>
      <c r="T1158" s="588">
        <v>0.1</v>
      </c>
      <c r="U1158" s="588">
        <v>0</v>
      </c>
    </row>
    <row r="1159" spans="1:21" x14ac:dyDescent="0.35">
      <c r="A1159" s="123">
        <v>3.2</v>
      </c>
      <c r="B1159" s="35"/>
      <c r="C1159" s="151"/>
      <c r="D1159" s="1687"/>
      <c r="E1159" s="1688"/>
      <c r="F1159" s="593" t="str">
        <f t="shared" ref="F1159:F1160" si="157">IF($G$2=1,R1159,"Weiteres Kriterium in der Nutzung")</f>
        <v>Weiteres Kriterium in der Nutzung</v>
      </c>
      <c r="G1159" s="153">
        <f t="shared" si="156"/>
        <v>0</v>
      </c>
      <c r="H1159" s="154"/>
      <c r="I1159" s="158"/>
      <c r="J1159" s="156"/>
      <c r="K1159" s="157">
        <f t="shared" si="150"/>
        <v>100</v>
      </c>
      <c r="L1159" s="157">
        <f t="shared" si="151"/>
        <v>200</v>
      </c>
      <c r="M1159" s="157">
        <f t="shared" si="152"/>
        <v>300</v>
      </c>
      <c r="N1159" s="157">
        <f t="shared" si="153"/>
        <v>400</v>
      </c>
      <c r="O1159" s="1051" t="str">
        <f>CONCATENATE(O1153," | ",F1159)</f>
        <v>D.3.2 Flexibel nutzbare Raumangebote | Weiteres Kriterium in der Nutzung</v>
      </c>
      <c r="P1159" s="1059" t="s">
        <v>4726</v>
      </c>
      <c r="Q1159" s="1060">
        <v>0</v>
      </c>
      <c r="R1159" s="1052" t="s">
        <v>5330</v>
      </c>
      <c r="S1159" s="588">
        <v>0.33</v>
      </c>
      <c r="T1159" s="588">
        <v>0.1</v>
      </c>
      <c r="U1159" s="588">
        <v>0</v>
      </c>
    </row>
    <row r="1160" spans="1:21" x14ac:dyDescent="0.35">
      <c r="A1160" s="123"/>
      <c r="B1160" s="35"/>
      <c r="C1160" s="151"/>
      <c r="D1160" s="1687"/>
      <c r="E1160" s="1688"/>
      <c r="F1160" s="593" t="str">
        <f t="shared" si="157"/>
        <v>Weiteres Kriterium in der Nutzung</v>
      </c>
      <c r="G1160" s="153">
        <f t="shared" si="156"/>
        <v>0</v>
      </c>
      <c r="H1160" s="154"/>
      <c r="I1160" s="158"/>
      <c r="J1160" s="156"/>
      <c r="K1160" s="157">
        <f t="shared" si="150"/>
        <v>100</v>
      </c>
      <c r="L1160" s="157">
        <f t="shared" si="151"/>
        <v>200</v>
      </c>
      <c r="M1160" s="157">
        <f t="shared" si="152"/>
        <v>300</v>
      </c>
      <c r="N1160" s="157">
        <f t="shared" si="153"/>
        <v>400</v>
      </c>
      <c r="O1160" s="1051" t="str">
        <f>CONCATENATE(O1153," | ",F1160)</f>
        <v>D.3.2 Flexibel nutzbare Raumangebote | Weiteres Kriterium in der Nutzung</v>
      </c>
      <c r="P1160" s="1059" t="s">
        <v>4727</v>
      </c>
      <c r="Q1160" s="1060">
        <v>0.3</v>
      </c>
      <c r="R1160" s="1052" t="s">
        <v>5335</v>
      </c>
      <c r="S1160" s="588">
        <v>0.34</v>
      </c>
      <c r="T1160" s="588">
        <v>0.1</v>
      </c>
      <c r="U1160" s="588">
        <v>0</v>
      </c>
    </row>
    <row r="1161" spans="1:21" x14ac:dyDescent="0.35">
      <c r="A1161" s="116"/>
      <c r="B1161" s="35"/>
      <c r="C1161" s="117"/>
      <c r="D1161" s="1687"/>
      <c r="E1161" s="1688"/>
      <c r="F1161" s="159"/>
      <c r="G1161" s="160"/>
      <c r="H1161" s="161"/>
      <c r="I1161" s="162"/>
      <c r="J1161" s="164"/>
      <c r="K1161" s="157">
        <f t="shared" si="150"/>
        <v>100</v>
      </c>
      <c r="L1161" s="157">
        <f t="shared" si="151"/>
        <v>200</v>
      </c>
      <c r="M1161" s="157">
        <f t="shared" si="152"/>
        <v>300</v>
      </c>
      <c r="N1161" s="157">
        <f t="shared" si="153"/>
        <v>400</v>
      </c>
      <c r="O1161" s="1063"/>
      <c r="P1161" s="1059" t="s">
        <v>4728</v>
      </c>
      <c r="Q1161" s="1060">
        <v>0.5</v>
      </c>
      <c r="R1161" s="1052"/>
      <c r="S1161" s="589"/>
      <c r="T1161" s="589"/>
      <c r="U1161" s="589"/>
    </row>
    <row r="1162" spans="1:21" ht="15" thickBot="1" x14ac:dyDescent="0.4">
      <c r="A1162" s="116"/>
      <c r="B1162" s="35"/>
      <c r="C1162" s="117"/>
      <c r="D1162" s="1687"/>
      <c r="E1162" s="1688"/>
      <c r="F1162" s="159"/>
      <c r="G1162" s="160"/>
      <c r="H1162" s="161"/>
      <c r="I1162" s="162"/>
      <c r="J1162" s="164"/>
      <c r="K1162" s="157">
        <f t="shared" si="150"/>
        <v>100</v>
      </c>
      <c r="L1162" s="157">
        <f t="shared" si="151"/>
        <v>200</v>
      </c>
      <c r="M1162" s="157">
        <f t="shared" si="152"/>
        <v>300</v>
      </c>
      <c r="N1162" s="157">
        <f t="shared" si="153"/>
        <v>400</v>
      </c>
      <c r="O1162" s="1063"/>
      <c r="P1162" s="1061" t="s">
        <v>4729</v>
      </c>
      <c r="Q1162" s="1062">
        <v>1</v>
      </c>
      <c r="R1162" s="1052"/>
      <c r="S1162" s="589"/>
      <c r="T1162" s="589"/>
      <c r="U1162" s="589"/>
    </row>
    <row r="1163" spans="1:21" x14ac:dyDescent="0.35">
      <c r="A1163" s="116"/>
      <c r="B1163" s="35"/>
      <c r="C1163" s="117"/>
      <c r="D1163" s="1687"/>
      <c r="E1163" s="1688"/>
      <c r="F1163" s="159"/>
      <c r="G1163" s="160"/>
      <c r="H1163" s="161"/>
      <c r="I1163" s="162"/>
      <c r="J1163" s="164"/>
      <c r="K1163" s="157">
        <f t="shared" si="150"/>
        <v>100</v>
      </c>
      <c r="L1163" s="157">
        <f t="shared" si="151"/>
        <v>200</v>
      </c>
      <c r="M1163" s="157">
        <f t="shared" si="152"/>
        <v>300</v>
      </c>
      <c r="N1163" s="157">
        <f t="shared" si="153"/>
        <v>400</v>
      </c>
      <c r="O1163" s="959"/>
      <c r="P1163" s="1055"/>
      <c r="Q1163" s="1064"/>
      <c r="R1163" s="968"/>
      <c r="S1163" s="589"/>
      <c r="T1163" s="589"/>
      <c r="U1163" s="589"/>
    </row>
    <row r="1164" spans="1:21" x14ac:dyDescent="0.35">
      <c r="A1164" s="123"/>
      <c r="B1164" s="35"/>
      <c r="C1164" s="151"/>
      <c r="D1164" s="1687"/>
      <c r="E1164" s="1688"/>
      <c r="F1164" s="165"/>
      <c r="G1164" s="160"/>
      <c r="H1164" s="161"/>
      <c r="I1164" s="166"/>
      <c r="J1164" s="167"/>
      <c r="K1164" s="157">
        <f t="shared" si="150"/>
        <v>100</v>
      </c>
      <c r="L1164" s="157">
        <f t="shared" si="151"/>
        <v>200</v>
      </c>
      <c r="M1164" s="157">
        <f t="shared" si="152"/>
        <v>300</v>
      </c>
      <c r="N1164" s="157">
        <f t="shared" si="153"/>
        <v>400</v>
      </c>
      <c r="O1164" s="959"/>
      <c r="P1164" s="967"/>
      <c r="Q1164" s="586"/>
      <c r="R1164" s="968"/>
      <c r="S1164" s="589"/>
      <c r="T1164" s="589"/>
      <c r="U1164" s="589"/>
    </row>
    <row r="1165" spans="1:21" x14ac:dyDescent="0.35">
      <c r="A1165" s="116"/>
      <c r="B1165" s="35"/>
      <c r="C1165" s="117"/>
      <c r="D1165" s="1687"/>
      <c r="E1165" s="1688"/>
      <c r="F1165" s="159"/>
      <c r="G1165" s="160"/>
      <c r="H1165" s="168"/>
      <c r="I1165" s="162"/>
      <c r="J1165" s="164"/>
      <c r="K1165" s="157">
        <f t="shared" si="150"/>
        <v>100</v>
      </c>
      <c r="L1165" s="157">
        <f t="shared" si="151"/>
        <v>200</v>
      </c>
      <c r="M1165" s="157">
        <f t="shared" si="152"/>
        <v>300</v>
      </c>
      <c r="N1165" s="157">
        <f t="shared" si="153"/>
        <v>400</v>
      </c>
      <c r="O1165" s="959"/>
      <c r="P1165" s="967"/>
      <c r="Q1165" s="586"/>
      <c r="R1165" s="968"/>
      <c r="S1165" s="589"/>
      <c r="T1165" s="589"/>
      <c r="U1165" s="589"/>
    </row>
    <row r="1166" spans="1:21" x14ac:dyDescent="0.35">
      <c r="A1166" s="116"/>
      <c r="B1166" s="117"/>
      <c r="C1166" s="117"/>
      <c r="D1166" s="1687"/>
      <c r="E1166" s="1688"/>
      <c r="F1166" s="159"/>
      <c r="G1166" s="160"/>
      <c r="H1166" s="168"/>
      <c r="I1166" s="162"/>
      <c r="J1166" s="164"/>
      <c r="K1166" s="157">
        <f t="shared" si="150"/>
        <v>100</v>
      </c>
      <c r="L1166" s="157">
        <f t="shared" si="151"/>
        <v>200</v>
      </c>
      <c r="M1166" s="157">
        <f t="shared" si="152"/>
        <v>300</v>
      </c>
      <c r="N1166" s="157">
        <f t="shared" si="153"/>
        <v>400</v>
      </c>
      <c r="O1166" s="959"/>
      <c r="P1166" s="967"/>
      <c r="Q1166" s="586"/>
      <c r="R1166" s="968"/>
      <c r="S1166" s="589"/>
      <c r="T1166" s="589"/>
      <c r="U1166" s="589"/>
    </row>
    <row r="1167" spans="1:21" x14ac:dyDescent="0.35">
      <c r="A1167" s="116"/>
      <c r="B1167" s="117"/>
      <c r="C1167" s="117"/>
      <c r="D1167" s="1687"/>
      <c r="E1167" s="1688"/>
      <c r="F1167" s="169"/>
      <c r="G1167" s="170"/>
      <c r="H1167" s="171"/>
      <c r="I1167" s="172"/>
      <c r="J1167" s="173"/>
      <c r="K1167" s="157">
        <f t="shared" si="150"/>
        <v>100</v>
      </c>
      <c r="L1167" s="157">
        <f t="shared" si="151"/>
        <v>200</v>
      </c>
      <c r="M1167" s="157">
        <f t="shared" si="152"/>
        <v>300</v>
      </c>
      <c r="N1167" s="157">
        <f t="shared" si="153"/>
        <v>400</v>
      </c>
      <c r="O1167" s="959"/>
      <c r="P1167" s="967"/>
      <c r="Q1167" s="586"/>
      <c r="R1167" s="968"/>
      <c r="S1167" s="589"/>
      <c r="T1167" s="589"/>
      <c r="U1167" s="589"/>
    </row>
    <row r="1168" spans="1:21" ht="28.5" customHeight="1" x14ac:dyDescent="0.35">
      <c r="A1168" s="116"/>
      <c r="B1168" s="117"/>
      <c r="C1168" s="117"/>
      <c r="D1168" s="174"/>
      <c r="E1168" s="175"/>
      <c r="F1168" s="1689" t="s">
        <v>2</v>
      </c>
      <c r="G1168" s="1689"/>
      <c r="H1168" s="176">
        <f>IF(O1168&gt;1,"Zielerreichung übersteigt 100%!",O1168)</f>
        <v>0</v>
      </c>
      <c r="I1168" s="177"/>
      <c r="J1168" s="178"/>
      <c r="K1168" s="157">
        <f t="shared" si="150"/>
        <v>100</v>
      </c>
      <c r="L1168" s="157">
        <f t="shared" si="151"/>
        <v>200</v>
      </c>
      <c r="M1168" s="157">
        <f t="shared" si="152"/>
        <v>300</v>
      </c>
      <c r="N1168" s="157">
        <f t="shared" si="153"/>
        <v>400</v>
      </c>
      <c r="O1168" s="959">
        <f>SUM(H1156:H1167)</f>
        <v>0</v>
      </c>
      <c r="P1168" s="967"/>
      <c r="Q1168" s="586"/>
      <c r="R1168" s="968"/>
      <c r="S1168" s="589"/>
      <c r="T1168" s="589"/>
      <c r="U1168" s="589"/>
    </row>
    <row r="1169" spans="1:21" x14ac:dyDescent="0.35">
      <c r="A1169" s="116"/>
      <c r="B1169" s="117"/>
      <c r="C1169" s="117"/>
      <c r="D1169" s="179"/>
      <c r="E1169" s="180"/>
      <c r="F1169" s="1690" t="s">
        <v>3</v>
      </c>
      <c r="G1169" s="1691"/>
      <c r="H1169" s="181">
        <v>20</v>
      </c>
      <c r="I1169" s="177"/>
      <c r="J1169" s="178"/>
      <c r="K1169" s="157">
        <f t="shared" si="150"/>
        <v>100</v>
      </c>
      <c r="L1169" s="157">
        <f t="shared" si="151"/>
        <v>200</v>
      </c>
      <c r="M1169" s="157">
        <f t="shared" si="152"/>
        <v>300</v>
      </c>
      <c r="N1169" s="157">
        <f t="shared" si="153"/>
        <v>400</v>
      </c>
      <c r="O1169" s="1030"/>
      <c r="P1169" s="967"/>
      <c r="Q1169" s="586"/>
      <c r="R1169" s="968"/>
      <c r="S1169" s="589"/>
      <c r="T1169" s="589"/>
      <c r="U1169" s="589"/>
    </row>
    <row r="1170" spans="1:21" x14ac:dyDescent="0.35">
      <c r="A1170" s="116"/>
      <c r="B1170" s="117"/>
      <c r="C1170" s="117"/>
      <c r="D1170" s="179"/>
      <c r="E1170" s="180"/>
      <c r="F1170" s="1700" t="s">
        <v>5494</v>
      </c>
      <c r="G1170" s="1701"/>
      <c r="H1170" s="1084" t="str">
        <f>IF($H$2=1,45,"")</f>
        <v/>
      </c>
      <c r="I1170" s="183"/>
      <c r="J1170" s="178"/>
      <c r="K1170" s="157">
        <f t="shared" si="150"/>
        <v>100</v>
      </c>
      <c r="L1170" s="157">
        <f t="shared" si="151"/>
        <v>200</v>
      </c>
      <c r="M1170" s="157">
        <f t="shared" si="152"/>
        <v>300</v>
      </c>
      <c r="N1170" s="157">
        <f t="shared" si="153"/>
        <v>400</v>
      </c>
      <c r="O1170" s="1030"/>
      <c r="P1170" s="967"/>
      <c r="Q1170" s="586"/>
      <c r="R1170" s="968"/>
      <c r="S1170" s="589"/>
      <c r="T1170" s="589"/>
      <c r="U1170" s="589"/>
    </row>
    <row r="1171" spans="1:21" x14ac:dyDescent="0.35">
      <c r="A1171" s="184"/>
      <c r="B1171" s="185"/>
      <c r="C1171" s="185"/>
      <c r="D1171" s="179"/>
      <c r="E1171" s="180"/>
      <c r="F1171" s="186"/>
      <c r="G1171" s="186"/>
      <c r="H1171" s="187"/>
      <c r="I1171" s="177"/>
      <c r="J1171" s="178"/>
      <c r="K1171" s="157">
        <f t="shared" si="150"/>
        <v>100</v>
      </c>
      <c r="L1171" s="157">
        <f t="shared" si="151"/>
        <v>200</v>
      </c>
      <c r="M1171" s="157">
        <f t="shared" si="152"/>
        <v>300</v>
      </c>
      <c r="N1171" s="157">
        <f t="shared" si="153"/>
        <v>400</v>
      </c>
      <c r="O1171" s="1030"/>
      <c r="P1171" s="967"/>
      <c r="Q1171" s="586"/>
      <c r="R1171" s="968"/>
      <c r="S1171" s="589"/>
      <c r="T1171" s="589"/>
      <c r="U1171" s="589"/>
    </row>
    <row r="1172" spans="1:21" ht="15.5" x14ac:dyDescent="0.35">
      <c r="A1172" s="116"/>
      <c r="B1172" s="117"/>
      <c r="C1172" s="1705"/>
      <c r="D1172" s="1706"/>
      <c r="E1172" s="248"/>
      <c r="F1172" s="1707" t="s">
        <v>5</v>
      </c>
      <c r="G1172" s="1707"/>
      <c r="H1172" s="249">
        <f>IF(ISNUMBER(H1170),H1170*H1168,H1169*H1168)</f>
        <v>0</v>
      </c>
      <c r="I1172" s="250"/>
      <c r="J1172" s="255"/>
      <c r="K1172" s="157">
        <f t="shared" si="150"/>
        <v>100</v>
      </c>
      <c r="L1172" s="157">
        <f t="shared" si="151"/>
        <v>200</v>
      </c>
      <c r="M1172" s="157">
        <f t="shared" si="152"/>
        <v>300</v>
      </c>
      <c r="N1172" s="157">
        <f t="shared" si="153"/>
        <v>400</v>
      </c>
      <c r="O1172" s="1030"/>
      <c r="P1172" s="967"/>
      <c r="Q1172" s="586"/>
      <c r="R1172" s="968"/>
      <c r="S1172" s="589"/>
      <c r="T1172" s="589"/>
      <c r="U1172" s="589"/>
    </row>
    <row r="1173" spans="1:21" x14ac:dyDescent="0.35">
      <c r="B1173" s="185"/>
      <c r="K1173" s="157">
        <f t="shared" si="150"/>
        <v>100</v>
      </c>
      <c r="L1173" s="157">
        <f t="shared" si="151"/>
        <v>200</v>
      </c>
      <c r="M1173" s="157">
        <f t="shared" si="152"/>
        <v>300</v>
      </c>
      <c r="N1173" s="157">
        <f t="shared" si="153"/>
        <v>400</v>
      </c>
      <c r="O1173" s="967"/>
      <c r="P1173" s="967"/>
      <c r="Q1173" s="586"/>
      <c r="R1173" s="968"/>
      <c r="S1173" s="589"/>
      <c r="T1173" s="589"/>
      <c r="U1173" s="589"/>
    </row>
    <row r="1174" spans="1:21" ht="7.5" customHeight="1" x14ac:dyDescent="0.35">
      <c r="A1174" s="116"/>
      <c r="B1174" s="117"/>
      <c r="C1174" s="117"/>
      <c r="D1174" s="116"/>
      <c r="E1174" s="116"/>
      <c r="F1174" s="118"/>
      <c r="G1174" s="119"/>
      <c r="H1174" s="116"/>
      <c r="I1174" s="120"/>
      <c r="J1174" s="121"/>
      <c r="K1174" s="157">
        <f t="shared" si="150"/>
        <v>100</v>
      </c>
      <c r="L1174" s="157">
        <f t="shared" si="151"/>
        <v>200</v>
      </c>
      <c r="M1174" s="157">
        <f t="shared" si="152"/>
        <v>300</v>
      </c>
      <c r="N1174" s="157">
        <f t="shared" si="153"/>
        <v>400</v>
      </c>
      <c r="O1174" s="968"/>
      <c r="P1174" s="968"/>
      <c r="Q1174" s="586"/>
      <c r="R1174" s="968"/>
      <c r="S1174" s="589"/>
      <c r="T1174" s="589"/>
      <c r="U1174" s="589"/>
    </row>
    <row r="1175" spans="1:21" ht="24" customHeight="1" x14ac:dyDescent="0.35">
      <c r="A1175" s="104"/>
      <c r="B1175" s="844" t="s">
        <v>4821</v>
      </c>
      <c r="C1175" s="845"/>
      <c r="D1175" s="846"/>
      <c r="E1175" s="846"/>
      <c r="F1175" s="847" t="str">
        <f>IF($F$3=1,Handlungsfeld5,"")</f>
        <v>Handlungsfeld E - Versorgung</v>
      </c>
      <c r="G1175" s="848"/>
      <c r="H1175" s="846"/>
      <c r="I1175" s="849"/>
      <c r="J1175" s="846"/>
      <c r="K1175" s="157">
        <f t="shared" si="150"/>
        <v>100</v>
      </c>
      <c r="L1175" s="157">
        <f t="shared" si="151"/>
        <v>200</v>
      </c>
      <c r="M1175" s="157">
        <f t="shared" si="152"/>
        <v>300</v>
      </c>
      <c r="N1175" s="157">
        <f t="shared" si="153"/>
        <v>400</v>
      </c>
      <c r="O1175" s="590"/>
      <c r="P1175" s="584"/>
      <c r="Q1175" s="586"/>
      <c r="R1175" s="968"/>
      <c r="S1175" s="589"/>
      <c r="T1175" s="589"/>
      <c r="U1175" s="589"/>
    </row>
    <row r="1176" spans="1:21" ht="15.5" x14ac:dyDescent="0.35">
      <c r="A1176" s="104"/>
      <c r="B1176" s="107"/>
      <c r="C1176" s="108"/>
      <c r="D1176" s="104"/>
      <c r="E1176" s="104"/>
      <c r="F1176" s="109"/>
      <c r="G1176" s="105"/>
      <c r="H1176" s="104"/>
      <c r="I1176" s="110"/>
      <c r="J1176" s="104"/>
      <c r="K1176" s="157">
        <f t="shared" si="150"/>
        <v>100</v>
      </c>
      <c r="L1176" s="157">
        <f t="shared" si="151"/>
        <v>200</v>
      </c>
      <c r="M1176" s="157">
        <f t="shared" si="152"/>
        <v>300</v>
      </c>
      <c r="N1176" s="157">
        <f t="shared" si="153"/>
        <v>400</v>
      </c>
      <c r="O1176" s="590"/>
      <c r="P1176" s="584"/>
      <c r="Q1176" s="586"/>
      <c r="R1176" s="968"/>
      <c r="S1176" s="589"/>
      <c r="T1176" s="589"/>
      <c r="U1176" s="589"/>
    </row>
    <row r="1177" spans="1:21" ht="7.5" customHeight="1" x14ac:dyDescent="0.35">
      <c r="B1177" s="35"/>
      <c r="E1177" s="1"/>
      <c r="K1177" s="157">
        <f t="shared" si="150"/>
        <v>100</v>
      </c>
      <c r="L1177" s="157">
        <f t="shared" si="151"/>
        <v>200</v>
      </c>
      <c r="M1177" s="157">
        <f t="shared" si="152"/>
        <v>300</v>
      </c>
      <c r="N1177" s="157">
        <f t="shared" si="153"/>
        <v>400</v>
      </c>
      <c r="O1177" s="967"/>
      <c r="P1177" s="967"/>
      <c r="Q1177" s="586"/>
      <c r="R1177" s="968"/>
      <c r="S1177" s="589"/>
      <c r="T1177" s="589"/>
      <c r="U1177" s="589"/>
    </row>
    <row r="1178" spans="1:21" ht="15.5" x14ac:dyDescent="0.35">
      <c r="A1178" s="208"/>
      <c r="B1178" s="256" t="s">
        <v>4822</v>
      </c>
      <c r="C1178" s="256" t="s">
        <v>4941</v>
      </c>
      <c r="D1178" s="257"/>
      <c r="E1178" s="257"/>
      <c r="F1178" s="258" t="str">
        <f>IF($F$3=1,O1178,"")</f>
        <v>E.1 Wärmeversorgung</v>
      </c>
      <c r="G1178" s="259"/>
      <c r="H1178" s="260"/>
      <c r="I1178" s="261"/>
      <c r="J1178" s="262"/>
      <c r="K1178" s="157">
        <f t="shared" si="150"/>
        <v>100</v>
      </c>
      <c r="L1178" s="157">
        <f t="shared" si="151"/>
        <v>200</v>
      </c>
      <c r="M1178" s="157">
        <f t="shared" si="152"/>
        <v>300</v>
      </c>
      <c r="N1178" s="157">
        <f t="shared" si="153"/>
        <v>400</v>
      </c>
      <c r="O1178" s="967" t="str">
        <f>CONCATENATE(B1178," ",C1178)</f>
        <v>E.1 Wärmeversorgung</v>
      </c>
      <c r="P1178" s="958"/>
      <c r="Q1178" s="586"/>
      <c r="R1178" s="968"/>
      <c r="S1178" s="589"/>
      <c r="T1178" s="589"/>
      <c r="U1178" s="589"/>
    </row>
    <row r="1179" spans="1:21" x14ac:dyDescent="0.35">
      <c r="B1179" s="185"/>
      <c r="K1179" s="157">
        <f t="shared" si="150"/>
        <v>100</v>
      </c>
      <c r="L1179" s="157">
        <f t="shared" si="151"/>
        <v>200</v>
      </c>
      <c r="M1179" s="157">
        <f t="shared" si="152"/>
        <v>300</v>
      </c>
      <c r="N1179" s="157">
        <f t="shared" si="153"/>
        <v>400</v>
      </c>
      <c r="O1179" s="967"/>
      <c r="P1179" s="967"/>
      <c r="Q1179" s="586"/>
      <c r="R1179" s="968"/>
      <c r="S1179" s="589"/>
      <c r="T1179" s="589"/>
      <c r="U1179" s="589"/>
    </row>
    <row r="1180" spans="1:21" ht="7.5" customHeight="1" x14ac:dyDescent="0.35">
      <c r="A1180" s="116"/>
      <c r="B1180" s="117"/>
      <c r="C1180" s="117"/>
      <c r="D1180" s="116"/>
      <c r="E1180" s="116"/>
      <c r="F1180" s="118"/>
      <c r="G1180" s="119"/>
      <c r="H1180" s="116"/>
      <c r="I1180" s="120"/>
      <c r="J1180" s="121"/>
      <c r="K1180" s="157">
        <f t="shared" si="150"/>
        <v>100</v>
      </c>
      <c r="L1180" s="157">
        <f t="shared" si="151"/>
        <v>200</v>
      </c>
      <c r="M1180" s="157">
        <f t="shared" si="152"/>
        <v>300</v>
      </c>
      <c r="N1180" s="157">
        <f t="shared" si="153"/>
        <v>400</v>
      </c>
      <c r="O1180" s="968"/>
      <c r="P1180" s="968"/>
      <c r="Q1180" s="586"/>
      <c r="R1180" s="968"/>
      <c r="S1180" s="589"/>
      <c r="T1180" s="589"/>
      <c r="U1180" s="589"/>
    </row>
    <row r="1181" spans="1:21" ht="15.5" x14ac:dyDescent="0.35">
      <c r="A1181" s="124"/>
      <c r="B1181" s="125"/>
      <c r="C1181" s="126" t="s">
        <v>4823</v>
      </c>
      <c r="D1181" s="127" t="s">
        <v>5451</v>
      </c>
      <c r="E1181" s="128"/>
      <c r="F1181" s="129" t="str">
        <f>IF($F$3=1,O1181,"")</f>
        <v>E.1.1 Wärme aus EE und vor Ort produziert</v>
      </c>
      <c r="G1181" s="204"/>
      <c r="H1181" s="205"/>
      <c r="I1181" s="520" t="s">
        <v>23</v>
      </c>
      <c r="J1181" s="130"/>
      <c r="K1181" s="157">
        <f t="shared" si="150"/>
        <v>100</v>
      </c>
      <c r="L1181" s="157">
        <f t="shared" si="151"/>
        <v>200</v>
      </c>
      <c r="M1181" s="157">
        <f t="shared" si="152"/>
        <v>300</v>
      </c>
      <c r="N1181" s="157">
        <f t="shared" si="153"/>
        <v>400</v>
      </c>
      <c r="O1181" s="967" t="str">
        <f>CONCATENATE(C1181," ",D1181)</f>
        <v>E.1.1 Wärme aus EE und vor Ort produziert</v>
      </c>
      <c r="P1181" s="966"/>
      <c r="Q1181" s="586"/>
      <c r="R1181" s="968"/>
      <c r="S1181" s="589"/>
      <c r="T1181" s="589"/>
      <c r="U1181" s="589"/>
    </row>
    <row r="1182" spans="1:21" x14ac:dyDescent="0.35">
      <c r="A1182" s="124"/>
      <c r="B1182" s="134"/>
      <c r="C1182" s="135"/>
      <c r="D1182" s="136"/>
      <c r="E1182" s="136"/>
      <c r="F1182" s="137"/>
      <c r="G1182" s="138"/>
      <c r="H1182" s="124"/>
      <c r="I1182" s="139"/>
      <c r="J1182" s="140"/>
      <c r="K1182" s="157">
        <f t="shared" si="150"/>
        <v>100</v>
      </c>
      <c r="L1182" s="157">
        <f t="shared" si="151"/>
        <v>200</v>
      </c>
      <c r="M1182" s="157">
        <f t="shared" si="152"/>
        <v>300</v>
      </c>
      <c r="N1182" s="157">
        <f t="shared" si="153"/>
        <v>400</v>
      </c>
      <c r="O1182" s="968"/>
      <c r="P1182" s="966"/>
      <c r="Q1182" s="586"/>
      <c r="R1182" s="968"/>
      <c r="S1182" s="589"/>
      <c r="T1182" s="589"/>
      <c r="U1182" s="589"/>
    </row>
    <row r="1183" spans="1:21" x14ac:dyDescent="0.35">
      <c r="A1183" s="142"/>
      <c r="B1183" s="35"/>
      <c r="C1183" s="143"/>
      <c r="D1183" s="1685" t="s">
        <v>18</v>
      </c>
      <c r="E1183" s="1686"/>
      <c r="F1183" s="144" t="s">
        <v>19</v>
      </c>
      <c r="G1183" s="145" t="s">
        <v>0</v>
      </c>
      <c r="H1183" s="146" t="s">
        <v>20</v>
      </c>
      <c r="I1183" s="147" t="s">
        <v>1</v>
      </c>
      <c r="J1183" s="147" t="s">
        <v>4375</v>
      </c>
      <c r="K1183" s="157">
        <f t="shared" si="150"/>
        <v>100</v>
      </c>
      <c r="L1183" s="157">
        <f t="shared" si="151"/>
        <v>200</v>
      </c>
      <c r="M1183" s="157">
        <f t="shared" si="152"/>
        <v>300</v>
      </c>
      <c r="N1183" s="157">
        <f t="shared" si="153"/>
        <v>400</v>
      </c>
      <c r="O1183" s="587"/>
      <c r="P1183" s="967"/>
      <c r="Q1183" s="586"/>
      <c r="R1183" s="968"/>
      <c r="S1183" s="589"/>
      <c r="T1183" s="589"/>
      <c r="U1183" s="589"/>
    </row>
    <row r="1184" spans="1:21" ht="24" x14ac:dyDescent="0.35">
      <c r="A1184" s="123"/>
      <c r="B1184" s="35"/>
      <c r="C1184" s="151"/>
      <c r="D1184" s="1687" t="s">
        <v>4978</v>
      </c>
      <c r="E1184" s="1688"/>
      <c r="F1184" s="152" t="s">
        <v>4687</v>
      </c>
      <c r="G1184" s="153">
        <f t="shared" ref="G1184" si="158">IF($H$2=1,S1184,IF($H$2=2,T1184,U1184))</f>
        <v>1</v>
      </c>
      <c r="H1184" s="226">
        <f>'RH Wärme-Strom'!E100</f>
        <v>0</v>
      </c>
      <c r="I1184" s="158"/>
      <c r="J1184" s="156"/>
      <c r="K1184" s="157">
        <f t="shared" si="150"/>
        <v>100</v>
      </c>
      <c r="L1184" s="157">
        <f t="shared" si="151"/>
        <v>200</v>
      </c>
      <c r="M1184" s="157">
        <f t="shared" si="152"/>
        <v>300</v>
      </c>
      <c r="N1184" s="157">
        <f t="shared" si="153"/>
        <v>400</v>
      </c>
      <c r="O1184" s="967" t="str">
        <f>CONCATENATE(O1181," | ",F1184)</f>
        <v>E.1.1 Wärme aus EE und vor Ort produziert | Rechenhilfe: Wärme aus erneuerbaren Energieträgern vor Ort [kWh/a] / Gesamtwärmebedarf [kWh/a]</v>
      </c>
      <c r="P1184" s="967"/>
      <c r="Q1184" s="586"/>
      <c r="R1184" s="968"/>
      <c r="S1184" s="588">
        <v>0</v>
      </c>
      <c r="T1184" s="588">
        <v>0.7</v>
      </c>
      <c r="U1184" s="588">
        <v>1</v>
      </c>
    </row>
    <row r="1185" spans="1:21" x14ac:dyDescent="0.35">
      <c r="A1185" s="123"/>
      <c r="B1185" s="35"/>
      <c r="C1185" s="151"/>
      <c r="D1185" s="1687"/>
      <c r="E1185" s="1688"/>
      <c r="F1185" s="159"/>
      <c r="G1185" s="160"/>
      <c r="H1185" s="161"/>
      <c r="I1185" s="166"/>
      <c r="J1185" s="164"/>
      <c r="K1185" s="157">
        <f t="shared" si="150"/>
        <v>100</v>
      </c>
      <c r="L1185" s="157">
        <f t="shared" si="151"/>
        <v>200</v>
      </c>
      <c r="M1185" s="157">
        <f t="shared" si="152"/>
        <v>300</v>
      </c>
      <c r="N1185" s="157">
        <f t="shared" si="153"/>
        <v>400</v>
      </c>
      <c r="O1185" s="967"/>
      <c r="P1185" s="967"/>
      <c r="Q1185" s="586"/>
      <c r="R1185" s="968"/>
      <c r="S1185" s="588"/>
      <c r="T1185" s="588"/>
      <c r="U1185" s="588"/>
    </row>
    <row r="1186" spans="1:21" x14ac:dyDescent="0.35">
      <c r="A1186" s="123"/>
      <c r="B1186" s="35"/>
      <c r="C1186" s="151"/>
      <c r="D1186" s="1687"/>
      <c r="E1186" s="1688"/>
      <c r="F1186" s="593" t="str">
        <f>IF($G$2=1,R1186,"Weiteres Kriterium in der Nutzung")</f>
        <v>Weiteres Kriterium in der Nutzung</v>
      </c>
      <c r="G1186" s="153">
        <f t="shared" ref="G1186:G1188" si="159">IF($H$2=1,S1186,IF($H$2=2,T1186,U1186))</f>
        <v>0</v>
      </c>
      <c r="H1186" s="154"/>
      <c r="I1186" s="158"/>
      <c r="J1186" s="156"/>
      <c r="K1186" s="157">
        <f t="shared" si="150"/>
        <v>100</v>
      </c>
      <c r="L1186" s="157">
        <f t="shared" si="151"/>
        <v>200</v>
      </c>
      <c r="M1186" s="157">
        <f t="shared" si="152"/>
        <v>300</v>
      </c>
      <c r="N1186" s="157">
        <f t="shared" si="153"/>
        <v>400</v>
      </c>
      <c r="O1186" s="967" t="str">
        <f>CONCATENATE(O1181," | ",F1186)</f>
        <v>E.1.1 Wärme aus EE und vor Ort produziert | Weiteres Kriterium in der Nutzung</v>
      </c>
      <c r="P1186" s="967"/>
      <c r="Q1186" s="586"/>
      <c r="R1186" s="968" t="s">
        <v>5344</v>
      </c>
      <c r="S1186" s="588">
        <v>0.33</v>
      </c>
      <c r="T1186" s="588">
        <v>0.1</v>
      </c>
      <c r="U1186" s="588">
        <v>0</v>
      </c>
    </row>
    <row r="1187" spans="1:21" x14ac:dyDescent="0.35">
      <c r="A1187" s="123">
        <v>3.2</v>
      </c>
      <c r="B1187" s="35"/>
      <c r="C1187" s="151"/>
      <c r="D1187" s="1687"/>
      <c r="E1187" s="1688"/>
      <c r="F1187" s="593" t="str">
        <f>IF($G$2=1,R1187,"Weiteres Kriterium in der Nutzung")</f>
        <v>Weiteres Kriterium in der Nutzung</v>
      </c>
      <c r="G1187" s="153">
        <f t="shared" si="159"/>
        <v>0</v>
      </c>
      <c r="H1187" s="154"/>
      <c r="I1187" s="158"/>
      <c r="J1187" s="156"/>
      <c r="K1187" s="157">
        <f t="shared" si="150"/>
        <v>100</v>
      </c>
      <c r="L1187" s="157">
        <f t="shared" si="151"/>
        <v>200</v>
      </c>
      <c r="M1187" s="157">
        <f t="shared" si="152"/>
        <v>300</v>
      </c>
      <c r="N1187" s="157">
        <f t="shared" si="153"/>
        <v>400</v>
      </c>
      <c r="O1187" s="967" t="str">
        <f>CONCATENATE(O1181," | ",F1187)</f>
        <v>E.1.1 Wärme aus EE und vor Ort produziert | Weiteres Kriterium in der Nutzung</v>
      </c>
      <c r="P1187" s="967"/>
      <c r="Q1187" s="586"/>
      <c r="R1187" s="968" t="s">
        <v>5342</v>
      </c>
      <c r="S1187" s="588">
        <v>0.33</v>
      </c>
      <c r="T1187" s="588">
        <v>0.1</v>
      </c>
      <c r="U1187" s="588">
        <v>0</v>
      </c>
    </row>
    <row r="1188" spans="1:21" x14ac:dyDescent="0.35">
      <c r="A1188" s="123"/>
      <c r="B1188" s="35"/>
      <c r="C1188" s="151"/>
      <c r="D1188" s="1687"/>
      <c r="E1188" s="1688"/>
      <c r="F1188" s="593" t="str">
        <f>IF($G$2=1,R1188,"Weiteres Kriterium in der Nutzung")</f>
        <v>Weiteres Kriterium in der Nutzung</v>
      </c>
      <c r="G1188" s="153">
        <f t="shared" si="159"/>
        <v>0</v>
      </c>
      <c r="H1188" s="154"/>
      <c r="I1188" s="158"/>
      <c r="J1188" s="156"/>
      <c r="K1188" s="157">
        <f t="shared" si="150"/>
        <v>100</v>
      </c>
      <c r="L1188" s="157">
        <f t="shared" si="151"/>
        <v>200</v>
      </c>
      <c r="M1188" s="157">
        <f t="shared" si="152"/>
        <v>300</v>
      </c>
      <c r="N1188" s="157">
        <f t="shared" si="153"/>
        <v>400</v>
      </c>
      <c r="O1188" s="967" t="str">
        <f>CONCATENATE(O1181," | ",F1188)</f>
        <v>E.1.1 Wärme aus EE und vor Ort produziert | Weiteres Kriterium in der Nutzung</v>
      </c>
      <c r="P1188" s="967"/>
      <c r="Q1188" s="586"/>
      <c r="R1188" s="968" t="s">
        <v>5343</v>
      </c>
      <c r="S1188" s="588">
        <v>0.34</v>
      </c>
      <c r="T1188" s="588">
        <v>0.1</v>
      </c>
      <c r="U1188" s="588">
        <v>0</v>
      </c>
    </row>
    <row r="1189" spans="1:21" x14ac:dyDescent="0.35">
      <c r="A1189" s="116"/>
      <c r="B1189" s="35"/>
      <c r="C1189" s="117"/>
      <c r="D1189" s="1687"/>
      <c r="E1189" s="1688"/>
      <c r="F1189" s="159"/>
      <c r="G1189" s="160"/>
      <c r="H1189" s="161"/>
      <c r="I1189" s="162"/>
      <c r="J1189" s="164"/>
      <c r="K1189" s="157">
        <f t="shared" si="150"/>
        <v>100</v>
      </c>
      <c r="L1189" s="157">
        <f t="shared" si="151"/>
        <v>200</v>
      </c>
      <c r="M1189" s="157">
        <f t="shared" si="152"/>
        <v>300</v>
      </c>
      <c r="N1189" s="157">
        <f t="shared" si="153"/>
        <v>400</v>
      </c>
      <c r="O1189" s="959"/>
      <c r="P1189" s="967"/>
      <c r="Q1189" s="586"/>
      <c r="R1189" s="968"/>
      <c r="S1189" s="589"/>
      <c r="T1189" s="589"/>
      <c r="U1189" s="589"/>
    </row>
    <row r="1190" spans="1:21" x14ac:dyDescent="0.35">
      <c r="A1190" s="116"/>
      <c r="B1190" s="35"/>
      <c r="C1190" s="117"/>
      <c r="D1190" s="1687"/>
      <c r="E1190" s="1688"/>
      <c r="F1190" s="159"/>
      <c r="G1190" s="160"/>
      <c r="H1190" s="161"/>
      <c r="I1190" s="162"/>
      <c r="J1190" s="164"/>
      <c r="K1190" s="157">
        <f t="shared" si="150"/>
        <v>100</v>
      </c>
      <c r="L1190" s="157">
        <f t="shared" si="151"/>
        <v>200</v>
      </c>
      <c r="M1190" s="157">
        <f t="shared" si="152"/>
        <v>300</v>
      </c>
      <c r="N1190" s="157">
        <f t="shared" si="153"/>
        <v>400</v>
      </c>
      <c r="O1190" s="959"/>
      <c r="P1190" s="967"/>
      <c r="Q1190" s="586"/>
      <c r="R1190" s="968"/>
      <c r="S1190" s="589"/>
      <c r="T1190" s="589"/>
      <c r="U1190" s="589"/>
    </row>
    <row r="1191" spans="1:21" x14ac:dyDescent="0.35">
      <c r="A1191" s="116"/>
      <c r="B1191" s="35"/>
      <c r="C1191" s="117"/>
      <c r="D1191" s="1687"/>
      <c r="E1191" s="1688"/>
      <c r="F1191" s="159"/>
      <c r="G1191" s="160"/>
      <c r="H1191" s="161"/>
      <c r="I1191" s="162"/>
      <c r="J1191" s="164"/>
      <c r="K1191" s="157">
        <f t="shared" si="150"/>
        <v>100</v>
      </c>
      <c r="L1191" s="157">
        <f t="shared" si="151"/>
        <v>200</v>
      </c>
      <c r="M1191" s="157">
        <f t="shared" si="152"/>
        <v>300</v>
      </c>
      <c r="N1191" s="157">
        <f t="shared" si="153"/>
        <v>400</v>
      </c>
      <c r="O1191" s="959"/>
      <c r="P1191" s="967"/>
      <c r="Q1191" s="586"/>
      <c r="R1191" s="968"/>
      <c r="S1191" s="589"/>
      <c r="T1191" s="589"/>
      <c r="U1191" s="589"/>
    </row>
    <row r="1192" spans="1:21" x14ac:dyDescent="0.35">
      <c r="A1192" s="123"/>
      <c r="B1192" s="35"/>
      <c r="C1192" s="151"/>
      <c r="D1192" s="1687"/>
      <c r="E1192" s="1688"/>
      <c r="F1192" s="165"/>
      <c r="G1192" s="160"/>
      <c r="H1192" s="161"/>
      <c r="I1192" s="166"/>
      <c r="J1192" s="167"/>
      <c r="K1192" s="157">
        <f t="shared" si="150"/>
        <v>100</v>
      </c>
      <c r="L1192" s="157">
        <f t="shared" si="151"/>
        <v>200</v>
      </c>
      <c r="M1192" s="157">
        <f t="shared" si="152"/>
        <v>300</v>
      </c>
      <c r="N1192" s="157">
        <f t="shared" si="153"/>
        <v>400</v>
      </c>
      <c r="O1192" s="959"/>
      <c r="P1192" s="967"/>
      <c r="Q1192" s="586"/>
      <c r="R1192" s="968"/>
      <c r="S1192" s="589"/>
      <c r="T1192" s="589"/>
      <c r="U1192" s="589"/>
    </row>
    <row r="1193" spans="1:21" x14ac:dyDescent="0.35">
      <c r="A1193" s="116"/>
      <c r="B1193" s="35"/>
      <c r="C1193" s="117"/>
      <c r="D1193" s="1687"/>
      <c r="E1193" s="1688"/>
      <c r="F1193" s="159"/>
      <c r="G1193" s="160"/>
      <c r="H1193" s="168"/>
      <c r="I1193" s="162"/>
      <c r="J1193" s="164"/>
      <c r="K1193" s="157">
        <f t="shared" si="150"/>
        <v>100</v>
      </c>
      <c r="L1193" s="157">
        <f t="shared" si="151"/>
        <v>200</v>
      </c>
      <c r="M1193" s="157">
        <f t="shared" si="152"/>
        <v>300</v>
      </c>
      <c r="N1193" s="157">
        <f t="shared" si="153"/>
        <v>400</v>
      </c>
      <c r="O1193" s="959"/>
      <c r="P1193" s="967"/>
      <c r="Q1193" s="586"/>
      <c r="R1193" s="968"/>
      <c r="S1193" s="589"/>
      <c r="T1193" s="589"/>
      <c r="U1193" s="589"/>
    </row>
    <row r="1194" spans="1:21" x14ac:dyDescent="0.35">
      <c r="A1194" s="116"/>
      <c r="B1194" s="117"/>
      <c r="C1194" s="117"/>
      <c r="D1194" s="1687"/>
      <c r="E1194" s="1688"/>
      <c r="F1194" s="159"/>
      <c r="G1194" s="160"/>
      <c r="H1194" s="168"/>
      <c r="I1194" s="162"/>
      <c r="J1194" s="164"/>
      <c r="K1194" s="157">
        <f t="shared" si="150"/>
        <v>100</v>
      </c>
      <c r="L1194" s="157">
        <f t="shared" si="151"/>
        <v>200</v>
      </c>
      <c r="M1194" s="157">
        <f t="shared" si="152"/>
        <v>300</v>
      </c>
      <c r="N1194" s="157">
        <f t="shared" si="153"/>
        <v>400</v>
      </c>
      <c r="O1194" s="959"/>
      <c r="P1194" s="967"/>
      <c r="Q1194" s="586"/>
      <c r="R1194" s="968"/>
      <c r="S1194" s="589"/>
      <c r="T1194" s="589"/>
      <c r="U1194" s="589"/>
    </row>
    <row r="1195" spans="1:21" x14ac:dyDescent="0.35">
      <c r="A1195" s="116"/>
      <c r="B1195" s="117"/>
      <c r="C1195" s="117"/>
      <c r="D1195" s="1687"/>
      <c r="E1195" s="1688"/>
      <c r="F1195" s="169"/>
      <c r="G1195" s="170"/>
      <c r="H1195" s="171"/>
      <c r="I1195" s="172"/>
      <c r="J1195" s="173"/>
      <c r="K1195" s="157">
        <f t="shared" si="150"/>
        <v>100</v>
      </c>
      <c r="L1195" s="157">
        <f t="shared" si="151"/>
        <v>200</v>
      </c>
      <c r="M1195" s="157">
        <f t="shared" si="152"/>
        <v>300</v>
      </c>
      <c r="N1195" s="157">
        <f t="shared" si="153"/>
        <v>400</v>
      </c>
      <c r="O1195" s="959"/>
      <c r="P1195" s="967"/>
      <c r="Q1195" s="586"/>
      <c r="R1195" s="968"/>
      <c r="S1195" s="589"/>
      <c r="T1195" s="589"/>
      <c r="U1195" s="589"/>
    </row>
    <row r="1196" spans="1:21" ht="28.5" customHeight="1" x14ac:dyDescent="0.35">
      <c r="A1196" s="116"/>
      <c r="B1196" s="117"/>
      <c r="C1196" s="117"/>
      <c r="D1196" s="174"/>
      <c r="E1196" s="175"/>
      <c r="F1196" s="1689" t="s">
        <v>2</v>
      </c>
      <c r="G1196" s="1689"/>
      <c r="H1196" s="176">
        <f>IF(O1196&gt;1,"Zielerreichung übersteigt 100%!",O1196)</f>
        <v>0</v>
      </c>
      <c r="I1196" s="177"/>
      <c r="J1196" s="178"/>
      <c r="K1196" s="157">
        <f t="shared" ref="K1196:K1260" si="160">IF($J1196=$K$41,K1195+1,K1195+0)</f>
        <v>100</v>
      </c>
      <c r="L1196" s="157">
        <f t="shared" ref="L1196:L1260" si="161">IF($J1196=$L$41,L1195+1,L1195+0)</f>
        <v>200</v>
      </c>
      <c r="M1196" s="157">
        <f t="shared" ref="M1196:M1260" si="162">IF($J1196=$M$41,M1195+1,M1195+0)</f>
        <v>300</v>
      </c>
      <c r="N1196" s="157">
        <f t="shared" ref="N1196:N1260" si="163">IF($J1196=$N$41,N1195+1,N1195+0)</f>
        <v>400</v>
      </c>
      <c r="O1196" s="959">
        <f>SUM(H1184:H1195)</f>
        <v>0</v>
      </c>
      <c r="P1196" s="967"/>
      <c r="Q1196" s="586"/>
      <c r="R1196" s="968"/>
      <c r="S1196" s="589"/>
      <c r="T1196" s="589"/>
      <c r="U1196" s="589"/>
    </row>
    <row r="1197" spans="1:21" x14ac:dyDescent="0.35">
      <c r="A1197" s="116"/>
      <c r="B1197" s="117"/>
      <c r="C1197" s="117"/>
      <c r="D1197" s="179"/>
      <c r="E1197" s="180"/>
      <c r="F1197" s="1690" t="s">
        <v>3</v>
      </c>
      <c r="G1197" s="1691"/>
      <c r="H1197" s="181">
        <v>15</v>
      </c>
      <c r="I1197" s="177"/>
      <c r="J1197" s="178"/>
      <c r="K1197" s="157">
        <f t="shared" si="160"/>
        <v>100</v>
      </c>
      <c r="L1197" s="157">
        <f t="shared" si="161"/>
        <v>200</v>
      </c>
      <c r="M1197" s="157">
        <f t="shared" si="162"/>
        <v>300</v>
      </c>
      <c r="N1197" s="157">
        <f t="shared" si="163"/>
        <v>400</v>
      </c>
      <c r="O1197" s="1030"/>
      <c r="P1197" s="967"/>
      <c r="Q1197" s="586"/>
      <c r="R1197" s="968"/>
      <c r="S1197" s="589"/>
      <c r="T1197" s="589"/>
      <c r="U1197" s="589"/>
    </row>
    <row r="1198" spans="1:21" x14ac:dyDescent="0.35">
      <c r="A1198" s="116"/>
      <c r="B1198" s="117"/>
      <c r="C1198" s="117"/>
      <c r="D1198" s="179"/>
      <c r="E1198" s="180"/>
      <c r="F1198" s="1692"/>
      <c r="G1198" s="1693"/>
      <c r="H1198" s="182"/>
      <c r="I1198" s="183"/>
      <c r="J1198" s="178"/>
      <c r="K1198" s="157">
        <f t="shared" si="160"/>
        <v>100</v>
      </c>
      <c r="L1198" s="157">
        <f t="shared" si="161"/>
        <v>200</v>
      </c>
      <c r="M1198" s="157">
        <f t="shared" si="162"/>
        <v>300</v>
      </c>
      <c r="N1198" s="157">
        <f t="shared" si="163"/>
        <v>400</v>
      </c>
      <c r="O1198" s="1030"/>
      <c r="P1198" s="967"/>
      <c r="Q1198" s="586"/>
      <c r="R1198" s="968"/>
      <c r="S1198" s="589"/>
      <c r="T1198" s="589"/>
      <c r="U1198" s="589"/>
    </row>
    <row r="1199" spans="1:21" x14ac:dyDescent="0.35">
      <c r="A1199" s="184"/>
      <c r="B1199" s="185"/>
      <c r="C1199" s="185"/>
      <c r="D1199" s="179"/>
      <c r="E1199" s="180"/>
      <c r="F1199" s="186"/>
      <c r="G1199" s="186"/>
      <c r="H1199" s="187"/>
      <c r="I1199" s="177"/>
      <c r="J1199" s="178"/>
      <c r="K1199" s="157">
        <f t="shared" si="160"/>
        <v>100</v>
      </c>
      <c r="L1199" s="157">
        <f t="shared" si="161"/>
        <v>200</v>
      </c>
      <c r="M1199" s="157">
        <f t="shared" si="162"/>
        <v>300</v>
      </c>
      <c r="N1199" s="157">
        <f t="shared" si="163"/>
        <v>400</v>
      </c>
      <c r="O1199" s="1030"/>
      <c r="P1199" s="967"/>
      <c r="Q1199" s="586"/>
      <c r="R1199" s="968"/>
      <c r="S1199" s="589"/>
      <c r="T1199" s="589"/>
      <c r="U1199" s="589"/>
    </row>
    <row r="1200" spans="1:21" ht="15.5" x14ac:dyDescent="0.35">
      <c r="A1200" s="116"/>
      <c r="B1200" s="117"/>
      <c r="C1200" s="1694"/>
      <c r="D1200" s="1695"/>
      <c r="E1200" s="263"/>
      <c r="F1200" s="1696" t="s">
        <v>5</v>
      </c>
      <c r="G1200" s="1696"/>
      <c r="H1200" s="264">
        <f>IF(ISNUMBER(I1198),H1198*H1196,H1197*H1196)</f>
        <v>0</v>
      </c>
      <c r="I1200" s="265"/>
      <c r="J1200" s="266"/>
      <c r="K1200" s="157">
        <f t="shared" si="160"/>
        <v>100</v>
      </c>
      <c r="L1200" s="157">
        <f t="shared" si="161"/>
        <v>200</v>
      </c>
      <c r="M1200" s="157">
        <f t="shared" si="162"/>
        <v>300</v>
      </c>
      <c r="N1200" s="157">
        <f t="shared" si="163"/>
        <v>400</v>
      </c>
      <c r="O1200" s="1030"/>
      <c r="P1200" s="967"/>
      <c r="Q1200" s="586"/>
      <c r="R1200" s="968"/>
      <c r="S1200" s="589"/>
      <c r="T1200" s="589"/>
      <c r="U1200" s="589"/>
    </row>
    <row r="1201" spans="1:21" x14ac:dyDescent="0.35">
      <c r="B1201" s="185"/>
      <c r="K1201" s="157">
        <f t="shared" si="160"/>
        <v>100</v>
      </c>
      <c r="L1201" s="157">
        <f t="shared" si="161"/>
        <v>200</v>
      </c>
      <c r="M1201" s="157">
        <f t="shared" si="162"/>
        <v>300</v>
      </c>
      <c r="N1201" s="157">
        <f t="shared" si="163"/>
        <v>400</v>
      </c>
      <c r="O1201" s="967"/>
      <c r="P1201" s="967"/>
      <c r="Q1201" s="586"/>
      <c r="R1201" s="968"/>
      <c r="S1201" s="589"/>
      <c r="T1201" s="589"/>
      <c r="U1201" s="589"/>
    </row>
    <row r="1202" spans="1:21" ht="7.5" customHeight="1" x14ac:dyDescent="0.35">
      <c r="A1202" s="116"/>
      <c r="B1202" s="117"/>
      <c r="C1202" s="117"/>
      <c r="D1202" s="116"/>
      <c r="E1202" s="116"/>
      <c r="F1202" s="118"/>
      <c r="G1202" s="119"/>
      <c r="H1202" s="116"/>
      <c r="I1202" s="120"/>
      <c r="J1202" s="121"/>
      <c r="K1202" s="157">
        <f t="shared" si="160"/>
        <v>100</v>
      </c>
      <c r="L1202" s="157">
        <f t="shared" si="161"/>
        <v>200</v>
      </c>
      <c r="M1202" s="157">
        <f t="shared" si="162"/>
        <v>300</v>
      </c>
      <c r="N1202" s="157">
        <f t="shared" si="163"/>
        <v>400</v>
      </c>
      <c r="O1202" s="968"/>
      <c r="P1202" s="968"/>
      <c r="Q1202" s="586"/>
      <c r="R1202" s="968"/>
      <c r="S1202" s="589"/>
      <c r="T1202" s="589"/>
      <c r="U1202" s="589"/>
    </row>
    <row r="1203" spans="1:21" ht="15.5" x14ac:dyDescent="0.35">
      <c r="A1203" s="124"/>
      <c r="B1203" s="125"/>
      <c r="C1203" s="126" t="s">
        <v>4824</v>
      </c>
      <c r="D1203" s="127" t="s">
        <v>5452</v>
      </c>
      <c r="E1203" s="128"/>
      <c r="F1203" s="129" t="str">
        <f>IF($F$3=1,O1203,"")</f>
        <v>E.1.2 Qualität der Wärmeversorgung</v>
      </c>
      <c r="G1203" s="204"/>
      <c r="H1203" s="205"/>
      <c r="I1203" s="520" t="s">
        <v>23</v>
      </c>
      <c r="J1203" s="130"/>
      <c r="K1203" s="157">
        <f t="shared" si="160"/>
        <v>100</v>
      </c>
      <c r="L1203" s="157">
        <f t="shared" si="161"/>
        <v>200</v>
      </c>
      <c r="M1203" s="157">
        <f t="shared" si="162"/>
        <v>300</v>
      </c>
      <c r="N1203" s="157">
        <f t="shared" si="163"/>
        <v>400</v>
      </c>
      <c r="O1203" s="967" t="str">
        <f>CONCATENATE(C1203," ",D1203)</f>
        <v>E.1.2 Qualität der Wärmeversorgung</v>
      </c>
      <c r="P1203" s="966"/>
      <c r="Q1203" s="586"/>
      <c r="R1203" s="968"/>
      <c r="S1203" s="589"/>
      <c r="T1203" s="589"/>
      <c r="U1203" s="589"/>
    </row>
    <row r="1204" spans="1:21" x14ac:dyDescent="0.35">
      <c r="A1204" s="124"/>
      <c r="B1204" s="134"/>
      <c r="C1204" s="135"/>
      <c r="D1204" s="136"/>
      <c r="E1204" s="136"/>
      <c r="F1204" s="137"/>
      <c r="G1204" s="138"/>
      <c r="H1204" s="124"/>
      <c r="I1204" s="139"/>
      <c r="J1204" s="140"/>
      <c r="K1204" s="157">
        <f t="shared" si="160"/>
        <v>100</v>
      </c>
      <c r="L1204" s="157">
        <f t="shared" si="161"/>
        <v>200</v>
      </c>
      <c r="M1204" s="157">
        <f t="shared" si="162"/>
        <v>300</v>
      </c>
      <c r="N1204" s="157">
        <f t="shared" si="163"/>
        <v>400</v>
      </c>
      <c r="O1204" s="968"/>
      <c r="P1204" s="966"/>
      <c r="Q1204" s="586"/>
      <c r="R1204" s="968"/>
      <c r="S1204" s="589"/>
      <c r="T1204" s="589"/>
      <c r="U1204" s="589"/>
    </row>
    <row r="1205" spans="1:21" x14ac:dyDescent="0.35">
      <c r="A1205" s="142"/>
      <c r="B1205" s="35"/>
      <c r="C1205" s="143"/>
      <c r="D1205" s="1685" t="s">
        <v>18</v>
      </c>
      <c r="E1205" s="1686"/>
      <c r="F1205" s="144" t="s">
        <v>19</v>
      </c>
      <c r="G1205" s="145" t="s">
        <v>0</v>
      </c>
      <c r="H1205" s="146" t="s">
        <v>20</v>
      </c>
      <c r="I1205" s="147" t="s">
        <v>1</v>
      </c>
      <c r="J1205" s="147" t="s">
        <v>4375</v>
      </c>
      <c r="K1205" s="157">
        <f t="shared" si="160"/>
        <v>100</v>
      </c>
      <c r="L1205" s="157">
        <f t="shared" si="161"/>
        <v>200</v>
      </c>
      <c r="M1205" s="157">
        <f t="shared" si="162"/>
        <v>300</v>
      </c>
      <c r="N1205" s="157">
        <f t="shared" si="163"/>
        <v>400</v>
      </c>
      <c r="O1205" s="587"/>
      <c r="P1205" s="967"/>
      <c r="Q1205" s="586"/>
      <c r="R1205" s="968"/>
      <c r="S1205" s="589"/>
      <c r="T1205" s="589"/>
      <c r="U1205" s="589"/>
    </row>
    <row r="1206" spans="1:21" ht="24" x14ac:dyDescent="0.35">
      <c r="A1206" s="123"/>
      <c r="B1206" s="35"/>
      <c r="C1206" s="151"/>
      <c r="D1206" s="1687" t="s">
        <v>4977</v>
      </c>
      <c r="E1206" s="1688"/>
      <c r="F1206" s="152" t="s">
        <v>5319</v>
      </c>
      <c r="G1206" s="153">
        <f t="shared" ref="G1206" si="164">IF($H$2=1,S1206,IF($H$2=2,T1206,U1206))</f>
        <v>1</v>
      </c>
      <c r="H1206" s="226">
        <f>'RH Wärme-Strom'!E101</f>
        <v>0</v>
      </c>
      <c r="I1206" s="158"/>
      <c r="J1206" s="156"/>
      <c r="K1206" s="157">
        <f t="shared" si="160"/>
        <v>100</v>
      </c>
      <c r="L1206" s="157">
        <f t="shared" si="161"/>
        <v>200</v>
      </c>
      <c r="M1206" s="157">
        <f t="shared" si="162"/>
        <v>300</v>
      </c>
      <c r="N1206" s="157">
        <f t="shared" si="163"/>
        <v>400</v>
      </c>
      <c r="O1206" s="967" t="str">
        <f>CONCATENATE(O1203," | ",F1206)</f>
        <v>E.1.2 Qualität der Wärmeversorgung | Rechenhilfe: Qualität abhängig von umgesetzter Wärmeversorgungslösung</v>
      </c>
      <c r="P1206" s="967"/>
      <c r="Q1206" s="586"/>
      <c r="R1206" s="968"/>
      <c r="S1206" s="588">
        <v>0</v>
      </c>
      <c r="T1206" s="588">
        <v>0.7</v>
      </c>
      <c r="U1206" s="588">
        <v>1</v>
      </c>
    </row>
    <row r="1207" spans="1:21" x14ac:dyDescent="0.35">
      <c r="A1207" s="123"/>
      <c r="B1207" s="35"/>
      <c r="C1207" s="151"/>
      <c r="D1207" s="1687"/>
      <c r="E1207" s="1688"/>
      <c r="F1207" s="159"/>
      <c r="G1207" s="160"/>
      <c r="H1207" s="161"/>
      <c r="I1207" s="166"/>
      <c r="J1207" s="164"/>
      <c r="K1207" s="157">
        <f t="shared" si="160"/>
        <v>100</v>
      </c>
      <c r="L1207" s="157">
        <f t="shared" si="161"/>
        <v>200</v>
      </c>
      <c r="M1207" s="157">
        <f t="shared" si="162"/>
        <v>300</v>
      </c>
      <c r="N1207" s="157">
        <f t="shared" si="163"/>
        <v>400</v>
      </c>
      <c r="O1207" s="967"/>
      <c r="P1207" s="967"/>
      <c r="Q1207" s="586"/>
      <c r="R1207" s="968"/>
      <c r="S1207" s="588"/>
      <c r="T1207" s="588"/>
      <c r="U1207" s="588"/>
    </row>
    <row r="1208" spans="1:21" x14ac:dyDescent="0.35">
      <c r="A1208" s="123"/>
      <c r="B1208" s="35"/>
      <c r="C1208" s="151"/>
      <c r="D1208" s="1687"/>
      <c r="E1208" s="1688"/>
      <c r="F1208" s="593" t="str">
        <f>IF($G$2=1,R1208,"Weiteres Kriterium in der Nutzung")</f>
        <v>Weiteres Kriterium in der Nutzung</v>
      </c>
      <c r="G1208" s="153">
        <f t="shared" ref="G1208:G1210" si="165">IF($H$2=1,S1208,IF($H$2=2,T1208,U1208))</f>
        <v>0</v>
      </c>
      <c r="H1208" s="154"/>
      <c r="I1208" s="158"/>
      <c r="J1208" s="156"/>
      <c r="K1208" s="157">
        <f t="shared" si="160"/>
        <v>100</v>
      </c>
      <c r="L1208" s="157">
        <f t="shared" si="161"/>
        <v>200</v>
      </c>
      <c r="M1208" s="157">
        <f t="shared" si="162"/>
        <v>300</v>
      </c>
      <c r="N1208" s="157">
        <f t="shared" si="163"/>
        <v>400</v>
      </c>
      <c r="O1208" s="967" t="str">
        <f>CONCATENATE(O1203," | ",F1208)</f>
        <v>E.1.2 Qualität der Wärmeversorgung | Weiteres Kriterium in der Nutzung</v>
      </c>
      <c r="P1208" s="967"/>
      <c r="Q1208" s="586"/>
      <c r="R1208" s="968" t="s">
        <v>5345</v>
      </c>
      <c r="S1208" s="588">
        <v>0.33</v>
      </c>
      <c r="T1208" s="588">
        <v>0.1</v>
      </c>
      <c r="U1208" s="588">
        <v>0</v>
      </c>
    </row>
    <row r="1209" spans="1:21" x14ac:dyDescent="0.35">
      <c r="A1209" s="123">
        <v>3.2</v>
      </c>
      <c r="B1209" s="35"/>
      <c r="C1209" s="151"/>
      <c r="D1209" s="1687"/>
      <c r="E1209" s="1688"/>
      <c r="F1209" s="593" t="str">
        <f>IF($G$2=1,R1209,"Weiteres Kriterium in der Nutzung")</f>
        <v>Weiteres Kriterium in der Nutzung</v>
      </c>
      <c r="G1209" s="153">
        <f t="shared" si="165"/>
        <v>0</v>
      </c>
      <c r="H1209" s="154"/>
      <c r="I1209" s="158"/>
      <c r="J1209" s="156"/>
      <c r="K1209" s="157">
        <f t="shared" si="160"/>
        <v>100</v>
      </c>
      <c r="L1209" s="157">
        <f t="shared" si="161"/>
        <v>200</v>
      </c>
      <c r="M1209" s="157">
        <f t="shared" si="162"/>
        <v>300</v>
      </c>
      <c r="N1209" s="157">
        <f t="shared" si="163"/>
        <v>400</v>
      </c>
      <c r="O1209" s="967" t="str">
        <f>CONCATENATE(O1203," | ",F1209)</f>
        <v>E.1.2 Qualität der Wärmeversorgung | Weiteres Kriterium in der Nutzung</v>
      </c>
      <c r="P1209" s="967"/>
      <c r="Q1209" s="586"/>
      <c r="R1209" s="968" t="s">
        <v>5342</v>
      </c>
      <c r="S1209" s="588">
        <v>0.33</v>
      </c>
      <c r="T1209" s="588">
        <v>0.1</v>
      </c>
      <c r="U1209" s="588">
        <v>0</v>
      </c>
    </row>
    <row r="1210" spans="1:21" x14ac:dyDescent="0.35">
      <c r="A1210" s="123"/>
      <c r="B1210" s="35"/>
      <c r="C1210" s="151"/>
      <c r="D1210" s="1687"/>
      <c r="E1210" s="1688"/>
      <c r="F1210" s="593" t="str">
        <f>IF($G$2=1,R1210,"Weiteres Kriterium in der Nutzung")</f>
        <v>Weiteres Kriterium in der Nutzung</v>
      </c>
      <c r="G1210" s="153">
        <f t="shared" si="165"/>
        <v>0</v>
      </c>
      <c r="H1210" s="154"/>
      <c r="I1210" s="158"/>
      <c r="J1210" s="156"/>
      <c r="K1210" s="157">
        <f t="shared" si="160"/>
        <v>100</v>
      </c>
      <c r="L1210" s="157">
        <f t="shared" si="161"/>
        <v>200</v>
      </c>
      <c r="M1210" s="157">
        <f t="shared" si="162"/>
        <v>300</v>
      </c>
      <c r="N1210" s="157">
        <f t="shared" si="163"/>
        <v>400</v>
      </c>
      <c r="O1210" s="967" t="str">
        <f>CONCATENATE(O1203," | ",F1210)</f>
        <v>E.1.2 Qualität der Wärmeversorgung | Weiteres Kriterium in der Nutzung</v>
      </c>
      <c r="P1210" s="967"/>
      <c r="Q1210" s="586"/>
      <c r="R1210" s="968" t="s">
        <v>5346</v>
      </c>
      <c r="S1210" s="588">
        <v>0.34</v>
      </c>
      <c r="T1210" s="588">
        <v>0.1</v>
      </c>
      <c r="U1210" s="588">
        <v>0</v>
      </c>
    </row>
    <row r="1211" spans="1:21" x14ac:dyDescent="0.35">
      <c r="A1211" s="116"/>
      <c r="B1211" s="35"/>
      <c r="C1211" s="117"/>
      <c r="D1211" s="1687"/>
      <c r="E1211" s="1688"/>
      <c r="F1211" s="159"/>
      <c r="G1211" s="160"/>
      <c r="H1211" s="161"/>
      <c r="I1211" s="162"/>
      <c r="J1211" s="164"/>
      <c r="K1211" s="157">
        <f t="shared" si="160"/>
        <v>100</v>
      </c>
      <c r="L1211" s="157">
        <f t="shared" si="161"/>
        <v>200</v>
      </c>
      <c r="M1211" s="157">
        <f t="shared" si="162"/>
        <v>300</v>
      </c>
      <c r="N1211" s="157">
        <f t="shared" si="163"/>
        <v>400</v>
      </c>
      <c r="O1211" s="959"/>
      <c r="P1211" s="967"/>
      <c r="Q1211" s="586"/>
      <c r="R1211" s="968"/>
      <c r="S1211" s="589"/>
      <c r="T1211" s="589"/>
      <c r="U1211" s="589"/>
    </row>
    <row r="1212" spans="1:21" x14ac:dyDescent="0.35">
      <c r="A1212" s="116"/>
      <c r="B1212" s="35"/>
      <c r="C1212" s="117"/>
      <c r="D1212" s="1687"/>
      <c r="E1212" s="1688"/>
      <c r="F1212" s="159"/>
      <c r="G1212" s="160"/>
      <c r="H1212" s="161"/>
      <c r="I1212" s="162"/>
      <c r="J1212" s="164"/>
      <c r="K1212" s="157">
        <f t="shared" si="160"/>
        <v>100</v>
      </c>
      <c r="L1212" s="157">
        <f t="shared" si="161"/>
        <v>200</v>
      </c>
      <c r="M1212" s="157">
        <f t="shared" si="162"/>
        <v>300</v>
      </c>
      <c r="N1212" s="157">
        <f t="shared" si="163"/>
        <v>400</v>
      </c>
      <c r="O1212" s="959"/>
      <c r="P1212" s="967"/>
      <c r="Q1212" s="586"/>
      <c r="R1212" s="968"/>
      <c r="S1212" s="589"/>
      <c r="T1212" s="589"/>
      <c r="U1212" s="589"/>
    </row>
    <row r="1213" spans="1:21" x14ac:dyDescent="0.35">
      <c r="A1213" s="116"/>
      <c r="B1213" s="35"/>
      <c r="C1213" s="117"/>
      <c r="D1213" s="1687"/>
      <c r="E1213" s="1688"/>
      <c r="F1213" s="159"/>
      <c r="G1213" s="160"/>
      <c r="H1213" s="161"/>
      <c r="I1213" s="162"/>
      <c r="J1213" s="164"/>
      <c r="K1213" s="157">
        <f t="shared" si="160"/>
        <v>100</v>
      </c>
      <c r="L1213" s="157">
        <f t="shared" si="161"/>
        <v>200</v>
      </c>
      <c r="M1213" s="157">
        <f t="shared" si="162"/>
        <v>300</v>
      </c>
      <c r="N1213" s="157">
        <f t="shared" si="163"/>
        <v>400</v>
      </c>
      <c r="O1213" s="959"/>
      <c r="P1213" s="967"/>
      <c r="Q1213" s="586"/>
      <c r="R1213" s="968"/>
      <c r="S1213" s="589"/>
      <c r="T1213" s="589"/>
      <c r="U1213" s="589"/>
    </row>
    <row r="1214" spans="1:21" x14ac:dyDescent="0.35">
      <c r="A1214" s="123"/>
      <c r="B1214" s="35"/>
      <c r="C1214" s="151"/>
      <c r="D1214" s="1687"/>
      <c r="E1214" s="1688"/>
      <c r="F1214" s="165"/>
      <c r="G1214" s="160"/>
      <c r="H1214" s="161"/>
      <c r="I1214" s="166"/>
      <c r="J1214" s="167"/>
      <c r="K1214" s="157">
        <f t="shared" si="160"/>
        <v>100</v>
      </c>
      <c r="L1214" s="157">
        <f t="shared" si="161"/>
        <v>200</v>
      </c>
      <c r="M1214" s="157">
        <f t="shared" si="162"/>
        <v>300</v>
      </c>
      <c r="N1214" s="157">
        <f t="shared" si="163"/>
        <v>400</v>
      </c>
      <c r="O1214" s="959"/>
      <c r="P1214" s="967"/>
      <c r="Q1214" s="586"/>
      <c r="R1214" s="968"/>
      <c r="S1214" s="589"/>
      <c r="T1214" s="589"/>
      <c r="U1214" s="589"/>
    </row>
    <row r="1215" spans="1:21" x14ac:dyDescent="0.35">
      <c r="A1215" s="116"/>
      <c r="B1215" s="35"/>
      <c r="C1215" s="117"/>
      <c r="D1215" s="1687"/>
      <c r="E1215" s="1688"/>
      <c r="F1215" s="159"/>
      <c r="G1215" s="160"/>
      <c r="H1215" s="168"/>
      <c r="I1215" s="162"/>
      <c r="J1215" s="164"/>
      <c r="K1215" s="157">
        <f t="shared" si="160"/>
        <v>100</v>
      </c>
      <c r="L1215" s="157">
        <f t="shared" si="161"/>
        <v>200</v>
      </c>
      <c r="M1215" s="157">
        <f t="shared" si="162"/>
        <v>300</v>
      </c>
      <c r="N1215" s="157">
        <f t="shared" si="163"/>
        <v>400</v>
      </c>
      <c r="O1215" s="959"/>
      <c r="P1215" s="967"/>
      <c r="Q1215" s="586"/>
      <c r="R1215" s="968"/>
      <c r="S1215" s="589"/>
      <c r="T1215" s="589"/>
      <c r="U1215" s="589"/>
    </row>
    <row r="1216" spans="1:21" x14ac:dyDescent="0.35">
      <c r="A1216" s="116"/>
      <c r="B1216" s="117"/>
      <c r="C1216" s="117"/>
      <c r="D1216" s="1687"/>
      <c r="E1216" s="1688"/>
      <c r="F1216" s="159"/>
      <c r="G1216" s="160"/>
      <c r="H1216" s="168"/>
      <c r="I1216" s="162"/>
      <c r="J1216" s="164"/>
      <c r="K1216" s="157">
        <f t="shared" si="160"/>
        <v>100</v>
      </c>
      <c r="L1216" s="157">
        <f t="shared" si="161"/>
        <v>200</v>
      </c>
      <c r="M1216" s="157">
        <f t="shared" si="162"/>
        <v>300</v>
      </c>
      <c r="N1216" s="157">
        <f t="shared" si="163"/>
        <v>400</v>
      </c>
      <c r="O1216" s="959"/>
      <c r="P1216" s="967"/>
      <c r="Q1216" s="586"/>
      <c r="R1216" s="968"/>
      <c r="S1216" s="589"/>
      <c r="T1216" s="589"/>
      <c r="U1216" s="589"/>
    </row>
    <row r="1217" spans="1:21" x14ac:dyDescent="0.35">
      <c r="A1217" s="116"/>
      <c r="B1217" s="117"/>
      <c r="C1217" s="117"/>
      <c r="D1217" s="1687"/>
      <c r="E1217" s="1688"/>
      <c r="F1217" s="169"/>
      <c r="G1217" s="170"/>
      <c r="H1217" s="171"/>
      <c r="I1217" s="172"/>
      <c r="J1217" s="173"/>
      <c r="K1217" s="157">
        <f t="shared" si="160"/>
        <v>100</v>
      </c>
      <c r="L1217" s="157">
        <f t="shared" si="161"/>
        <v>200</v>
      </c>
      <c r="M1217" s="157">
        <f t="shared" si="162"/>
        <v>300</v>
      </c>
      <c r="N1217" s="157">
        <f t="shared" si="163"/>
        <v>400</v>
      </c>
      <c r="O1217" s="959"/>
      <c r="P1217" s="967"/>
      <c r="Q1217" s="586"/>
      <c r="R1217" s="968"/>
      <c r="S1217" s="589"/>
      <c r="T1217" s="589"/>
      <c r="U1217" s="589"/>
    </row>
    <row r="1218" spans="1:21" ht="28.5" customHeight="1" x14ac:dyDescent="0.35">
      <c r="A1218" s="116"/>
      <c r="B1218" s="117"/>
      <c r="C1218" s="117"/>
      <c r="D1218" s="174"/>
      <c r="E1218" s="175"/>
      <c r="F1218" s="1689" t="s">
        <v>2</v>
      </c>
      <c r="G1218" s="1689"/>
      <c r="H1218" s="176">
        <f>IF(O1218&gt;1,"Zielerreichung übersteigt 100%!",O1218)</f>
        <v>0</v>
      </c>
      <c r="I1218" s="177"/>
      <c r="J1218" s="178"/>
      <c r="K1218" s="157">
        <f t="shared" si="160"/>
        <v>100</v>
      </c>
      <c r="L1218" s="157">
        <f t="shared" si="161"/>
        <v>200</v>
      </c>
      <c r="M1218" s="157">
        <f t="shared" si="162"/>
        <v>300</v>
      </c>
      <c r="N1218" s="157">
        <f t="shared" si="163"/>
        <v>400</v>
      </c>
      <c r="O1218" s="959">
        <f>SUM(H1206:H1217)</f>
        <v>0</v>
      </c>
      <c r="P1218" s="967"/>
      <c r="Q1218" s="586"/>
      <c r="R1218" s="968"/>
      <c r="S1218" s="589"/>
      <c r="T1218" s="589"/>
      <c r="U1218" s="589"/>
    </row>
    <row r="1219" spans="1:21" x14ac:dyDescent="0.35">
      <c r="A1219" s="116"/>
      <c r="B1219" s="117"/>
      <c r="C1219" s="117"/>
      <c r="D1219" s="179"/>
      <c r="E1219" s="180"/>
      <c r="F1219" s="1690" t="s">
        <v>3</v>
      </c>
      <c r="G1219" s="1691"/>
      <c r="H1219" s="181">
        <v>15</v>
      </c>
      <c r="I1219" s="177"/>
      <c r="J1219" s="178"/>
      <c r="K1219" s="157">
        <f t="shared" si="160"/>
        <v>100</v>
      </c>
      <c r="L1219" s="157">
        <f t="shared" si="161"/>
        <v>200</v>
      </c>
      <c r="M1219" s="157">
        <f t="shared" si="162"/>
        <v>300</v>
      </c>
      <c r="N1219" s="157">
        <f t="shared" si="163"/>
        <v>400</v>
      </c>
      <c r="O1219" s="1030"/>
      <c r="P1219" s="967"/>
      <c r="Q1219" s="586"/>
      <c r="R1219" s="968"/>
      <c r="S1219" s="589"/>
      <c r="T1219" s="589"/>
      <c r="U1219" s="589"/>
    </row>
    <row r="1220" spans="1:21" x14ac:dyDescent="0.35">
      <c r="A1220" s="116"/>
      <c r="B1220" s="117"/>
      <c r="C1220" s="117"/>
      <c r="D1220" s="179"/>
      <c r="E1220" s="180"/>
      <c r="F1220" s="1692"/>
      <c r="G1220" s="1693"/>
      <c r="H1220" s="182"/>
      <c r="I1220" s="183"/>
      <c r="J1220" s="178"/>
      <c r="K1220" s="157">
        <f t="shared" si="160"/>
        <v>100</v>
      </c>
      <c r="L1220" s="157">
        <f t="shared" si="161"/>
        <v>200</v>
      </c>
      <c r="M1220" s="157">
        <f t="shared" si="162"/>
        <v>300</v>
      </c>
      <c r="N1220" s="157">
        <f t="shared" si="163"/>
        <v>400</v>
      </c>
      <c r="O1220" s="1030"/>
      <c r="P1220" s="967"/>
      <c r="Q1220" s="586"/>
      <c r="R1220" s="968"/>
      <c r="S1220" s="589"/>
      <c r="T1220" s="589"/>
      <c r="U1220" s="589"/>
    </row>
    <row r="1221" spans="1:21" x14ac:dyDescent="0.35">
      <c r="A1221" s="184"/>
      <c r="B1221" s="185"/>
      <c r="C1221" s="185"/>
      <c r="D1221" s="179"/>
      <c r="E1221" s="180"/>
      <c r="F1221" s="186"/>
      <c r="G1221" s="186"/>
      <c r="H1221" s="187"/>
      <c r="I1221" s="177"/>
      <c r="J1221" s="178"/>
      <c r="K1221" s="157">
        <f t="shared" si="160"/>
        <v>100</v>
      </c>
      <c r="L1221" s="157">
        <f t="shared" si="161"/>
        <v>200</v>
      </c>
      <c r="M1221" s="157">
        <f t="shared" si="162"/>
        <v>300</v>
      </c>
      <c r="N1221" s="157">
        <f t="shared" si="163"/>
        <v>400</v>
      </c>
      <c r="O1221" s="1030"/>
      <c r="P1221" s="967"/>
      <c r="Q1221" s="586"/>
      <c r="R1221" s="968"/>
      <c r="S1221" s="589"/>
      <c r="T1221" s="589"/>
      <c r="U1221" s="589"/>
    </row>
    <row r="1222" spans="1:21" ht="15.5" x14ac:dyDescent="0.35">
      <c r="A1222" s="116"/>
      <c r="B1222" s="117"/>
      <c r="C1222" s="1694"/>
      <c r="D1222" s="1695"/>
      <c r="E1222" s="263"/>
      <c r="F1222" s="1696" t="s">
        <v>5</v>
      </c>
      <c r="G1222" s="1696"/>
      <c r="H1222" s="264">
        <f>IF(ISNUMBER(I1220),H1220*H1218,H1219*H1218)</f>
        <v>0</v>
      </c>
      <c r="I1222" s="265"/>
      <c r="J1222" s="266"/>
      <c r="K1222" s="157">
        <f t="shared" si="160"/>
        <v>100</v>
      </c>
      <c r="L1222" s="157">
        <f t="shared" si="161"/>
        <v>200</v>
      </c>
      <c r="M1222" s="157">
        <f t="shared" si="162"/>
        <v>300</v>
      </c>
      <c r="N1222" s="157">
        <f t="shared" si="163"/>
        <v>400</v>
      </c>
      <c r="O1222" s="1030"/>
      <c r="P1222" s="967"/>
      <c r="Q1222" s="586"/>
      <c r="R1222" s="968"/>
      <c r="S1222" s="589"/>
      <c r="T1222" s="589"/>
      <c r="U1222" s="589"/>
    </row>
    <row r="1223" spans="1:21" x14ac:dyDescent="0.35">
      <c r="B1223" s="185"/>
      <c r="K1223" s="157">
        <f t="shared" si="160"/>
        <v>100</v>
      </c>
      <c r="L1223" s="157">
        <f t="shared" si="161"/>
        <v>200</v>
      </c>
      <c r="M1223" s="157">
        <f t="shared" si="162"/>
        <v>300</v>
      </c>
      <c r="N1223" s="157">
        <f t="shared" si="163"/>
        <v>400</v>
      </c>
      <c r="O1223" s="967"/>
      <c r="P1223" s="967"/>
      <c r="Q1223" s="586"/>
      <c r="R1223" s="968"/>
      <c r="S1223" s="589"/>
      <c r="T1223" s="589"/>
      <c r="U1223" s="589"/>
    </row>
    <row r="1224" spans="1:21" ht="7.5" customHeight="1" x14ac:dyDescent="0.35">
      <c r="A1224" s="116"/>
      <c r="B1224" s="117"/>
      <c r="C1224" s="117"/>
      <c r="D1224" s="116"/>
      <c r="E1224" s="116"/>
      <c r="F1224" s="118"/>
      <c r="G1224" s="119"/>
      <c r="H1224" s="116"/>
      <c r="I1224" s="120"/>
      <c r="J1224" s="121"/>
      <c r="K1224" s="157">
        <f t="shared" si="160"/>
        <v>100</v>
      </c>
      <c r="L1224" s="157">
        <f t="shared" si="161"/>
        <v>200</v>
      </c>
      <c r="M1224" s="157">
        <f t="shared" si="162"/>
        <v>300</v>
      </c>
      <c r="N1224" s="157">
        <f t="shared" si="163"/>
        <v>400</v>
      </c>
      <c r="O1224" s="968"/>
      <c r="P1224" s="968"/>
      <c r="Q1224" s="586"/>
      <c r="R1224" s="968"/>
      <c r="S1224" s="589"/>
      <c r="T1224" s="589"/>
      <c r="U1224" s="589"/>
    </row>
    <row r="1225" spans="1:21" ht="15.5" x14ac:dyDescent="0.35">
      <c r="A1225" s="124"/>
      <c r="B1225" s="125"/>
      <c r="C1225" s="126" t="s">
        <v>4825</v>
      </c>
      <c r="D1225" s="127" t="s">
        <v>5415</v>
      </c>
      <c r="E1225" s="128"/>
      <c r="F1225" s="129" t="str">
        <f>IF($F$3=1,O1225,"")</f>
        <v>E.1.3 Qualität der HLK-Planung</v>
      </c>
      <c r="G1225" s="204"/>
      <c r="H1225" s="205"/>
      <c r="I1225" s="520" t="s">
        <v>23</v>
      </c>
      <c r="J1225" s="130"/>
      <c r="K1225" s="157">
        <f t="shared" si="160"/>
        <v>100</v>
      </c>
      <c r="L1225" s="157">
        <f t="shared" si="161"/>
        <v>200</v>
      </c>
      <c r="M1225" s="157">
        <f t="shared" si="162"/>
        <v>300</v>
      </c>
      <c r="N1225" s="157">
        <f t="shared" si="163"/>
        <v>400</v>
      </c>
      <c r="O1225" s="967" t="str">
        <f>CONCATENATE(C1225," ",D1225)</f>
        <v>E.1.3 Qualität der HLK-Planung</v>
      </c>
      <c r="P1225" s="966"/>
      <c r="Q1225" s="586"/>
      <c r="R1225" s="968"/>
      <c r="S1225" s="589"/>
      <c r="T1225" s="589"/>
      <c r="U1225" s="589"/>
    </row>
    <row r="1226" spans="1:21" x14ac:dyDescent="0.35">
      <c r="A1226" s="124"/>
      <c r="B1226" s="134"/>
      <c r="C1226" s="135"/>
      <c r="D1226" s="136"/>
      <c r="E1226" s="136"/>
      <c r="F1226" s="137"/>
      <c r="G1226" s="138"/>
      <c r="H1226" s="124"/>
      <c r="I1226" s="139"/>
      <c r="J1226" s="140"/>
      <c r="K1226" s="157">
        <f t="shared" si="160"/>
        <v>100</v>
      </c>
      <c r="L1226" s="157">
        <f t="shared" si="161"/>
        <v>200</v>
      </c>
      <c r="M1226" s="157">
        <f t="shared" si="162"/>
        <v>300</v>
      </c>
      <c r="N1226" s="157">
        <f t="shared" si="163"/>
        <v>400</v>
      </c>
      <c r="O1226" s="968"/>
      <c r="P1226" s="966"/>
      <c r="Q1226" s="586"/>
      <c r="R1226" s="968"/>
      <c r="S1226" s="589"/>
      <c r="T1226" s="589"/>
      <c r="U1226" s="589"/>
    </row>
    <row r="1227" spans="1:21" ht="15" thickBot="1" x14ac:dyDescent="0.4">
      <c r="A1227" s="142"/>
      <c r="B1227" s="35"/>
      <c r="C1227" s="143"/>
      <c r="D1227" s="1685" t="s">
        <v>18</v>
      </c>
      <c r="E1227" s="1686"/>
      <c r="F1227" s="144" t="s">
        <v>19</v>
      </c>
      <c r="G1227" s="145" t="s">
        <v>0</v>
      </c>
      <c r="H1227" s="146" t="s">
        <v>20</v>
      </c>
      <c r="I1227" s="147" t="s">
        <v>1</v>
      </c>
      <c r="J1227" s="147" t="s">
        <v>4375</v>
      </c>
      <c r="K1227" s="157">
        <f t="shared" si="160"/>
        <v>100</v>
      </c>
      <c r="L1227" s="157">
        <f t="shared" si="161"/>
        <v>200</v>
      </c>
      <c r="M1227" s="157">
        <f t="shared" si="162"/>
        <v>300</v>
      </c>
      <c r="N1227" s="157">
        <f t="shared" si="163"/>
        <v>400</v>
      </c>
      <c r="O1227" s="587"/>
      <c r="P1227" s="1053"/>
      <c r="Q1227" s="1054"/>
      <c r="R1227" s="968"/>
      <c r="S1227" s="589"/>
      <c r="T1227" s="589"/>
      <c r="U1227" s="589"/>
    </row>
    <row r="1228" spans="1:21" ht="36" x14ac:dyDescent="0.35">
      <c r="A1228" s="123"/>
      <c r="B1228" s="35"/>
      <c r="C1228" s="151"/>
      <c r="D1228" s="1687" t="s">
        <v>5248</v>
      </c>
      <c r="E1228" s="1688"/>
      <c r="F1228" s="239" t="s">
        <v>4952</v>
      </c>
      <c r="G1228" s="1150">
        <f t="shared" ref="G1228:G1240" si="166">IF($H$2=1,S1228,IF($H$2=2,T1228,U1228))</f>
        <v>1</v>
      </c>
      <c r="H1228" s="1066">
        <f>VLOOKUP(F1228,$P$1228:$Q$1230,2,0)*G1228</f>
        <v>0</v>
      </c>
      <c r="I1228" s="158"/>
      <c r="J1228" s="156"/>
      <c r="K1228" s="157">
        <f t="shared" si="160"/>
        <v>100</v>
      </c>
      <c r="L1228" s="157">
        <f t="shared" si="161"/>
        <v>200</v>
      </c>
      <c r="M1228" s="157">
        <f t="shared" si="162"/>
        <v>300</v>
      </c>
      <c r="N1228" s="157">
        <f t="shared" si="163"/>
        <v>400</v>
      </c>
      <c r="O1228" s="1051" t="str">
        <f>CONCATENATE(O1225," | ",F1228)</f>
        <v>E.1.3 Qualität der HLK-Planung | Kundenwunsch und Randbedingungen als Grundlage für die HLK-Planung wurde zu Projektstart und bei der Baueinreichung einmalig geklärt.</v>
      </c>
      <c r="P1228" s="1057" t="s">
        <v>4952</v>
      </c>
      <c r="Q1228" s="1069">
        <v>0</v>
      </c>
      <c r="R1228" s="1052"/>
      <c r="S1228" s="595">
        <v>0</v>
      </c>
      <c r="T1228" s="595">
        <v>0.7</v>
      </c>
      <c r="U1228" s="588">
        <v>1</v>
      </c>
    </row>
    <row r="1229" spans="1:21" ht="60" x14ac:dyDescent="0.35">
      <c r="A1229" s="123"/>
      <c r="B1229" s="35"/>
      <c r="C1229" s="151"/>
      <c r="D1229" s="1687"/>
      <c r="E1229" s="1688"/>
      <c r="F1229" s="239" t="s">
        <v>5252</v>
      </c>
      <c r="G1229" s="1150">
        <f t="shared" si="166"/>
        <v>1</v>
      </c>
      <c r="H1229" s="1066">
        <f>VLOOKUP(F1229,$P$1231:$Q$1233,2,0)*G1229</f>
        <v>0</v>
      </c>
      <c r="I1229" s="158"/>
      <c r="J1229" s="156"/>
      <c r="K1229" s="157">
        <f t="shared" si="160"/>
        <v>100</v>
      </c>
      <c r="L1229" s="157">
        <f t="shared" si="161"/>
        <v>200</v>
      </c>
      <c r="M1229" s="157">
        <f t="shared" si="162"/>
        <v>300</v>
      </c>
      <c r="N1229" s="157">
        <f t="shared" si="163"/>
        <v>400</v>
      </c>
      <c r="O1229" s="1051" t="str">
        <f>CONCATENATE(O1225," | ",F1229)</f>
        <v>E.1.3 Qualität der HLK-Planung | Die erarbeiteten Konzepte weißen für die Erfüllung der Anforderungen einen hohen technischen Aufwand auf (High-Tech), sind nicht leicht erweiterbar und anpassbar, wartungsintensiv und von anderen Gewerken unabhängig.</v>
      </c>
      <c r="P1229" s="1059" t="s">
        <v>4953</v>
      </c>
      <c r="Q1229" s="1070">
        <v>5.5555555555555552E-2</v>
      </c>
      <c r="R1229" s="1052"/>
      <c r="S1229" s="595">
        <v>0</v>
      </c>
      <c r="T1229" s="595">
        <v>0.7</v>
      </c>
      <c r="U1229" s="588">
        <v>1</v>
      </c>
    </row>
    <row r="1230" spans="1:21" ht="24.5" thickBot="1" x14ac:dyDescent="0.4">
      <c r="A1230" s="123"/>
      <c r="B1230" s="35"/>
      <c r="C1230" s="151"/>
      <c r="D1230" s="1687"/>
      <c r="E1230" s="1688"/>
      <c r="F1230" s="239" t="s">
        <v>5249</v>
      </c>
      <c r="G1230" s="1150">
        <f t="shared" si="166"/>
        <v>1</v>
      </c>
      <c r="H1230" s="1066">
        <f>VLOOKUP(F1230,$P$1234:$Q$1236,2,0)*G1230</f>
        <v>0</v>
      </c>
      <c r="I1230" s="158"/>
      <c r="J1230" s="156"/>
      <c r="K1230" s="157">
        <f t="shared" si="160"/>
        <v>100</v>
      </c>
      <c r="L1230" s="157">
        <f t="shared" si="161"/>
        <v>200</v>
      </c>
      <c r="M1230" s="157">
        <f t="shared" si="162"/>
        <v>300</v>
      </c>
      <c r="N1230" s="157">
        <f t="shared" si="163"/>
        <v>400</v>
      </c>
      <c r="O1230" s="1051" t="str">
        <f>CONCATENATE(O1225," | ",F1230)</f>
        <v>E.1.3 Qualität der HLK-Planung | Die Warmwasserbereitung erfolgt ausschließlich über eine Zirkulationsleitung.</v>
      </c>
      <c r="P1230" s="1061" t="s">
        <v>4954</v>
      </c>
      <c r="Q1230" s="1071">
        <v>0.1111111111111111</v>
      </c>
      <c r="R1230" s="1052"/>
      <c r="S1230" s="595">
        <v>0</v>
      </c>
      <c r="T1230" s="595">
        <v>0.7</v>
      </c>
      <c r="U1230" s="588">
        <v>1</v>
      </c>
    </row>
    <row r="1231" spans="1:21" ht="60" x14ac:dyDescent="0.35">
      <c r="A1231" s="123">
        <v>3.2</v>
      </c>
      <c r="B1231" s="35"/>
      <c r="C1231" s="151"/>
      <c r="D1231" s="1687"/>
      <c r="E1231" s="1688"/>
      <c r="F1231" s="239" t="s">
        <v>5250</v>
      </c>
      <c r="G1231" s="1150">
        <f t="shared" si="166"/>
        <v>1</v>
      </c>
      <c r="H1231" s="1066">
        <f>VLOOKUP(F1231,$P$1237:$Q$1239,2,0)*G1231</f>
        <v>0</v>
      </c>
      <c r="I1231" s="158"/>
      <c r="J1231" s="156"/>
      <c r="K1231" s="157">
        <f t="shared" si="160"/>
        <v>100</v>
      </c>
      <c r="L1231" s="157">
        <f t="shared" si="161"/>
        <v>200</v>
      </c>
      <c r="M1231" s="157">
        <f t="shared" si="162"/>
        <v>300</v>
      </c>
      <c r="N1231" s="157">
        <f t="shared" si="163"/>
        <v>400</v>
      </c>
      <c r="O1231" s="1051" t="str">
        <f>CONCATENATE(O1225," | ",F1231)</f>
        <v>E.1.3 Qualität der HLK-Planung | Die Auslegung der Hauptkomponenten erfolgt auf Basis von Energieausweiswerten. Der Heizkessel ist maximal 20% gegenüber der berechneten Heizlast überdimensioniert bzw. sind Speicher vorgehen. Alle anderen Anlagen wurden bedarfsgerecht ausgelegt.</v>
      </c>
      <c r="P1231" s="1072" t="s">
        <v>5252</v>
      </c>
      <c r="Q1231" s="1069">
        <v>0</v>
      </c>
      <c r="R1231" s="1052"/>
      <c r="S1231" s="595">
        <v>0</v>
      </c>
      <c r="T1231" s="595">
        <v>0.7</v>
      </c>
      <c r="U1231" s="588">
        <v>1</v>
      </c>
    </row>
    <row r="1232" spans="1:21" ht="36" x14ac:dyDescent="0.35">
      <c r="A1232" s="123"/>
      <c r="B1232" s="35"/>
      <c r="C1232" s="151"/>
      <c r="D1232" s="1687"/>
      <c r="E1232" s="1688"/>
      <c r="F1232" s="239" t="s">
        <v>5251</v>
      </c>
      <c r="G1232" s="1150">
        <f t="shared" si="166"/>
        <v>1</v>
      </c>
      <c r="H1232" s="1066">
        <f>VLOOKUP(F1232,$P$1240:$Q$1242,2,0)*G1232</f>
        <v>0</v>
      </c>
      <c r="I1232" s="158"/>
      <c r="J1232" s="156"/>
      <c r="K1232" s="157">
        <f t="shared" si="160"/>
        <v>100</v>
      </c>
      <c r="L1232" s="157">
        <f t="shared" si="161"/>
        <v>200</v>
      </c>
      <c r="M1232" s="157">
        <f t="shared" si="162"/>
        <v>300</v>
      </c>
      <c r="N1232" s="157">
        <f t="shared" si="163"/>
        <v>400</v>
      </c>
      <c r="O1232" s="1051" t="str">
        <f>CONCATENATE(O1225," | ",F1232)</f>
        <v>E.1.3 Qualität der HLK-Planung | Die geplanten Technikräume und Steigschächte für die einzelnen Gewerke sind teilweise nicht ideal platziert und relativ klein.</v>
      </c>
      <c r="P1232" s="1065" t="s">
        <v>5253</v>
      </c>
      <c r="Q1232" s="1070">
        <v>5.5555555555555552E-2</v>
      </c>
      <c r="R1232" s="1052"/>
      <c r="S1232" s="595">
        <v>0</v>
      </c>
      <c r="T1232" s="595">
        <v>0.7</v>
      </c>
      <c r="U1232" s="588">
        <v>1</v>
      </c>
    </row>
    <row r="1233" spans="1:21" ht="24.5" thickBot="1" x14ac:dyDescent="0.4">
      <c r="A1233" s="116"/>
      <c r="B1233" s="35"/>
      <c r="C1233" s="117"/>
      <c r="D1233" s="1687"/>
      <c r="E1233" s="1688"/>
      <c r="F1233" s="239" t="s">
        <v>4957</v>
      </c>
      <c r="G1233" s="1150">
        <f t="shared" si="166"/>
        <v>1</v>
      </c>
      <c r="H1233" s="1066">
        <f>VLOOKUP(F1233,$P$1243:$Q$1245,2,0)*G1233</f>
        <v>0</v>
      </c>
      <c r="I1233" s="158"/>
      <c r="J1233" s="156"/>
      <c r="K1233" s="157">
        <f t="shared" si="160"/>
        <v>100</v>
      </c>
      <c r="L1233" s="157">
        <f t="shared" si="161"/>
        <v>200</v>
      </c>
      <c r="M1233" s="157">
        <f t="shared" si="162"/>
        <v>300</v>
      </c>
      <c r="N1233" s="157">
        <f t="shared" si="163"/>
        <v>400</v>
      </c>
      <c r="O1233" s="1051" t="str">
        <f>CONCATENATE(O1225," | ",F1233)</f>
        <v>E.1.3 Qualität der HLK-Planung | Die gewählten Hauptkomponenten für die Wärmeerzeugung sind in der KPC Datenbank enthalten.</v>
      </c>
      <c r="P1233" s="1073" t="s">
        <v>5254</v>
      </c>
      <c r="Q1233" s="1071">
        <v>0.1111111111111111</v>
      </c>
      <c r="R1233" s="1052"/>
      <c r="S1233" s="595">
        <v>0</v>
      </c>
      <c r="T1233" s="595">
        <v>0.7</v>
      </c>
      <c r="U1233" s="588">
        <v>1</v>
      </c>
    </row>
    <row r="1234" spans="1:21" ht="24" x14ac:dyDescent="0.35">
      <c r="A1234" s="116"/>
      <c r="B1234" s="35"/>
      <c r="C1234" s="117"/>
      <c r="D1234" s="1687"/>
      <c r="E1234" s="1688"/>
      <c r="F1234" s="239" t="s">
        <v>4960</v>
      </c>
      <c r="G1234" s="1150">
        <f t="shared" si="166"/>
        <v>1</v>
      </c>
      <c r="H1234" s="1066">
        <f>VLOOKUP(F1234,$P$1246:$Q$1248,2,0)*G1234</f>
        <v>0</v>
      </c>
      <c r="I1234" s="158"/>
      <c r="J1234" s="156"/>
      <c r="K1234" s="157">
        <f t="shared" si="160"/>
        <v>100</v>
      </c>
      <c r="L1234" s="157">
        <f t="shared" si="161"/>
        <v>200</v>
      </c>
      <c r="M1234" s="157">
        <f t="shared" si="162"/>
        <v>300</v>
      </c>
      <c r="N1234" s="157">
        <f t="shared" si="163"/>
        <v>400</v>
      </c>
      <c r="O1234" s="1051" t="str">
        <f>CONCATENATE(O1225," | ",F1234)</f>
        <v>E.1.3 Qualität der HLK-Planung | Die gewählten Nebenkomponenten entsprechen dem Stand der Technik.</v>
      </c>
      <c r="P1234" s="1072" t="s">
        <v>5249</v>
      </c>
      <c r="Q1234" s="1069">
        <v>0</v>
      </c>
      <c r="R1234" s="1052"/>
      <c r="S1234" s="595">
        <v>0</v>
      </c>
      <c r="T1234" s="595">
        <v>0.7</v>
      </c>
      <c r="U1234" s="588">
        <v>1</v>
      </c>
    </row>
    <row r="1235" spans="1:21" ht="36" x14ac:dyDescent="0.35">
      <c r="A1235" s="116"/>
      <c r="B1235" s="35"/>
      <c r="C1235" s="117"/>
      <c r="D1235" s="1687"/>
      <c r="E1235" s="1688"/>
      <c r="F1235" s="239" t="s">
        <v>5255</v>
      </c>
      <c r="G1235" s="1150">
        <f t="shared" si="166"/>
        <v>1</v>
      </c>
      <c r="H1235" s="1066">
        <f>VLOOKUP(F1235,$P$1250:$Q$1252,2,0)*G1235</f>
        <v>0</v>
      </c>
      <c r="I1235" s="158"/>
      <c r="J1235" s="156"/>
      <c r="K1235" s="157">
        <f t="shared" si="160"/>
        <v>100</v>
      </c>
      <c r="L1235" s="157">
        <f t="shared" si="161"/>
        <v>200</v>
      </c>
      <c r="M1235" s="157">
        <f t="shared" si="162"/>
        <v>300</v>
      </c>
      <c r="N1235" s="157">
        <f t="shared" si="163"/>
        <v>400</v>
      </c>
      <c r="O1235" s="1051" t="str">
        <f>CONCATENATE(O1225," | ",F1235)</f>
        <v>E.1.3 Qualität der HLK-Planung | Für das gesamte Wärmeverteilsystem wurde ein hydraulischer Abgleich durchgeführt. Die Inbetriebnahme und Abnahme ist dokumentiert.</v>
      </c>
      <c r="P1235" s="1059" t="s">
        <v>4955</v>
      </c>
      <c r="Q1235" s="1070">
        <v>5.5555555555555552E-2</v>
      </c>
      <c r="R1235" s="1052"/>
      <c r="S1235" s="595">
        <v>0</v>
      </c>
      <c r="T1235" s="595">
        <v>0.7</v>
      </c>
      <c r="U1235" s="588">
        <v>1</v>
      </c>
    </row>
    <row r="1236" spans="1:21" ht="48.5" thickBot="1" x14ac:dyDescent="0.4">
      <c r="A1236" s="123"/>
      <c r="B1236" s="35"/>
      <c r="C1236" s="151"/>
      <c r="D1236" s="1687"/>
      <c r="E1236" s="1688"/>
      <c r="F1236" s="239" t="s">
        <v>4963</v>
      </c>
      <c r="G1236" s="1150">
        <f t="shared" si="166"/>
        <v>1</v>
      </c>
      <c r="H1236" s="1066">
        <f>VLOOKUP(F1236,$P$1253:$Q$1255,2,0)*G1236</f>
        <v>0</v>
      </c>
      <c r="I1236" s="158"/>
      <c r="J1236" s="156"/>
      <c r="K1236" s="157">
        <f t="shared" si="160"/>
        <v>100</v>
      </c>
      <c r="L1236" s="157">
        <f t="shared" si="161"/>
        <v>200</v>
      </c>
      <c r="M1236" s="157">
        <f t="shared" si="162"/>
        <v>300</v>
      </c>
      <c r="N1236" s="157">
        <f t="shared" si="163"/>
        <v>400</v>
      </c>
      <c r="O1236" s="1051" t="str">
        <f>CONCATENATE(O1225," | ",F1236)</f>
        <v>E.1.3 Qualität der HLK-Planung | Die Betriebsführung aller Anlagen erfolgt dezentral durch mehrere Personen und ist noch nicht vollumfassend geregelt (Verantwortlichkeiten, Garantien, Gewährleistung, Aufgaben, Budget)</v>
      </c>
      <c r="P1236" s="1061" t="s">
        <v>4956</v>
      </c>
      <c r="Q1236" s="1071">
        <v>0.1111111111111111</v>
      </c>
      <c r="R1236" s="1052"/>
      <c r="S1236" s="595">
        <v>0</v>
      </c>
      <c r="T1236" s="595">
        <v>0.7</v>
      </c>
      <c r="U1236" s="588">
        <v>1</v>
      </c>
    </row>
    <row r="1237" spans="1:21" x14ac:dyDescent="0.35">
      <c r="A1237" s="116"/>
      <c r="B1237" s="35"/>
      <c r="C1237" s="117"/>
      <c r="D1237" s="1687"/>
      <c r="E1237" s="1688"/>
      <c r="F1237" s="159"/>
      <c r="G1237" s="160"/>
      <c r="H1237" s="168"/>
      <c r="I1237" s="162"/>
      <c r="J1237" s="164"/>
      <c r="K1237" s="157">
        <f t="shared" si="160"/>
        <v>100</v>
      </c>
      <c r="L1237" s="157">
        <f t="shared" si="161"/>
        <v>200</v>
      </c>
      <c r="M1237" s="157">
        <f t="shared" si="162"/>
        <v>300</v>
      </c>
      <c r="N1237" s="157">
        <f t="shared" si="163"/>
        <v>400</v>
      </c>
      <c r="O1237" s="1063"/>
      <c r="P1237" s="1072" t="s">
        <v>5250</v>
      </c>
      <c r="Q1237" s="1069">
        <v>0</v>
      </c>
      <c r="R1237" s="1052"/>
      <c r="S1237" s="595"/>
      <c r="T1237" s="595"/>
      <c r="U1237" s="588"/>
    </row>
    <row r="1238" spans="1:21" x14ac:dyDescent="0.35">
      <c r="A1238" s="116"/>
      <c r="B1238" s="117"/>
      <c r="C1238" s="117"/>
      <c r="D1238" s="1687"/>
      <c r="E1238" s="1688"/>
      <c r="F1238" s="593" t="str">
        <f>IF($G$2=1,R1238,"Weiteres Kriterium in der Nutzung")</f>
        <v>Weiteres Kriterium in der Nutzung</v>
      </c>
      <c r="G1238" s="153">
        <f t="shared" si="166"/>
        <v>0</v>
      </c>
      <c r="H1238" s="154"/>
      <c r="I1238" s="158"/>
      <c r="J1238" s="156"/>
      <c r="K1238" s="157">
        <f t="shared" si="160"/>
        <v>100</v>
      </c>
      <c r="L1238" s="157">
        <f t="shared" si="161"/>
        <v>200</v>
      </c>
      <c r="M1238" s="157">
        <f t="shared" si="162"/>
        <v>300</v>
      </c>
      <c r="N1238" s="157">
        <f t="shared" si="163"/>
        <v>400</v>
      </c>
      <c r="O1238" s="1051" t="str">
        <f>CONCATENATE(O1225," | ",F1238)</f>
        <v>E.1.3 Qualität der HLK-Planung | Weiteres Kriterium in der Nutzung</v>
      </c>
      <c r="P1238" s="1065" t="s">
        <v>5258</v>
      </c>
      <c r="Q1238" s="1070">
        <v>5.5555555555555552E-2</v>
      </c>
      <c r="R1238" s="1052" t="s">
        <v>5367</v>
      </c>
      <c r="S1238" s="595">
        <v>0.33</v>
      </c>
      <c r="T1238" s="595">
        <v>0.1</v>
      </c>
      <c r="U1238" s="588">
        <v>0</v>
      </c>
    </row>
    <row r="1239" spans="1:21" ht="15" thickBot="1" x14ac:dyDescent="0.4">
      <c r="A1239" s="116"/>
      <c r="B1239" s="117"/>
      <c r="C1239" s="117"/>
      <c r="D1239" s="1687"/>
      <c r="E1239" s="1688"/>
      <c r="F1239" s="593" t="str">
        <f>IF($G$2=1,R1239,"Weiteres Kriterium in der Nutzung")</f>
        <v>Weiteres Kriterium in der Nutzung</v>
      </c>
      <c r="G1239" s="153">
        <f t="shared" si="166"/>
        <v>0</v>
      </c>
      <c r="H1239" s="154"/>
      <c r="I1239" s="158"/>
      <c r="J1239" s="156"/>
      <c r="K1239" s="157">
        <f t="shared" si="160"/>
        <v>100</v>
      </c>
      <c r="L1239" s="157">
        <f t="shared" si="161"/>
        <v>200</v>
      </c>
      <c r="M1239" s="157">
        <f t="shared" si="162"/>
        <v>300</v>
      </c>
      <c r="N1239" s="157">
        <f t="shared" si="163"/>
        <v>400</v>
      </c>
      <c r="O1239" s="1051" t="str">
        <f>CONCATENATE(O1225," | ",F1239)</f>
        <v>E.1.3 Qualität der HLK-Planung | Weiteres Kriterium in der Nutzung</v>
      </c>
      <c r="P1239" s="1073" t="s">
        <v>5259</v>
      </c>
      <c r="Q1239" s="1071">
        <v>0.1111111111111111</v>
      </c>
      <c r="R1239" s="1052" t="s">
        <v>5518</v>
      </c>
      <c r="S1239" s="595">
        <v>0.33</v>
      </c>
      <c r="T1239" s="595">
        <v>0.1</v>
      </c>
      <c r="U1239" s="588">
        <v>0</v>
      </c>
    </row>
    <row r="1240" spans="1:21" x14ac:dyDescent="0.35">
      <c r="A1240" s="116"/>
      <c r="B1240" s="117"/>
      <c r="C1240" s="117"/>
      <c r="D1240" s="1687"/>
      <c r="E1240" s="1688"/>
      <c r="F1240" s="593" t="str">
        <f>IF($G$2=1,R1240,"Weiteres Kriterium in der Nutzung")</f>
        <v>Weiteres Kriterium in der Nutzung</v>
      </c>
      <c r="G1240" s="153">
        <f t="shared" si="166"/>
        <v>0</v>
      </c>
      <c r="H1240" s="154"/>
      <c r="I1240" s="158"/>
      <c r="J1240" s="156"/>
      <c r="K1240" s="157">
        <f>IF($J1240=$K$41,K1238+1,K1238+0)</f>
        <v>100</v>
      </c>
      <c r="L1240" s="157">
        <f>IF($J1240=$L$41,L1238+1,L1238+0)</f>
        <v>200</v>
      </c>
      <c r="M1240" s="157">
        <f>IF($J1240=$M$41,M1238+1,M1238+0)</f>
        <v>300</v>
      </c>
      <c r="N1240" s="157">
        <f>IF($J1240=$N$41,N1238+1,N1238+0)</f>
        <v>400</v>
      </c>
      <c r="O1240" s="1051" t="str">
        <f>CONCATENATE(O1225," | ",F1240)</f>
        <v>E.1.3 Qualität der HLK-Planung | Weiteres Kriterium in der Nutzung</v>
      </c>
      <c r="P1240" s="1072" t="s">
        <v>5251</v>
      </c>
      <c r="Q1240" s="1069">
        <v>0</v>
      </c>
      <c r="R1240" s="1052" t="s">
        <v>5355</v>
      </c>
      <c r="S1240" s="595">
        <v>0.34</v>
      </c>
      <c r="T1240" s="595">
        <v>0.1</v>
      </c>
      <c r="U1240" s="588">
        <v>0</v>
      </c>
    </row>
    <row r="1241" spans="1:21" ht="28.5" customHeight="1" x14ac:dyDescent="0.35">
      <c r="A1241" s="116"/>
      <c r="B1241" s="117"/>
      <c r="C1241" s="117"/>
      <c r="D1241" s="174"/>
      <c r="E1241" s="175"/>
      <c r="F1241" s="1689" t="s">
        <v>2</v>
      </c>
      <c r="G1241" s="1689"/>
      <c r="H1241" s="176">
        <f>IF(O1241&gt;1,"Zielerreichung übersteigt 100%!",O1241)</f>
        <v>0</v>
      </c>
      <c r="I1241" s="177"/>
      <c r="J1241" s="178"/>
      <c r="K1241" s="157">
        <f t="shared" si="160"/>
        <v>100</v>
      </c>
      <c r="L1241" s="157">
        <f t="shared" si="161"/>
        <v>200</v>
      </c>
      <c r="M1241" s="157">
        <f t="shared" si="162"/>
        <v>300</v>
      </c>
      <c r="N1241" s="157">
        <f t="shared" si="163"/>
        <v>400</v>
      </c>
      <c r="O1241" s="1063">
        <f>SUM(H1228:H1240)</f>
        <v>0</v>
      </c>
      <c r="P1241" s="1065" t="s">
        <v>5256</v>
      </c>
      <c r="Q1241" s="1070">
        <v>5.5555555555555552E-2</v>
      </c>
      <c r="R1241" s="1052"/>
      <c r="S1241" s="595"/>
      <c r="T1241" s="595"/>
      <c r="U1241" s="588"/>
    </row>
    <row r="1242" spans="1:21" ht="15" thickBot="1" x14ac:dyDescent="0.4">
      <c r="A1242" s="116"/>
      <c r="B1242" s="117"/>
      <c r="C1242" s="117"/>
      <c r="D1242" s="179"/>
      <c r="E1242" s="180"/>
      <c r="F1242" s="1690" t="s">
        <v>3</v>
      </c>
      <c r="G1242" s="1691"/>
      <c r="H1242" s="181">
        <v>5</v>
      </c>
      <c r="I1242" s="177"/>
      <c r="J1242" s="178"/>
      <c r="K1242" s="157">
        <f t="shared" si="160"/>
        <v>100</v>
      </c>
      <c r="L1242" s="157">
        <f t="shared" si="161"/>
        <v>200</v>
      </c>
      <c r="M1242" s="157">
        <f t="shared" si="162"/>
        <v>300</v>
      </c>
      <c r="N1242" s="157">
        <f t="shared" si="163"/>
        <v>400</v>
      </c>
      <c r="O1242" s="1074"/>
      <c r="P1242" s="1073" t="s">
        <v>5257</v>
      </c>
      <c r="Q1242" s="1071">
        <v>0.1111111111111111</v>
      </c>
      <c r="R1242" s="1052"/>
      <c r="S1242" s="595"/>
      <c r="T1242" s="595"/>
      <c r="U1242" s="588"/>
    </row>
    <row r="1243" spans="1:21" x14ac:dyDescent="0.35">
      <c r="A1243" s="116"/>
      <c r="B1243" s="117"/>
      <c r="C1243" s="117"/>
      <c r="D1243" s="179"/>
      <c r="E1243" s="180"/>
      <c r="F1243" s="1692" t="s">
        <v>4</v>
      </c>
      <c r="G1243" s="1693"/>
      <c r="H1243" s="182"/>
      <c r="I1243" s="177"/>
      <c r="J1243" s="178"/>
      <c r="K1243" s="157">
        <f t="shared" si="160"/>
        <v>100</v>
      </c>
      <c r="L1243" s="157">
        <f t="shared" si="161"/>
        <v>200</v>
      </c>
      <c r="M1243" s="157">
        <f t="shared" si="162"/>
        <v>300</v>
      </c>
      <c r="N1243" s="157">
        <f t="shared" si="163"/>
        <v>400</v>
      </c>
      <c r="O1243" s="1074"/>
      <c r="P1243" s="1057" t="s">
        <v>4957</v>
      </c>
      <c r="Q1243" s="1069">
        <v>0</v>
      </c>
      <c r="R1243" s="1052"/>
      <c r="S1243" s="595"/>
      <c r="T1243" s="595"/>
      <c r="U1243" s="588"/>
    </row>
    <row r="1244" spans="1:21" x14ac:dyDescent="0.35">
      <c r="A1244" s="184"/>
      <c r="B1244" s="185"/>
      <c r="C1244" s="185"/>
      <c r="D1244" s="179"/>
      <c r="E1244" s="180"/>
      <c r="F1244" s="186"/>
      <c r="G1244" s="186"/>
      <c r="H1244" s="187"/>
      <c r="I1244" s="177"/>
      <c r="J1244" s="178"/>
      <c r="K1244" s="157">
        <f t="shared" si="160"/>
        <v>100</v>
      </c>
      <c r="L1244" s="157">
        <f t="shared" si="161"/>
        <v>200</v>
      </c>
      <c r="M1244" s="157">
        <f t="shared" si="162"/>
        <v>300</v>
      </c>
      <c r="N1244" s="157">
        <f t="shared" si="163"/>
        <v>400</v>
      </c>
      <c r="O1244" s="1074"/>
      <c r="P1244" s="1059" t="s">
        <v>4958</v>
      </c>
      <c r="Q1244" s="1070">
        <v>5.5555555555555552E-2</v>
      </c>
      <c r="R1244" s="1052"/>
      <c r="S1244" s="595"/>
      <c r="T1244" s="595"/>
      <c r="U1244" s="588"/>
    </row>
    <row r="1245" spans="1:21" ht="16" thickBot="1" x14ac:dyDescent="0.4">
      <c r="A1245" s="116"/>
      <c r="B1245" s="117"/>
      <c r="C1245" s="1694"/>
      <c r="D1245" s="1695"/>
      <c r="E1245" s="263"/>
      <c r="F1245" s="1696" t="s">
        <v>5</v>
      </c>
      <c r="G1245" s="1696"/>
      <c r="H1245" s="264">
        <f>IF(ISNUMBER(I1243),H1243*H1241,H1242*H1241)</f>
        <v>0</v>
      </c>
      <c r="I1245" s="265"/>
      <c r="J1245" s="266"/>
      <c r="K1245" s="157">
        <f t="shared" si="160"/>
        <v>100</v>
      </c>
      <c r="L1245" s="157">
        <f t="shared" si="161"/>
        <v>200</v>
      </c>
      <c r="M1245" s="157">
        <f t="shared" si="162"/>
        <v>300</v>
      </c>
      <c r="N1245" s="157">
        <f t="shared" si="163"/>
        <v>400</v>
      </c>
      <c r="O1245" s="1074"/>
      <c r="P1245" s="1073" t="s">
        <v>4959</v>
      </c>
      <c r="Q1245" s="1071">
        <v>0.1111111111111111</v>
      </c>
      <c r="R1245" s="1052"/>
      <c r="S1245" s="595"/>
      <c r="T1245" s="595"/>
      <c r="U1245" s="588"/>
    </row>
    <row r="1246" spans="1:21" x14ac:dyDescent="0.35">
      <c r="B1246" s="185"/>
      <c r="K1246" s="157">
        <f t="shared" si="160"/>
        <v>100</v>
      </c>
      <c r="L1246" s="157">
        <f t="shared" si="161"/>
        <v>200</v>
      </c>
      <c r="M1246" s="157">
        <f t="shared" si="162"/>
        <v>300</v>
      </c>
      <c r="N1246" s="157">
        <f t="shared" si="163"/>
        <v>400</v>
      </c>
      <c r="O1246" s="1051"/>
      <c r="P1246" s="1076" t="s">
        <v>4960</v>
      </c>
      <c r="Q1246" s="1069">
        <v>0</v>
      </c>
      <c r="R1246" s="1052"/>
      <c r="S1246" s="595"/>
      <c r="T1246" s="595"/>
      <c r="U1246" s="588"/>
    </row>
    <row r="1247" spans="1:21" ht="7.5" customHeight="1" x14ac:dyDescent="0.35">
      <c r="A1247" s="116"/>
      <c r="B1247" s="117"/>
      <c r="C1247" s="117"/>
      <c r="D1247" s="116"/>
      <c r="E1247" s="116"/>
      <c r="F1247" s="118"/>
      <c r="G1247" s="119"/>
      <c r="H1247" s="116"/>
      <c r="I1247" s="120"/>
      <c r="J1247" s="121"/>
      <c r="K1247" s="157">
        <f t="shared" si="160"/>
        <v>100</v>
      </c>
      <c r="L1247" s="157">
        <f t="shared" si="161"/>
        <v>200</v>
      </c>
      <c r="M1247" s="157">
        <f t="shared" si="162"/>
        <v>300</v>
      </c>
      <c r="N1247" s="157">
        <f t="shared" si="163"/>
        <v>400</v>
      </c>
      <c r="O1247" s="1075"/>
      <c r="P1247" s="1065" t="s">
        <v>4961</v>
      </c>
      <c r="Q1247" s="1070">
        <v>5.5555555555555552E-2</v>
      </c>
      <c r="R1247" s="1052"/>
      <c r="S1247" s="595"/>
      <c r="T1247" s="595"/>
      <c r="U1247" s="588"/>
    </row>
    <row r="1248" spans="1:21" ht="16" thickBot="1" x14ac:dyDescent="0.4">
      <c r="A1248" s="208"/>
      <c r="B1248" s="256" t="s">
        <v>4827</v>
      </c>
      <c r="C1248" s="256" t="s">
        <v>4942</v>
      </c>
      <c r="D1248" s="257"/>
      <c r="E1248" s="257"/>
      <c r="F1248" s="258" t="str">
        <f>IF($F$3=1,O1248,"")</f>
        <v>E.2 Stromversorgung</v>
      </c>
      <c r="G1248" s="259"/>
      <c r="H1248" s="260"/>
      <c r="I1248" s="261"/>
      <c r="J1248" s="262"/>
      <c r="K1248" s="157">
        <f t="shared" si="160"/>
        <v>100</v>
      </c>
      <c r="L1248" s="157">
        <f t="shared" si="161"/>
        <v>200</v>
      </c>
      <c r="M1248" s="157">
        <f t="shared" si="162"/>
        <v>300</v>
      </c>
      <c r="N1248" s="157">
        <f t="shared" si="163"/>
        <v>400</v>
      </c>
      <c r="O1248" s="1051" t="str">
        <f>CONCATENATE(B1248," ",C1248)</f>
        <v>E.2 Stromversorgung</v>
      </c>
      <c r="P1248" s="1073" t="s">
        <v>4962</v>
      </c>
      <c r="Q1248" s="1071">
        <v>0.1111111111111111</v>
      </c>
      <c r="R1248" s="1052"/>
      <c r="S1248" s="595"/>
      <c r="T1248" s="595"/>
      <c r="U1248" s="588"/>
    </row>
    <row r="1249" spans="1:21" ht="15" thickBot="1" x14ac:dyDescent="0.4">
      <c r="K1249" s="157">
        <f t="shared" si="160"/>
        <v>100</v>
      </c>
      <c r="L1249" s="157">
        <f t="shared" si="161"/>
        <v>200</v>
      </c>
      <c r="M1249" s="157">
        <f t="shared" si="162"/>
        <v>300</v>
      </c>
      <c r="N1249" s="157">
        <f t="shared" si="163"/>
        <v>400</v>
      </c>
      <c r="O1249" s="967"/>
      <c r="P1249" s="1105"/>
      <c r="Q1249" s="1077"/>
      <c r="R1249" s="968"/>
      <c r="S1249" s="595"/>
      <c r="T1249" s="595"/>
      <c r="U1249" s="588"/>
    </row>
    <row r="1250" spans="1:21" ht="7.5" customHeight="1" x14ac:dyDescent="0.35">
      <c r="A1250" s="116"/>
      <c r="B1250" s="117"/>
      <c r="C1250" s="117"/>
      <c r="D1250" s="116"/>
      <c r="E1250" s="116"/>
      <c r="F1250" s="118"/>
      <c r="G1250" s="119"/>
      <c r="H1250" s="116"/>
      <c r="I1250" s="120"/>
      <c r="J1250" s="121"/>
      <c r="K1250" s="157">
        <f t="shared" si="160"/>
        <v>100</v>
      </c>
      <c r="L1250" s="157">
        <f t="shared" si="161"/>
        <v>200</v>
      </c>
      <c r="M1250" s="157">
        <f t="shared" si="162"/>
        <v>300</v>
      </c>
      <c r="N1250" s="157">
        <f t="shared" si="163"/>
        <v>400</v>
      </c>
      <c r="O1250" s="1075"/>
      <c r="P1250" s="1076" t="s">
        <v>5255</v>
      </c>
      <c r="Q1250" s="1069">
        <v>0</v>
      </c>
      <c r="R1250" s="1052"/>
      <c r="S1250" s="595"/>
      <c r="T1250" s="595"/>
      <c r="U1250" s="588"/>
    </row>
    <row r="1251" spans="1:21" ht="15.5" x14ac:dyDescent="0.35">
      <c r="A1251" s="124"/>
      <c r="B1251" s="125"/>
      <c r="C1251" s="126" t="s">
        <v>4826</v>
      </c>
      <c r="D1251" s="127" t="s">
        <v>5453</v>
      </c>
      <c r="E1251" s="128"/>
      <c r="F1251" s="129" t="str">
        <f>IF($F$3=1,O1251,"")</f>
        <v>E.2.1 Strom aus EE und vor Ort produziert</v>
      </c>
      <c r="G1251" s="204"/>
      <c r="H1251" s="205"/>
      <c r="I1251" s="520" t="s">
        <v>23</v>
      </c>
      <c r="J1251" s="130"/>
      <c r="K1251" s="157">
        <f t="shared" si="160"/>
        <v>100</v>
      </c>
      <c r="L1251" s="157">
        <f t="shared" si="161"/>
        <v>200</v>
      </c>
      <c r="M1251" s="157">
        <f t="shared" si="162"/>
        <v>300</v>
      </c>
      <c r="N1251" s="157">
        <f t="shared" si="163"/>
        <v>400</v>
      </c>
      <c r="O1251" s="1051" t="str">
        <f>CONCATENATE(C1251," ",D1251)</f>
        <v>E.2.1 Strom aus EE und vor Ort produziert</v>
      </c>
      <c r="P1251" s="1106" t="s">
        <v>5260</v>
      </c>
      <c r="Q1251" s="1070">
        <v>5.5555555555555552E-2</v>
      </c>
      <c r="R1251" s="1052"/>
      <c r="S1251" s="595"/>
      <c r="T1251" s="595"/>
      <c r="U1251" s="588"/>
    </row>
    <row r="1252" spans="1:21" ht="15" thickBot="1" x14ac:dyDescent="0.4">
      <c r="A1252" s="124"/>
      <c r="B1252" s="134"/>
      <c r="C1252" s="135"/>
      <c r="D1252" s="136"/>
      <c r="E1252" s="136"/>
      <c r="F1252" s="137"/>
      <c r="G1252" s="138"/>
      <c r="H1252" s="124"/>
      <c r="I1252" s="139"/>
      <c r="J1252" s="140"/>
      <c r="K1252" s="157">
        <f t="shared" si="160"/>
        <v>100</v>
      </c>
      <c r="L1252" s="157">
        <f t="shared" si="161"/>
        <v>200</v>
      </c>
      <c r="M1252" s="157">
        <f t="shared" si="162"/>
        <v>300</v>
      </c>
      <c r="N1252" s="157">
        <f t="shared" si="163"/>
        <v>400</v>
      </c>
      <c r="O1252" s="1075"/>
      <c r="P1252" s="1107" t="s">
        <v>5314</v>
      </c>
      <c r="Q1252" s="1071">
        <v>0.1111111111111111</v>
      </c>
      <c r="R1252" s="1052"/>
      <c r="S1252" s="595"/>
      <c r="T1252" s="595"/>
      <c r="U1252" s="588"/>
    </row>
    <row r="1253" spans="1:21" x14ac:dyDescent="0.35">
      <c r="A1253" s="142"/>
      <c r="B1253" s="35"/>
      <c r="C1253" s="143"/>
      <c r="D1253" s="1685" t="s">
        <v>18</v>
      </c>
      <c r="E1253" s="1686"/>
      <c r="F1253" s="144" t="s">
        <v>19</v>
      </c>
      <c r="G1253" s="145" t="s">
        <v>0</v>
      </c>
      <c r="H1253" s="146" t="s">
        <v>20</v>
      </c>
      <c r="I1253" s="147" t="s">
        <v>1</v>
      </c>
      <c r="J1253" s="147" t="s">
        <v>4375</v>
      </c>
      <c r="K1253" s="157">
        <f t="shared" si="160"/>
        <v>100</v>
      </c>
      <c r="L1253" s="157">
        <f t="shared" si="161"/>
        <v>200</v>
      </c>
      <c r="M1253" s="157">
        <f t="shared" si="162"/>
        <v>300</v>
      </c>
      <c r="N1253" s="157">
        <f t="shared" si="163"/>
        <v>400</v>
      </c>
      <c r="O1253" s="1078"/>
      <c r="P1253" s="1057" t="s">
        <v>4963</v>
      </c>
      <c r="Q1253" s="1069">
        <v>0</v>
      </c>
      <c r="R1253" s="1052"/>
      <c r="S1253" s="595"/>
      <c r="T1253" s="595"/>
      <c r="U1253" s="588"/>
    </row>
    <row r="1254" spans="1:21" ht="24" x14ac:dyDescent="0.35">
      <c r="A1254" s="123"/>
      <c r="B1254" s="35"/>
      <c r="C1254" s="151"/>
      <c r="D1254" s="1687" t="s">
        <v>4975</v>
      </c>
      <c r="E1254" s="1688"/>
      <c r="F1254" s="152" t="s">
        <v>4976</v>
      </c>
      <c r="G1254" s="153">
        <f>IF($H$2=1,S1255,IF($H$2=2,T1255,U1255))</f>
        <v>1</v>
      </c>
      <c r="H1254" s="226">
        <f>'RH Wärme-Strom'!C156</f>
        <v>0</v>
      </c>
      <c r="I1254" s="267"/>
      <c r="J1254" s="156"/>
      <c r="K1254" s="157">
        <f t="shared" si="160"/>
        <v>100</v>
      </c>
      <c r="L1254" s="157">
        <f t="shared" si="161"/>
        <v>200</v>
      </c>
      <c r="M1254" s="157">
        <f t="shared" si="162"/>
        <v>300</v>
      </c>
      <c r="N1254" s="157">
        <f t="shared" si="163"/>
        <v>400</v>
      </c>
      <c r="O1254" s="1051" t="str">
        <f>CONCATENATE(O1251," | ",F1254)</f>
        <v>E.2.1 Strom aus EE und vor Ort produziert | Rechenhilfe: Strom aus erneuerbaren Energieträgern vor Ort [kWh/a] / Überbaute Fläche [m² ÜF]</v>
      </c>
      <c r="P1254" s="1059" t="s">
        <v>4964</v>
      </c>
      <c r="Q1254" s="1070">
        <v>5.5555555555555552E-2</v>
      </c>
      <c r="R1254" s="1052"/>
      <c r="S1254" s="595"/>
      <c r="T1254" s="595"/>
      <c r="U1254" s="588"/>
    </row>
    <row r="1255" spans="1:21" ht="15" thickBot="1" x14ac:dyDescent="0.4">
      <c r="A1255" s="123"/>
      <c r="B1255" s="35"/>
      <c r="C1255" s="151"/>
      <c r="D1255" s="1687"/>
      <c r="E1255" s="1688"/>
      <c r="F1255" s="159"/>
      <c r="G1255" s="160"/>
      <c r="H1255" s="161"/>
      <c r="I1255" s="166"/>
      <c r="J1255" s="167"/>
      <c r="K1255" s="157">
        <f t="shared" si="160"/>
        <v>100</v>
      </c>
      <c r="L1255" s="157">
        <f t="shared" si="161"/>
        <v>200</v>
      </c>
      <c r="M1255" s="157">
        <f t="shared" si="162"/>
        <v>300</v>
      </c>
      <c r="N1255" s="157">
        <f t="shared" si="163"/>
        <v>400</v>
      </c>
      <c r="O1255" s="1051"/>
      <c r="P1255" s="1061" t="s">
        <v>4965</v>
      </c>
      <c r="Q1255" s="1071">
        <v>0.1111111111111111</v>
      </c>
      <c r="R1255" s="1052"/>
      <c r="S1255" s="588">
        <v>0</v>
      </c>
      <c r="T1255" s="588">
        <v>0.7</v>
      </c>
      <c r="U1255" s="588">
        <v>1</v>
      </c>
    </row>
    <row r="1256" spans="1:21" x14ac:dyDescent="0.35">
      <c r="A1256" s="123"/>
      <c r="B1256" s="35"/>
      <c r="C1256" s="151"/>
      <c r="D1256" s="1687"/>
      <c r="E1256" s="1688"/>
      <c r="F1256" s="593" t="str">
        <f>IF($G$2=1,R1256,"Weiteres Kriterium in der Nutzung")</f>
        <v>Weiteres Kriterium in der Nutzung</v>
      </c>
      <c r="G1256" s="153">
        <f t="shared" ref="G1256:G1258" si="167">IF($H$2=1,S1256,IF($H$2=2,T1256,U1256))</f>
        <v>0</v>
      </c>
      <c r="H1256" s="154"/>
      <c r="I1256" s="158"/>
      <c r="J1256" s="156"/>
      <c r="K1256" s="157">
        <f t="shared" si="160"/>
        <v>100</v>
      </c>
      <c r="L1256" s="157">
        <f t="shared" si="161"/>
        <v>200</v>
      </c>
      <c r="M1256" s="157">
        <f t="shared" si="162"/>
        <v>300</v>
      </c>
      <c r="N1256" s="157">
        <f t="shared" si="163"/>
        <v>400</v>
      </c>
      <c r="O1256" s="967" t="str">
        <f>CONCATENATE(O1251," | ",F1256)</f>
        <v>E.2.1 Strom aus EE und vor Ort produziert | Weiteres Kriterium in der Nutzung</v>
      </c>
      <c r="P1256" s="1055"/>
      <c r="Q1256" s="1064"/>
      <c r="R1256" s="968" t="s">
        <v>5347</v>
      </c>
      <c r="S1256" s="588">
        <v>0.33</v>
      </c>
      <c r="T1256" s="588">
        <v>0.1</v>
      </c>
      <c r="U1256" s="588">
        <v>0</v>
      </c>
    </row>
    <row r="1257" spans="1:21" x14ac:dyDescent="0.35">
      <c r="A1257" s="123">
        <v>3.2</v>
      </c>
      <c r="B1257" s="35"/>
      <c r="C1257" s="151"/>
      <c r="D1257" s="1687"/>
      <c r="E1257" s="1688"/>
      <c r="F1257" s="593" t="str">
        <f>IF($G$2=1,R1257,"Weiteres Kriterium in der Nutzung")</f>
        <v>Weiteres Kriterium in der Nutzung</v>
      </c>
      <c r="G1257" s="153">
        <f t="shared" si="167"/>
        <v>0</v>
      </c>
      <c r="H1257" s="154"/>
      <c r="I1257" s="158"/>
      <c r="J1257" s="156"/>
      <c r="K1257" s="157">
        <f t="shared" si="160"/>
        <v>100</v>
      </c>
      <c r="L1257" s="157">
        <f t="shared" si="161"/>
        <v>200</v>
      </c>
      <c r="M1257" s="157">
        <f t="shared" si="162"/>
        <v>300</v>
      </c>
      <c r="N1257" s="157">
        <f t="shared" si="163"/>
        <v>400</v>
      </c>
      <c r="O1257" s="967" t="str">
        <f>CONCATENATE(O1251," | ",F1257)</f>
        <v>E.2.1 Strom aus EE und vor Ort produziert | Weiteres Kriterium in der Nutzung</v>
      </c>
      <c r="P1257" s="967"/>
      <c r="Q1257" s="586"/>
      <c r="R1257" s="968" t="s">
        <v>5342</v>
      </c>
      <c r="S1257" s="588">
        <v>0.33</v>
      </c>
      <c r="T1257" s="588">
        <v>0.1</v>
      </c>
      <c r="U1257" s="588">
        <v>0</v>
      </c>
    </row>
    <row r="1258" spans="1:21" x14ac:dyDescent="0.35">
      <c r="A1258" s="123"/>
      <c r="B1258" s="35"/>
      <c r="C1258" s="151"/>
      <c r="D1258" s="1687"/>
      <c r="E1258" s="1688"/>
      <c r="F1258" s="593" t="str">
        <f>IF($G$2=1,R1258,"Weiteres Kriterium in der Nutzung")</f>
        <v>Weiteres Kriterium in der Nutzung</v>
      </c>
      <c r="G1258" s="153">
        <f t="shared" si="167"/>
        <v>0</v>
      </c>
      <c r="H1258" s="154"/>
      <c r="I1258" s="158"/>
      <c r="J1258" s="156"/>
      <c r="K1258" s="157">
        <f t="shared" si="160"/>
        <v>100</v>
      </c>
      <c r="L1258" s="157">
        <f t="shared" si="161"/>
        <v>200</v>
      </c>
      <c r="M1258" s="157">
        <f t="shared" si="162"/>
        <v>300</v>
      </c>
      <c r="N1258" s="157">
        <f t="shared" si="163"/>
        <v>400</v>
      </c>
      <c r="O1258" s="967" t="str">
        <f>CONCATENATE(O1251," | ",F1258)</f>
        <v>E.2.1 Strom aus EE und vor Ort produziert | Weiteres Kriterium in der Nutzung</v>
      </c>
      <c r="P1258" s="967"/>
      <c r="Q1258" s="586"/>
      <c r="R1258" s="968" t="s">
        <v>5343</v>
      </c>
      <c r="S1258" s="588">
        <v>0.34</v>
      </c>
      <c r="T1258" s="588">
        <v>0.1</v>
      </c>
      <c r="U1258" s="588">
        <v>0</v>
      </c>
    </row>
    <row r="1259" spans="1:21" x14ac:dyDescent="0.35">
      <c r="A1259" s="116"/>
      <c r="B1259" s="35"/>
      <c r="C1259" s="117"/>
      <c r="D1259" s="1687"/>
      <c r="E1259" s="1688"/>
      <c r="F1259" s="159"/>
      <c r="G1259" s="160"/>
      <c r="H1259" s="161"/>
      <c r="I1259" s="162"/>
      <c r="J1259" s="167"/>
      <c r="K1259" s="157">
        <f t="shared" si="160"/>
        <v>100</v>
      </c>
      <c r="L1259" s="157">
        <f t="shared" si="161"/>
        <v>200</v>
      </c>
      <c r="M1259" s="157">
        <f t="shared" si="162"/>
        <v>300</v>
      </c>
      <c r="N1259" s="157">
        <f t="shared" si="163"/>
        <v>400</v>
      </c>
      <c r="O1259" s="959"/>
      <c r="P1259" s="967"/>
      <c r="Q1259" s="586"/>
      <c r="R1259" s="968"/>
      <c r="S1259" s="588"/>
      <c r="T1259" s="588"/>
      <c r="U1259" s="588"/>
    </row>
    <row r="1260" spans="1:21" x14ac:dyDescent="0.35">
      <c r="A1260" s="116"/>
      <c r="B1260" s="35"/>
      <c r="C1260" s="117"/>
      <c r="D1260" s="1687"/>
      <c r="E1260" s="1688"/>
      <c r="F1260" s="159"/>
      <c r="G1260" s="160"/>
      <c r="H1260" s="161"/>
      <c r="I1260" s="162"/>
      <c r="J1260" s="167"/>
      <c r="K1260" s="157">
        <f t="shared" si="160"/>
        <v>100</v>
      </c>
      <c r="L1260" s="157">
        <f t="shared" si="161"/>
        <v>200</v>
      </c>
      <c r="M1260" s="157">
        <f t="shared" si="162"/>
        <v>300</v>
      </c>
      <c r="N1260" s="157">
        <f t="shared" si="163"/>
        <v>400</v>
      </c>
      <c r="O1260" s="959"/>
      <c r="P1260" s="967"/>
      <c r="Q1260" s="586"/>
      <c r="R1260" s="968"/>
      <c r="S1260" s="589"/>
      <c r="T1260" s="589"/>
      <c r="U1260" s="589"/>
    </row>
    <row r="1261" spans="1:21" x14ac:dyDescent="0.35">
      <c r="A1261" s="116"/>
      <c r="B1261" s="35"/>
      <c r="C1261" s="117"/>
      <c r="D1261" s="1687"/>
      <c r="E1261" s="1688"/>
      <c r="F1261" s="159"/>
      <c r="G1261" s="160"/>
      <c r="H1261" s="161"/>
      <c r="I1261" s="162"/>
      <c r="J1261" s="167"/>
      <c r="K1261" s="157">
        <f t="shared" ref="K1261:K1324" si="168">IF($J1261=$K$41,K1260+1,K1260+0)</f>
        <v>100</v>
      </c>
      <c r="L1261" s="157">
        <f t="shared" ref="L1261:L1324" si="169">IF($J1261=$L$41,L1260+1,L1260+0)</f>
        <v>200</v>
      </c>
      <c r="M1261" s="157">
        <f t="shared" ref="M1261:M1324" si="170">IF($J1261=$M$41,M1260+1,M1260+0)</f>
        <v>300</v>
      </c>
      <c r="N1261" s="157">
        <f t="shared" ref="N1261:N1324" si="171">IF($J1261=$N$41,N1260+1,N1260+0)</f>
        <v>400</v>
      </c>
      <c r="O1261" s="959"/>
      <c r="P1261" s="967"/>
      <c r="Q1261" s="586"/>
      <c r="R1261" s="968"/>
      <c r="S1261" s="589"/>
      <c r="T1261" s="589"/>
      <c r="U1261" s="589"/>
    </row>
    <row r="1262" spans="1:21" x14ac:dyDescent="0.35">
      <c r="A1262" s="123"/>
      <c r="B1262" s="35"/>
      <c r="C1262" s="151"/>
      <c r="D1262" s="1687"/>
      <c r="E1262" s="1688"/>
      <c r="F1262" s="165"/>
      <c r="G1262" s="160"/>
      <c r="H1262" s="161"/>
      <c r="I1262" s="166"/>
      <c r="J1262" s="167"/>
      <c r="K1262" s="157">
        <f t="shared" si="168"/>
        <v>100</v>
      </c>
      <c r="L1262" s="157">
        <f t="shared" si="169"/>
        <v>200</v>
      </c>
      <c r="M1262" s="157">
        <f t="shared" si="170"/>
        <v>300</v>
      </c>
      <c r="N1262" s="157">
        <f t="shared" si="171"/>
        <v>400</v>
      </c>
      <c r="O1262" s="959"/>
      <c r="P1262" s="967"/>
      <c r="Q1262" s="586"/>
      <c r="R1262" s="968"/>
      <c r="S1262" s="589"/>
      <c r="T1262" s="589"/>
      <c r="U1262" s="589"/>
    </row>
    <row r="1263" spans="1:21" x14ac:dyDescent="0.35">
      <c r="A1263" s="116"/>
      <c r="B1263" s="35"/>
      <c r="C1263" s="117"/>
      <c r="D1263" s="1687"/>
      <c r="E1263" s="1688"/>
      <c r="F1263" s="159"/>
      <c r="G1263" s="160"/>
      <c r="H1263" s="168"/>
      <c r="I1263" s="162"/>
      <c r="J1263" s="164"/>
      <c r="K1263" s="157">
        <f t="shared" si="168"/>
        <v>100</v>
      </c>
      <c r="L1263" s="157">
        <f t="shared" si="169"/>
        <v>200</v>
      </c>
      <c r="M1263" s="157">
        <f t="shared" si="170"/>
        <v>300</v>
      </c>
      <c r="N1263" s="157">
        <f t="shared" si="171"/>
        <v>400</v>
      </c>
      <c r="O1263" s="959"/>
      <c r="P1263" s="967"/>
      <c r="Q1263" s="586"/>
      <c r="R1263" s="968"/>
      <c r="S1263" s="589"/>
      <c r="T1263" s="589"/>
      <c r="U1263" s="589"/>
    </row>
    <row r="1264" spans="1:21" x14ac:dyDescent="0.35">
      <c r="A1264" s="116"/>
      <c r="B1264" s="117"/>
      <c r="C1264" s="117"/>
      <c r="D1264" s="1687"/>
      <c r="E1264" s="1688"/>
      <c r="F1264" s="159"/>
      <c r="G1264" s="160"/>
      <c r="H1264" s="168"/>
      <c r="I1264" s="162"/>
      <c r="J1264" s="164"/>
      <c r="K1264" s="157">
        <f t="shared" si="168"/>
        <v>100</v>
      </c>
      <c r="L1264" s="157">
        <f t="shared" si="169"/>
        <v>200</v>
      </c>
      <c r="M1264" s="157">
        <f t="shared" si="170"/>
        <v>300</v>
      </c>
      <c r="N1264" s="157">
        <f t="shared" si="171"/>
        <v>400</v>
      </c>
      <c r="O1264" s="959"/>
      <c r="P1264" s="967"/>
      <c r="Q1264" s="586"/>
      <c r="R1264" s="968"/>
      <c r="S1264" s="589"/>
      <c r="T1264" s="589"/>
      <c r="U1264" s="589"/>
    </row>
    <row r="1265" spans="1:21" x14ac:dyDescent="0.35">
      <c r="A1265" s="116"/>
      <c r="B1265" s="117"/>
      <c r="C1265" s="117"/>
      <c r="D1265" s="1687"/>
      <c r="E1265" s="1688"/>
      <c r="F1265" s="169"/>
      <c r="G1265" s="170"/>
      <c r="H1265" s="171"/>
      <c r="I1265" s="172"/>
      <c r="J1265" s="173"/>
      <c r="K1265" s="157">
        <f t="shared" si="168"/>
        <v>100</v>
      </c>
      <c r="L1265" s="157">
        <f t="shared" si="169"/>
        <v>200</v>
      </c>
      <c r="M1265" s="157">
        <f t="shared" si="170"/>
        <v>300</v>
      </c>
      <c r="N1265" s="157">
        <f t="shared" si="171"/>
        <v>400</v>
      </c>
      <c r="O1265" s="959"/>
      <c r="P1265" s="967"/>
      <c r="Q1265" s="586"/>
      <c r="R1265" s="968"/>
      <c r="S1265" s="589"/>
      <c r="T1265" s="589"/>
      <c r="U1265" s="589"/>
    </row>
    <row r="1266" spans="1:21" ht="28.5" customHeight="1" x14ac:dyDescent="0.35">
      <c r="A1266" s="116"/>
      <c r="B1266" s="117"/>
      <c r="C1266" s="117"/>
      <c r="D1266" s="174"/>
      <c r="E1266" s="175"/>
      <c r="F1266" s="1689" t="s">
        <v>2</v>
      </c>
      <c r="G1266" s="1689"/>
      <c r="H1266" s="176">
        <f>IF(O1266&gt;1,"Zielerreichung übersteigt 100%!",O1266)</f>
        <v>0</v>
      </c>
      <c r="I1266" s="177"/>
      <c r="J1266" s="178"/>
      <c r="K1266" s="157">
        <f t="shared" si="168"/>
        <v>100</v>
      </c>
      <c r="L1266" s="157">
        <f t="shared" si="169"/>
        <v>200</v>
      </c>
      <c r="M1266" s="157">
        <f t="shared" si="170"/>
        <v>300</v>
      </c>
      <c r="N1266" s="157">
        <f t="shared" si="171"/>
        <v>400</v>
      </c>
      <c r="O1266" s="959">
        <f>SUM(H1254:H1265)</f>
        <v>0</v>
      </c>
      <c r="P1266" s="967"/>
      <c r="Q1266" s="586"/>
      <c r="R1266" s="968"/>
      <c r="S1266" s="589"/>
      <c r="T1266" s="589"/>
      <c r="U1266" s="589"/>
    </row>
    <row r="1267" spans="1:21" x14ac:dyDescent="0.35">
      <c r="A1267" s="116"/>
      <c r="B1267" s="117"/>
      <c r="C1267" s="117"/>
      <c r="D1267" s="179"/>
      <c r="E1267" s="180"/>
      <c r="F1267" s="1690" t="s">
        <v>3</v>
      </c>
      <c r="G1267" s="1691"/>
      <c r="H1267" s="181">
        <v>20</v>
      </c>
      <c r="I1267" s="177"/>
      <c r="J1267" s="178"/>
      <c r="K1267" s="157">
        <f t="shared" si="168"/>
        <v>100</v>
      </c>
      <c r="L1267" s="157">
        <f t="shared" si="169"/>
        <v>200</v>
      </c>
      <c r="M1267" s="157">
        <f t="shared" si="170"/>
        <v>300</v>
      </c>
      <c r="N1267" s="157">
        <f t="shared" si="171"/>
        <v>400</v>
      </c>
      <c r="O1267" s="1030"/>
      <c r="P1267" s="967"/>
      <c r="Q1267" s="586"/>
      <c r="R1267" s="968"/>
      <c r="S1267" s="589"/>
      <c r="T1267" s="589"/>
      <c r="U1267" s="589"/>
    </row>
    <row r="1268" spans="1:21" x14ac:dyDescent="0.35">
      <c r="A1268" s="116"/>
      <c r="B1268" s="117"/>
      <c r="C1268" s="117"/>
      <c r="D1268" s="179"/>
      <c r="E1268" s="180"/>
      <c r="F1268" s="1692"/>
      <c r="G1268" s="1693"/>
      <c r="H1268" s="182"/>
      <c r="I1268" s="183"/>
      <c r="J1268" s="178"/>
      <c r="K1268" s="157">
        <f t="shared" si="168"/>
        <v>100</v>
      </c>
      <c r="L1268" s="157">
        <f t="shared" si="169"/>
        <v>200</v>
      </c>
      <c r="M1268" s="157">
        <f t="shared" si="170"/>
        <v>300</v>
      </c>
      <c r="N1268" s="157">
        <f t="shared" si="171"/>
        <v>400</v>
      </c>
      <c r="O1268" s="1030"/>
      <c r="P1268" s="967"/>
      <c r="Q1268" s="586"/>
      <c r="R1268" s="968"/>
      <c r="S1268" s="589"/>
      <c r="T1268" s="589"/>
      <c r="U1268" s="589"/>
    </row>
    <row r="1269" spans="1:21" x14ac:dyDescent="0.35">
      <c r="A1269" s="184"/>
      <c r="B1269" s="185"/>
      <c r="C1269" s="185"/>
      <c r="D1269" s="179"/>
      <c r="E1269" s="180"/>
      <c r="F1269" s="186"/>
      <c r="G1269" s="186"/>
      <c r="H1269" s="187"/>
      <c r="I1269" s="177"/>
      <c r="J1269" s="178"/>
      <c r="K1269" s="157">
        <f t="shared" si="168"/>
        <v>100</v>
      </c>
      <c r="L1269" s="157">
        <f t="shared" si="169"/>
        <v>200</v>
      </c>
      <c r="M1269" s="157">
        <f t="shared" si="170"/>
        <v>300</v>
      </c>
      <c r="N1269" s="157">
        <f t="shared" si="171"/>
        <v>400</v>
      </c>
      <c r="O1269" s="1030"/>
      <c r="P1269" s="967"/>
      <c r="Q1269" s="586"/>
      <c r="R1269" s="968"/>
      <c r="S1269" s="589"/>
      <c r="T1269" s="589"/>
      <c r="U1269" s="589"/>
    </row>
    <row r="1270" spans="1:21" ht="15.75" customHeight="1" x14ac:dyDescent="0.35">
      <c r="A1270" s="116"/>
      <c r="B1270" s="185"/>
      <c r="C1270" s="1694"/>
      <c r="D1270" s="1695"/>
      <c r="E1270" s="263"/>
      <c r="F1270" s="1696" t="s">
        <v>5</v>
      </c>
      <c r="G1270" s="1696"/>
      <c r="H1270" s="264">
        <f>IF(ISNUMBER(I1268),H1268*H1266,H1267*H1266)</f>
        <v>0</v>
      </c>
      <c r="I1270" s="265"/>
      <c r="J1270" s="266"/>
      <c r="K1270" s="157">
        <f t="shared" si="168"/>
        <v>100</v>
      </c>
      <c r="L1270" s="157">
        <f t="shared" si="169"/>
        <v>200</v>
      </c>
      <c r="M1270" s="157">
        <f t="shared" si="170"/>
        <v>300</v>
      </c>
      <c r="N1270" s="157">
        <f t="shared" si="171"/>
        <v>400</v>
      </c>
      <c r="O1270" s="1030"/>
      <c r="P1270" s="967"/>
      <c r="Q1270" s="586"/>
      <c r="R1270" s="968"/>
      <c r="S1270" s="589"/>
      <c r="T1270" s="589"/>
      <c r="U1270" s="589"/>
    </row>
    <row r="1271" spans="1:21" x14ac:dyDescent="0.35">
      <c r="B1271" s="185"/>
      <c r="K1271" s="157">
        <f t="shared" si="168"/>
        <v>100</v>
      </c>
      <c r="L1271" s="157">
        <f t="shared" si="169"/>
        <v>200</v>
      </c>
      <c r="M1271" s="157">
        <f t="shared" si="170"/>
        <v>300</v>
      </c>
      <c r="N1271" s="157">
        <f t="shared" si="171"/>
        <v>400</v>
      </c>
      <c r="O1271" s="967"/>
      <c r="P1271" s="967"/>
      <c r="Q1271" s="586"/>
      <c r="R1271" s="968"/>
      <c r="S1271" s="589"/>
      <c r="T1271" s="589"/>
      <c r="U1271" s="589"/>
    </row>
    <row r="1272" spans="1:21" ht="7.5" customHeight="1" x14ac:dyDescent="0.35">
      <c r="A1272" s="116"/>
      <c r="B1272" s="117"/>
      <c r="C1272" s="117"/>
      <c r="D1272" s="116"/>
      <c r="E1272" s="116"/>
      <c r="F1272" s="118"/>
      <c r="G1272" s="119"/>
      <c r="H1272" s="116"/>
      <c r="I1272" s="120"/>
      <c r="J1272" s="121"/>
      <c r="K1272" s="157">
        <f t="shared" si="168"/>
        <v>100</v>
      </c>
      <c r="L1272" s="157">
        <f t="shared" si="169"/>
        <v>200</v>
      </c>
      <c r="M1272" s="157">
        <f t="shared" si="170"/>
        <v>300</v>
      </c>
      <c r="N1272" s="157">
        <f t="shared" si="171"/>
        <v>400</v>
      </c>
      <c r="O1272" s="968"/>
      <c r="P1272" s="968"/>
      <c r="Q1272" s="586"/>
      <c r="R1272" s="968"/>
      <c r="S1272" s="589"/>
      <c r="T1272" s="589"/>
      <c r="U1272" s="589"/>
    </row>
    <row r="1273" spans="1:21" ht="15.5" x14ac:dyDescent="0.35">
      <c r="A1273" s="124"/>
      <c r="B1273" s="125"/>
      <c r="C1273" s="126" t="s">
        <v>4828</v>
      </c>
      <c r="D1273" s="127" t="s">
        <v>5454</v>
      </c>
      <c r="E1273" s="128"/>
      <c r="F1273" s="129" t="str">
        <f>IF($F$3=1,O1273,"")</f>
        <v>E.2.2 Qualität der Stromversorgung</v>
      </c>
      <c r="G1273" s="204"/>
      <c r="H1273" s="205"/>
      <c r="I1273" s="520" t="s">
        <v>23</v>
      </c>
      <c r="J1273" s="130"/>
      <c r="K1273" s="157">
        <f t="shared" si="168"/>
        <v>100</v>
      </c>
      <c r="L1273" s="157">
        <f t="shared" si="169"/>
        <v>200</v>
      </c>
      <c r="M1273" s="157">
        <f t="shared" si="170"/>
        <v>300</v>
      </c>
      <c r="N1273" s="157">
        <f t="shared" si="171"/>
        <v>400</v>
      </c>
      <c r="O1273" s="967" t="str">
        <f>CONCATENATE(C1273," ",D1273)</f>
        <v>E.2.2 Qualität der Stromversorgung</v>
      </c>
      <c r="P1273" s="966"/>
      <c r="Q1273" s="586"/>
      <c r="R1273" s="968"/>
      <c r="S1273" s="589"/>
      <c r="T1273" s="589"/>
      <c r="U1273" s="589"/>
    </row>
    <row r="1274" spans="1:21" x14ac:dyDescent="0.35">
      <c r="A1274" s="124"/>
      <c r="B1274" s="134"/>
      <c r="C1274" s="135"/>
      <c r="D1274" s="136"/>
      <c r="E1274" s="136"/>
      <c r="F1274" s="137"/>
      <c r="G1274" s="138"/>
      <c r="H1274" s="124"/>
      <c r="I1274" s="139"/>
      <c r="J1274" s="140"/>
      <c r="K1274" s="157">
        <f t="shared" si="168"/>
        <v>100</v>
      </c>
      <c r="L1274" s="157">
        <f t="shared" si="169"/>
        <v>200</v>
      </c>
      <c r="M1274" s="157">
        <f t="shared" si="170"/>
        <v>300</v>
      </c>
      <c r="N1274" s="157">
        <f t="shared" si="171"/>
        <v>400</v>
      </c>
      <c r="O1274" s="968"/>
      <c r="P1274" s="966"/>
      <c r="Q1274" s="586"/>
      <c r="R1274" s="968"/>
      <c r="S1274" s="589"/>
      <c r="T1274" s="589"/>
      <c r="U1274" s="589"/>
    </row>
    <row r="1275" spans="1:21" x14ac:dyDescent="0.35">
      <c r="A1275" s="142"/>
      <c r="B1275" s="35"/>
      <c r="C1275" s="143"/>
      <c r="D1275" s="1685" t="s">
        <v>18</v>
      </c>
      <c r="E1275" s="1686"/>
      <c r="F1275" s="144" t="s">
        <v>19</v>
      </c>
      <c r="G1275" s="145" t="s">
        <v>0</v>
      </c>
      <c r="H1275" s="146" t="s">
        <v>20</v>
      </c>
      <c r="I1275" s="147" t="s">
        <v>1</v>
      </c>
      <c r="J1275" s="147" t="s">
        <v>4375</v>
      </c>
      <c r="K1275" s="157">
        <f t="shared" si="168"/>
        <v>100</v>
      </c>
      <c r="L1275" s="157">
        <f t="shared" si="169"/>
        <v>200</v>
      </c>
      <c r="M1275" s="157">
        <f t="shared" si="170"/>
        <v>300</v>
      </c>
      <c r="N1275" s="157">
        <f t="shared" si="171"/>
        <v>400</v>
      </c>
      <c r="O1275" s="587"/>
      <c r="P1275" s="967"/>
      <c r="Q1275" s="586"/>
      <c r="R1275" s="968"/>
      <c r="S1275" s="589"/>
      <c r="T1275" s="589"/>
      <c r="U1275" s="589"/>
    </row>
    <row r="1276" spans="1:21" ht="24" x14ac:dyDescent="0.35">
      <c r="A1276" s="123"/>
      <c r="B1276" s="35"/>
      <c r="C1276" s="151"/>
      <c r="D1276" s="1687" t="s">
        <v>5261</v>
      </c>
      <c r="E1276" s="1688"/>
      <c r="F1276" s="152" t="s">
        <v>5274</v>
      </c>
      <c r="G1276" s="153">
        <f t="shared" ref="G1276" si="172">IF($H$2=1,S1276,IF($H$2=2,T1276,U1276))</f>
        <v>1</v>
      </c>
      <c r="H1276" s="226">
        <f>'RH Wärme-Strom'!C159</f>
        <v>0</v>
      </c>
      <c r="I1276" s="598"/>
      <c r="J1276" s="156"/>
      <c r="K1276" s="157">
        <f t="shared" si="168"/>
        <v>100</v>
      </c>
      <c r="L1276" s="157">
        <f t="shared" si="169"/>
        <v>200</v>
      </c>
      <c r="M1276" s="157">
        <f t="shared" si="170"/>
        <v>300</v>
      </c>
      <c r="N1276" s="157">
        <f t="shared" si="171"/>
        <v>400</v>
      </c>
      <c r="O1276" s="967" t="str">
        <f>CONCATENATE(O1273," | ",F1276)</f>
        <v>E.2.2 Qualität der Stromversorgung | Rechenhilfe: Qualität abhängig von umgesetzter Stromversorgungslösung</v>
      </c>
      <c r="P1276" s="967"/>
      <c r="Q1276" s="586"/>
      <c r="R1276" s="968"/>
      <c r="S1276" s="588">
        <v>0</v>
      </c>
      <c r="T1276" s="588">
        <v>0.7</v>
      </c>
      <c r="U1276" s="588">
        <v>1</v>
      </c>
    </row>
    <row r="1277" spans="1:21" x14ac:dyDescent="0.35">
      <c r="A1277" s="123"/>
      <c r="B1277" s="35"/>
      <c r="C1277" s="151"/>
      <c r="D1277" s="1687"/>
      <c r="E1277" s="1688"/>
      <c r="F1277" s="159"/>
      <c r="G1277" s="160"/>
      <c r="H1277" s="161"/>
      <c r="I1277" s="162"/>
      <c r="J1277" s="164"/>
      <c r="K1277" s="157">
        <f t="shared" si="168"/>
        <v>100</v>
      </c>
      <c r="L1277" s="157">
        <f t="shared" si="169"/>
        <v>200</v>
      </c>
      <c r="M1277" s="157">
        <f t="shared" si="170"/>
        <v>300</v>
      </c>
      <c r="N1277" s="157">
        <f t="shared" si="171"/>
        <v>400</v>
      </c>
      <c r="O1277" s="967"/>
      <c r="P1277" s="967"/>
      <c r="Q1277" s="586"/>
      <c r="R1277" s="968"/>
      <c r="S1277" s="588"/>
      <c r="T1277" s="588"/>
      <c r="U1277" s="588"/>
    </row>
    <row r="1278" spans="1:21" x14ac:dyDescent="0.35">
      <c r="A1278" s="123"/>
      <c r="B1278" s="35"/>
      <c r="C1278" s="151"/>
      <c r="D1278" s="1687"/>
      <c r="E1278" s="1688"/>
      <c r="F1278" s="593" t="str">
        <f>IF($G$2=1,R1278,"Weiteres Kriterium in der Nutzung")</f>
        <v>Weiteres Kriterium in der Nutzung</v>
      </c>
      <c r="G1278" s="153">
        <f t="shared" ref="G1278:G1280" si="173">IF($H$2=1,S1278,IF($H$2=2,T1278,U1278))</f>
        <v>0</v>
      </c>
      <c r="H1278" s="154"/>
      <c r="I1278" s="158"/>
      <c r="J1278" s="156"/>
      <c r="K1278" s="157">
        <f t="shared" si="168"/>
        <v>100</v>
      </c>
      <c r="L1278" s="157">
        <f t="shared" si="169"/>
        <v>200</v>
      </c>
      <c r="M1278" s="157">
        <f t="shared" si="170"/>
        <v>300</v>
      </c>
      <c r="N1278" s="157">
        <f t="shared" si="171"/>
        <v>400</v>
      </c>
      <c r="O1278" s="967" t="str">
        <f>CONCATENATE(O1273," | ",F1278)</f>
        <v>E.2.2 Qualität der Stromversorgung | Weiteres Kriterium in der Nutzung</v>
      </c>
      <c r="P1278" s="967"/>
      <c r="Q1278" s="586"/>
      <c r="R1278" s="968" t="s">
        <v>5348</v>
      </c>
      <c r="S1278" s="588">
        <v>0.33</v>
      </c>
      <c r="T1278" s="588">
        <v>0.1</v>
      </c>
      <c r="U1278" s="588">
        <v>0</v>
      </c>
    </row>
    <row r="1279" spans="1:21" x14ac:dyDescent="0.35">
      <c r="A1279" s="123">
        <v>3.2</v>
      </c>
      <c r="B1279" s="35"/>
      <c r="C1279" s="151"/>
      <c r="D1279" s="1687"/>
      <c r="E1279" s="1688"/>
      <c r="F1279" s="593" t="str">
        <f>IF($G$2=1,R1279,"Weiteres Kriterium in der Nutzung")</f>
        <v>Weiteres Kriterium in der Nutzung</v>
      </c>
      <c r="G1279" s="153">
        <f t="shared" si="173"/>
        <v>0</v>
      </c>
      <c r="H1279" s="154"/>
      <c r="I1279" s="158"/>
      <c r="J1279" s="156"/>
      <c r="K1279" s="157">
        <f t="shared" si="168"/>
        <v>100</v>
      </c>
      <c r="L1279" s="157">
        <f t="shared" si="169"/>
        <v>200</v>
      </c>
      <c r="M1279" s="157">
        <f t="shared" si="170"/>
        <v>300</v>
      </c>
      <c r="N1279" s="157">
        <f t="shared" si="171"/>
        <v>400</v>
      </c>
      <c r="O1279" s="967" t="str">
        <f>CONCATENATE(O1273," | ",F1279)</f>
        <v>E.2.2 Qualität der Stromversorgung | Weiteres Kriterium in der Nutzung</v>
      </c>
      <c r="P1279" s="967"/>
      <c r="Q1279" s="586"/>
      <c r="R1279" s="968" t="s">
        <v>5342</v>
      </c>
      <c r="S1279" s="588">
        <v>0.33</v>
      </c>
      <c r="T1279" s="588">
        <v>0.1</v>
      </c>
      <c r="U1279" s="588">
        <v>0</v>
      </c>
    </row>
    <row r="1280" spans="1:21" x14ac:dyDescent="0.35">
      <c r="A1280" s="123"/>
      <c r="B1280" s="35"/>
      <c r="C1280" s="151"/>
      <c r="D1280" s="1687"/>
      <c r="E1280" s="1688"/>
      <c r="F1280" s="593" t="str">
        <f>IF($G$2=1,R1280,"Weiteres Kriterium in der Nutzung")</f>
        <v>Weiteres Kriterium in der Nutzung</v>
      </c>
      <c r="G1280" s="153">
        <f t="shared" si="173"/>
        <v>0</v>
      </c>
      <c r="H1280" s="154"/>
      <c r="I1280" s="158"/>
      <c r="J1280" s="156"/>
      <c r="K1280" s="157">
        <f t="shared" si="168"/>
        <v>100</v>
      </c>
      <c r="L1280" s="157">
        <f t="shared" si="169"/>
        <v>200</v>
      </c>
      <c r="M1280" s="157">
        <f t="shared" si="170"/>
        <v>300</v>
      </c>
      <c r="N1280" s="157">
        <f t="shared" si="171"/>
        <v>400</v>
      </c>
      <c r="O1280" s="967" t="str">
        <f>CONCATENATE(O1273," | ",F1280)</f>
        <v>E.2.2 Qualität der Stromversorgung | Weiteres Kriterium in der Nutzung</v>
      </c>
      <c r="P1280" s="967"/>
      <c r="Q1280" s="586"/>
      <c r="R1280" s="968" t="s">
        <v>5346</v>
      </c>
      <c r="S1280" s="588">
        <v>0.34</v>
      </c>
      <c r="T1280" s="588">
        <v>0.1</v>
      </c>
      <c r="U1280" s="588">
        <v>0</v>
      </c>
    </row>
    <row r="1281" spans="1:21" x14ac:dyDescent="0.35">
      <c r="A1281" s="116"/>
      <c r="B1281" s="35"/>
      <c r="C1281" s="117"/>
      <c r="D1281" s="1687"/>
      <c r="E1281" s="1688"/>
      <c r="F1281" s="159"/>
      <c r="G1281" s="160"/>
      <c r="H1281" s="161"/>
      <c r="I1281" s="162"/>
      <c r="J1281" s="164"/>
      <c r="K1281" s="157">
        <f t="shared" si="168"/>
        <v>100</v>
      </c>
      <c r="L1281" s="157">
        <f t="shared" si="169"/>
        <v>200</v>
      </c>
      <c r="M1281" s="157">
        <f t="shared" si="170"/>
        <v>300</v>
      </c>
      <c r="N1281" s="157">
        <f t="shared" si="171"/>
        <v>400</v>
      </c>
      <c r="O1281" s="959"/>
      <c r="P1281" s="967"/>
      <c r="Q1281" s="586"/>
      <c r="R1281" s="968"/>
      <c r="S1281" s="589"/>
      <c r="T1281" s="589"/>
      <c r="U1281" s="589"/>
    </row>
    <row r="1282" spans="1:21" x14ac:dyDescent="0.35">
      <c r="A1282" s="116"/>
      <c r="B1282" s="35"/>
      <c r="C1282" s="117"/>
      <c r="D1282" s="1687"/>
      <c r="E1282" s="1688"/>
      <c r="F1282" s="159"/>
      <c r="G1282" s="160"/>
      <c r="H1282" s="161"/>
      <c r="I1282" s="162"/>
      <c r="J1282" s="164"/>
      <c r="K1282" s="157">
        <f t="shared" si="168"/>
        <v>100</v>
      </c>
      <c r="L1282" s="157">
        <f t="shared" si="169"/>
        <v>200</v>
      </c>
      <c r="M1282" s="157">
        <f t="shared" si="170"/>
        <v>300</v>
      </c>
      <c r="N1282" s="157">
        <f t="shared" si="171"/>
        <v>400</v>
      </c>
      <c r="O1282" s="959"/>
      <c r="P1282" s="967"/>
      <c r="Q1282" s="586"/>
      <c r="R1282" s="968"/>
      <c r="S1282" s="589"/>
      <c r="T1282" s="589"/>
      <c r="U1282" s="589"/>
    </row>
    <row r="1283" spans="1:21" x14ac:dyDescent="0.35">
      <c r="A1283" s="116"/>
      <c r="B1283" s="35"/>
      <c r="C1283" s="117"/>
      <c r="D1283" s="1687"/>
      <c r="E1283" s="1688"/>
      <c r="F1283" s="159"/>
      <c r="G1283" s="160"/>
      <c r="H1283" s="161"/>
      <c r="I1283" s="162"/>
      <c r="J1283" s="164"/>
      <c r="K1283" s="157">
        <f t="shared" si="168"/>
        <v>100</v>
      </c>
      <c r="L1283" s="157">
        <f t="shared" si="169"/>
        <v>200</v>
      </c>
      <c r="M1283" s="157">
        <f t="shared" si="170"/>
        <v>300</v>
      </c>
      <c r="N1283" s="157">
        <f t="shared" si="171"/>
        <v>400</v>
      </c>
      <c r="O1283" s="959"/>
      <c r="P1283" s="967"/>
      <c r="Q1283" s="586"/>
      <c r="R1283" s="968"/>
      <c r="S1283" s="589"/>
      <c r="T1283" s="589"/>
      <c r="U1283" s="589"/>
    </row>
    <row r="1284" spans="1:21" x14ac:dyDescent="0.35">
      <c r="A1284" s="123"/>
      <c r="B1284" s="35"/>
      <c r="C1284" s="151"/>
      <c r="D1284" s="1687"/>
      <c r="E1284" s="1688"/>
      <c r="F1284" s="165"/>
      <c r="G1284" s="160"/>
      <c r="H1284" s="161"/>
      <c r="I1284" s="166"/>
      <c r="J1284" s="167"/>
      <c r="K1284" s="157">
        <f t="shared" si="168"/>
        <v>100</v>
      </c>
      <c r="L1284" s="157">
        <f t="shared" si="169"/>
        <v>200</v>
      </c>
      <c r="M1284" s="157">
        <f t="shared" si="170"/>
        <v>300</v>
      </c>
      <c r="N1284" s="157">
        <f t="shared" si="171"/>
        <v>400</v>
      </c>
      <c r="O1284" s="959"/>
      <c r="P1284" s="967"/>
      <c r="Q1284" s="586"/>
      <c r="R1284" s="968"/>
      <c r="S1284" s="589"/>
      <c r="T1284" s="589"/>
      <c r="U1284" s="589"/>
    </row>
    <row r="1285" spans="1:21" x14ac:dyDescent="0.35">
      <c r="A1285" s="116"/>
      <c r="B1285" s="35"/>
      <c r="C1285" s="117"/>
      <c r="D1285" s="1687"/>
      <c r="E1285" s="1688"/>
      <c r="F1285" s="159"/>
      <c r="G1285" s="160"/>
      <c r="H1285" s="168"/>
      <c r="I1285" s="162"/>
      <c r="J1285" s="164"/>
      <c r="K1285" s="157">
        <f t="shared" si="168"/>
        <v>100</v>
      </c>
      <c r="L1285" s="157">
        <f t="shared" si="169"/>
        <v>200</v>
      </c>
      <c r="M1285" s="157">
        <f t="shared" si="170"/>
        <v>300</v>
      </c>
      <c r="N1285" s="157">
        <f t="shared" si="171"/>
        <v>400</v>
      </c>
      <c r="O1285" s="959"/>
      <c r="P1285" s="967"/>
      <c r="Q1285" s="586"/>
      <c r="R1285" s="968"/>
      <c r="S1285" s="589"/>
      <c r="T1285" s="589"/>
      <c r="U1285" s="589"/>
    </row>
    <row r="1286" spans="1:21" x14ac:dyDescent="0.35">
      <c r="A1286" s="116"/>
      <c r="B1286" s="117"/>
      <c r="C1286" s="117"/>
      <c r="D1286" s="1687"/>
      <c r="E1286" s="1688"/>
      <c r="F1286" s="159"/>
      <c r="G1286" s="160"/>
      <c r="H1286" s="168"/>
      <c r="I1286" s="162"/>
      <c r="J1286" s="164"/>
      <c r="K1286" s="157">
        <f t="shared" si="168"/>
        <v>100</v>
      </c>
      <c r="L1286" s="157">
        <f t="shared" si="169"/>
        <v>200</v>
      </c>
      <c r="M1286" s="157">
        <f t="shared" si="170"/>
        <v>300</v>
      </c>
      <c r="N1286" s="157">
        <f t="shared" si="171"/>
        <v>400</v>
      </c>
      <c r="O1286" s="959"/>
      <c r="P1286" s="967"/>
      <c r="Q1286" s="586"/>
      <c r="R1286" s="968"/>
      <c r="S1286" s="589"/>
      <c r="T1286" s="589"/>
      <c r="U1286" s="589"/>
    </row>
    <row r="1287" spans="1:21" x14ac:dyDescent="0.35">
      <c r="A1287" s="116"/>
      <c r="B1287" s="117"/>
      <c r="C1287" s="117"/>
      <c r="D1287" s="1687"/>
      <c r="E1287" s="1688"/>
      <c r="F1287" s="169"/>
      <c r="G1287" s="170"/>
      <c r="H1287" s="171"/>
      <c r="I1287" s="172"/>
      <c r="J1287" s="173"/>
      <c r="K1287" s="157">
        <f t="shared" si="168"/>
        <v>100</v>
      </c>
      <c r="L1287" s="157">
        <f t="shared" si="169"/>
        <v>200</v>
      </c>
      <c r="M1287" s="157">
        <f t="shared" si="170"/>
        <v>300</v>
      </c>
      <c r="N1287" s="157">
        <f t="shared" si="171"/>
        <v>400</v>
      </c>
      <c r="O1287" s="959"/>
      <c r="P1287" s="967"/>
      <c r="Q1287" s="586"/>
      <c r="R1287" s="968"/>
      <c r="S1287" s="589"/>
      <c r="T1287" s="589"/>
      <c r="U1287" s="589"/>
    </row>
    <row r="1288" spans="1:21" ht="28.5" customHeight="1" x14ac:dyDescent="0.35">
      <c r="A1288" s="116"/>
      <c r="B1288" s="117"/>
      <c r="C1288" s="117"/>
      <c r="D1288" s="174"/>
      <c r="E1288" s="175"/>
      <c r="F1288" s="1689" t="s">
        <v>2</v>
      </c>
      <c r="G1288" s="1689"/>
      <c r="H1288" s="176">
        <f>IF(O1288&gt;1,"Zielerreichung übersteigt 100%!",O1288)</f>
        <v>0</v>
      </c>
      <c r="I1288" s="177"/>
      <c r="J1288" s="178"/>
      <c r="K1288" s="157">
        <f t="shared" si="168"/>
        <v>100</v>
      </c>
      <c r="L1288" s="157">
        <f t="shared" si="169"/>
        <v>200</v>
      </c>
      <c r="M1288" s="157">
        <f t="shared" si="170"/>
        <v>300</v>
      </c>
      <c r="N1288" s="157">
        <f t="shared" si="171"/>
        <v>400</v>
      </c>
      <c r="O1288" s="959">
        <f>SUM(H1276:H1287)</f>
        <v>0</v>
      </c>
      <c r="P1288" s="967"/>
      <c r="Q1288" s="586"/>
      <c r="R1288" s="968"/>
      <c r="S1288" s="589"/>
      <c r="T1288" s="589"/>
      <c r="U1288" s="589"/>
    </row>
    <row r="1289" spans="1:21" x14ac:dyDescent="0.35">
      <c r="A1289" s="116"/>
      <c r="B1289" s="117"/>
      <c r="C1289" s="117"/>
      <c r="D1289" s="179"/>
      <c r="E1289" s="180"/>
      <c r="F1289" s="1690" t="s">
        <v>3</v>
      </c>
      <c r="G1289" s="1691"/>
      <c r="H1289" s="181">
        <v>20</v>
      </c>
      <c r="I1289" s="177"/>
      <c r="J1289" s="178"/>
      <c r="K1289" s="157">
        <f t="shared" si="168"/>
        <v>100</v>
      </c>
      <c r="L1289" s="157">
        <f t="shared" si="169"/>
        <v>200</v>
      </c>
      <c r="M1289" s="157">
        <f t="shared" si="170"/>
        <v>300</v>
      </c>
      <c r="N1289" s="157">
        <f t="shared" si="171"/>
        <v>400</v>
      </c>
      <c r="O1289" s="1030"/>
      <c r="P1289" s="967"/>
      <c r="Q1289" s="586"/>
      <c r="R1289" s="968"/>
      <c r="S1289" s="589"/>
      <c r="T1289" s="589"/>
      <c r="U1289" s="589"/>
    </row>
    <row r="1290" spans="1:21" x14ac:dyDescent="0.35">
      <c r="A1290" s="116"/>
      <c r="B1290" s="117"/>
      <c r="C1290" s="117"/>
      <c r="D1290" s="179"/>
      <c r="E1290" s="180"/>
      <c r="F1290" s="1692"/>
      <c r="G1290" s="1693"/>
      <c r="H1290" s="182"/>
      <c r="I1290" s="183"/>
      <c r="J1290" s="178"/>
      <c r="K1290" s="157">
        <f t="shared" si="168"/>
        <v>100</v>
      </c>
      <c r="L1290" s="157">
        <f t="shared" si="169"/>
        <v>200</v>
      </c>
      <c r="M1290" s="157">
        <f t="shared" si="170"/>
        <v>300</v>
      </c>
      <c r="N1290" s="157">
        <f t="shared" si="171"/>
        <v>400</v>
      </c>
      <c r="O1290" s="1030"/>
      <c r="P1290" s="967"/>
      <c r="Q1290" s="586"/>
      <c r="R1290" s="968"/>
      <c r="S1290" s="589"/>
      <c r="T1290" s="589"/>
      <c r="U1290" s="589"/>
    </row>
    <row r="1291" spans="1:21" x14ac:dyDescent="0.35">
      <c r="A1291" s="184"/>
      <c r="B1291" s="185"/>
      <c r="C1291" s="185"/>
      <c r="D1291" s="179"/>
      <c r="E1291" s="180"/>
      <c r="F1291" s="186"/>
      <c r="G1291" s="186"/>
      <c r="H1291" s="187"/>
      <c r="I1291" s="177"/>
      <c r="J1291" s="178"/>
      <c r="K1291" s="157">
        <f t="shared" si="168"/>
        <v>100</v>
      </c>
      <c r="L1291" s="157">
        <f t="shared" si="169"/>
        <v>200</v>
      </c>
      <c r="M1291" s="157">
        <f t="shared" si="170"/>
        <v>300</v>
      </c>
      <c r="N1291" s="157">
        <f t="shared" si="171"/>
        <v>400</v>
      </c>
      <c r="O1291" s="1030"/>
      <c r="P1291" s="967"/>
      <c r="Q1291" s="586"/>
      <c r="R1291" s="968"/>
      <c r="S1291" s="589"/>
      <c r="T1291" s="589"/>
      <c r="U1291" s="589"/>
    </row>
    <row r="1292" spans="1:21" ht="15.5" x14ac:dyDescent="0.35">
      <c r="A1292" s="116"/>
      <c r="B1292" s="117"/>
      <c r="C1292" s="1694"/>
      <c r="D1292" s="1695"/>
      <c r="E1292" s="263"/>
      <c r="F1292" s="1696" t="s">
        <v>5</v>
      </c>
      <c r="G1292" s="1696"/>
      <c r="H1292" s="264">
        <f>IF(ISNUMBER(I1290),H1290*H1288,H1289*H1288)</f>
        <v>0</v>
      </c>
      <c r="I1292" s="265"/>
      <c r="J1292" s="266"/>
      <c r="K1292" s="157">
        <f t="shared" si="168"/>
        <v>100</v>
      </c>
      <c r="L1292" s="157">
        <f t="shared" si="169"/>
        <v>200</v>
      </c>
      <c r="M1292" s="157">
        <f t="shared" si="170"/>
        <v>300</v>
      </c>
      <c r="N1292" s="157">
        <f t="shared" si="171"/>
        <v>400</v>
      </c>
      <c r="O1292" s="1030"/>
      <c r="P1292" s="967"/>
      <c r="Q1292" s="586"/>
      <c r="R1292" s="968"/>
      <c r="S1292" s="589"/>
      <c r="T1292" s="589"/>
      <c r="U1292" s="589"/>
    </row>
    <row r="1293" spans="1:21" x14ac:dyDescent="0.35">
      <c r="B1293" s="185"/>
      <c r="K1293" s="157">
        <f t="shared" si="168"/>
        <v>100</v>
      </c>
      <c r="L1293" s="157">
        <f t="shared" si="169"/>
        <v>200</v>
      </c>
      <c r="M1293" s="157">
        <f t="shared" si="170"/>
        <v>300</v>
      </c>
      <c r="N1293" s="157">
        <f t="shared" si="171"/>
        <v>400</v>
      </c>
      <c r="O1293" s="967"/>
      <c r="P1293" s="967"/>
      <c r="Q1293" s="586"/>
      <c r="R1293" s="968"/>
      <c r="S1293" s="589"/>
      <c r="T1293" s="589"/>
      <c r="U1293" s="589"/>
    </row>
    <row r="1294" spans="1:21" ht="7.5" customHeight="1" x14ac:dyDescent="0.35">
      <c r="A1294" s="116"/>
      <c r="B1294" s="117"/>
      <c r="C1294" s="117"/>
      <c r="D1294" s="116"/>
      <c r="E1294" s="116"/>
      <c r="F1294" s="118"/>
      <c r="G1294" s="119"/>
      <c r="H1294" s="116"/>
      <c r="I1294" s="120"/>
      <c r="J1294" s="121"/>
      <c r="K1294" s="157">
        <f t="shared" si="168"/>
        <v>100</v>
      </c>
      <c r="L1294" s="157">
        <f t="shared" si="169"/>
        <v>200</v>
      </c>
      <c r="M1294" s="157">
        <f t="shared" si="170"/>
        <v>300</v>
      </c>
      <c r="N1294" s="157">
        <f t="shared" si="171"/>
        <v>400</v>
      </c>
      <c r="O1294" s="968"/>
      <c r="P1294" s="968"/>
      <c r="Q1294" s="586"/>
      <c r="R1294" s="968"/>
      <c r="S1294" s="589"/>
      <c r="T1294" s="589"/>
      <c r="U1294" s="589"/>
    </row>
    <row r="1295" spans="1:21" ht="15.5" x14ac:dyDescent="0.35">
      <c r="A1295" s="124"/>
      <c r="B1295" s="125"/>
      <c r="C1295" s="126" t="s">
        <v>4829</v>
      </c>
      <c r="D1295" s="127" t="s">
        <v>5455</v>
      </c>
      <c r="E1295" s="128"/>
      <c r="F1295" s="129" t="str">
        <f>IF($F$3=1,O1295,"")</f>
        <v>E.2.3 Qualität der Elektroplanung</v>
      </c>
      <c r="G1295" s="204"/>
      <c r="H1295" s="205"/>
      <c r="I1295" s="520" t="s">
        <v>23</v>
      </c>
      <c r="J1295" s="130"/>
      <c r="K1295" s="157">
        <f t="shared" si="168"/>
        <v>100</v>
      </c>
      <c r="L1295" s="157">
        <f t="shared" si="169"/>
        <v>200</v>
      </c>
      <c r="M1295" s="157">
        <f t="shared" si="170"/>
        <v>300</v>
      </c>
      <c r="N1295" s="157">
        <f t="shared" si="171"/>
        <v>400</v>
      </c>
      <c r="O1295" s="967" t="str">
        <f>CONCATENATE(C1295," ",D1295)</f>
        <v>E.2.3 Qualität der Elektroplanung</v>
      </c>
      <c r="P1295" s="966"/>
      <c r="Q1295" s="586"/>
      <c r="R1295" s="968"/>
      <c r="S1295" s="589"/>
      <c r="T1295" s="589"/>
      <c r="U1295" s="589"/>
    </row>
    <row r="1296" spans="1:21" x14ac:dyDescent="0.35">
      <c r="A1296" s="124"/>
      <c r="B1296" s="134"/>
      <c r="C1296" s="135"/>
      <c r="D1296" s="136"/>
      <c r="E1296" s="136"/>
      <c r="F1296" s="137"/>
      <c r="G1296" s="138"/>
      <c r="H1296" s="124"/>
      <c r="I1296" s="139"/>
      <c r="J1296" s="140"/>
      <c r="K1296" s="157">
        <f t="shared" si="168"/>
        <v>100</v>
      </c>
      <c r="L1296" s="157">
        <f t="shared" si="169"/>
        <v>200</v>
      </c>
      <c r="M1296" s="157">
        <f t="shared" si="170"/>
        <v>300</v>
      </c>
      <c r="N1296" s="157">
        <f t="shared" si="171"/>
        <v>400</v>
      </c>
      <c r="O1296" s="968"/>
      <c r="P1296" s="966"/>
      <c r="Q1296" s="586"/>
      <c r="R1296" s="968"/>
      <c r="S1296" s="589"/>
      <c r="T1296" s="589"/>
      <c r="U1296" s="589"/>
    </row>
    <row r="1297" spans="1:21" ht="15" thickBot="1" x14ac:dyDescent="0.4">
      <c r="A1297" s="142"/>
      <c r="B1297" s="35"/>
      <c r="C1297" s="143"/>
      <c r="D1297" s="1685" t="s">
        <v>18</v>
      </c>
      <c r="E1297" s="1686"/>
      <c r="F1297" s="144" t="s">
        <v>19</v>
      </c>
      <c r="G1297" s="145" t="s">
        <v>0</v>
      </c>
      <c r="H1297" s="147" t="s">
        <v>20</v>
      </c>
      <c r="I1297" s="147" t="s">
        <v>1</v>
      </c>
      <c r="J1297" s="147" t="s">
        <v>4375</v>
      </c>
      <c r="K1297" s="157">
        <f t="shared" si="168"/>
        <v>100</v>
      </c>
      <c r="L1297" s="157">
        <f t="shared" si="169"/>
        <v>200</v>
      </c>
      <c r="M1297" s="157">
        <f t="shared" si="170"/>
        <v>300</v>
      </c>
      <c r="N1297" s="157">
        <f t="shared" si="171"/>
        <v>400</v>
      </c>
      <c r="O1297" s="587"/>
      <c r="P1297" s="1053"/>
      <c r="Q1297" s="1054"/>
      <c r="R1297" s="968"/>
      <c r="S1297" s="589"/>
      <c r="T1297" s="589"/>
      <c r="U1297" s="589"/>
    </row>
    <row r="1298" spans="1:21" ht="36" x14ac:dyDescent="0.35">
      <c r="A1298" s="123"/>
      <c r="B1298" s="35"/>
      <c r="C1298" s="151"/>
      <c r="D1298" s="1687" t="s">
        <v>5262</v>
      </c>
      <c r="E1298" s="1688"/>
      <c r="F1298" s="239" t="s">
        <v>4966</v>
      </c>
      <c r="G1298" s="1150">
        <f t="shared" ref="G1298:G1302" si="174">IF($H$2=1,S1298,IF($H$2=2,T1298,U1298))</f>
        <v>1</v>
      </c>
      <c r="H1298" s="1066">
        <f>VLOOKUP(F1298,$P$1298:$Q$1300,2,0)*G1298</f>
        <v>0</v>
      </c>
      <c r="I1298" s="267"/>
      <c r="J1298" s="156"/>
      <c r="K1298" s="157">
        <f t="shared" si="168"/>
        <v>100</v>
      </c>
      <c r="L1298" s="157">
        <f t="shared" si="169"/>
        <v>200</v>
      </c>
      <c r="M1298" s="157">
        <f t="shared" si="170"/>
        <v>300</v>
      </c>
      <c r="N1298" s="157">
        <f t="shared" si="171"/>
        <v>400</v>
      </c>
      <c r="O1298" s="1051" t="str">
        <f>CONCATENATE(O1295," | ",F1298)</f>
        <v>E.2.3 Qualität der Elektroplanung | Kundenwunsch und Randbedingungen als Grundlage für die Elektro-Planung wurde zu Projektstart und bei der Baueinreichung einmalig geklärt.</v>
      </c>
      <c r="P1298" s="1057" t="s">
        <v>4966</v>
      </c>
      <c r="Q1298" s="1069">
        <v>0</v>
      </c>
      <c r="R1298" s="1052"/>
      <c r="S1298" s="595">
        <v>0</v>
      </c>
      <c r="T1298" s="595">
        <v>0.7</v>
      </c>
      <c r="U1298" s="588">
        <v>1</v>
      </c>
    </row>
    <row r="1299" spans="1:21" ht="36" x14ac:dyDescent="0.35">
      <c r="A1299" s="123"/>
      <c r="B1299" s="35"/>
      <c r="C1299" s="151"/>
      <c r="D1299" s="1687"/>
      <c r="E1299" s="1688"/>
      <c r="F1299" s="239" t="s">
        <v>4969</v>
      </c>
      <c r="G1299" s="1150">
        <f t="shared" si="174"/>
        <v>1</v>
      </c>
      <c r="H1299" s="1066">
        <f>VLOOKUP(F1299,$P$1301:$Q$1303,2,0)*G1299</f>
        <v>0</v>
      </c>
      <c r="I1299" s="267"/>
      <c r="J1299" s="156"/>
      <c r="K1299" s="157">
        <f t="shared" si="168"/>
        <v>100</v>
      </c>
      <c r="L1299" s="157">
        <f t="shared" si="169"/>
        <v>200</v>
      </c>
      <c r="M1299" s="157">
        <f t="shared" si="170"/>
        <v>300</v>
      </c>
      <c r="N1299" s="157">
        <f t="shared" si="171"/>
        <v>400</v>
      </c>
      <c r="O1299" s="1051" t="str">
        <f>CONCATENATE(O1295," | ",F1299)</f>
        <v>E.2.3 Qualität der Elektroplanung | Die Dimensionierung der Photovoltaikanlage erfolgt auf Basis der verfügbaren Dachfläche [m²] bzw. der gesetzlichen Vorgaben [kWp]</v>
      </c>
      <c r="P1299" s="1059" t="s">
        <v>4967</v>
      </c>
      <c r="Q1299" s="1070">
        <v>0.1</v>
      </c>
      <c r="R1299" s="1052"/>
      <c r="S1299" s="595">
        <v>0</v>
      </c>
      <c r="T1299" s="595">
        <v>0.7</v>
      </c>
      <c r="U1299" s="588">
        <v>1</v>
      </c>
    </row>
    <row r="1300" spans="1:21" ht="36.5" thickBot="1" x14ac:dyDescent="0.4">
      <c r="A1300" s="123"/>
      <c r="B1300" s="35"/>
      <c r="C1300" s="151"/>
      <c r="D1300" s="1687"/>
      <c r="E1300" s="1688"/>
      <c r="F1300" s="239" t="s">
        <v>4972</v>
      </c>
      <c r="G1300" s="1150">
        <f t="shared" si="174"/>
        <v>1</v>
      </c>
      <c r="H1300" s="1066">
        <f>VLOOKUP(F1300,$P$1304:$Q$1306,2,0)*G1300</f>
        <v>0</v>
      </c>
      <c r="I1300" s="267"/>
      <c r="J1300" s="156"/>
      <c r="K1300" s="157">
        <f t="shared" si="168"/>
        <v>100</v>
      </c>
      <c r="L1300" s="157">
        <f t="shared" si="169"/>
        <v>200</v>
      </c>
      <c r="M1300" s="157">
        <f t="shared" si="170"/>
        <v>300</v>
      </c>
      <c r="N1300" s="157">
        <f t="shared" si="171"/>
        <v>400</v>
      </c>
      <c r="O1300" s="1051" t="str">
        <f>CONCATENATE(O1295," | ",F1300)</f>
        <v xml:space="preserve">E.2.3 Qualität der Elektroplanung | Die gewählten Hauptkomponenten erfüllt die Anforderungen an die örtliche Schnee- und Windlast und das Montagesystem entspricht gängigen Normen. </v>
      </c>
      <c r="P1300" s="1061" t="s">
        <v>4968</v>
      </c>
      <c r="Q1300" s="1071">
        <v>0.2</v>
      </c>
      <c r="R1300" s="1052"/>
      <c r="S1300" s="595">
        <v>0</v>
      </c>
      <c r="T1300" s="595">
        <v>0.7</v>
      </c>
      <c r="U1300" s="588">
        <v>1</v>
      </c>
    </row>
    <row r="1301" spans="1:21" x14ac:dyDescent="0.35">
      <c r="A1301" s="123">
        <v>3.2</v>
      </c>
      <c r="B1301" s="35"/>
      <c r="C1301" s="151"/>
      <c r="D1301" s="1687"/>
      <c r="E1301" s="1688"/>
      <c r="F1301" s="239" t="s">
        <v>5263</v>
      </c>
      <c r="G1301" s="1150">
        <f t="shared" si="174"/>
        <v>1</v>
      </c>
      <c r="H1301" s="1066">
        <f>VLOOKUP(F1301,$P$1307:$Q$1309,2,0)*G1301</f>
        <v>0</v>
      </c>
      <c r="I1301" s="267"/>
      <c r="J1301" s="156"/>
      <c r="K1301" s="157">
        <f t="shared" si="168"/>
        <v>100</v>
      </c>
      <c r="L1301" s="157">
        <f t="shared" si="169"/>
        <v>200</v>
      </c>
      <c r="M1301" s="157">
        <f t="shared" si="170"/>
        <v>300</v>
      </c>
      <c r="N1301" s="157">
        <f t="shared" si="171"/>
        <v>400</v>
      </c>
      <c r="O1301" s="1051" t="str">
        <f>CONCATENATE(O1295," | ",F1301)</f>
        <v>E.2.3 Qualität der Elektroplanung | Die Inbetriebnahme und Abnahme ist dokumentiert.</v>
      </c>
      <c r="P1301" s="1057" t="s">
        <v>4969</v>
      </c>
      <c r="Q1301" s="1069">
        <v>0</v>
      </c>
      <c r="R1301" s="1052"/>
      <c r="S1301" s="595">
        <v>0</v>
      </c>
      <c r="T1301" s="595">
        <v>0.7</v>
      </c>
      <c r="U1301" s="588">
        <v>1</v>
      </c>
    </row>
    <row r="1302" spans="1:21" ht="60" x14ac:dyDescent="0.35">
      <c r="A1302" s="123"/>
      <c r="B1302" s="35"/>
      <c r="C1302" s="151"/>
      <c r="D1302" s="1687"/>
      <c r="E1302" s="1688"/>
      <c r="F1302" s="239" t="s">
        <v>4973</v>
      </c>
      <c r="G1302" s="1150">
        <f t="shared" si="174"/>
        <v>1</v>
      </c>
      <c r="H1302" s="1066">
        <f>VLOOKUP(F1302,$P$1310:$Q$1312,2,0)*G1302</f>
        <v>0</v>
      </c>
      <c r="I1302" s="267"/>
      <c r="J1302" s="156"/>
      <c r="K1302" s="157">
        <f t="shared" si="168"/>
        <v>100</v>
      </c>
      <c r="L1302" s="157">
        <f t="shared" si="169"/>
        <v>200</v>
      </c>
      <c r="M1302" s="157">
        <f t="shared" si="170"/>
        <v>300</v>
      </c>
      <c r="N1302" s="157">
        <f t="shared" si="171"/>
        <v>400</v>
      </c>
      <c r="O1302" s="1051" t="str">
        <f>CONCATENATE(O1295," | ",F1302)</f>
        <v xml:space="preserve">E.2.3 Qualität der Elektroplanung | Die Betriebsführung der PV-Anlage ist noch nicht vollumfassend geregelt (Verantwortlichkeiten, Garantien, Gewährleistung, Aufgaben, Budget). Die links angeführten Anforderungen werden teilweise erfüllt.
</v>
      </c>
      <c r="P1302" s="1059" t="s">
        <v>4970</v>
      </c>
      <c r="Q1302" s="1070">
        <v>0.1</v>
      </c>
      <c r="R1302" s="1052"/>
      <c r="S1302" s="595">
        <v>0</v>
      </c>
      <c r="T1302" s="595">
        <v>0.7</v>
      </c>
      <c r="U1302" s="588">
        <v>1</v>
      </c>
    </row>
    <row r="1303" spans="1:21" ht="15" thickBot="1" x14ac:dyDescent="0.4">
      <c r="A1303" s="116"/>
      <c r="B1303" s="35"/>
      <c r="C1303" s="117"/>
      <c r="D1303" s="1687"/>
      <c r="E1303" s="1688"/>
      <c r="F1303" s="159"/>
      <c r="G1303" s="160"/>
      <c r="H1303" s="161"/>
      <c r="I1303" s="162"/>
      <c r="J1303" s="164"/>
      <c r="K1303" s="157">
        <f t="shared" si="168"/>
        <v>100</v>
      </c>
      <c r="L1303" s="157">
        <f t="shared" si="169"/>
        <v>200</v>
      </c>
      <c r="M1303" s="157">
        <f t="shared" si="170"/>
        <v>300</v>
      </c>
      <c r="N1303" s="157">
        <f t="shared" si="171"/>
        <v>400</v>
      </c>
      <c r="O1303" s="1051"/>
      <c r="P1303" s="1061" t="s">
        <v>4971</v>
      </c>
      <c r="Q1303" s="1071">
        <v>0.2</v>
      </c>
      <c r="R1303" s="1052"/>
      <c r="S1303" s="595"/>
      <c r="T1303" s="595"/>
      <c r="U1303" s="588"/>
    </row>
    <row r="1304" spans="1:21" x14ac:dyDescent="0.35">
      <c r="A1304" s="116"/>
      <c r="B1304" s="35"/>
      <c r="C1304" s="117"/>
      <c r="D1304" s="1687"/>
      <c r="E1304" s="1688"/>
      <c r="F1304" s="1021" t="str">
        <f>IF($G$2=1,R1304,"Weiteres Kriterium in der Nutzung")</f>
        <v>Weiteres Kriterium in der Nutzung</v>
      </c>
      <c r="G1304" s="153">
        <f t="shared" ref="G1304:G1306" si="175">IF($H$2=1,S1304,IF($H$2=2,T1304,U1304))</f>
        <v>0</v>
      </c>
      <c r="H1304" s="154"/>
      <c r="I1304" s="267"/>
      <c r="J1304" s="156"/>
      <c r="K1304" s="157">
        <f t="shared" si="168"/>
        <v>100</v>
      </c>
      <c r="L1304" s="157">
        <f t="shared" si="169"/>
        <v>200</v>
      </c>
      <c r="M1304" s="157">
        <f t="shared" si="170"/>
        <v>300</v>
      </c>
      <c r="N1304" s="157">
        <f t="shared" si="171"/>
        <v>400</v>
      </c>
      <c r="O1304" s="1051" t="str">
        <f>CONCATENATE(O1295," | ",F1304)</f>
        <v>E.2.3 Qualität der Elektroplanung | Weiteres Kriterium in der Nutzung</v>
      </c>
      <c r="P1304" s="1057" t="s">
        <v>4972</v>
      </c>
      <c r="Q1304" s="1069">
        <v>0</v>
      </c>
      <c r="R1304" s="1052" t="s">
        <v>5367</v>
      </c>
      <c r="S1304" s="1027">
        <v>0.33</v>
      </c>
      <c r="T1304" s="1027">
        <v>0.1</v>
      </c>
      <c r="U1304" s="588">
        <v>0</v>
      </c>
    </row>
    <row r="1305" spans="1:21" x14ac:dyDescent="0.35">
      <c r="A1305" s="116"/>
      <c r="B1305" s="35"/>
      <c r="C1305" s="117"/>
      <c r="D1305" s="1687"/>
      <c r="E1305" s="1688"/>
      <c r="F1305" s="1021" t="str">
        <f>IF($G$2=1,R1305,"Weiteres Kriterium in der Nutzung")</f>
        <v>Weiteres Kriterium in der Nutzung</v>
      </c>
      <c r="G1305" s="153">
        <f t="shared" si="175"/>
        <v>0</v>
      </c>
      <c r="H1305" s="154"/>
      <c r="I1305" s="267"/>
      <c r="J1305" s="156"/>
      <c r="K1305" s="157">
        <f t="shared" si="168"/>
        <v>100</v>
      </c>
      <c r="L1305" s="157">
        <f t="shared" si="169"/>
        <v>200</v>
      </c>
      <c r="M1305" s="157">
        <f t="shared" si="170"/>
        <v>300</v>
      </c>
      <c r="N1305" s="157">
        <f t="shared" si="171"/>
        <v>400</v>
      </c>
      <c r="O1305" s="1051" t="str">
        <f>CONCATENATE(O1295," | ",F1305)</f>
        <v>E.2.3 Qualität der Elektroplanung | Weiteres Kriterium in der Nutzung</v>
      </c>
      <c r="P1305" s="1065" t="s">
        <v>5609</v>
      </c>
      <c r="Q1305" s="1070">
        <v>0.1</v>
      </c>
      <c r="R1305" s="1052" t="s">
        <v>5354</v>
      </c>
      <c r="S1305" s="1027">
        <v>0.33</v>
      </c>
      <c r="T1305" s="1027">
        <v>0.1</v>
      </c>
      <c r="U1305" s="588">
        <v>0</v>
      </c>
    </row>
    <row r="1306" spans="1:21" ht="15" thickBot="1" x14ac:dyDescent="0.4">
      <c r="A1306" s="123"/>
      <c r="B1306" s="35"/>
      <c r="C1306" s="151"/>
      <c r="D1306" s="1687"/>
      <c r="E1306" s="1688"/>
      <c r="F1306" s="1021" t="str">
        <f>IF($G$2=1,R1306,"Weiteres Kriterium in der Nutzung")</f>
        <v>Weiteres Kriterium in der Nutzung</v>
      </c>
      <c r="G1306" s="153">
        <f t="shared" si="175"/>
        <v>0</v>
      </c>
      <c r="H1306" s="154"/>
      <c r="I1306" s="267"/>
      <c r="J1306" s="156"/>
      <c r="K1306" s="157">
        <f t="shared" si="168"/>
        <v>100</v>
      </c>
      <c r="L1306" s="157">
        <f t="shared" si="169"/>
        <v>200</v>
      </c>
      <c r="M1306" s="157">
        <f t="shared" si="170"/>
        <v>300</v>
      </c>
      <c r="N1306" s="157">
        <f t="shared" si="171"/>
        <v>400</v>
      </c>
      <c r="O1306" s="1051" t="str">
        <f>CONCATENATE(O1295," | ",F1306)</f>
        <v>E.2.3 Qualität der Elektroplanung | Weiteres Kriterium in der Nutzung</v>
      </c>
      <c r="P1306" s="1061" t="s">
        <v>4979</v>
      </c>
      <c r="Q1306" s="1071">
        <v>0.2</v>
      </c>
      <c r="R1306" s="1052" t="s">
        <v>5355</v>
      </c>
      <c r="S1306" s="1027">
        <v>0.34</v>
      </c>
      <c r="T1306" s="1027">
        <v>0.1</v>
      </c>
      <c r="U1306" s="588">
        <v>0</v>
      </c>
    </row>
    <row r="1307" spans="1:21" x14ac:dyDescent="0.35">
      <c r="A1307" s="116"/>
      <c r="B1307" s="35"/>
      <c r="C1307" s="117"/>
      <c r="D1307" s="1687"/>
      <c r="E1307" s="1688"/>
      <c r="F1307" s="159"/>
      <c r="G1307" s="160"/>
      <c r="H1307" s="168"/>
      <c r="I1307" s="162"/>
      <c r="J1307" s="164"/>
      <c r="K1307" s="157">
        <f t="shared" si="168"/>
        <v>100</v>
      </c>
      <c r="L1307" s="157">
        <f t="shared" si="169"/>
        <v>200</v>
      </c>
      <c r="M1307" s="157">
        <f t="shared" si="170"/>
        <v>300</v>
      </c>
      <c r="N1307" s="157">
        <f t="shared" si="171"/>
        <v>400</v>
      </c>
      <c r="O1307" s="1063"/>
      <c r="P1307" s="1072" t="s">
        <v>5263</v>
      </c>
      <c r="Q1307" s="1069">
        <v>0</v>
      </c>
      <c r="R1307" s="1052"/>
      <c r="S1307" s="595"/>
      <c r="T1307" s="595"/>
      <c r="U1307" s="588"/>
    </row>
    <row r="1308" spans="1:21" x14ac:dyDescent="0.35">
      <c r="A1308" s="116"/>
      <c r="B1308" s="117"/>
      <c r="C1308" s="117"/>
      <c r="D1308" s="1687"/>
      <c r="E1308" s="1688"/>
      <c r="F1308" s="159"/>
      <c r="G1308" s="160"/>
      <c r="H1308" s="168"/>
      <c r="I1308" s="162"/>
      <c r="J1308" s="164"/>
      <c r="K1308" s="157">
        <f t="shared" si="168"/>
        <v>100</v>
      </c>
      <c r="L1308" s="157">
        <f t="shared" si="169"/>
        <v>200</v>
      </c>
      <c r="M1308" s="157">
        <f t="shared" si="170"/>
        <v>300</v>
      </c>
      <c r="N1308" s="157">
        <f t="shared" si="171"/>
        <v>400</v>
      </c>
      <c r="O1308" s="1063"/>
      <c r="P1308" s="1065" t="s">
        <v>5264</v>
      </c>
      <c r="Q1308" s="1070">
        <v>0.1</v>
      </c>
      <c r="R1308" s="1052"/>
      <c r="S1308" s="595"/>
      <c r="T1308" s="595"/>
      <c r="U1308" s="588"/>
    </row>
    <row r="1309" spans="1:21" ht="15" thickBot="1" x14ac:dyDescent="0.4">
      <c r="A1309" s="116"/>
      <c r="B1309" s="117"/>
      <c r="C1309" s="117"/>
      <c r="D1309" s="1687"/>
      <c r="E1309" s="1688"/>
      <c r="F1309" s="169"/>
      <c r="G1309" s="170"/>
      <c r="H1309" s="171"/>
      <c r="I1309" s="172"/>
      <c r="J1309" s="173"/>
      <c r="K1309" s="157">
        <f t="shared" si="168"/>
        <v>100</v>
      </c>
      <c r="L1309" s="157">
        <f t="shared" si="169"/>
        <v>200</v>
      </c>
      <c r="M1309" s="157">
        <f t="shared" si="170"/>
        <v>300</v>
      </c>
      <c r="N1309" s="157">
        <f t="shared" si="171"/>
        <v>400</v>
      </c>
      <c r="O1309" s="1063"/>
      <c r="P1309" s="1073" t="s">
        <v>5265</v>
      </c>
      <c r="Q1309" s="1071">
        <v>0.2</v>
      </c>
      <c r="R1309" s="1052"/>
      <c r="S1309" s="595"/>
      <c r="T1309" s="595"/>
      <c r="U1309" s="588"/>
    </row>
    <row r="1310" spans="1:21" ht="28.5" customHeight="1" x14ac:dyDescent="0.35">
      <c r="A1310" s="116"/>
      <c r="B1310" s="117"/>
      <c r="C1310" s="117"/>
      <c r="D1310" s="174"/>
      <c r="E1310" s="175"/>
      <c r="F1310" s="1689" t="s">
        <v>2</v>
      </c>
      <c r="G1310" s="1689"/>
      <c r="H1310" s="176">
        <f>IF(O1310&gt;1,"Zielerreichung übersteigt 100%!",O1310)</f>
        <v>0</v>
      </c>
      <c r="I1310" s="177"/>
      <c r="J1310" s="178"/>
      <c r="K1310" s="157">
        <f t="shared" si="168"/>
        <v>100</v>
      </c>
      <c r="L1310" s="157">
        <f t="shared" si="169"/>
        <v>200</v>
      </c>
      <c r="M1310" s="157">
        <f t="shared" si="170"/>
        <v>300</v>
      </c>
      <c r="N1310" s="157">
        <f t="shared" si="171"/>
        <v>400</v>
      </c>
      <c r="O1310" s="1063">
        <f>SUM(H1298:H1309)</f>
        <v>0</v>
      </c>
      <c r="P1310" s="1057" t="s">
        <v>4973</v>
      </c>
      <c r="Q1310" s="1069">
        <v>0</v>
      </c>
      <c r="R1310" s="1052"/>
      <c r="S1310" s="595"/>
      <c r="T1310" s="595"/>
      <c r="U1310" s="588"/>
    </row>
    <row r="1311" spans="1:21" x14ac:dyDescent="0.35">
      <c r="A1311" s="116"/>
      <c r="B1311" s="117"/>
      <c r="C1311" s="117"/>
      <c r="D1311" s="179"/>
      <c r="E1311" s="180"/>
      <c r="F1311" s="1690" t="s">
        <v>3</v>
      </c>
      <c r="G1311" s="1691"/>
      <c r="H1311" s="181">
        <v>5</v>
      </c>
      <c r="I1311" s="177"/>
      <c r="J1311" s="178"/>
      <c r="K1311" s="157">
        <f t="shared" si="168"/>
        <v>100</v>
      </c>
      <c r="L1311" s="157">
        <f t="shared" si="169"/>
        <v>200</v>
      </c>
      <c r="M1311" s="157">
        <f t="shared" si="170"/>
        <v>300</v>
      </c>
      <c r="N1311" s="157">
        <f t="shared" si="171"/>
        <v>400</v>
      </c>
      <c r="O1311" s="1074"/>
      <c r="P1311" s="1059" t="s">
        <v>4984</v>
      </c>
      <c r="Q1311" s="1070">
        <v>0.1</v>
      </c>
      <c r="R1311" s="1052"/>
      <c r="S1311" s="595"/>
      <c r="T1311" s="595"/>
      <c r="U1311" s="588"/>
    </row>
    <row r="1312" spans="1:21" ht="15" thickBot="1" x14ac:dyDescent="0.4">
      <c r="A1312" s="116"/>
      <c r="B1312" s="117"/>
      <c r="C1312" s="117"/>
      <c r="D1312" s="179"/>
      <c r="E1312" s="180"/>
      <c r="F1312" s="1692"/>
      <c r="G1312" s="1693"/>
      <c r="H1312" s="182"/>
      <c r="I1312" s="183"/>
      <c r="J1312" s="178"/>
      <c r="K1312" s="157">
        <f t="shared" si="168"/>
        <v>100</v>
      </c>
      <c r="L1312" s="157">
        <f t="shared" si="169"/>
        <v>200</v>
      </c>
      <c r="M1312" s="157">
        <f t="shared" si="170"/>
        <v>300</v>
      </c>
      <c r="N1312" s="157">
        <f t="shared" si="171"/>
        <v>400</v>
      </c>
      <c r="O1312" s="1074"/>
      <c r="P1312" s="1061" t="s">
        <v>4974</v>
      </c>
      <c r="Q1312" s="1071">
        <v>0.2</v>
      </c>
      <c r="R1312" s="1052"/>
      <c r="S1312" s="595"/>
      <c r="T1312" s="595"/>
      <c r="U1312" s="588"/>
    </row>
    <row r="1313" spans="1:21" x14ac:dyDescent="0.35">
      <c r="A1313" s="184"/>
      <c r="B1313" s="185"/>
      <c r="C1313" s="185"/>
      <c r="D1313" s="179"/>
      <c r="E1313" s="180"/>
      <c r="F1313" s="186"/>
      <c r="G1313" s="186"/>
      <c r="H1313" s="187"/>
      <c r="I1313" s="177"/>
      <c r="J1313" s="178"/>
      <c r="K1313" s="157">
        <f t="shared" si="168"/>
        <v>100</v>
      </c>
      <c r="L1313" s="157">
        <f t="shared" si="169"/>
        <v>200</v>
      </c>
      <c r="M1313" s="157">
        <f t="shared" si="170"/>
        <v>300</v>
      </c>
      <c r="N1313" s="157">
        <f t="shared" si="171"/>
        <v>400</v>
      </c>
      <c r="O1313" s="1030"/>
      <c r="P1313" s="1055"/>
      <c r="Q1313" s="1064"/>
      <c r="R1313" s="968"/>
      <c r="S1313" s="589"/>
      <c r="T1313" s="589"/>
      <c r="U1313" s="589"/>
    </row>
    <row r="1314" spans="1:21" ht="15.5" x14ac:dyDescent="0.35">
      <c r="A1314" s="116"/>
      <c r="B1314" s="117"/>
      <c r="C1314" s="1694"/>
      <c r="D1314" s="1695"/>
      <c r="E1314" s="263"/>
      <c r="F1314" s="1696" t="s">
        <v>5</v>
      </c>
      <c r="G1314" s="1696"/>
      <c r="H1314" s="264">
        <f>IF(ISNUMBER(I1312),H1312*H1310,H1311*H1310)</f>
        <v>0</v>
      </c>
      <c r="I1314" s="265"/>
      <c r="J1314" s="266"/>
      <c r="K1314" s="157">
        <f t="shared" si="168"/>
        <v>100</v>
      </c>
      <c r="L1314" s="157">
        <f t="shared" si="169"/>
        <v>200</v>
      </c>
      <c r="M1314" s="157">
        <f t="shared" si="170"/>
        <v>300</v>
      </c>
      <c r="N1314" s="157">
        <f t="shared" si="171"/>
        <v>400</v>
      </c>
      <c r="O1314" s="1030"/>
      <c r="P1314" s="967"/>
      <c r="Q1314" s="586"/>
      <c r="R1314" s="968"/>
      <c r="S1314" s="589"/>
      <c r="T1314" s="589"/>
      <c r="U1314" s="589"/>
    </row>
    <row r="1315" spans="1:21" x14ac:dyDescent="0.35">
      <c r="K1315" s="157">
        <f t="shared" si="168"/>
        <v>100</v>
      </c>
      <c r="L1315" s="157">
        <f t="shared" si="169"/>
        <v>200</v>
      </c>
      <c r="M1315" s="157">
        <f t="shared" si="170"/>
        <v>300</v>
      </c>
      <c r="N1315" s="157">
        <f t="shared" si="171"/>
        <v>400</v>
      </c>
      <c r="O1315" s="967"/>
      <c r="P1315" s="967"/>
      <c r="Q1315" s="586"/>
      <c r="R1315" s="968"/>
      <c r="S1315" s="589"/>
      <c r="T1315" s="589"/>
      <c r="U1315" s="589"/>
    </row>
    <row r="1316" spans="1:21" x14ac:dyDescent="0.35">
      <c r="K1316" s="157">
        <f t="shared" si="168"/>
        <v>100</v>
      </c>
      <c r="L1316" s="157">
        <f t="shared" si="169"/>
        <v>200</v>
      </c>
      <c r="M1316" s="157">
        <f t="shared" si="170"/>
        <v>300</v>
      </c>
      <c r="N1316" s="157">
        <f t="shared" si="171"/>
        <v>400</v>
      </c>
      <c r="O1316" s="967"/>
      <c r="P1316" s="967"/>
      <c r="Q1316" s="586"/>
      <c r="R1316" s="968"/>
      <c r="S1316" s="589"/>
      <c r="T1316" s="589"/>
      <c r="U1316" s="589"/>
    </row>
    <row r="1317" spans="1:21" ht="15.5" x14ac:dyDescent="0.35">
      <c r="A1317" s="208"/>
      <c r="B1317" s="256" t="s">
        <v>4830</v>
      </c>
      <c r="C1317" s="256" t="s">
        <v>2080</v>
      </c>
      <c r="D1317" s="257"/>
      <c r="E1317" s="257"/>
      <c r="F1317" s="258" t="str">
        <f>IF($F$3=1,O1317,"")</f>
        <v>E.3 Effizienz der Wassernutzung</v>
      </c>
      <c r="G1317" s="259"/>
      <c r="H1317" s="260"/>
      <c r="I1317" s="261"/>
      <c r="J1317" s="262"/>
      <c r="K1317" s="157">
        <f t="shared" si="168"/>
        <v>100</v>
      </c>
      <c r="L1317" s="157">
        <f t="shared" si="169"/>
        <v>200</v>
      </c>
      <c r="M1317" s="157">
        <f t="shared" si="170"/>
        <v>300</v>
      </c>
      <c r="N1317" s="157">
        <f t="shared" si="171"/>
        <v>400</v>
      </c>
      <c r="O1317" s="967" t="str">
        <f>CONCATENATE(B1317," ",C1317)</f>
        <v>E.3 Effizienz der Wassernutzung</v>
      </c>
      <c r="P1317" s="958"/>
      <c r="Q1317" s="586"/>
      <c r="R1317" s="968"/>
      <c r="S1317" s="589"/>
      <c r="T1317" s="589"/>
      <c r="U1317" s="589"/>
    </row>
    <row r="1318" spans="1:21" ht="15.5" x14ac:dyDescent="0.35">
      <c r="A1318" s="208"/>
      <c r="B1318" s="216"/>
      <c r="C1318" s="216"/>
      <c r="D1318" s="208"/>
      <c r="E1318" s="208"/>
      <c r="F1318" s="253"/>
      <c r="G1318" s="217"/>
      <c r="H1318" s="218"/>
      <c r="I1318" s="219"/>
      <c r="J1318" s="220"/>
      <c r="K1318" s="157">
        <f t="shared" si="168"/>
        <v>100</v>
      </c>
      <c r="L1318" s="157">
        <f t="shared" si="169"/>
        <v>200</v>
      </c>
      <c r="M1318" s="157">
        <f t="shared" si="170"/>
        <v>300</v>
      </c>
      <c r="N1318" s="157">
        <f t="shared" si="171"/>
        <v>400</v>
      </c>
      <c r="O1318" s="967"/>
      <c r="P1318" s="958"/>
      <c r="Q1318" s="586"/>
      <c r="R1318" s="968"/>
      <c r="S1318" s="589"/>
      <c r="T1318" s="589"/>
      <c r="U1318" s="589"/>
    </row>
    <row r="1319" spans="1:21" ht="7.5" customHeight="1" x14ac:dyDescent="0.35">
      <c r="A1319" s="116"/>
      <c r="B1319" s="117"/>
      <c r="C1319" s="117"/>
      <c r="D1319" s="116"/>
      <c r="E1319" s="116"/>
      <c r="F1319" s="118"/>
      <c r="G1319" s="119"/>
      <c r="H1319" s="116"/>
      <c r="I1319" s="120"/>
      <c r="J1319" s="121"/>
      <c r="K1319" s="157">
        <f t="shared" si="168"/>
        <v>100</v>
      </c>
      <c r="L1319" s="157">
        <f t="shared" si="169"/>
        <v>200</v>
      </c>
      <c r="M1319" s="157">
        <f t="shared" si="170"/>
        <v>300</v>
      </c>
      <c r="N1319" s="157">
        <f t="shared" si="171"/>
        <v>400</v>
      </c>
      <c r="O1319" s="968"/>
      <c r="P1319" s="968"/>
      <c r="Q1319" s="586"/>
      <c r="R1319" s="968"/>
      <c r="S1319" s="589"/>
      <c r="T1319" s="589"/>
      <c r="U1319" s="589"/>
    </row>
    <row r="1320" spans="1:21" ht="15.5" x14ac:dyDescent="0.35">
      <c r="A1320" s="124"/>
      <c r="B1320" s="125"/>
      <c r="C1320" s="126" t="s">
        <v>4831</v>
      </c>
      <c r="D1320" s="127" t="s">
        <v>5456</v>
      </c>
      <c r="E1320" s="128"/>
      <c r="F1320" s="129" t="str">
        <f>IF($F$3=1,O1320,"")</f>
        <v>E.3.1 Wassernutzung Haushalte</v>
      </c>
      <c r="G1320" s="204"/>
      <c r="H1320" s="205"/>
      <c r="I1320" s="520" t="s">
        <v>23</v>
      </c>
      <c r="J1320" s="130"/>
      <c r="K1320" s="157">
        <f t="shared" si="168"/>
        <v>100</v>
      </c>
      <c r="L1320" s="157">
        <f t="shared" si="169"/>
        <v>200</v>
      </c>
      <c r="M1320" s="157">
        <f t="shared" si="170"/>
        <v>300</v>
      </c>
      <c r="N1320" s="157">
        <f t="shared" si="171"/>
        <v>400</v>
      </c>
      <c r="O1320" s="967" t="str">
        <f>CONCATENATE(C1320," ",D1320)</f>
        <v>E.3.1 Wassernutzung Haushalte</v>
      </c>
      <c r="P1320" s="966"/>
      <c r="Q1320" s="586"/>
      <c r="R1320" s="968"/>
      <c r="S1320" s="589"/>
      <c r="T1320" s="589"/>
      <c r="U1320" s="589"/>
    </row>
    <row r="1321" spans="1:21" x14ac:dyDescent="0.35">
      <c r="A1321" s="124"/>
      <c r="B1321" s="134"/>
      <c r="C1321" s="135"/>
      <c r="D1321" s="136"/>
      <c r="E1321" s="136"/>
      <c r="F1321" s="137"/>
      <c r="G1321" s="138"/>
      <c r="H1321" s="124"/>
      <c r="I1321" s="139"/>
      <c r="J1321" s="140"/>
      <c r="K1321" s="157">
        <f t="shared" si="168"/>
        <v>100</v>
      </c>
      <c r="L1321" s="157">
        <f t="shared" si="169"/>
        <v>200</v>
      </c>
      <c r="M1321" s="157">
        <f t="shared" si="170"/>
        <v>300</v>
      </c>
      <c r="N1321" s="157">
        <f t="shared" si="171"/>
        <v>400</v>
      </c>
      <c r="O1321" s="968"/>
      <c r="P1321" s="966"/>
      <c r="Q1321" s="586"/>
      <c r="R1321" s="968"/>
      <c r="S1321" s="589"/>
      <c r="T1321" s="589"/>
      <c r="U1321" s="589"/>
    </row>
    <row r="1322" spans="1:21" x14ac:dyDescent="0.35">
      <c r="A1322" s="142"/>
      <c r="B1322" s="35"/>
      <c r="C1322" s="143"/>
      <c r="D1322" s="1685" t="s">
        <v>18</v>
      </c>
      <c r="E1322" s="1686"/>
      <c r="F1322" s="144" t="s">
        <v>19</v>
      </c>
      <c r="G1322" s="145" t="s">
        <v>0</v>
      </c>
      <c r="H1322" s="146" t="s">
        <v>20</v>
      </c>
      <c r="I1322" s="147" t="s">
        <v>1</v>
      </c>
      <c r="J1322" s="147" t="s">
        <v>4375</v>
      </c>
      <c r="K1322" s="157">
        <f t="shared" si="168"/>
        <v>100</v>
      </c>
      <c r="L1322" s="157">
        <f t="shared" si="169"/>
        <v>200</v>
      </c>
      <c r="M1322" s="157">
        <f t="shared" si="170"/>
        <v>300</v>
      </c>
      <c r="N1322" s="157">
        <f t="shared" si="171"/>
        <v>400</v>
      </c>
      <c r="O1322" s="587"/>
      <c r="P1322" s="967"/>
      <c r="Q1322" s="586"/>
      <c r="R1322" s="968"/>
      <c r="S1322" s="589"/>
      <c r="T1322" s="589"/>
      <c r="U1322" s="589"/>
    </row>
    <row r="1323" spans="1:21" ht="24" x14ac:dyDescent="0.35">
      <c r="A1323" s="123"/>
      <c r="B1323" s="35"/>
      <c r="C1323" s="151"/>
      <c r="D1323" s="1687" t="s">
        <v>4939</v>
      </c>
      <c r="E1323" s="1688"/>
      <c r="F1323" s="152" t="s">
        <v>5037</v>
      </c>
      <c r="G1323" s="153">
        <f t="shared" ref="G1323:G1324" si="176">IF($H$2=1,S1323,IF($H$2=2,T1323,U1323))</f>
        <v>1</v>
      </c>
      <c r="H1323" s="226">
        <f>'RH Trinkwasser'!C7</f>
        <v>0</v>
      </c>
      <c r="I1323" s="267"/>
      <c r="J1323" s="156"/>
      <c r="K1323" s="157">
        <f t="shared" si="168"/>
        <v>100</v>
      </c>
      <c r="L1323" s="157">
        <f t="shared" si="169"/>
        <v>200</v>
      </c>
      <c r="M1323" s="157">
        <f t="shared" si="170"/>
        <v>300</v>
      </c>
      <c r="N1323" s="157">
        <f t="shared" si="171"/>
        <v>400</v>
      </c>
      <c r="O1323" s="967" t="str">
        <f>CONCATENATE(O1320," | ",F1323)</f>
        <v>E.3.1 Wassernutzung Haushalte | Variante 1 - Rechenhilfe: Trinkwasserverbrauch Haushalte pro Person und Tag</v>
      </c>
      <c r="P1323" s="967"/>
      <c r="Q1323" s="586"/>
      <c r="R1323" s="968"/>
      <c r="S1323" s="595">
        <v>0</v>
      </c>
      <c r="T1323" s="595">
        <v>0.7</v>
      </c>
      <c r="U1323" s="588">
        <v>1</v>
      </c>
    </row>
    <row r="1324" spans="1:21" ht="24" x14ac:dyDescent="0.35">
      <c r="A1324" s="123"/>
      <c r="B1324" s="35"/>
      <c r="C1324" s="151"/>
      <c r="D1324" s="1687"/>
      <c r="E1324" s="1688"/>
      <c r="F1324" s="152" t="s">
        <v>5038</v>
      </c>
      <c r="G1324" s="153">
        <f t="shared" si="176"/>
        <v>1</v>
      </c>
      <c r="H1324" s="226">
        <f>'RH Trinkwasser'!C38</f>
        <v>0</v>
      </c>
      <c r="I1324" s="155"/>
      <c r="J1324" s="156"/>
      <c r="K1324" s="157">
        <f t="shared" si="168"/>
        <v>100</v>
      </c>
      <c r="L1324" s="157">
        <f t="shared" si="169"/>
        <v>200</v>
      </c>
      <c r="M1324" s="157">
        <f t="shared" si="170"/>
        <v>300</v>
      </c>
      <c r="N1324" s="157">
        <f t="shared" si="171"/>
        <v>400</v>
      </c>
      <c r="O1324" s="967" t="str">
        <f>CONCATENATE(O1320," | ",F1324)</f>
        <v>E.3.1 Wassernutzung Haushalte | Variante 2 - Alternative Rechenhilfe: Bewertung der baulichen Maßnahmen und Marketing Maßnahmen</v>
      </c>
      <c r="P1324" s="967"/>
      <c r="Q1324" s="586"/>
      <c r="R1324" s="968"/>
      <c r="S1324" s="595">
        <v>0</v>
      </c>
      <c r="T1324" s="595">
        <v>0.7</v>
      </c>
      <c r="U1324" s="588">
        <v>1</v>
      </c>
    </row>
    <row r="1325" spans="1:21" x14ac:dyDescent="0.35">
      <c r="A1325" s="123"/>
      <c r="B1325" s="35"/>
      <c r="C1325" s="151"/>
      <c r="D1325" s="1687"/>
      <c r="E1325" s="1688"/>
      <c r="F1325" s="159"/>
      <c r="G1325" s="268"/>
      <c r="H1325" s="160"/>
      <c r="I1325" s="166"/>
      <c r="J1325" s="167"/>
      <c r="K1325" s="157">
        <f t="shared" ref="K1325:K1388" si="177">IF($J1325=$K$41,K1324+1,K1324+0)</f>
        <v>100</v>
      </c>
      <c r="L1325" s="157">
        <f t="shared" ref="L1325:L1388" si="178">IF($J1325=$L$41,L1324+1,L1324+0)</f>
        <v>200</v>
      </c>
      <c r="M1325" s="157">
        <f t="shared" ref="M1325:M1388" si="179">IF($J1325=$M$41,M1324+1,M1324+0)</f>
        <v>300</v>
      </c>
      <c r="N1325" s="157">
        <f t="shared" ref="N1325:N1388" si="180">IF($J1325=$N$41,N1324+1,N1324+0)</f>
        <v>400</v>
      </c>
      <c r="O1325" s="967"/>
      <c r="P1325" s="967"/>
      <c r="Q1325" s="586"/>
      <c r="R1325" s="968"/>
      <c r="S1325" s="589"/>
      <c r="T1325" s="589"/>
      <c r="U1325" s="589"/>
    </row>
    <row r="1326" spans="1:21" x14ac:dyDescent="0.35">
      <c r="A1326" s="123">
        <v>3.2</v>
      </c>
      <c r="B1326" s="35"/>
      <c r="C1326" s="151"/>
      <c r="D1326" s="1687"/>
      <c r="E1326" s="1688"/>
      <c r="F1326" s="269" t="s">
        <v>4611</v>
      </c>
      <c r="G1326" s="160"/>
      <c r="H1326" s="161">
        <f>IF(F1326="Variante 1",H1323,H1324)</f>
        <v>0</v>
      </c>
      <c r="I1326" s="166"/>
      <c r="J1326" s="167"/>
      <c r="K1326" s="157">
        <f t="shared" si="177"/>
        <v>100</v>
      </c>
      <c r="L1326" s="157">
        <f t="shared" si="178"/>
        <v>200</v>
      </c>
      <c r="M1326" s="157">
        <f t="shared" si="179"/>
        <v>300</v>
      </c>
      <c r="N1326" s="157">
        <f t="shared" si="180"/>
        <v>400</v>
      </c>
      <c r="O1326" s="967"/>
      <c r="P1326" s="967"/>
      <c r="Q1326" s="586"/>
      <c r="R1326" s="968"/>
      <c r="S1326" s="589"/>
      <c r="T1326" s="589"/>
      <c r="U1326" s="589"/>
    </row>
    <row r="1327" spans="1:21" x14ac:dyDescent="0.35">
      <c r="A1327" s="123"/>
      <c r="B1327" s="35"/>
      <c r="C1327" s="151"/>
      <c r="D1327" s="1687"/>
      <c r="E1327" s="1688"/>
      <c r="F1327" s="159"/>
      <c r="G1327" s="268"/>
      <c r="H1327" s="160"/>
      <c r="I1327" s="166"/>
      <c r="J1327" s="167"/>
      <c r="K1327" s="157">
        <f t="shared" si="177"/>
        <v>100</v>
      </c>
      <c r="L1327" s="157">
        <f t="shared" si="178"/>
        <v>200</v>
      </c>
      <c r="M1327" s="157">
        <f t="shared" si="179"/>
        <v>300</v>
      </c>
      <c r="N1327" s="157">
        <f t="shared" si="180"/>
        <v>400</v>
      </c>
      <c r="O1327" s="967"/>
      <c r="P1327" s="967"/>
      <c r="Q1327" s="586"/>
      <c r="R1327" s="968"/>
      <c r="S1327" s="589"/>
      <c r="T1327" s="589"/>
      <c r="U1327" s="589"/>
    </row>
    <row r="1328" spans="1:21" x14ac:dyDescent="0.35">
      <c r="A1328" s="116"/>
      <c r="B1328" s="35"/>
      <c r="C1328" s="117"/>
      <c r="D1328" s="1687"/>
      <c r="E1328" s="1688"/>
      <c r="F1328" s="593" t="str">
        <f>IF($G$2=1,R1328,"Weiteres Kriterium in der Nutzung")</f>
        <v>Weiteres Kriterium in der Nutzung</v>
      </c>
      <c r="G1328" s="153">
        <f t="shared" ref="G1328:G1330" si="181">IF($H$2=1,S1328,IF($H$2=2,T1328,U1328))</f>
        <v>0</v>
      </c>
      <c r="H1328" s="154"/>
      <c r="I1328" s="158"/>
      <c r="J1328" s="156"/>
      <c r="K1328" s="157">
        <f t="shared" si="177"/>
        <v>100</v>
      </c>
      <c r="L1328" s="157">
        <f t="shared" si="178"/>
        <v>200</v>
      </c>
      <c r="M1328" s="157">
        <f t="shared" si="179"/>
        <v>300</v>
      </c>
      <c r="N1328" s="157">
        <f t="shared" si="180"/>
        <v>400</v>
      </c>
      <c r="O1328" s="967" t="str">
        <f>CONCATENATE(O1320," | ",F1328)</f>
        <v>E.3.1 Wassernutzung Haushalte | Weiteres Kriterium in der Nutzung</v>
      </c>
      <c r="P1328" s="967"/>
      <c r="Q1328" s="586"/>
      <c r="R1328" s="968" t="s">
        <v>5350</v>
      </c>
      <c r="S1328" s="588">
        <v>0.33</v>
      </c>
      <c r="T1328" s="588">
        <v>0.1</v>
      </c>
      <c r="U1328" s="588">
        <v>0</v>
      </c>
    </row>
    <row r="1329" spans="1:21" x14ac:dyDescent="0.35">
      <c r="A1329" s="116"/>
      <c r="B1329" s="35"/>
      <c r="C1329" s="117"/>
      <c r="D1329" s="1687"/>
      <c r="E1329" s="1688"/>
      <c r="F1329" s="593" t="str">
        <f>IF($G$2=1,R1329,"Weiteres Kriterium in der Nutzung")</f>
        <v>Weiteres Kriterium in der Nutzung</v>
      </c>
      <c r="G1329" s="153">
        <f t="shared" si="181"/>
        <v>0</v>
      </c>
      <c r="H1329" s="154"/>
      <c r="I1329" s="158"/>
      <c r="J1329" s="156"/>
      <c r="K1329" s="157">
        <f t="shared" si="177"/>
        <v>100</v>
      </c>
      <c r="L1329" s="157">
        <f t="shared" si="178"/>
        <v>200</v>
      </c>
      <c r="M1329" s="157">
        <f t="shared" si="179"/>
        <v>300</v>
      </c>
      <c r="N1329" s="157">
        <f t="shared" si="180"/>
        <v>400</v>
      </c>
      <c r="O1329" s="967" t="str">
        <f>CONCATENATE(O1320," | ",F1329)</f>
        <v>E.3.1 Wassernutzung Haushalte | Weiteres Kriterium in der Nutzung</v>
      </c>
      <c r="P1329" s="967"/>
      <c r="Q1329" s="586"/>
      <c r="R1329" s="968" t="s">
        <v>5342</v>
      </c>
      <c r="S1329" s="588">
        <v>0.33</v>
      </c>
      <c r="T1329" s="588">
        <v>0.1</v>
      </c>
      <c r="U1329" s="588">
        <v>0</v>
      </c>
    </row>
    <row r="1330" spans="1:21" x14ac:dyDescent="0.35">
      <c r="A1330" s="116"/>
      <c r="B1330" s="35"/>
      <c r="C1330" s="117"/>
      <c r="D1330" s="1687"/>
      <c r="E1330" s="1688"/>
      <c r="F1330" s="593" t="str">
        <f>IF($G$2=1,R1330,"Weiteres Kriterium in der Nutzung")</f>
        <v>Weiteres Kriterium in der Nutzung</v>
      </c>
      <c r="G1330" s="153">
        <f t="shared" si="181"/>
        <v>0</v>
      </c>
      <c r="H1330" s="154"/>
      <c r="I1330" s="158"/>
      <c r="J1330" s="156"/>
      <c r="K1330" s="157">
        <f t="shared" si="177"/>
        <v>100</v>
      </c>
      <c r="L1330" s="157">
        <f t="shared" si="178"/>
        <v>200</v>
      </c>
      <c r="M1330" s="157">
        <f t="shared" si="179"/>
        <v>300</v>
      </c>
      <c r="N1330" s="157">
        <f t="shared" si="180"/>
        <v>400</v>
      </c>
      <c r="O1330" s="967" t="str">
        <f>CONCATENATE(O1320," | ",F1330)</f>
        <v>E.3.1 Wassernutzung Haushalte | Weiteres Kriterium in der Nutzung</v>
      </c>
      <c r="P1330" s="967"/>
      <c r="Q1330" s="586"/>
      <c r="R1330" s="968" t="s">
        <v>5484</v>
      </c>
      <c r="S1330" s="588">
        <v>0.34</v>
      </c>
      <c r="T1330" s="588">
        <v>0.1</v>
      </c>
      <c r="U1330" s="588">
        <v>0</v>
      </c>
    </row>
    <row r="1331" spans="1:21" x14ac:dyDescent="0.35">
      <c r="A1331" s="123"/>
      <c r="B1331" s="35"/>
      <c r="C1331" s="151"/>
      <c r="D1331" s="1687"/>
      <c r="E1331" s="1688"/>
      <c r="F1331" s="165"/>
      <c r="G1331" s="268"/>
      <c r="H1331" s="160"/>
      <c r="I1331" s="166"/>
      <c r="J1331" s="167"/>
      <c r="K1331" s="157">
        <f t="shared" si="177"/>
        <v>100</v>
      </c>
      <c r="L1331" s="157">
        <f t="shared" si="178"/>
        <v>200</v>
      </c>
      <c r="M1331" s="157">
        <f t="shared" si="179"/>
        <v>300</v>
      </c>
      <c r="N1331" s="157">
        <f t="shared" si="180"/>
        <v>400</v>
      </c>
      <c r="O1331" s="959"/>
      <c r="P1331" s="967"/>
      <c r="Q1331" s="586"/>
      <c r="R1331" s="968"/>
      <c r="S1331" s="589"/>
      <c r="T1331" s="589"/>
      <c r="U1331" s="589"/>
    </row>
    <row r="1332" spans="1:21" x14ac:dyDescent="0.35">
      <c r="A1332" s="116"/>
      <c r="B1332" s="35"/>
      <c r="C1332" s="117"/>
      <c r="D1332" s="1687"/>
      <c r="E1332" s="1688"/>
      <c r="F1332" s="159"/>
      <c r="G1332" s="268"/>
      <c r="H1332" s="270"/>
      <c r="I1332" s="162"/>
      <c r="J1332" s="164"/>
      <c r="K1332" s="157">
        <f t="shared" si="177"/>
        <v>100</v>
      </c>
      <c r="L1332" s="157">
        <f t="shared" si="178"/>
        <v>200</v>
      </c>
      <c r="M1332" s="157">
        <f t="shared" si="179"/>
        <v>300</v>
      </c>
      <c r="N1332" s="157">
        <f t="shared" si="180"/>
        <v>400</v>
      </c>
      <c r="O1332" s="959"/>
      <c r="P1332" s="967"/>
      <c r="Q1332" s="586"/>
      <c r="R1332" s="968"/>
      <c r="S1332" s="589"/>
      <c r="T1332" s="589"/>
      <c r="U1332" s="589"/>
    </row>
    <row r="1333" spans="1:21" x14ac:dyDescent="0.35">
      <c r="A1333" s="116"/>
      <c r="B1333" s="117"/>
      <c r="C1333" s="117"/>
      <c r="D1333" s="1687"/>
      <c r="E1333" s="1688"/>
      <c r="F1333" s="159"/>
      <c r="G1333" s="268"/>
      <c r="H1333" s="270"/>
      <c r="I1333" s="162"/>
      <c r="J1333" s="164"/>
      <c r="K1333" s="157">
        <f t="shared" si="177"/>
        <v>100</v>
      </c>
      <c r="L1333" s="157">
        <f t="shared" si="178"/>
        <v>200</v>
      </c>
      <c r="M1333" s="157">
        <f t="shared" si="179"/>
        <v>300</v>
      </c>
      <c r="N1333" s="157">
        <f t="shared" si="180"/>
        <v>400</v>
      </c>
      <c r="O1333" s="959"/>
      <c r="P1333" s="967"/>
      <c r="Q1333" s="586"/>
      <c r="R1333" s="968"/>
      <c r="S1333" s="589"/>
      <c r="T1333" s="589"/>
      <c r="U1333" s="589"/>
    </row>
    <row r="1334" spans="1:21" x14ac:dyDescent="0.35">
      <c r="A1334" s="116"/>
      <c r="B1334" s="117"/>
      <c r="C1334" s="117"/>
      <c r="D1334" s="1687"/>
      <c r="E1334" s="1688"/>
      <c r="F1334" s="169"/>
      <c r="G1334" s="271"/>
      <c r="H1334" s="272"/>
      <c r="I1334" s="172"/>
      <c r="J1334" s="173"/>
      <c r="K1334" s="157">
        <f t="shared" si="177"/>
        <v>100</v>
      </c>
      <c r="L1334" s="157">
        <f t="shared" si="178"/>
        <v>200</v>
      </c>
      <c r="M1334" s="157">
        <f t="shared" si="179"/>
        <v>300</v>
      </c>
      <c r="N1334" s="157">
        <f t="shared" si="180"/>
        <v>400</v>
      </c>
      <c r="O1334" s="959"/>
      <c r="P1334" s="967"/>
      <c r="Q1334" s="586"/>
      <c r="R1334" s="968"/>
      <c r="S1334" s="589"/>
      <c r="T1334" s="589"/>
      <c r="U1334" s="589"/>
    </row>
    <row r="1335" spans="1:21" ht="28.5" customHeight="1" x14ac:dyDescent="0.35">
      <c r="A1335" s="116"/>
      <c r="B1335" s="117"/>
      <c r="C1335" s="117"/>
      <c r="D1335" s="174"/>
      <c r="E1335" s="175"/>
      <c r="F1335" s="1689" t="s">
        <v>2</v>
      </c>
      <c r="G1335" s="1689"/>
      <c r="H1335" s="176">
        <f>IF(O1335&gt;1,"Zielerreichung übersteigt 100%!",O1335)</f>
        <v>0</v>
      </c>
      <c r="I1335" s="177"/>
      <c r="J1335" s="178"/>
      <c r="K1335" s="157">
        <f t="shared" si="177"/>
        <v>100</v>
      </c>
      <c r="L1335" s="157">
        <f t="shared" si="178"/>
        <v>200</v>
      </c>
      <c r="M1335" s="157">
        <f t="shared" si="179"/>
        <v>300</v>
      </c>
      <c r="N1335" s="157">
        <f t="shared" si="180"/>
        <v>400</v>
      </c>
      <c r="O1335" s="959">
        <f>SUM(H1326:H1334)</f>
        <v>0</v>
      </c>
      <c r="P1335" s="967"/>
      <c r="Q1335" s="586"/>
      <c r="R1335" s="968"/>
      <c r="S1335" s="589"/>
      <c r="T1335" s="589"/>
      <c r="U1335" s="589"/>
    </row>
    <row r="1336" spans="1:21" x14ac:dyDescent="0.35">
      <c r="A1336" s="116"/>
      <c r="B1336" s="117"/>
      <c r="C1336" s="117"/>
      <c r="D1336" s="179"/>
      <c r="E1336" s="180"/>
      <c r="F1336" s="1690" t="s">
        <v>3</v>
      </c>
      <c r="G1336" s="1691"/>
      <c r="H1336" s="181">
        <v>15</v>
      </c>
      <c r="I1336" s="177"/>
      <c r="J1336" s="178"/>
      <c r="K1336" s="157">
        <f t="shared" si="177"/>
        <v>100</v>
      </c>
      <c r="L1336" s="157">
        <f t="shared" si="178"/>
        <v>200</v>
      </c>
      <c r="M1336" s="157">
        <f t="shared" si="179"/>
        <v>300</v>
      </c>
      <c r="N1336" s="157">
        <f t="shared" si="180"/>
        <v>400</v>
      </c>
      <c r="O1336" s="1030"/>
      <c r="P1336" s="967"/>
      <c r="Q1336" s="586"/>
      <c r="R1336" s="968"/>
      <c r="S1336" s="589"/>
      <c r="T1336" s="589"/>
      <c r="U1336" s="589"/>
    </row>
    <row r="1337" spans="1:21" x14ac:dyDescent="0.35">
      <c r="A1337" s="116"/>
      <c r="B1337" s="117"/>
      <c r="C1337" s="117"/>
      <c r="D1337" s="179"/>
      <c r="E1337" s="180"/>
      <c r="F1337" s="1692"/>
      <c r="G1337" s="1693"/>
      <c r="H1337" s="182"/>
      <c r="I1337" s="183"/>
      <c r="J1337" s="178"/>
      <c r="K1337" s="157">
        <f t="shared" si="177"/>
        <v>100</v>
      </c>
      <c r="L1337" s="157">
        <f t="shared" si="178"/>
        <v>200</v>
      </c>
      <c r="M1337" s="157">
        <f t="shared" si="179"/>
        <v>300</v>
      </c>
      <c r="N1337" s="157">
        <f t="shared" si="180"/>
        <v>400</v>
      </c>
      <c r="O1337" s="1030"/>
      <c r="P1337" s="967"/>
      <c r="Q1337" s="586"/>
      <c r="R1337" s="968"/>
      <c r="S1337" s="589"/>
      <c r="T1337" s="589"/>
      <c r="U1337" s="589"/>
    </row>
    <row r="1338" spans="1:21" x14ac:dyDescent="0.35">
      <c r="A1338" s="184"/>
      <c r="B1338" s="185"/>
      <c r="C1338" s="185"/>
      <c r="D1338" s="179"/>
      <c r="E1338" s="180"/>
      <c r="F1338" s="186"/>
      <c r="G1338" s="186"/>
      <c r="H1338" s="187"/>
      <c r="I1338" s="177"/>
      <c r="J1338" s="178"/>
      <c r="K1338" s="157">
        <f t="shared" si="177"/>
        <v>100</v>
      </c>
      <c r="L1338" s="157">
        <f t="shared" si="178"/>
        <v>200</v>
      </c>
      <c r="M1338" s="157">
        <f t="shared" si="179"/>
        <v>300</v>
      </c>
      <c r="N1338" s="157">
        <f t="shared" si="180"/>
        <v>400</v>
      </c>
      <c r="O1338" s="1030"/>
      <c r="P1338" s="967"/>
      <c r="Q1338" s="586"/>
      <c r="R1338" s="968"/>
      <c r="S1338" s="589"/>
      <c r="T1338" s="589"/>
      <c r="U1338" s="589"/>
    </row>
    <row r="1339" spans="1:21" ht="15.5" x14ac:dyDescent="0.35">
      <c r="A1339" s="116"/>
      <c r="B1339" s="117"/>
      <c r="C1339" s="1694"/>
      <c r="D1339" s="1695"/>
      <c r="E1339" s="263"/>
      <c r="F1339" s="1696" t="s">
        <v>5</v>
      </c>
      <c r="G1339" s="1696"/>
      <c r="H1339" s="264">
        <f>IF(ISNUMBER(I1337),H1337*H1335,H1336*H1335)</f>
        <v>0</v>
      </c>
      <c r="I1339" s="265"/>
      <c r="J1339" s="266"/>
      <c r="K1339" s="157">
        <f t="shared" si="177"/>
        <v>100</v>
      </c>
      <c r="L1339" s="157">
        <f t="shared" si="178"/>
        <v>200</v>
      </c>
      <c r="M1339" s="157">
        <f t="shared" si="179"/>
        <v>300</v>
      </c>
      <c r="N1339" s="157">
        <f t="shared" si="180"/>
        <v>400</v>
      </c>
      <c r="O1339" s="1030"/>
      <c r="P1339" s="967"/>
      <c r="Q1339" s="586"/>
      <c r="R1339" s="968"/>
      <c r="S1339" s="589"/>
      <c r="T1339" s="589"/>
      <c r="U1339" s="589"/>
    </row>
    <row r="1340" spans="1:21" x14ac:dyDescent="0.35">
      <c r="K1340" s="157">
        <f t="shared" si="177"/>
        <v>100</v>
      </c>
      <c r="L1340" s="157">
        <f t="shared" si="178"/>
        <v>200</v>
      </c>
      <c r="M1340" s="157">
        <f t="shared" si="179"/>
        <v>300</v>
      </c>
      <c r="N1340" s="157">
        <f t="shared" si="180"/>
        <v>400</v>
      </c>
      <c r="O1340" s="967"/>
      <c r="P1340" s="967"/>
      <c r="Q1340" s="586"/>
      <c r="R1340" s="968"/>
      <c r="S1340" s="589"/>
      <c r="T1340" s="589"/>
      <c r="U1340" s="589"/>
    </row>
    <row r="1341" spans="1:21" ht="7.5" customHeight="1" x14ac:dyDescent="0.35">
      <c r="A1341" s="116"/>
      <c r="B1341" s="117"/>
      <c r="C1341" s="117"/>
      <c r="D1341" s="116"/>
      <c r="E1341" s="116"/>
      <c r="F1341" s="118"/>
      <c r="G1341" s="119"/>
      <c r="H1341" s="116"/>
      <c r="I1341" s="120"/>
      <c r="J1341" s="121"/>
      <c r="K1341" s="157">
        <f t="shared" si="177"/>
        <v>100</v>
      </c>
      <c r="L1341" s="157">
        <f t="shared" si="178"/>
        <v>200</v>
      </c>
      <c r="M1341" s="157">
        <f t="shared" si="179"/>
        <v>300</v>
      </c>
      <c r="N1341" s="157">
        <f t="shared" si="180"/>
        <v>400</v>
      </c>
      <c r="O1341" s="968"/>
      <c r="P1341" s="968"/>
      <c r="Q1341" s="586"/>
      <c r="R1341" s="968"/>
      <c r="S1341" s="589"/>
      <c r="T1341" s="589"/>
      <c r="U1341" s="589"/>
    </row>
    <row r="1342" spans="1:21" ht="15.5" x14ac:dyDescent="0.35">
      <c r="A1342" s="124"/>
      <c r="B1342" s="125"/>
      <c r="C1342" s="126" t="s">
        <v>4832</v>
      </c>
      <c r="D1342" s="127" t="s">
        <v>5457</v>
      </c>
      <c r="E1342" s="128"/>
      <c r="F1342" s="129" t="str">
        <f>IF($F$3=1,O1342,"")</f>
        <v>E.3.2 Wassernutzung Außenraum *</v>
      </c>
      <c r="G1342" s="204"/>
      <c r="H1342" s="205"/>
      <c r="I1342" s="520" t="s">
        <v>23</v>
      </c>
      <c r="J1342" s="130"/>
      <c r="K1342" s="157">
        <f t="shared" si="177"/>
        <v>100</v>
      </c>
      <c r="L1342" s="157">
        <f t="shared" si="178"/>
        <v>200</v>
      </c>
      <c r="M1342" s="157">
        <f t="shared" si="179"/>
        <v>300</v>
      </c>
      <c r="N1342" s="157">
        <f t="shared" si="180"/>
        <v>400</v>
      </c>
      <c r="O1342" s="967" t="str">
        <f>CONCATENATE(C1342," ",D1342)</f>
        <v>E.3.2 Wassernutzung Außenraum *</v>
      </c>
      <c r="P1342" s="966"/>
      <c r="Q1342" s="586"/>
      <c r="R1342" s="968"/>
      <c r="S1342" s="589"/>
      <c r="T1342" s="589"/>
      <c r="U1342" s="589"/>
    </row>
    <row r="1343" spans="1:21" x14ac:dyDescent="0.35">
      <c r="A1343" s="124"/>
      <c r="B1343" s="134"/>
      <c r="C1343" s="135"/>
      <c r="D1343" s="136"/>
      <c r="E1343" s="136"/>
      <c r="F1343" s="137"/>
      <c r="G1343" s="138"/>
      <c r="H1343" s="124"/>
      <c r="I1343" s="139"/>
      <c r="J1343" s="140"/>
      <c r="K1343" s="157">
        <f t="shared" si="177"/>
        <v>100</v>
      </c>
      <c r="L1343" s="157">
        <f t="shared" si="178"/>
        <v>200</v>
      </c>
      <c r="M1343" s="157">
        <f t="shared" si="179"/>
        <v>300</v>
      </c>
      <c r="N1343" s="157">
        <f t="shared" si="180"/>
        <v>400</v>
      </c>
      <c r="O1343" s="968"/>
      <c r="P1343" s="966"/>
      <c r="Q1343" s="586"/>
      <c r="R1343" s="968"/>
      <c r="S1343" s="589"/>
      <c r="T1343" s="589"/>
      <c r="U1343" s="589"/>
    </row>
    <row r="1344" spans="1:21" x14ac:dyDescent="0.35">
      <c r="A1344" s="142"/>
      <c r="B1344" s="35"/>
      <c r="C1344" s="143"/>
      <c r="D1344" s="1685" t="s">
        <v>18</v>
      </c>
      <c r="E1344" s="1686"/>
      <c r="F1344" s="144" t="s">
        <v>19</v>
      </c>
      <c r="G1344" s="145" t="s">
        <v>0</v>
      </c>
      <c r="H1344" s="146" t="s">
        <v>20</v>
      </c>
      <c r="I1344" s="147" t="s">
        <v>1</v>
      </c>
      <c r="J1344" s="147" t="s">
        <v>4375</v>
      </c>
      <c r="K1344" s="157">
        <f t="shared" si="177"/>
        <v>100</v>
      </c>
      <c r="L1344" s="157">
        <f t="shared" si="178"/>
        <v>200</v>
      </c>
      <c r="M1344" s="157">
        <f t="shared" si="179"/>
        <v>300</v>
      </c>
      <c r="N1344" s="157">
        <f t="shared" si="180"/>
        <v>400</v>
      </c>
      <c r="O1344" s="587"/>
      <c r="P1344" s="967"/>
      <c r="Q1344" s="586"/>
      <c r="R1344" s="968"/>
      <c r="S1344" s="589"/>
      <c r="T1344" s="589"/>
      <c r="U1344" s="589"/>
    </row>
    <row r="1345" spans="1:21" ht="36" x14ac:dyDescent="0.35">
      <c r="A1345" s="123"/>
      <c r="B1345" s="35"/>
      <c r="C1345" s="151"/>
      <c r="D1345" s="1687" t="s">
        <v>4688</v>
      </c>
      <c r="E1345" s="1688"/>
      <c r="F1345" s="152" t="s">
        <v>5039</v>
      </c>
      <c r="G1345" s="153">
        <f t="shared" ref="G1345:G1346" si="182">IF($H$2=1,S1345,IF($H$2=2,T1345,U1345))</f>
        <v>1</v>
      </c>
      <c r="H1345" s="273">
        <f>'RH Trinkwasser'!C46</f>
        <v>0</v>
      </c>
      <c r="I1345" s="274"/>
      <c r="J1345" s="156"/>
      <c r="K1345" s="157">
        <f t="shared" si="177"/>
        <v>100</v>
      </c>
      <c r="L1345" s="157">
        <f t="shared" si="178"/>
        <v>200</v>
      </c>
      <c r="M1345" s="157">
        <f t="shared" si="179"/>
        <v>300</v>
      </c>
      <c r="N1345" s="157">
        <f t="shared" si="180"/>
        <v>400</v>
      </c>
      <c r="O1345" s="967" t="str">
        <f>CONCATENATE(O1342," | ",F1345)</f>
        <v xml:space="preserve">E.3.2 Wassernutzung Außenraum * | Variante 1 - Rechenhilfe: Trinkwasserverbrauch für Gartenbewässerung und Swimmingpools (Anteil jeweils 50%) pro m² und Tag </v>
      </c>
      <c r="P1345" s="967"/>
      <c r="Q1345" s="586"/>
      <c r="R1345" s="968"/>
      <c r="S1345" s="595">
        <v>0</v>
      </c>
      <c r="T1345" s="595">
        <v>0.7</v>
      </c>
      <c r="U1345" s="588">
        <v>1</v>
      </c>
    </row>
    <row r="1346" spans="1:21" ht="24" x14ac:dyDescent="0.35">
      <c r="A1346" s="123"/>
      <c r="B1346" s="35"/>
      <c r="C1346" s="151"/>
      <c r="D1346" s="1687"/>
      <c r="E1346" s="1688"/>
      <c r="F1346" s="152" t="s">
        <v>5040</v>
      </c>
      <c r="G1346" s="153">
        <f t="shared" si="182"/>
        <v>1</v>
      </c>
      <c r="H1346" s="226">
        <f>'RH Trinkwasser'!C62</f>
        <v>0</v>
      </c>
      <c r="I1346" s="158"/>
      <c r="J1346" s="156"/>
      <c r="K1346" s="157">
        <f t="shared" si="177"/>
        <v>100</v>
      </c>
      <c r="L1346" s="157">
        <f t="shared" si="178"/>
        <v>200</v>
      </c>
      <c r="M1346" s="157">
        <f t="shared" si="179"/>
        <v>300</v>
      </c>
      <c r="N1346" s="157">
        <f t="shared" si="180"/>
        <v>400</v>
      </c>
      <c r="O1346" s="967" t="str">
        <f>CONCATENATE(O1342," | ",F1346)</f>
        <v>E.3.2 Wassernutzung Außenraum * | Variante 2 - Alternative Rechenhilfe: Bewertung der baulichen Maßnahmen und Marketing Maßnahmen</v>
      </c>
      <c r="P1346" s="967"/>
      <c r="Q1346" s="586"/>
      <c r="R1346" s="968"/>
      <c r="S1346" s="595">
        <v>0</v>
      </c>
      <c r="T1346" s="595">
        <v>0.7</v>
      </c>
      <c r="U1346" s="588">
        <v>1</v>
      </c>
    </row>
    <row r="1347" spans="1:21" x14ac:dyDescent="0.35">
      <c r="A1347" s="123"/>
      <c r="B1347" s="35"/>
      <c r="C1347" s="151"/>
      <c r="D1347" s="1687"/>
      <c r="E1347" s="1688"/>
      <c r="F1347" s="159"/>
      <c r="G1347" s="160"/>
      <c r="H1347" s="161"/>
      <c r="I1347" s="166"/>
      <c r="J1347" s="167"/>
      <c r="K1347" s="157">
        <f t="shared" si="177"/>
        <v>100</v>
      </c>
      <c r="L1347" s="157">
        <f t="shared" si="178"/>
        <v>200</v>
      </c>
      <c r="M1347" s="157">
        <f t="shared" si="179"/>
        <v>300</v>
      </c>
      <c r="N1347" s="157">
        <f t="shared" si="180"/>
        <v>400</v>
      </c>
      <c r="O1347" s="967"/>
      <c r="P1347" s="967"/>
      <c r="Q1347" s="586"/>
      <c r="R1347" s="968"/>
      <c r="S1347" s="589"/>
      <c r="T1347" s="589"/>
      <c r="U1347" s="589"/>
    </row>
    <row r="1348" spans="1:21" x14ac:dyDescent="0.35">
      <c r="A1348" s="123">
        <v>3.2</v>
      </c>
      <c r="B1348" s="35"/>
      <c r="C1348" s="151"/>
      <c r="D1348" s="1687"/>
      <c r="E1348" s="1688"/>
      <c r="F1348" s="269" t="s">
        <v>4611</v>
      </c>
      <c r="G1348" s="160"/>
      <c r="H1348" s="161">
        <f>IF(F1348="Variante 1",H1345,H1346)</f>
        <v>0</v>
      </c>
      <c r="I1348" s="166"/>
      <c r="J1348" s="167"/>
      <c r="K1348" s="157">
        <f t="shared" si="177"/>
        <v>100</v>
      </c>
      <c r="L1348" s="157">
        <f t="shared" si="178"/>
        <v>200</v>
      </c>
      <c r="M1348" s="157">
        <f t="shared" si="179"/>
        <v>300</v>
      </c>
      <c r="N1348" s="157">
        <f t="shared" si="180"/>
        <v>400</v>
      </c>
      <c r="O1348" s="967"/>
      <c r="P1348" s="967"/>
      <c r="Q1348" s="586"/>
      <c r="R1348" s="968"/>
      <c r="S1348" s="589"/>
      <c r="T1348" s="589"/>
      <c r="U1348" s="589"/>
    </row>
    <row r="1349" spans="1:21" x14ac:dyDescent="0.35">
      <c r="A1349" s="123"/>
      <c r="B1349" s="35"/>
      <c r="C1349" s="151"/>
      <c r="D1349" s="1687"/>
      <c r="E1349" s="1688"/>
      <c r="F1349" s="159"/>
      <c r="G1349" s="160"/>
      <c r="H1349" s="161"/>
      <c r="I1349" s="166"/>
      <c r="J1349" s="167"/>
      <c r="K1349" s="157">
        <f t="shared" si="177"/>
        <v>100</v>
      </c>
      <c r="L1349" s="157">
        <f t="shared" si="178"/>
        <v>200</v>
      </c>
      <c r="M1349" s="157">
        <f t="shared" si="179"/>
        <v>300</v>
      </c>
      <c r="N1349" s="157">
        <f t="shared" si="180"/>
        <v>400</v>
      </c>
      <c r="O1349" s="967"/>
      <c r="P1349" s="967"/>
      <c r="Q1349" s="586"/>
      <c r="R1349" s="968"/>
      <c r="S1349" s="589"/>
      <c r="T1349" s="589"/>
      <c r="U1349" s="589"/>
    </row>
    <row r="1350" spans="1:21" x14ac:dyDescent="0.35">
      <c r="A1350" s="116"/>
      <c r="B1350" s="35"/>
      <c r="C1350" s="117"/>
      <c r="D1350" s="1687"/>
      <c r="E1350" s="1688"/>
      <c r="F1350" s="593" t="str">
        <f>IF($G$2=1,R1350,"Weiteres Kriterium in der Nutzung")</f>
        <v>Weiteres Kriterium in der Nutzung</v>
      </c>
      <c r="G1350" s="153">
        <f t="shared" ref="G1350:G1352" si="183">IF($H$2=1,S1350,IF($H$2=2,T1350,U1350))</f>
        <v>0</v>
      </c>
      <c r="H1350" s="154"/>
      <c r="I1350" s="158"/>
      <c r="J1350" s="156"/>
      <c r="K1350" s="157">
        <f t="shared" si="177"/>
        <v>100</v>
      </c>
      <c r="L1350" s="157">
        <f t="shared" si="178"/>
        <v>200</v>
      </c>
      <c r="M1350" s="157">
        <f t="shared" si="179"/>
        <v>300</v>
      </c>
      <c r="N1350" s="157">
        <f t="shared" si="180"/>
        <v>400</v>
      </c>
      <c r="O1350" s="967" t="str">
        <f>CONCATENATE(O1342," | ",F1350)</f>
        <v>E.3.2 Wassernutzung Außenraum * | Weiteres Kriterium in der Nutzung</v>
      </c>
      <c r="P1350" s="967"/>
      <c r="Q1350" s="586"/>
      <c r="R1350" s="968" t="s">
        <v>5351</v>
      </c>
      <c r="S1350" s="588">
        <v>0.33</v>
      </c>
      <c r="T1350" s="588">
        <v>0.1</v>
      </c>
      <c r="U1350" s="588">
        <v>0</v>
      </c>
    </row>
    <row r="1351" spans="1:21" x14ac:dyDescent="0.35">
      <c r="A1351" s="116"/>
      <c r="B1351" s="35"/>
      <c r="C1351" s="117"/>
      <c r="D1351" s="1687"/>
      <c r="E1351" s="1688"/>
      <c r="F1351" s="593" t="str">
        <f>IF($G$2=1,R1351,"Weiteres Kriterium in der Nutzung")</f>
        <v>Weiteres Kriterium in der Nutzung</v>
      </c>
      <c r="G1351" s="153">
        <f t="shared" si="183"/>
        <v>0</v>
      </c>
      <c r="H1351" s="154"/>
      <c r="I1351" s="158"/>
      <c r="J1351" s="156"/>
      <c r="K1351" s="157">
        <f t="shared" si="177"/>
        <v>100</v>
      </c>
      <c r="L1351" s="157">
        <f t="shared" si="178"/>
        <v>200</v>
      </c>
      <c r="M1351" s="157">
        <f t="shared" si="179"/>
        <v>300</v>
      </c>
      <c r="N1351" s="157">
        <f t="shared" si="180"/>
        <v>400</v>
      </c>
      <c r="O1351" s="967" t="str">
        <f>CONCATENATE(O1342," | ",F1351)</f>
        <v>E.3.2 Wassernutzung Außenraum * | Weiteres Kriterium in der Nutzung</v>
      </c>
      <c r="P1351" s="967"/>
      <c r="Q1351" s="586"/>
      <c r="R1351" s="968" t="s">
        <v>5342</v>
      </c>
      <c r="S1351" s="588">
        <v>0.33</v>
      </c>
      <c r="T1351" s="588">
        <v>0.1</v>
      </c>
      <c r="U1351" s="588">
        <v>0</v>
      </c>
    </row>
    <row r="1352" spans="1:21" x14ac:dyDescent="0.35">
      <c r="A1352" s="116"/>
      <c r="B1352" s="35"/>
      <c r="C1352" s="117"/>
      <c r="D1352" s="1687"/>
      <c r="E1352" s="1688"/>
      <c r="F1352" s="593" t="str">
        <f>IF($G$2=1,R1352,"Weiteres Kriterium in der Nutzung")</f>
        <v>Weiteres Kriterium in der Nutzung</v>
      </c>
      <c r="G1352" s="153">
        <f t="shared" si="183"/>
        <v>0</v>
      </c>
      <c r="H1352" s="154"/>
      <c r="I1352" s="158"/>
      <c r="J1352" s="156"/>
      <c r="K1352" s="157">
        <f t="shared" si="177"/>
        <v>100</v>
      </c>
      <c r="L1352" s="157">
        <f t="shared" si="178"/>
        <v>200</v>
      </c>
      <c r="M1352" s="157">
        <f t="shared" si="179"/>
        <v>300</v>
      </c>
      <c r="N1352" s="157">
        <f t="shared" si="180"/>
        <v>400</v>
      </c>
      <c r="O1352" s="967" t="str">
        <f>CONCATENATE(O1342," | ",F1352)</f>
        <v>E.3.2 Wassernutzung Außenraum * | Weiteres Kriterium in der Nutzung</v>
      </c>
      <c r="P1352" s="967"/>
      <c r="Q1352" s="586"/>
      <c r="R1352" s="968" t="s">
        <v>5484</v>
      </c>
      <c r="S1352" s="588">
        <v>0.34</v>
      </c>
      <c r="T1352" s="588">
        <v>0.1</v>
      </c>
      <c r="U1352" s="588">
        <v>0</v>
      </c>
    </row>
    <row r="1353" spans="1:21" x14ac:dyDescent="0.35">
      <c r="A1353" s="123"/>
      <c r="B1353" s="35"/>
      <c r="C1353" s="151"/>
      <c r="D1353" s="1687"/>
      <c r="E1353" s="1688"/>
      <c r="F1353" s="165"/>
      <c r="G1353" s="160"/>
      <c r="H1353" s="161"/>
      <c r="I1353" s="166"/>
      <c r="J1353" s="167"/>
      <c r="K1353" s="157">
        <f t="shared" si="177"/>
        <v>100</v>
      </c>
      <c r="L1353" s="157">
        <f t="shared" si="178"/>
        <v>200</v>
      </c>
      <c r="M1353" s="157">
        <f t="shared" si="179"/>
        <v>300</v>
      </c>
      <c r="N1353" s="157">
        <f t="shared" si="180"/>
        <v>400</v>
      </c>
      <c r="O1353" s="959"/>
      <c r="P1353" s="967"/>
      <c r="Q1353" s="586"/>
      <c r="R1353" s="968"/>
      <c r="S1353" s="589"/>
      <c r="T1353" s="589"/>
      <c r="U1353" s="589"/>
    </row>
    <row r="1354" spans="1:21" ht="24" x14ac:dyDescent="0.35">
      <c r="A1354" s="116"/>
      <c r="B1354" s="35"/>
      <c r="C1354" s="117"/>
      <c r="D1354" s="1687"/>
      <c r="E1354" s="1688"/>
      <c r="F1354" s="1083" t="s">
        <v>5516</v>
      </c>
      <c r="G1354" s="1082" t="s">
        <v>2048</v>
      </c>
      <c r="H1354" s="168"/>
      <c r="I1354" s="162"/>
      <c r="J1354" s="164"/>
      <c r="K1354" s="157">
        <f t="shared" si="177"/>
        <v>100</v>
      </c>
      <c r="L1354" s="157">
        <f t="shared" si="178"/>
        <v>200</v>
      </c>
      <c r="M1354" s="157">
        <f t="shared" si="179"/>
        <v>300</v>
      </c>
      <c r="N1354" s="157">
        <f t="shared" si="180"/>
        <v>400</v>
      </c>
      <c r="O1354" s="959"/>
      <c r="P1354" s="967"/>
      <c r="Q1354" s="586"/>
      <c r="R1354" s="968"/>
      <c r="S1354" s="589"/>
      <c r="T1354" s="589"/>
      <c r="U1354" s="589"/>
    </row>
    <row r="1355" spans="1:21" x14ac:dyDescent="0.35">
      <c r="A1355" s="116"/>
      <c r="B1355" s="117"/>
      <c r="C1355" s="117"/>
      <c r="D1355" s="1687"/>
      <c r="E1355" s="1688"/>
      <c r="F1355" s="159"/>
      <c r="G1355" s="160"/>
      <c r="H1355" s="168"/>
      <c r="I1355" s="162"/>
      <c r="J1355" s="164"/>
      <c r="K1355" s="157">
        <f t="shared" si="177"/>
        <v>100</v>
      </c>
      <c r="L1355" s="157">
        <f t="shared" si="178"/>
        <v>200</v>
      </c>
      <c r="M1355" s="157">
        <f t="shared" si="179"/>
        <v>300</v>
      </c>
      <c r="N1355" s="157">
        <f t="shared" si="180"/>
        <v>400</v>
      </c>
      <c r="O1355" s="959"/>
      <c r="P1355" s="967"/>
      <c r="Q1355" s="586"/>
      <c r="R1355" s="968"/>
      <c r="S1355" s="589"/>
      <c r="T1355" s="589"/>
      <c r="U1355" s="589"/>
    </row>
    <row r="1356" spans="1:21" x14ac:dyDescent="0.35">
      <c r="A1356" s="116"/>
      <c r="B1356" s="117"/>
      <c r="C1356" s="117"/>
      <c r="D1356" s="1687"/>
      <c r="E1356" s="1688"/>
      <c r="F1356" s="169"/>
      <c r="G1356" s="170"/>
      <c r="H1356" s="171"/>
      <c r="I1356" s="172"/>
      <c r="J1356" s="173"/>
      <c r="K1356" s="157">
        <f t="shared" si="177"/>
        <v>100</v>
      </c>
      <c r="L1356" s="157">
        <f t="shared" si="178"/>
        <v>200</v>
      </c>
      <c r="M1356" s="157">
        <f t="shared" si="179"/>
        <v>300</v>
      </c>
      <c r="N1356" s="157">
        <f t="shared" si="180"/>
        <v>400</v>
      </c>
      <c r="O1356" s="959"/>
      <c r="P1356" s="967"/>
      <c r="Q1356" s="586"/>
      <c r="R1356" s="968"/>
      <c r="S1356" s="589"/>
      <c r="T1356" s="589"/>
      <c r="U1356" s="589"/>
    </row>
    <row r="1357" spans="1:21" ht="28.5" customHeight="1" x14ac:dyDescent="0.35">
      <c r="A1357" s="116"/>
      <c r="B1357" s="117"/>
      <c r="C1357" s="117"/>
      <c r="D1357" s="174"/>
      <c r="E1357" s="175"/>
      <c r="F1357" s="1689" t="s">
        <v>2</v>
      </c>
      <c r="G1357" s="1689"/>
      <c r="H1357" s="176">
        <f>IF(O1357&gt;1,"Zielerreichung übersteigt 100%!",O1357)</f>
        <v>0</v>
      </c>
      <c r="I1357" s="177"/>
      <c r="J1357" s="178"/>
      <c r="K1357" s="157">
        <f t="shared" si="177"/>
        <v>100</v>
      </c>
      <c r="L1357" s="157">
        <f t="shared" si="178"/>
        <v>200</v>
      </c>
      <c r="M1357" s="157">
        <f t="shared" si="179"/>
        <v>300</v>
      </c>
      <c r="N1357" s="157">
        <f t="shared" si="180"/>
        <v>400</v>
      </c>
      <c r="O1357" s="959">
        <f>SUM(H1348:H1356)</f>
        <v>0</v>
      </c>
      <c r="P1357" s="967"/>
      <c r="Q1357" s="586"/>
      <c r="R1357" s="968"/>
      <c r="S1357" s="589"/>
      <c r="T1357" s="589"/>
      <c r="U1357" s="589"/>
    </row>
    <row r="1358" spans="1:21" x14ac:dyDescent="0.35">
      <c r="A1358" s="116"/>
      <c r="B1358" s="117"/>
      <c r="C1358" s="117"/>
      <c r="D1358" s="179"/>
      <c r="E1358" s="180"/>
      <c r="F1358" s="1690" t="s">
        <v>3</v>
      </c>
      <c r="G1358" s="1691"/>
      <c r="H1358" s="181">
        <v>10</v>
      </c>
      <c r="I1358" s="1"/>
      <c r="J1358" s="178"/>
      <c r="K1358" s="157">
        <f t="shared" si="177"/>
        <v>100</v>
      </c>
      <c r="L1358" s="157">
        <f t="shared" si="178"/>
        <v>200</v>
      </c>
      <c r="M1358" s="157">
        <f t="shared" si="179"/>
        <v>300</v>
      </c>
      <c r="N1358" s="157">
        <f t="shared" si="180"/>
        <v>400</v>
      </c>
      <c r="O1358" s="1030"/>
      <c r="P1358" s="967"/>
      <c r="Q1358" s="586"/>
      <c r="R1358" s="968"/>
      <c r="S1358" s="589"/>
      <c r="T1358" s="589"/>
      <c r="U1358" s="589"/>
    </row>
    <row r="1359" spans="1:21" ht="15" customHeight="1" x14ac:dyDescent="0.35">
      <c r="A1359" s="116"/>
      <c r="B1359" s="117"/>
      <c r="C1359" s="117"/>
      <c r="D1359" s="179"/>
      <c r="E1359" s="180"/>
      <c r="F1359" s="1700" t="s">
        <v>4</v>
      </c>
      <c r="G1359" s="1701"/>
      <c r="H1359" s="1089" t="str">
        <f>IF(G1354="ja",0,"")</f>
        <v/>
      </c>
      <c r="I1359" s="206"/>
      <c r="J1359" s="178"/>
      <c r="K1359" s="157">
        <f t="shared" si="177"/>
        <v>100</v>
      </c>
      <c r="L1359" s="157">
        <f t="shared" si="178"/>
        <v>200</v>
      </c>
      <c r="M1359" s="157">
        <f t="shared" si="179"/>
        <v>300</v>
      </c>
      <c r="N1359" s="157">
        <f t="shared" si="180"/>
        <v>400</v>
      </c>
      <c r="O1359" s="1030"/>
      <c r="P1359" s="967"/>
      <c r="Q1359" s="586"/>
      <c r="R1359" s="968"/>
      <c r="S1359" s="589"/>
      <c r="T1359" s="589"/>
      <c r="U1359" s="589"/>
    </row>
    <row r="1360" spans="1:21" x14ac:dyDescent="0.35">
      <c r="A1360" s="184"/>
      <c r="B1360" s="185"/>
      <c r="C1360" s="185"/>
      <c r="D1360" s="179"/>
      <c r="E1360" s="180"/>
      <c r="F1360" s="186"/>
      <c r="G1360" s="186"/>
      <c r="H1360" s="187"/>
      <c r="I1360" s="177"/>
      <c r="J1360" s="178"/>
      <c r="K1360" s="157">
        <f t="shared" si="177"/>
        <v>100</v>
      </c>
      <c r="L1360" s="157">
        <f t="shared" si="178"/>
        <v>200</v>
      </c>
      <c r="M1360" s="157">
        <f t="shared" si="179"/>
        <v>300</v>
      </c>
      <c r="N1360" s="157">
        <f t="shared" si="180"/>
        <v>400</v>
      </c>
      <c r="O1360" s="1030"/>
      <c r="P1360" s="967"/>
      <c r="Q1360" s="586"/>
      <c r="R1360" s="968"/>
      <c r="S1360" s="589"/>
      <c r="T1360" s="589"/>
      <c r="U1360" s="589"/>
    </row>
    <row r="1361" spans="1:21" ht="15.75" customHeight="1" x14ac:dyDescent="0.35">
      <c r="A1361" s="116"/>
      <c r="B1361" s="185"/>
      <c r="C1361" s="1694"/>
      <c r="D1361" s="1695"/>
      <c r="E1361" s="263"/>
      <c r="F1361" s="1696" t="s">
        <v>5</v>
      </c>
      <c r="G1361" s="1696"/>
      <c r="H1361" s="264">
        <f>IF(ISNUMBER(#REF!),H1359*H1357,H1358*H1357)</f>
        <v>0</v>
      </c>
      <c r="I1361" s="265"/>
      <c r="J1361" s="266"/>
      <c r="K1361" s="157">
        <f t="shared" si="177"/>
        <v>100</v>
      </c>
      <c r="L1361" s="157">
        <f t="shared" si="178"/>
        <v>200</v>
      </c>
      <c r="M1361" s="157">
        <f t="shared" si="179"/>
        <v>300</v>
      </c>
      <c r="N1361" s="157">
        <f t="shared" si="180"/>
        <v>400</v>
      </c>
      <c r="O1361" s="1030"/>
      <c r="P1361" s="967"/>
      <c r="Q1361" s="586"/>
      <c r="R1361" s="968"/>
      <c r="S1361" s="589"/>
      <c r="T1361" s="589"/>
      <c r="U1361" s="589"/>
    </row>
    <row r="1362" spans="1:21" x14ac:dyDescent="0.35">
      <c r="B1362" s="185"/>
      <c r="K1362" s="157">
        <f t="shared" si="177"/>
        <v>100</v>
      </c>
      <c r="L1362" s="157">
        <f t="shared" si="178"/>
        <v>200</v>
      </c>
      <c r="M1362" s="157">
        <f t="shared" si="179"/>
        <v>300</v>
      </c>
      <c r="N1362" s="157">
        <f t="shared" si="180"/>
        <v>400</v>
      </c>
      <c r="O1362" s="967"/>
      <c r="P1362" s="967"/>
      <c r="Q1362" s="586"/>
      <c r="R1362" s="968"/>
      <c r="S1362" s="589"/>
      <c r="T1362" s="589"/>
      <c r="U1362" s="589"/>
    </row>
    <row r="1363" spans="1:21" ht="7.5" customHeight="1" x14ac:dyDescent="0.35">
      <c r="A1363" s="116"/>
      <c r="B1363" s="117"/>
      <c r="C1363" s="117"/>
      <c r="D1363" s="116"/>
      <c r="E1363" s="116"/>
      <c r="F1363" s="118"/>
      <c r="G1363" s="119"/>
      <c r="H1363" s="116"/>
      <c r="I1363" s="120"/>
      <c r="J1363" s="121"/>
      <c r="K1363" s="157">
        <f t="shared" si="177"/>
        <v>100</v>
      </c>
      <c r="L1363" s="157">
        <f t="shared" si="178"/>
        <v>200</v>
      </c>
      <c r="M1363" s="157">
        <f t="shared" si="179"/>
        <v>300</v>
      </c>
      <c r="N1363" s="157">
        <f t="shared" si="180"/>
        <v>400</v>
      </c>
      <c r="O1363" s="968"/>
      <c r="P1363" s="968"/>
      <c r="Q1363" s="586"/>
      <c r="R1363" s="968"/>
      <c r="S1363" s="589"/>
      <c r="T1363" s="589"/>
      <c r="U1363" s="589"/>
    </row>
    <row r="1364" spans="1:21" ht="15.5" x14ac:dyDescent="0.35">
      <c r="A1364" s="124"/>
      <c r="B1364" s="125"/>
      <c r="C1364" s="126" t="s">
        <v>4833</v>
      </c>
      <c r="D1364" s="127" t="s">
        <v>5458</v>
      </c>
      <c r="E1364" s="128"/>
      <c r="F1364" s="129" t="str">
        <f>IF($F$3=1,O1364,"")</f>
        <v>E.3.3 Wassernutzung Dienstleistungsgebäude *</v>
      </c>
      <c r="G1364" s="204"/>
      <c r="H1364" s="205"/>
      <c r="I1364" s="520" t="s">
        <v>23</v>
      </c>
      <c r="J1364" s="130"/>
      <c r="K1364" s="157">
        <f t="shared" si="177"/>
        <v>100</v>
      </c>
      <c r="L1364" s="157">
        <f t="shared" si="178"/>
        <v>200</v>
      </c>
      <c r="M1364" s="157">
        <f t="shared" si="179"/>
        <v>300</v>
      </c>
      <c r="N1364" s="157">
        <f t="shared" si="180"/>
        <v>400</v>
      </c>
      <c r="O1364" s="967" t="str">
        <f>CONCATENATE(C1364," ",D1364)</f>
        <v>E.3.3 Wassernutzung Dienstleistungsgebäude *</v>
      </c>
      <c r="P1364" s="966"/>
      <c r="Q1364" s="586"/>
      <c r="R1364" s="968"/>
      <c r="S1364" s="589"/>
      <c r="T1364" s="589"/>
      <c r="U1364" s="589"/>
    </row>
    <row r="1365" spans="1:21" x14ac:dyDescent="0.35">
      <c r="A1365" s="124"/>
      <c r="B1365" s="134"/>
      <c r="C1365" s="135"/>
      <c r="D1365" s="136"/>
      <c r="E1365" s="136"/>
      <c r="F1365" s="137"/>
      <c r="G1365" s="138"/>
      <c r="H1365" s="124"/>
      <c r="I1365" s="139"/>
      <c r="J1365" s="140"/>
      <c r="K1365" s="157">
        <f t="shared" si="177"/>
        <v>100</v>
      </c>
      <c r="L1365" s="157">
        <f t="shared" si="178"/>
        <v>200</v>
      </c>
      <c r="M1365" s="157">
        <f t="shared" si="179"/>
        <v>300</v>
      </c>
      <c r="N1365" s="157">
        <f t="shared" si="180"/>
        <v>400</v>
      </c>
      <c r="O1365" s="968"/>
      <c r="P1365" s="966"/>
      <c r="Q1365" s="586"/>
      <c r="R1365" s="968"/>
      <c r="S1365" s="589"/>
      <c r="T1365" s="589"/>
      <c r="U1365" s="589"/>
    </row>
    <row r="1366" spans="1:21" x14ac:dyDescent="0.35">
      <c r="A1366" s="142"/>
      <c r="B1366" s="35"/>
      <c r="C1366" s="143"/>
      <c r="D1366" s="1685" t="s">
        <v>18</v>
      </c>
      <c r="E1366" s="1686"/>
      <c r="F1366" s="144" t="s">
        <v>19</v>
      </c>
      <c r="G1366" s="145" t="s">
        <v>0</v>
      </c>
      <c r="H1366" s="146" t="s">
        <v>20</v>
      </c>
      <c r="I1366" s="147" t="s">
        <v>1</v>
      </c>
      <c r="J1366" s="147" t="s">
        <v>4375</v>
      </c>
      <c r="K1366" s="157">
        <f t="shared" si="177"/>
        <v>100</v>
      </c>
      <c r="L1366" s="157">
        <f t="shared" si="178"/>
        <v>200</v>
      </c>
      <c r="M1366" s="157">
        <f t="shared" si="179"/>
        <v>300</v>
      </c>
      <c r="N1366" s="157">
        <f t="shared" si="180"/>
        <v>400</v>
      </c>
      <c r="O1366" s="587"/>
      <c r="P1366" s="967"/>
      <c r="Q1366" s="586"/>
      <c r="R1366" s="968"/>
      <c r="S1366" s="589"/>
      <c r="T1366" s="589"/>
      <c r="U1366" s="589"/>
    </row>
    <row r="1367" spans="1:21" ht="24" x14ac:dyDescent="0.35">
      <c r="A1367" s="123"/>
      <c r="B1367" s="35"/>
      <c r="C1367" s="151"/>
      <c r="D1367" s="1687" t="s">
        <v>4689</v>
      </c>
      <c r="E1367" s="1688"/>
      <c r="F1367" s="152" t="s">
        <v>5041</v>
      </c>
      <c r="G1367" s="153">
        <f t="shared" ref="G1367:G1368" si="184">IF($H$2=1,S1367,IF($H$2=2,T1367,U1367))</f>
        <v>1</v>
      </c>
      <c r="H1367" s="226">
        <f>'RH Trinkwasser'!C78</f>
        <v>0</v>
      </c>
      <c r="I1367" s="274"/>
      <c r="J1367" s="156"/>
      <c r="K1367" s="157">
        <f t="shared" si="177"/>
        <v>100</v>
      </c>
      <c r="L1367" s="157">
        <f t="shared" si="178"/>
        <v>200</v>
      </c>
      <c r="M1367" s="157">
        <f t="shared" si="179"/>
        <v>300</v>
      </c>
      <c r="N1367" s="157">
        <f t="shared" si="180"/>
        <v>400</v>
      </c>
      <c r="O1367" s="967" t="str">
        <f>CONCATENATE(O1364," | ",F1367)</f>
        <v>E.3.3 Wassernutzung Dienstleistungsgebäude * | Variante 1 - Rechenhilfe: Trinkwasserverbrauch Dienstleistungsgebäude pro Einheit</v>
      </c>
      <c r="P1367" s="967"/>
      <c r="Q1367" s="586"/>
      <c r="R1367" s="968"/>
      <c r="S1367" s="595">
        <v>0</v>
      </c>
      <c r="T1367" s="595">
        <v>0.7</v>
      </c>
      <c r="U1367" s="588">
        <v>1</v>
      </c>
    </row>
    <row r="1368" spans="1:21" ht="24" x14ac:dyDescent="0.35">
      <c r="A1368" s="123"/>
      <c r="B1368" s="35"/>
      <c r="C1368" s="151"/>
      <c r="D1368" s="1687"/>
      <c r="E1368" s="1688"/>
      <c r="F1368" s="152" t="s">
        <v>5038</v>
      </c>
      <c r="G1368" s="153">
        <f t="shared" si="184"/>
        <v>1</v>
      </c>
      <c r="H1368" s="226">
        <f>'RH Trinkwasser'!C93</f>
        <v>0.5</v>
      </c>
      <c r="I1368" s="158"/>
      <c r="J1368" s="156"/>
      <c r="K1368" s="157">
        <f t="shared" si="177"/>
        <v>100</v>
      </c>
      <c r="L1368" s="157">
        <f t="shared" si="178"/>
        <v>200</v>
      </c>
      <c r="M1368" s="157">
        <f t="shared" si="179"/>
        <v>300</v>
      </c>
      <c r="N1368" s="157">
        <f t="shared" si="180"/>
        <v>400</v>
      </c>
      <c r="O1368" s="967" t="str">
        <f>CONCATENATE(O1364," | ",F1368)</f>
        <v>E.3.3 Wassernutzung Dienstleistungsgebäude * | Variante 2 - Alternative Rechenhilfe: Bewertung der baulichen Maßnahmen und Marketing Maßnahmen</v>
      </c>
      <c r="P1368" s="967"/>
      <c r="Q1368" s="586"/>
      <c r="R1368" s="968"/>
      <c r="S1368" s="595">
        <v>0</v>
      </c>
      <c r="T1368" s="595">
        <v>0.7</v>
      </c>
      <c r="U1368" s="588">
        <v>1</v>
      </c>
    </row>
    <row r="1369" spans="1:21" x14ac:dyDescent="0.35">
      <c r="A1369" s="123"/>
      <c r="B1369" s="35"/>
      <c r="C1369" s="151"/>
      <c r="D1369" s="1687"/>
      <c r="E1369" s="1688"/>
      <c r="F1369" s="159"/>
      <c r="G1369" s="160"/>
      <c r="H1369" s="161"/>
      <c r="I1369" s="166"/>
      <c r="J1369" s="167"/>
      <c r="K1369" s="157">
        <f t="shared" si="177"/>
        <v>100</v>
      </c>
      <c r="L1369" s="157">
        <f t="shared" si="178"/>
        <v>200</v>
      </c>
      <c r="M1369" s="157">
        <f t="shared" si="179"/>
        <v>300</v>
      </c>
      <c r="N1369" s="157">
        <f t="shared" si="180"/>
        <v>400</v>
      </c>
      <c r="O1369" s="967"/>
      <c r="P1369" s="967"/>
      <c r="Q1369" s="586"/>
      <c r="R1369" s="968"/>
      <c r="S1369" s="589"/>
      <c r="T1369" s="589"/>
      <c r="U1369" s="589"/>
    </row>
    <row r="1370" spans="1:21" x14ac:dyDescent="0.35">
      <c r="A1370" s="123">
        <v>3.2</v>
      </c>
      <c r="B1370" s="35"/>
      <c r="C1370" s="151"/>
      <c r="D1370" s="1687"/>
      <c r="E1370" s="1688"/>
      <c r="F1370" s="269" t="s">
        <v>4611</v>
      </c>
      <c r="G1370" s="160"/>
      <c r="H1370" s="161">
        <f>IF(F1370="Variante 1",H1367,H1368)</f>
        <v>0</v>
      </c>
      <c r="I1370" s="166"/>
      <c r="J1370" s="167"/>
      <c r="K1370" s="157">
        <f t="shared" si="177"/>
        <v>100</v>
      </c>
      <c r="L1370" s="157">
        <f t="shared" si="178"/>
        <v>200</v>
      </c>
      <c r="M1370" s="157">
        <f t="shared" si="179"/>
        <v>300</v>
      </c>
      <c r="N1370" s="157">
        <f t="shared" si="180"/>
        <v>400</v>
      </c>
      <c r="O1370" s="967"/>
      <c r="P1370" s="967"/>
      <c r="Q1370" s="586"/>
      <c r="R1370" s="968"/>
      <c r="S1370" s="589"/>
      <c r="T1370" s="589"/>
      <c r="U1370" s="589"/>
    </row>
    <row r="1371" spans="1:21" x14ac:dyDescent="0.35">
      <c r="A1371" s="123"/>
      <c r="B1371" s="35"/>
      <c r="C1371" s="151"/>
      <c r="D1371" s="1687"/>
      <c r="E1371" s="1688"/>
      <c r="F1371" s="159"/>
      <c r="G1371" s="160"/>
      <c r="H1371" s="161"/>
      <c r="I1371" s="166"/>
      <c r="J1371" s="167"/>
      <c r="K1371" s="157">
        <f t="shared" si="177"/>
        <v>100</v>
      </c>
      <c r="L1371" s="157">
        <f t="shared" si="178"/>
        <v>200</v>
      </c>
      <c r="M1371" s="157">
        <f t="shared" si="179"/>
        <v>300</v>
      </c>
      <c r="N1371" s="157">
        <f t="shared" si="180"/>
        <v>400</v>
      </c>
      <c r="O1371" s="967"/>
      <c r="P1371" s="967"/>
      <c r="Q1371" s="586"/>
      <c r="R1371" s="968"/>
      <c r="S1371" s="589"/>
      <c r="T1371" s="589"/>
      <c r="U1371" s="589"/>
    </row>
    <row r="1372" spans="1:21" x14ac:dyDescent="0.35">
      <c r="A1372" s="116"/>
      <c r="B1372" s="35"/>
      <c r="C1372" s="117"/>
      <c r="D1372" s="1687"/>
      <c r="E1372" s="1688"/>
      <c r="F1372" s="593" t="str">
        <f>IF($G$2=1,R1372,"Weiteres Kriterium in der Nutzung")</f>
        <v>Weiteres Kriterium in der Nutzung</v>
      </c>
      <c r="G1372" s="153">
        <f t="shared" ref="G1372:G1374" si="185">IF($H$2=1,S1372,IF($H$2=2,T1372,U1372))</f>
        <v>0</v>
      </c>
      <c r="H1372" s="154"/>
      <c r="I1372" s="158"/>
      <c r="J1372" s="156"/>
      <c r="K1372" s="157">
        <f t="shared" si="177"/>
        <v>100</v>
      </c>
      <c r="L1372" s="157">
        <f t="shared" si="178"/>
        <v>200</v>
      </c>
      <c r="M1372" s="157">
        <f t="shared" si="179"/>
        <v>300</v>
      </c>
      <c r="N1372" s="157">
        <f t="shared" si="180"/>
        <v>400</v>
      </c>
      <c r="O1372" s="967" t="str">
        <f>CONCATENATE(O1364," | ",F1372)</f>
        <v>E.3.3 Wassernutzung Dienstleistungsgebäude * | Weiteres Kriterium in der Nutzung</v>
      </c>
      <c r="P1372" s="967"/>
      <c r="Q1372" s="586"/>
      <c r="R1372" s="968" t="s">
        <v>5349</v>
      </c>
      <c r="S1372" s="588">
        <v>0.33</v>
      </c>
      <c r="T1372" s="588">
        <v>0.1</v>
      </c>
      <c r="U1372" s="588">
        <v>0</v>
      </c>
    </row>
    <row r="1373" spans="1:21" x14ac:dyDescent="0.35">
      <c r="A1373" s="116"/>
      <c r="B1373" s="35"/>
      <c r="C1373" s="117"/>
      <c r="D1373" s="1687"/>
      <c r="E1373" s="1688"/>
      <c r="F1373" s="593" t="str">
        <f>IF($G$2=1,R1373,"Weiteres Kriterium in der Nutzung")</f>
        <v>Weiteres Kriterium in der Nutzung</v>
      </c>
      <c r="G1373" s="153">
        <f t="shared" si="185"/>
        <v>0</v>
      </c>
      <c r="H1373" s="154"/>
      <c r="I1373" s="158"/>
      <c r="J1373" s="156"/>
      <c r="K1373" s="157">
        <f t="shared" si="177"/>
        <v>100</v>
      </c>
      <c r="L1373" s="157">
        <f t="shared" si="178"/>
        <v>200</v>
      </c>
      <c r="M1373" s="157">
        <f t="shared" si="179"/>
        <v>300</v>
      </c>
      <c r="N1373" s="157">
        <f t="shared" si="180"/>
        <v>400</v>
      </c>
      <c r="O1373" s="967" t="str">
        <f>CONCATENATE(O1364," | ",F1373)</f>
        <v>E.3.3 Wassernutzung Dienstleistungsgebäude * | Weiteres Kriterium in der Nutzung</v>
      </c>
      <c r="P1373" s="967"/>
      <c r="Q1373" s="586"/>
      <c r="R1373" s="968" t="s">
        <v>5342</v>
      </c>
      <c r="S1373" s="588">
        <v>0.33</v>
      </c>
      <c r="T1373" s="588">
        <v>0.1</v>
      </c>
      <c r="U1373" s="588">
        <v>0</v>
      </c>
    </row>
    <row r="1374" spans="1:21" x14ac:dyDescent="0.35">
      <c r="A1374" s="116"/>
      <c r="B1374" s="35"/>
      <c r="C1374" s="117"/>
      <c r="D1374" s="1687"/>
      <c r="E1374" s="1688"/>
      <c r="F1374" s="593" t="str">
        <f>IF($G$2=1,R1374,"Weiteres Kriterium in der Nutzung")</f>
        <v>Weiteres Kriterium in der Nutzung</v>
      </c>
      <c r="G1374" s="153">
        <f t="shared" si="185"/>
        <v>0</v>
      </c>
      <c r="H1374" s="154"/>
      <c r="I1374" s="158"/>
      <c r="J1374" s="156"/>
      <c r="K1374" s="157">
        <f t="shared" si="177"/>
        <v>100</v>
      </c>
      <c r="L1374" s="157">
        <f t="shared" si="178"/>
        <v>200</v>
      </c>
      <c r="M1374" s="157">
        <f t="shared" si="179"/>
        <v>300</v>
      </c>
      <c r="N1374" s="157">
        <f t="shared" si="180"/>
        <v>400</v>
      </c>
      <c r="O1374" s="967" t="str">
        <f>CONCATENATE(O1364," | ",F1374)</f>
        <v>E.3.3 Wassernutzung Dienstleistungsgebäude * | Weiteres Kriterium in der Nutzung</v>
      </c>
      <c r="P1374" s="967"/>
      <c r="Q1374" s="586"/>
      <c r="R1374" s="968" t="s">
        <v>5484</v>
      </c>
      <c r="S1374" s="588">
        <v>0.34</v>
      </c>
      <c r="T1374" s="588">
        <v>0.1</v>
      </c>
      <c r="U1374" s="588">
        <v>0</v>
      </c>
    </row>
    <row r="1375" spans="1:21" x14ac:dyDescent="0.35">
      <c r="A1375" s="123"/>
      <c r="B1375" s="35"/>
      <c r="C1375" s="151"/>
      <c r="D1375" s="1687"/>
      <c r="E1375" s="1688"/>
      <c r="F1375" s="165"/>
      <c r="G1375" s="160"/>
      <c r="H1375" s="161"/>
      <c r="I1375" s="166"/>
      <c r="J1375" s="167"/>
      <c r="K1375" s="157">
        <f t="shared" si="177"/>
        <v>100</v>
      </c>
      <c r="L1375" s="157">
        <f t="shared" si="178"/>
        <v>200</v>
      </c>
      <c r="M1375" s="157">
        <f t="shared" si="179"/>
        <v>300</v>
      </c>
      <c r="N1375" s="157">
        <f t="shared" si="180"/>
        <v>400</v>
      </c>
      <c r="O1375" s="959"/>
      <c r="P1375" s="967"/>
      <c r="Q1375" s="586"/>
      <c r="R1375" s="968"/>
      <c r="S1375" s="589"/>
      <c r="T1375" s="589"/>
      <c r="U1375" s="589"/>
    </row>
    <row r="1376" spans="1:21" x14ac:dyDescent="0.35">
      <c r="A1376" s="116"/>
      <c r="B1376" s="35"/>
      <c r="C1376" s="117"/>
      <c r="D1376" s="1687"/>
      <c r="E1376" s="1688"/>
      <c r="F1376" s="1083" t="s">
        <v>5517</v>
      </c>
      <c r="G1376" s="1082" t="s">
        <v>2048</v>
      </c>
      <c r="H1376" s="168"/>
      <c r="I1376" s="162"/>
      <c r="J1376" s="164"/>
      <c r="K1376" s="157">
        <f t="shared" si="177"/>
        <v>100</v>
      </c>
      <c r="L1376" s="157">
        <f t="shared" si="178"/>
        <v>200</v>
      </c>
      <c r="M1376" s="157">
        <f t="shared" si="179"/>
        <v>300</v>
      </c>
      <c r="N1376" s="157">
        <f t="shared" si="180"/>
        <v>400</v>
      </c>
      <c r="O1376" s="959"/>
      <c r="P1376" s="967"/>
      <c r="Q1376" s="586"/>
      <c r="R1376" s="968"/>
      <c r="S1376" s="589"/>
      <c r="T1376" s="589"/>
      <c r="U1376" s="589"/>
    </row>
    <row r="1377" spans="1:21" x14ac:dyDescent="0.35">
      <c r="A1377" s="116"/>
      <c r="B1377" s="117"/>
      <c r="C1377" s="117"/>
      <c r="D1377" s="1687"/>
      <c r="E1377" s="1688"/>
      <c r="F1377" s="159"/>
      <c r="G1377" s="160"/>
      <c r="H1377" s="168"/>
      <c r="I1377" s="162"/>
      <c r="J1377" s="164"/>
      <c r="K1377" s="157">
        <f t="shared" si="177"/>
        <v>100</v>
      </c>
      <c r="L1377" s="157">
        <f t="shared" si="178"/>
        <v>200</v>
      </c>
      <c r="M1377" s="157">
        <f t="shared" si="179"/>
        <v>300</v>
      </c>
      <c r="N1377" s="157">
        <f t="shared" si="180"/>
        <v>400</v>
      </c>
      <c r="O1377" s="959"/>
      <c r="P1377" s="967"/>
      <c r="Q1377" s="586"/>
      <c r="R1377" s="968"/>
      <c r="S1377" s="589"/>
      <c r="T1377" s="589"/>
      <c r="U1377" s="589"/>
    </row>
    <row r="1378" spans="1:21" x14ac:dyDescent="0.35">
      <c r="A1378" s="116"/>
      <c r="B1378" s="117"/>
      <c r="C1378" s="117"/>
      <c r="D1378" s="1687"/>
      <c r="E1378" s="1688"/>
      <c r="F1378" s="169"/>
      <c r="G1378" s="170"/>
      <c r="H1378" s="171"/>
      <c r="I1378" s="172"/>
      <c r="J1378" s="173"/>
      <c r="K1378" s="157">
        <f t="shared" si="177"/>
        <v>100</v>
      </c>
      <c r="L1378" s="157">
        <f t="shared" si="178"/>
        <v>200</v>
      </c>
      <c r="M1378" s="157">
        <f t="shared" si="179"/>
        <v>300</v>
      </c>
      <c r="N1378" s="157">
        <f t="shared" si="180"/>
        <v>400</v>
      </c>
      <c r="O1378" s="959"/>
      <c r="P1378" s="967"/>
      <c r="Q1378" s="586"/>
      <c r="R1378" s="968"/>
      <c r="S1378" s="589"/>
      <c r="T1378" s="589"/>
      <c r="U1378" s="589"/>
    </row>
    <row r="1379" spans="1:21" ht="28.5" customHeight="1" x14ac:dyDescent="0.35">
      <c r="A1379" s="116"/>
      <c r="B1379" s="117"/>
      <c r="C1379" s="117"/>
      <c r="D1379" s="174"/>
      <c r="E1379" s="175"/>
      <c r="F1379" s="1689" t="s">
        <v>2</v>
      </c>
      <c r="G1379" s="1689"/>
      <c r="H1379" s="176">
        <f>IF(O1379&gt;1,"Zielerreichung übersteigt 100%!",O1379)</f>
        <v>0</v>
      </c>
      <c r="I1379" s="177"/>
      <c r="J1379" s="178"/>
      <c r="K1379" s="157">
        <f t="shared" si="177"/>
        <v>100</v>
      </c>
      <c r="L1379" s="157">
        <f t="shared" si="178"/>
        <v>200</v>
      </c>
      <c r="M1379" s="157">
        <f t="shared" si="179"/>
        <v>300</v>
      </c>
      <c r="N1379" s="157">
        <f t="shared" si="180"/>
        <v>400</v>
      </c>
      <c r="O1379" s="959">
        <f>SUM(H1370:H1378)</f>
        <v>0</v>
      </c>
      <c r="P1379" s="967"/>
      <c r="Q1379" s="586"/>
      <c r="R1379" s="968"/>
      <c r="S1379" s="589"/>
      <c r="T1379" s="589"/>
      <c r="U1379" s="589"/>
    </row>
    <row r="1380" spans="1:21" x14ac:dyDescent="0.35">
      <c r="A1380" s="116"/>
      <c r="B1380" s="117"/>
      <c r="C1380" s="117"/>
      <c r="D1380" s="179"/>
      <c r="E1380" s="180"/>
      <c r="F1380" s="1690" t="s">
        <v>3</v>
      </c>
      <c r="G1380" s="1691"/>
      <c r="H1380" s="181">
        <v>10</v>
      </c>
      <c r="I1380" s="1"/>
      <c r="J1380" s="178"/>
      <c r="K1380" s="157">
        <f t="shared" si="177"/>
        <v>100</v>
      </c>
      <c r="L1380" s="157">
        <f t="shared" si="178"/>
        <v>200</v>
      </c>
      <c r="M1380" s="157">
        <f t="shared" si="179"/>
        <v>300</v>
      </c>
      <c r="N1380" s="157">
        <f t="shared" si="180"/>
        <v>400</v>
      </c>
      <c r="O1380" s="1030"/>
      <c r="P1380" s="967"/>
      <c r="Q1380" s="586"/>
      <c r="R1380" s="968"/>
      <c r="S1380" s="589"/>
      <c r="T1380" s="589"/>
      <c r="U1380" s="589"/>
    </row>
    <row r="1381" spans="1:21" x14ac:dyDescent="0.35">
      <c r="A1381" s="116"/>
      <c r="B1381" s="117"/>
      <c r="C1381" s="117"/>
      <c r="D1381" s="179"/>
      <c r="E1381" s="180"/>
      <c r="F1381" s="1700" t="s">
        <v>4</v>
      </c>
      <c r="G1381" s="1701"/>
      <c r="H1381" s="1089" t="str">
        <f>IF(G1376="ja",0,"")</f>
        <v/>
      </c>
      <c r="I1381" s="206"/>
      <c r="J1381" s="178"/>
      <c r="K1381" s="157">
        <f t="shared" si="177"/>
        <v>100</v>
      </c>
      <c r="L1381" s="157">
        <f t="shared" si="178"/>
        <v>200</v>
      </c>
      <c r="M1381" s="157">
        <f t="shared" si="179"/>
        <v>300</v>
      </c>
      <c r="N1381" s="157">
        <f t="shared" si="180"/>
        <v>400</v>
      </c>
      <c r="O1381" s="1030"/>
      <c r="P1381" s="967"/>
      <c r="Q1381" s="586"/>
      <c r="R1381" s="968"/>
      <c r="S1381" s="589"/>
      <c r="T1381" s="589"/>
      <c r="U1381" s="589"/>
    </row>
    <row r="1382" spans="1:21" x14ac:dyDescent="0.35">
      <c r="A1382" s="184"/>
      <c r="B1382" s="185"/>
      <c r="C1382" s="185"/>
      <c r="D1382" s="179"/>
      <c r="E1382" s="180"/>
      <c r="F1382" s="186"/>
      <c r="G1382" s="186"/>
      <c r="H1382" s="187"/>
      <c r="I1382" s="177"/>
      <c r="J1382" s="178"/>
      <c r="K1382" s="157">
        <f t="shared" si="177"/>
        <v>100</v>
      </c>
      <c r="L1382" s="157">
        <f t="shared" si="178"/>
        <v>200</v>
      </c>
      <c r="M1382" s="157">
        <f t="shared" si="179"/>
        <v>300</v>
      </c>
      <c r="N1382" s="157">
        <f t="shared" si="180"/>
        <v>400</v>
      </c>
      <c r="O1382" s="1030"/>
      <c r="P1382" s="967"/>
      <c r="Q1382" s="586"/>
      <c r="R1382" s="968"/>
      <c r="S1382" s="589"/>
      <c r="T1382" s="589"/>
      <c r="U1382" s="589"/>
    </row>
    <row r="1383" spans="1:21" ht="15.5" x14ac:dyDescent="0.35">
      <c r="A1383" s="116"/>
      <c r="B1383" s="117"/>
      <c r="C1383" s="1694"/>
      <c r="D1383" s="1695"/>
      <c r="E1383" s="263"/>
      <c r="F1383" s="1696" t="s">
        <v>5</v>
      </c>
      <c r="G1383" s="1696"/>
      <c r="H1383" s="264">
        <f>IF(ISNUMBER(#REF!),H1381*H1379,H1380*H1379)</f>
        <v>0</v>
      </c>
      <c r="I1383" s="265"/>
      <c r="J1383" s="266"/>
      <c r="K1383" s="157">
        <f t="shared" si="177"/>
        <v>100</v>
      </c>
      <c r="L1383" s="157">
        <f t="shared" si="178"/>
        <v>200</v>
      </c>
      <c r="M1383" s="157">
        <f t="shared" si="179"/>
        <v>300</v>
      </c>
      <c r="N1383" s="157">
        <f t="shared" si="180"/>
        <v>400</v>
      </c>
      <c r="O1383" s="1030"/>
      <c r="P1383" s="967"/>
      <c r="Q1383" s="586"/>
      <c r="R1383" s="968"/>
      <c r="S1383" s="589"/>
      <c r="T1383" s="589"/>
      <c r="U1383" s="589"/>
    </row>
    <row r="1384" spans="1:21" x14ac:dyDescent="0.35">
      <c r="K1384" s="157">
        <f t="shared" si="177"/>
        <v>100</v>
      </c>
      <c r="L1384" s="157">
        <f t="shared" si="178"/>
        <v>200</v>
      </c>
      <c r="M1384" s="157">
        <f t="shared" si="179"/>
        <v>300</v>
      </c>
      <c r="N1384" s="157">
        <f t="shared" si="180"/>
        <v>400</v>
      </c>
      <c r="O1384" s="967"/>
      <c r="P1384" s="967"/>
      <c r="Q1384" s="586"/>
      <c r="R1384" s="968"/>
      <c r="S1384" s="589"/>
      <c r="T1384" s="589"/>
      <c r="U1384" s="589"/>
    </row>
    <row r="1385" spans="1:21" x14ac:dyDescent="0.35">
      <c r="K1385" s="157">
        <f t="shared" si="177"/>
        <v>100</v>
      </c>
      <c r="L1385" s="157">
        <f t="shared" si="178"/>
        <v>200</v>
      </c>
      <c r="M1385" s="157">
        <f t="shared" si="179"/>
        <v>300</v>
      </c>
      <c r="N1385" s="157">
        <f t="shared" si="180"/>
        <v>400</v>
      </c>
      <c r="O1385" s="967"/>
      <c r="P1385" s="967"/>
      <c r="Q1385" s="586"/>
      <c r="R1385" s="968"/>
      <c r="S1385" s="589"/>
      <c r="T1385" s="589"/>
      <c r="U1385" s="589"/>
    </row>
    <row r="1386" spans="1:21" ht="15.5" x14ac:dyDescent="0.35">
      <c r="A1386" s="208"/>
      <c r="B1386" s="256" t="s">
        <v>4834</v>
      </c>
      <c r="C1386" s="256" t="s">
        <v>2081</v>
      </c>
      <c r="D1386" s="257"/>
      <c r="E1386" s="257"/>
      <c r="F1386" s="258" t="str">
        <f>IF($F$3=1,O1386,"")</f>
        <v>E.4 Abfallvermeidung</v>
      </c>
      <c r="G1386" s="259"/>
      <c r="H1386" s="260"/>
      <c r="I1386" s="261"/>
      <c r="J1386" s="262"/>
      <c r="K1386" s="157">
        <f t="shared" si="177"/>
        <v>100</v>
      </c>
      <c r="L1386" s="157">
        <f t="shared" si="178"/>
        <v>200</v>
      </c>
      <c r="M1386" s="157">
        <f t="shared" si="179"/>
        <v>300</v>
      </c>
      <c r="N1386" s="157">
        <f t="shared" si="180"/>
        <v>400</v>
      </c>
      <c r="O1386" s="967" t="str">
        <f>CONCATENATE(B1386," ",C1386)</f>
        <v>E.4 Abfallvermeidung</v>
      </c>
      <c r="P1386" s="958"/>
      <c r="Q1386" s="586"/>
      <c r="R1386" s="968"/>
      <c r="S1386" s="589"/>
      <c r="T1386" s="589"/>
      <c r="U1386" s="589"/>
    </row>
    <row r="1387" spans="1:21" ht="15.5" x14ac:dyDescent="0.35">
      <c r="A1387" s="208"/>
      <c r="B1387" s="216"/>
      <c r="C1387" s="216"/>
      <c r="D1387" s="208"/>
      <c r="E1387" s="208"/>
      <c r="F1387" s="253"/>
      <c r="G1387" s="217"/>
      <c r="H1387" s="218"/>
      <c r="I1387" s="219"/>
      <c r="J1387" s="220"/>
      <c r="K1387" s="157">
        <f t="shared" si="177"/>
        <v>100</v>
      </c>
      <c r="L1387" s="157">
        <f t="shared" si="178"/>
        <v>200</v>
      </c>
      <c r="M1387" s="157">
        <f t="shared" si="179"/>
        <v>300</v>
      </c>
      <c r="N1387" s="157">
        <f t="shared" si="180"/>
        <v>400</v>
      </c>
      <c r="O1387" s="967"/>
      <c r="P1387" s="958"/>
      <c r="Q1387" s="586"/>
      <c r="R1387" s="968"/>
      <c r="S1387" s="589"/>
      <c r="T1387" s="589"/>
      <c r="U1387" s="589"/>
    </row>
    <row r="1388" spans="1:21" ht="7.5" customHeight="1" x14ac:dyDescent="0.35">
      <c r="A1388" s="116"/>
      <c r="B1388" s="117"/>
      <c r="C1388" s="117"/>
      <c r="D1388" s="116"/>
      <c r="E1388" s="116"/>
      <c r="F1388" s="118"/>
      <c r="G1388" s="119"/>
      <c r="H1388" s="116"/>
      <c r="I1388" s="120"/>
      <c r="J1388" s="121"/>
      <c r="K1388" s="157">
        <f t="shared" si="177"/>
        <v>100</v>
      </c>
      <c r="L1388" s="157">
        <f t="shared" si="178"/>
        <v>200</v>
      </c>
      <c r="M1388" s="157">
        <f t="shared" si="179"/>
        <v>300</v>
      </c>
      <c r="N1388" s="157">
        <f t="shared" si="180"/>
        <v>400</v>
      </c>
      <c r="O1388" s="968"/>
      <c r="P1388" s="968"/>
      <c r="Q1388" s="586"/>
      <c r="R1388" s="968"/>
      <c r="S1388" s="589"/>
      <c r="T1388" s="589"/>
      <c r="U1388" s="589"/>
    </row>
    <row r="1389" spans="1:21" ht="15.5" x14ac:dyDescent="0.35">
      <c r="A1389" s="124"/>
      <c r="B1389" s="125"/>
      <c r="C1389" s="126" t="s">
        <v>4835</v>
      </c>
      <c r="D1389" s="127" t="s">
        <v>5459</v>
      </c>
      <c r="E1389" s="128"/>
      <c r="F1389" s="129" t="str">
        <f>IF($F$3=1,O1389,"")</f>
        <v>E.4.1 Vermeidung von gemischten Siedlungsabfällen</v>
      </c>
      <c r="G1389" s="204"/>
      <c r="H1389" s="205"/>
      <c r="I1389" s="520" t="s">
        <v>23</v>
      </c>
      <c r="J1389" s="130"/>
      <c r="K1389" s="157">
        <f t="shared" ref="K1389:K1452" si="186">IF($J1389=$K$41,K1388+1,K1388+0)</f>
        <v>100</v>
      </c>
      <c r="L1389" s="157">
        <f t="shared" ref="L1389:L1452" si="187">IF($J1389=$L$41,L1388+1,L1388+0)</f>
        <v>200</v>
      </c>
      <c r="M1389" s="157">
        <f t="shared" ref="M1389:M1452" si="188">IF($J1389=$M$41,M1388+1,M1388+0)</f>
        <v>300</v>
      </c>
      <c r="N1389" s="157">
        <f t="shared" ref="N1389:N1452" si="189">IF($J1389=$N$41,N1388+1,N1388+0)</f>
        <v>400</v>
      </c>
      <c r="O1389" s="967" t="str">
        <f>CONCATENATE(C1389," ",D1389)</f>
        <v>E.4.1 Vermeidung von gemischten Siedlungsabfällen</v>
      </c>
      <c r="P1389" s="966"/>
      <c r="Q1389" s="586"/>
      <c r="R1389" s="968"/>
      <c r="S1389" s="589"/>
      <c r="T1389" s="589"/>
      <c r="U1389" s="589"/>
    </row>
    <row r="1390" spans="1:21" x14ac:dyDescent="0.35">
      <c r="A1390" s="124"/>
      <c r="B1390" s="134"/>
      <c r="C1390" s="135"/>
      <c r="D1390" s="136"/>
      <c r="E1390" s="136"/>
      <c r="F1390" s="137"/>
      <c r="G1390" s="138"/>
      <c r="H1390" s="124"/>
      <c r="I1390" s="139"/>
      <c r="J1390" s="140"/>
      <c r="K1390" s="157">
        <f t="shared" si="186"/>
        <v>100</v>
      </c>
      <c r="L1390" s="157">
        <f t="shared" si="187"/>
        <v>200</v>
      </c>
      <c r="M1390" s="157">
        <f t="shared" si="188"/>
        <v>300</v>
      </c>
      <c r="N1390" s="157">
        <f t="shared" si="189"/>
        <v>400</v>
      </c>
      <c r="O1390" s="968"/>
      <c r="P1390" s="966"/>
      <c r="Q1390" s="586"/>
      <c r="R1390" s="968"/>
      <c r="S1390" s="589"/>
      <c r="T1390" s="589"/>
      <c r="U1390" s="589"/>
    </row>
    <row r="1391" spans="1:21" x14ac:dyDescent="0.35">
      <c r="A1391" s="142"/>
      <c r="B1391" s="35"/>
      <c r="C1391" s="143"/>
      <c r="D1391" s="1685" t="s">
        <v>18</v>
      </c>
      <c r="E1391" s="1686"/>
      <c r="F1391" s="144" t="s">
        <v>19</v>
      </c>
      <c r="G1391" s="145" t="s">
        <v>0</v>
      </c>
      <c r="H1391" s="146" t="s">
        <v>20</v>
      </c>
      <c r="I1391" s="147" t="s">
        <v>1</v>
      </c>
      <c r="J1391" s="147" t="s">
        <v>4375</v>
      </c>
      <c r="K1391" s="157">
        <f t="shared" si="186"/>
        <v>100</v>
      </c>
      <c r="L1391" s="157">
        <f t="shared" si="187"/>
        <v>200</v>
      </c>
      <c r="M1391" s="157">
        <f t="shared" si="188"/>
        <v>300</v>
      </c>
      <c r="N1391" s="157">
        <f t="shared" si="189"/>
        <v>400</v>
      </c>
      <c r="O1391" s="587"/>
      <c r="P1391" s="967"/>
      <c r="Q1391" s="586"/>
      <c r="R1391" s="968"/>
      <c r="S1391" s="589"/>
      <c r="T1391" s="589"/>
      <c r="U1391" s="589"/>
    </row>
    <row r="1392" spans="1:21" x14ac:dyDescent="0.35">
      <c r="A1392" s="123"/>
      <c r="B1392" s="35"/>
      <c r="C1392" s="151"/>
      <c r="D1392" s="1687" t="s">
        <v>4690</v>
      </c>
      <c r="E1392" s="1688"/>
      <c r="F1392" s="152" t="s">
        <v>5042</v>
      </c>
      <c r="G1392" s="153">
        <f t="shared" ref="G1392:G1393" si="190">IF($H$2=1,S1392,IF($H$2=2,T1392,U1392))</f>
        <v>1</v>
      </c>
      <c r="H1392" s="226">
        <f>'RH Abfall'!C13</f>
        <v>0</v>
      </c>
      <c r="I1392" s="274"/>
      <c r="J1392" s="156"/>
      <c r="K1392" s="157">
        <f t="shared" si="186"/>
        <v>100</v>
      </c>
      <c r="L1392" s="157">
        <f t="shared" si="187"/>
        <v>200</v>
      </c>
      <c r="M1392" s="157">
        <f t="shared" si="188"/>
        <v>300</v>
      </c>
      <c r="N1392" s="157">
        <f t="shared" si="189"/>
        <v>400</v>
      </c>
      <c r="O1392" s="967" t="str">
        <f>CONCATENATE(O1389," | ",F1392)</f>
        <v>E.4.1 Vermeidung von gemischten Siedlungsabfällen | Variante 1 - Rechenhilfe: Abfallmenge pro Person</v>
      </c>
      <c r="P1392" s="967"/>
      <c r="Q1392" s="586"/>
      <c r="R1392" s="968"/>
      <c r="S1392" s="595">
        <v>0</v>
      </c>
      <c r="T1392" s="595">
        <v>0.7</v>
      </c>
      <c r="U1392" s="588">
        <v>1</v>
      </c>
    </row>
    <row r="1393" spans="1:21" ht="24" x14ac:dyDescent="0.35">
      <c r="A1393" s="123"/>
      <c r="B1393" s="35"/>
      <c r="C1393" s="151"/>
      <c r="D1393" s="1687"/>
      <c r="E1393" s="1688"/>
      <c r="F1393" s="152" t="s">
        <v>5038</v>
      </c>
      <c r="G1393" s="153">
        <f t="shared" si="190"/>
        <v>1</v>
      </c>
      <c r="H1393" s="226">
        <f>'RH Abfall'!C34</f>
        <v>7.4999999999999956E-2</v>
      </c>
      <c r="I1393" s="155"/>
      <c r="J1393" s="156"/>
      <c r="K1393" s="157">
        <f t="shared" si="186"/>
        <v>100</v>
      </c>
      <c r="L1393" s="157">
        <f t="shared" si="187"/>
        <v>200</v>
      </c>
      <c r="M1393" s="157">
        <f t="shared" si="188"/>
        <v>300</v>
      </c>
      <c r="N1393" s="157">
        <f t="shared" si="189"/>
        <v>400</v>
      </c>
      <c r="O1393" s="967" t="str">
        <f>CONCATENATE(O1389," | ",F1393)</f>
        <v>E.4.1 Vermeidung von gemischten Siedlungsabfällen | Variante 2 - Alternative Rechenhilfe: Bewertung der baulichen Maßnahmen und Marketing Maßnahmen</v>
      </c>
      <c r="P1393" s="967"/>
      <c r="Q1393" s="586"/>
      <c r="R1393" s="968"/>
      <c r="S1393" s="595">
        <v>0</v>
      </c>
      <c r="T1393" s="595">
        <v>0.7</v>
      </c>
      <c r="U1393" s="588">
        <v>1</v>
      </c>
    </row>
    <row r="1394" spans="1:21" x14ac:dyDescent="0.35">
      <c r="A1394" s="123"/>
      <c r="B1394" s="35"/>
      <c r="C1394" s="151"/>
      <c r="D1394" s="1687"/>
      <c r="E1394" s="1688"/>
      <c r="F1394" s="159"/>
      <c r="G1394" s="160"/>
      <c r="H1394" s="161"/>
      <c r="I1394" s="166"/>
      <c r="J1394" s="167"/>
      <c r="K1394" s="157">
        <f t="shared" si="186"/>
        <v>100</v>
      </c>
      <c r="L1394" s="157">
        <f t="shared" si="187"/>
        <v>200</v>
      </c>
      <c r="M1394" s="157">
        <f t="shared" si="188"/>
        <v>300</v>
      </c>
      <c r="N1394" s="157">
        <f t="shared" si="189"/>
        <v>400</v>
      </c>
      <c r="O1394" s="967"/>
      <c r="P1394" s="967"/>
      <c r="Q1394" s="586"/>
      <c r="R1394" s="968"/>
      <c r="S1394" s="589"/>
      <c r="T1394" s="589"/>
      <c r="U1394" s="589"/>
    </row>
    <row r="1395" spans="1:21" x14ac:dyDescent="0.35">
      <c r="A1395" s="123">
        <v>3.2</v>
      </c>
      <c r="B1395" s="35"/>
      <c r="C1395" s="151"/>
      <c r="D1395" s="1687"/>
      <c r="E1395" s="1688"/>
      <c r="F1395" s="269" t="s">
        <v>4611</v>
      </c>
      <c r="G1395" s="160"/>
      <c r="H1395" s="161">
        <f>IF(F1395="Variante 1",H1392,H1393)</f>
        <v>0</v>
      </c>
      <c r="I1395" s="166"/>
      <c r="J1395" s="167"/>
      <c r="K1395" s="157">
        <f t="shared" si="186"/>
        <v>100</v>
      </c>
      <c r="L1395" s="157">
        <f t="shared" si="187"/>
        <v>200</v>
      </c>
      <c r="M1395" s="157">
        <f t="shared" si="188"/>
        <v>300</v>
      </c>
      <c r="N1395" s="157">
        <f t="shared" si="189"/>
        <v>400</v>
      </c>
      <c r="O1395" s="967"/>
      <c r="P1395" s="967"/>
      <c r="Q1395" s="586"/>
      <c r="R1395" s="968"/>
      <c r="S1395" s="589"/>
      <c r="T1395" s="589"/>
      <c r="U1395" s="589"/>
    </row>
    <row r="1396" spans="1:21" x14ac:dyDescent="0.35">
      <c r="A1396" s="123"/>
      <c r="B1396" s="35"/>
      <c r="C1396" s="151"/>
      <c r="D1396" s="1687"/>
      <c r="E1396" s="1688"/>
      <c r="F1396" s="159"/>
      <c r="G1396" s="160"/>
      <c r="H1396" s="161"/>
      <c r="I1396" s="166"/>
      <c r="J1396" s="167"/>
      <c r="K1396" s="157">
        <f t="shared" si="186"/>
        <v>100</v>
      </c>
      <c r="L1396" s="157">
        <f t="shared" si="187"/>
        <v>200</v>
      </c>
      <c r="M1396" s="157">
        <f t="shared" si="188"/>
        <v>300</v>
      </c>
      <c r="N1396" s="157">
        <f t="shared" si="189"/>
        <v>400</v>
      </c>
      <c r="O1396" s="967"/>
      <c r="P1396" s="967"/>
      <c r="Q1396" s="586"/>
      <c r="R1396" s="968"/>
      <c r="S1396" s="589"/>
      <c r="T1396" s="589"/>
      <c r="U1396" s="589"/>
    </row>
    <row r="1397" spans="1:21" x14ac:dyDescent="0.35">
      <c r="A1397" s="116"/>
      <c r="B1397" s="35"/>
      <c r="C1397" s="117"/>
      <c r="D1397" s="1687"/>
      <c r="E1397" s="1688"/>
      <c r="F1397" s="593" t="str">
        <f>IF($G$2=1,R1397,"Weiteres Kriterium in der Nutzung")</f>
        <v>Weiteres Kriterium in der Nutzung</v>
      </c>
      <c r="G1397" s="153">
        <f t="shared" ref="G1397:G1399" si="191">IF($H$2=1,S1397,IF($H$2=2,T1397,U1397))</f>
        <v>0</v>
      </c>
      <c r="H1397" s="154"/>
      <c r="I1397" s="158"/>
      <c r="J1397" s="156"/>
      <c r="K1397" s="157">
        <f t="shared" si="186"/>
        <v>100</v>
      </c>
      <c r="L1397" s="157">
        <f t="shared" si="187"/>
        <v>200</v>
      </c>
      <c r="M1397" s="157">
        <f t="shared" si="188"/>
        <v>300</v>
      </c>
      <c r="N1397" s="157">
        <f t="shared" si="189"/>
        <v>400</v>
      </c>
      <c r="O1397" s="967" t="str">
        <f>CONCATENATE(O1389," | ",F1397)</f>
        <v>E.4.1 Vermeidung von gemischten Siedlungsabfällen | Weiteres Kriterium in der Nutzung</v>
      </c>
      <c r="P1397" s="967"/>
      <c r="Q1397" s="586"/>
      <c r="R1397" s="968" t="s">
        <v>5352</v>
      </c>
      <c r="S1397" s="588">
        <v>0.33</v>
      </c>
      <c r="T1397" s="588">
        <v>0.1</v>
      </c>
      <c r="U1397" s="588">
        <v>0</v>
      </c>
    </row>
    <row r="1398" spans="1:21" x14ac:dyDescent="0.35">
      <c r="A1398" s="116"/>
      <c r="B1398" s="35"/>
      <c r="C1398" s="117"/>
      <c r="D1398" s="1687"/>
      <c r="E1398" s="1688"/>
      <c r="F1398" s="593" t="str">
        <f>IF($G$2=1,R1398,"Weiteres Kriterium in der Nutzung")</f>
        <v>Weiteres Kriterium in der Nutzung</v>
      </c>
      <c r="G1398" s="153">
        <f t="shared" si="191"/>
        <v>0</v>
      </c>
      <c r="H1398" s="154"/>
      <c r="I1398" s="158"/>
      <c r="J1398" s="156"/>
      <c r="K1398" s="157">
        <f t="shared" si="186"/>
        <v>100</v>
      </c>
      <c r="L1398" s="157">
        <f t="shared" si="187"/>
        <v>200</v>
      </c>
      <c r="M1398" s="157">
        <f t="shared" si="188"/>
        <v>300</v>
      </c>
      <c r="N1398" s="157">
        <f t="shared" si="189"/>
        <v>400</v>
      </c>
      <c r="O1398" s="967" t="str">
        <f>CONCATENATE(O1389," | ",F1398)</f>
        <v>E.4.1 Vermeidung von gemischten Siedlungsabfällen | Weiteres Kriterium in der Nutzung</v>
      </c>
      <c r="P1398" s="967"/>
      <c r="Q1398" s="586"/>
      <c r="R1398" s="968" t="s">
        <v>5342</v>
      </c>
      <c r="S1398" s="588">
        <v>0.33</v>
      </c>
      <c r="T1398" s="588">
        <v>0.1</v>
      </c>
      <c r="U1398" s="588">
        <v>0</v>
      </c>
    </row>
    <row r="1399" spans="1:21" x14ac:dyDescent="0.35">
      <c r="A1399" s="116"/>
      <c r="B1399" s="35"/>
      <c r="C1399" s="117"/>
      <c r="D1399" s="1687"/>
      <c r="E1399" s="1688"/>
      <c r="F1399" s="593" t="str">
        <f>IF($G$2=1,R1399,"Weiteres Kriterium in der Nutzung")</f>
        <v>Weiteres Kriterium in der Nutzung</v>
      </c>
      <c r="G1399" s="153">
        <f t="shared" si="191"/>
        <v>0</v>
      </c>
      <c r="H1399" s="154"/>
      <c r="I1399" s="158"/>
      <c r="J1399" s="156"/>
      <c r="K1399" s="157">
        <f t="shared" si="186"/>
        <v>100</v>
      </c>
      <c r="L1399" s="157">
        <f t="shared" si="187"/>
        <v>200</v>
      </c>
      <c r="M1399" s="157">
        <f t="shared" si="188"/>
        <v>300</v>
      </c>
      <c r="N1399" s="157">
        <f t="shared" si="189"/>
        <v>400</v>
      </c>
      <c r="O1399" s="967" t="str">
        <f>CONCATENATE(O1389," | ",F1399)</f>
        <v>E.4.1 Vermeidung von gemischten Siedlungsabfällen | Weiteres Kriterium in der Nutzung</v>
      </c>
      <c r="P1399" s="967"/>
      <c r="Q1399" s="586"/>
      <c r="R1399" s="968" t="s">
        <v>5484</v>
      </c>
      <c r="S1399" s="588">
        <v>0.34</v>
      </c>
      <c r="T1399" s="588">
        <v>0.1</v>
      </c>
      <c r="U1399" s="588">
        <v>0</v>
      </c>
    </row>
    <row r="1400" spans="1:21" x14ac:dyDescent="0.35">
      <c r="A1400" s="123"/>
      <c r="B1400" s="35"/>
      <c r="C1400" s="151"/>
      <c r="D1400" s="1687"/>
      <c r="E1400" s="1688"/>
      <c r="F1400" s="165"/>
      <c r="G1400" s="160"/>
      <c r="H1400" s="161"/>
      <c r="I1400" s="166"/>
      <c r="J1400" s="167"/>
      <c r="K1400" s="157">
        <f t="shared" si="186"/>
        <v>100</v>
      </c>
      <c r="L1400" s="157">
        <f t="shared" si="187"/>
        <v>200</v>
      </c>
      <c r="M1400" s="157">
        <f t="shared" si="188"/>
        <v>300</v>
      </c>
      <c r="N1400" s="157">
        <f t="shared" si="189"/>
        <v>400</v>
      </c>
      <c r="O1400" s="959"/>
      <c r="P1400" s="967"/>
      <c r="Q1400" s="586"/>
      <c r="R1400" s="968"/>
      <c r="S1400" s="589"/>
      <c r="T1400" s="589"/>
      <c r="U1400" s="589"/>
    </row>
    <row r="1401" spans="1:21" x14ac:dyDescent="0.35">
      <c r="A1401" s="116"/>
      <c r="B1401" s="35"/>
      <c r="C1401" s="117"/>
      <c r="D1401" s="1687"/>
      <c r="E1401" s="1688"/>
      <c r="F1401" s="159"/>
      <c r="G1401" s="160"/>
      <c r="H1401" s="168"/>
      <c r="I1401" s="162"/>
      <c r="J1401" s="164"/>
      <c r="K1401" s="157">
        <f t="shared" si="186"/>
        <v>100</v>
      </c>
      <c r="L1401" s="157">
        <f t="shared" si="187"/>
        <v>200</v>
      </c>
      <c r="M1401" s="157">
        <f t="shared" si="188"/>
        <v>300</v>
      </c>
      <c r="N1401" s="157">
        <f t="shared" si="189"/>
        <v>400</v>
      </c>
      <c r="O1401" s="959"/>
      <c r="P1401" s="967"/>
      <c r="Q1401" s="586"/>
      <c r="R1401" s="968"/>
      <c r="S1401" s="589"/>
      <c r="T1401" s="589"/>
      <c r="U1401" s="589"/>
    </row>
    <row r="1402" spans="1:21" x14ac:dyDescent="0.35">
      <c r="A1402" s="116"/>
      <c r="B1402" s="117"/>
      <c r="C1402" s="117"/>
      <c r="D1402" s="1687"/>
      <c r="E1402" s="1688"/>
      <c r="F1402" s="159"/>
      <c r="G1402" s="160"/>
      <c r="H1402" s="168"/>
      <c r="I1402" s="162"/>
      <c r="J1402" s="164"/>
      <c r="K1402" s="157">
        <f t="shared" si="186"/>
        <v>100</v>
      </c>
      <c r="L1402" s="157">
        <f t="shared" si="187"/>
        <v>200</v>
      </c>
      <c r="M1402" s="157">
        <f t="shared" si="188"/>
        <v>300</v>
      </c>
      <c r="N1402" s="157">
        <f t="shared" si="189"/>
        <v>400</v>
      </c>
      <c r="O1402" s="959"/>
      <c r="P1402" s="967"/>
      <c r="Q1402" s="586"/>
      <c r="R1402" s="968"/>
      <c r="S1402" s="589"/>
      <c r="T1402" s="589"/>
      <c r="U1402" s="589"/>
    </row>
    <row r="1403" spans="1:21" x14ac:dyDescent="0.35">
      <c r="A1403" s="116"/>
      <c r="B1403" s="117"/>
      <c r="C1403" s="117"/>
      <c r="D1403" s="1687"/>
      <c r="E1403" s="1688"/>
      <c r="F1403" s="169"/>
      <c r="G1403" s="170"/>
      <c r="H1403" s="171"/>
      <c r="I1403" s="172"/>
      <c r="J1403" s="173"/>
      <c r="K1403" s="157">
        <f t="shared" si="186"/>
        <v>100</v>
      </c>
      <c r="L1403" s="157">
        <f t="shared" si="187"/>
        <v>200</v>
      </c>
      <c r="M1403" s="157">
        <f t="shared" si="188"/>
        <v>300</v>
      </c>
      <c r="N1403" s="157">
        <f t="shared" si="189"/>
        <v>400</v>
      </c>
      <c r="O1403" s="959"/>
      <c r="P1403" s="967"/>
      <c r="Q1403" s="586"/>
      <c r="R1403" s="968"/>
      <c r="S1403" s="589"/>
      <c r="T1403" s="589"/>
      <c r="U1403" s="589"/>
    </row>
    <row r="1404" spans="1:21" ht="28.5" customHeight="1" x14ac:dyDescent="0.35">
      <c r="A1404" s="116"/>
      <c r="B1404" s="117"/>
      <c r="C1404" s="117"/>
      <c r="D1404" s="174"/>
      <c r="E1404" s="175"/>
      <c r="F1404" s="1689" t="s">
        <v>2</v>
      </c>
      <c r="G1404" s="1689"/>
      <c r="H1404" s="176">
        <f>IF(O1404&gt;1,"Zielerreichung übersteigt 100%!",O1404)</f>
        <v>0</v>
      </c>
      <c r="I1404" s="177"/>
      <c r="J1404" s="178"/>
      <c r="K1404" s="157">
        <f t="shared" si="186"/>
        <v>100</v>
      </c>
      <c r="L1404" s="157">
        <f t="shared" si="187"/>
        <v>200</v>
      </c>
      <c r="M1404" s="157">
        <f t="shared" si="188"/>
        <v>300</v>
      </c>
      <c r="N1404" s="157">
        <f t="shared" si="189"/>
        <v>400</v>
      </c>
      <c r="O1404" s="959">
        <f>SUM(H1395:H1403)</f>
        <v>0</v>
      </c>
      <c r="P1404" s="967"/>
      <c r="Q1404" s="586"/>
      <c r="R1404" s="968"/>
      <c r="S1404" s="589"/>
      <c r="T1404" s="589"/>
      <c r="U1404" s="589"/>
    </row>
    <row r="1405" spans="1:21" x14ac:dyDescent="0.35">
      <c r="A1405" s="116"/>
      <c r="B1405" s="117"/>
      <c r="C1405" s="117"/>
      <c r="D1405" s="179"/>
      <c r="E1405" s="180"/>
      <c r="F1405" s="1690" t="s">
        <v>3</v>
      </c>
      <c r="G1405" s="1691"/>
      <c r="H1405" s="181">
        <v>15</v>
      </c>
      <c r="I1405" s="177"/>
      <c r="J1405" s="178"/>
      <c r="K1405" s="157">
        <f t="shared" si="186"/>
        <v>100</v>
      </c>
      <c r="L1405" s="157">
        <f t="shared" si="187"/>
        <v>200</v>
      </c>
      <c r="M1405" s="157">
        <f t="shared" si="188"/>
        <v>300</v>
      </c>
      <c r="N1405" s="157">
        <f t="shared" si="189"/>
        <v>400</v>
      </c>
      <c r="O1405" s="1030"/>
      <c r="P1405" s="967"/>
      <c r="Q1405" s="586"/>
      <c r="R1405" s="968"/>
      <c r="S1405" s="589"/>
      <c r="T1405" s="589"/>
      <c r="U1405" s="589"/>
    </row>
    <row r="1406" spans="1:21" x14ac:dyDescent="0.35">
      <c r="A1406" s="116"/>
      <c r="B1406" s="117"/>
      <c r="C1406" s="117"/>
      <c r="D1406" s="179"/>
      <c r="E1406" s="180"/>
      <c r="F1406" s="1692"/>
      <c r="G1406" s="1693"/>
      <c r="H1406" s="275"/>
      <c r="I1406" s="276"/>
      <c r="J1406" s="178"/>
      <c r="K1406" s="157">
        <f t="shared" si="186"/>
        <v>100</v>
      </c>
      <c r="L1406" s="157">
        <f t="shared" si="187"/>
        <v>200</v>
      </c>
      <c r="M1406" s="157">
        <f t="shared" si="188"/>
        <v>300</v>
      </c>
      <c r="N1406" s="157">
        <f t="shared" si="189"/>
        <v>400</v>
      </c>
      <c r="O1406" s="1030"/>
      <c r="P1406" s="967"/>
      <c r="Q1406" s="586"/>
      <c r="R1406" s="968"/>
      <c r="S1406" s="589"/>
      <c r="T1406" s="589"/>
      <c r="U1406" s="589"/>
    </row>
    <row r="1407" spans="1:21" x14ac:dyDescent="0.35">
      <c r="A1407" s="184"/>
      <c r="B1407" s="185"/>
      <c r="C1407" s="185"/>
      <c r="D1407" s="179"/>
      <c r="E1407" s="180"/>
      <c r="F1407" s="186"/>
      <c r="G1407" s="186"/>
      <c r="H1407" s="187"/>
      <c r="I1407" s="177"/>
      <c r="J1407" s="178"/>
      <c r="K1407" s="157">
        <f t="shared" si="186"/>
        <v>100</v>
      </c>
      <c r="L1407" s="157">
        <f t="shared" si="187"/>
        <v>200</v>
      </c>
      <c r="M1407" s="157">
        <f t="shared" si="188"/>
        <v>300</v>
      </c>
      <c r="N1407" s="157">
        <f t="shared" si="189"/>
        <v>400</v>
      </c>
      <c r="O1407" s="1030"/>
      <c r="P1407" s="967"/>
      <c r="Q1407" s="586"/>
      <c r="R1407" s="968"/>
      <c r="S1407" s="589"/>
      <c r="T1407" s="589"/>
      <c r="U1407" s="589"/>
    </row>
    <row r="1408" spans="1:21" ht="15.5" x14ac:dyDescent="0.35">
      <c r="A1408" s="116"/>
      <c r="B1408" s="117"/>
      <c r="C1408" s="1694"/>
      <c r="D1408" s="1695"/>
      <c r="E1408" s="263"/>
      <c r="F1408" s="1696" t="s">
        <v>5</v>
      </c>
      <c r="G1408" s="1696"/>
      <c r="H1408" s="264">
        <f>IF(ISNUMBER(I1406),H1406*H1404,H1405*H1404)</f>
        <v>0</v>
      </c>
      <c r="I1408" s="265"/>
      <c r="J1408" s="266"/>
      <c r="K1408" s="157">
        <f t="shared" si="186"/>
        <v>100</v>
      </c>
      <c r="L1408" s="157">
        <f t="shared" si="187"/>
        <v>200</v>
      </c>
      <c r="M1408" s="157">
        <f t="shared" si="188"/>
        <v>300</v>
      </c>
      <c r="N1408" s="157">
        <f t="shared" si="189"/>
        <v>400</v>
      </c>
      <c r="O1408" s="1030"/>
      <c r="P1408" s="967"/>
      <c r="Q1408" s="586"/>
      <c r="R1408" s="968"/>
      <c r="S1408" s="589"/>
      <c r="T1408" s="589"/>
      <c r="U1408" s="589"/>
    </row>
    <row r="1409" spans="1:21" x14ac:dyDescent="0.35">
      <c r="K1409" s="157">
        <f t="shared" si="186"/>
        <v>100</v>
      </c>
      <c r="L1409" s="157">
        <f t="shared" si="187"/>
        <v>200</v>
      </c>
      <c r="M1409" s="157">
        <f t="shared" si="188"/>
        <v>300</v>
      </c>
      <c r="N1409" s="157">
        <f t="shared" si="189"/>
        <v>400</v>
      </c>
      <c r="O1409" s="967"/>
      <c r="P1409" s="967"/>
      <c r="Q1409" s="586"/>
      <c r="R1409" s="968"/>
      <c r="S1409" s="589"/>
      <c r="T1409" s="589"/>
      <c r="U1409" s="589"/>
    </row>
    <row r="1410" spans="1:21" ht="7.5" customHeight="1" x14ac:dyDescent="0.35">
      <c r="A1410" s="116"/>
      <c r="B1410" s="117"/>
      <c r="C1410" s="117"/>
      <c r="D1410" s="116"/>
      <c r="E1410" s="116"/>
      <c r="F1410" s="118"/>
      <c r="G1410" s="119"/>
      <c r="H1410" s="116"/>
      <c r="I1410" s="120"/>
      <c r="J1410" s="121"/>
      <c r="K1410" s="157">
        <f t="shared" si="186"/>
        <v>100</v>
      </c>
      <c r="L1410" s="157">
        <f t="shared" si="187"/>
        <v>200</v>
      </c>
      <c r="M1410" s="157">
        <f t="shared" si="188"/>
        <v>300</v>
      </c>
      <c r="N1410" s="157">
        <f t="shared" si="189"/>
        <v>400</v>
      </c>
      <c r="O1410" s="968"/>
      <c r="P1410" s="968"/>
      <c r="Q1410" s="586"/>
      <c r="R1410" s="968"/>
      <c r="S1410" s="589"/>
      <c r="T1410" s="589"/>
      <c r="U1410" s="589"/>
    </row>
    <row r="1411" spans="1:21" ht="15.5" x14ac:dyDescent="0.35">
      <c r="A1411" s="124"/>
      <c r="B1411" s="125"/>
      <c r="C1411" s="126" t="s">
        <v>4836</v>
      </c>
      <c r="D1411" s="127" t="s">
        <v>5460</v>
      </c>
      <c r="E1411" s="128"/>
      <c r="F1411" s="129" t="str">
        <f>IF($F$3=1,O1411,"")</f>
        <v>E.4.2 Vermeidung von nicht gemischten Siedlungsabfällen</v>
      </c>
      <c r="G1411" s="204"/>
      <c r="H1411" s="205"/>
      <c r="I1411" s="520" t="s">
        <v>23</v>
      </c>
      <c r="J1411" s="130"/>
      <c r="K1411" s="157">
        <f t="shared" si="186"/>
        <v>100</v>
      </c>
      <c r="L1411" s="157">
        <f t="shared" si="187"/>
        <v>200</v>
      </c>
      <c r="M1411" s="157">
        <f t="shared" si="188"/>
        <v>300</v>
      </c>
      <c r="N1411" s="157">
        <f t="shared" si="189"/>
        <v>400</v>
      </c>
      <c r="O1411" s="967" t="str">
        <f>CONCATENATE(C1411," ",D1411)</f>
        <v>E.4.2 Vermeidung von nicht gemischten Siedlungsabfällen</v>
      </c>
      <c r="P1411" s="966"/>
      <c r="Q1411" s="586"/>
      <c r="R1411" s="968"/>
      <c r="S1411" s="589"/>
      <c r="T1411" s="589"/>
      <c r="U1411" s="589"/>
    </row>
    <row r="1412" spans="1:21" x14ac:dyDescent="0.35">
      <c r="A1412" s="124"/>
      <c r="B1412" s="134"/>
      <c r="C1412" s="135"/>
      <c r="D1412" s="136"/>
      <c r="E1412" s="136"/>
      <c r="F1412" s="137"/>
      <c r="G1412" s="138"/>
      <c r="H1412" s="124"/>
      <c r="I1412" s="139"/>
      <c r="J1412" s="140"/>
      <c r="K1412" s="157">
        <f t="shared" si="186"/>
        <v>100</v>
      </c>
      <c r="L1412" s="157">
        <f t="shared" si="187"/>
        <v>200</v>
      </c>
      <c r="M1412" s="157">
        <f t="shared" si="188"/>
        <v>300</v>
      </c>
      <c r="N1412" s="157">
        <f t="shared" si="189"/>
        <v>400</v>
      </c>
      <c r="O1412" s="968"/>
      <c r="P1412" s="966"/>
      <c r="Q1412" s="586"/>
      <c r="R1412" s="968"/>
      <c r="S1412" s="589"/>
      <c r="T1412" s="589"/>
      <c r="U1412" s="589"/>
    </row>
    <row r="1413" spans="1:21" x14ac:dyDescent="0.35">
      <c r="A1413" s="142"/>
      <c r="B1413" s="35"/>
      <c r="C1413" s="143"/>
      <c r="D1413" s="1685" t="s">
        <v>18</v>
      </c>
      <c r="E1413" s="1686"/>
      <c r="F1413" s="144" t="s">
        <v>19</v>
      </c>
      <c r="G1413" s="145" t="s">
        <v>0</v>
      </c>
      <c r="H1413" s="146" t="s">
        <v>20</v>
      </c>
      <c r="I1413" s="147" t="s">
        <v>1</v>
      </c>
      <c r="J1413" s="147" t="s">
        <v>4375</v>
      </c>
      <c r="K1413" s="157">
        <f t="shared" si="186"/>
        <v>100</v>
      </c>
      <c r="L1413" s="157">
        <f t="shared" si="187"/>
        <v>200</v>
      </c>
      <c r="M1413" s="157">
        <f t="shared" si="188"/>
        <v>300</v>
      </c>
      <c r="N1413" s="157">
        <f t="shared" si="189"/>
        <v>400</v>
      </c>
      <c r="O1413" s="587"/>
      <c r="P1413" s="967"/>
      <c r="Q1413" s="586"/>
      <c r="R1413" s="968"/>
      <c r="S1413" s="589"/>
      <c r="T1413" s="589"/>
      <c r="U1413" s="589"/>
    </row>
    <row r="1414" spans="1:21" x14ac:dyDescent="0.35">
      <c r="A1414" s="123"/>
      <c r="B1414" s="35"/>
      <c r="C1414" s="151"/>
      <c r="D1414" s="1687" t="s">
        <v>4691</v>
      </c>
      <c r="E1414" s="1688"/>
      <c r="F1414" s="152" t="s">
        <v>5042</v>
      </c>
      <c r="G1414" s="153">
        <f t="shared" ref="G1414:G1415" si="192">IF($H$2=1,S1414,IF($H$2=2,T1414,U1414))</f>
        <v>1</v>
      </c>
      <c r="H1414" s="226">
        <f>'RH Abfall'!C81</f>
        <v>0</v>
      </c>
      <c r="I1414" s="274"/>
      <c r="J1414" s="156"/>
      <c r="K1414" s="157">
        <f t="shared" si="186"/>
        <v>100</v>
      </c>
      <c r="L1414" s="157">
        <f t="shared" si="187"/>
        <v>200</v>
      </c>
      <c r="M1414" s="157">
        <f t="shared" si="188"/>
        <v>300</v>
      </c>
      <c r="N1414" s="157">
        <f t="shared" si="189"/>
        <v>400</v>
      </c>
      <c r="O1414" s="967" t="str">
        <f>CONCATENATE(O1411," | ",F1414)</f>
        <v>E.4.2 Vermeidung von nicht gemischten Siedlungsabfällen | Variante 1 - Rechenhilfe: Abfallmenge pro Person</v>
      </c>
      <c r="P1414" s="967"/>
      <c r="Q1414" s="586"/>
      <c r="R1414" s="968"/>
      <c r="S1414" s="595">
        <v>0</v>
      </c>
      <c r="T1414" s="595">
        <v>0.7</v>
      </c>
      <c r="U1414" s="588">
        <v>1</v>
      </c>
    </row>
    <row r="1415" spans="1:21" ht="24" x14ac:dyDescent="0.35">
      <c r="A1415" s="123"/>
      <c r="B1415" s="35"/>
      <c r="C1415" s="151"/>
      <c r="D1415" s="1687"/>
      <c r="E1415" s="1688"/>
      <c r="F1415" s="152" t="s">
        <v>5038</v>
      </c>
      <c r="G1415" s="153">
        <f t="shared" si="192"/>
        <v>1</v>
      </c>
      <c r="H1415" s="226">
        <f>'RH Abfall'!C107</f>
        <v>7.5000000000000178E-2</v>
      </c>
      <c r="I1415" s="155"/>
      <c r="J1415" s="156"/>
      <c r="K1415" s="157">
        <f t="shared" si="186"/>
        <v>100</v>
      </c>
      <c r="L1415" s="157">
        <f t="shared" si="187"/>
        <v>200</v>
      </c>
      <c r="M1415" s="157">
        <f t="shared" si="188"/>
        <v>300</v>
      </c>
      <c r="N1415" s="157">
        <f t="shared" si="189"/>
        <v>400</v>
      </c>
      <c r="O1415" s="967" t="str">
        <f>CONCATENATE(O1411," | ",F1415)</f>
        <v>E.4.2 Vermeidung von nicht gemischten Siedlungsabfällen | Variante 2 - Alternative Rechenhilfe: Bewertung der baulichen Maßnahmen und Marketing Maßnahmen</v>
      </c>
      <c r="P1415" s="967"/>
      <c r="Q1415" s="586"/>
      <c r="R1415" s="968"/>
      <c r="S1415" s="595">
        <v>0</v>
      </c>
      <c r="T1415" s="595">
        <v>0.7</v>
      </c>
      <c r="U1415" s="588">
        <v>1</v>
      </c>
    </row>
    <row r="1416" spans="1:21" x14ac:dyDescent="0.35">
      <c r="A1416" s="123"/>
      <c r="B1416" s="35"/>
      <c r="C1416" s="151"/>
      <c r="D1416" s="1687"/>
      <c r="E1416" s="1688"/>
      <c r="F1416" s="159"/>
      <c r="G1416" s="160"/>
      <c r="H1416" s="161"/>
      <c r="I1416" s="166"/>
      <c r="J1416" s="167"/>
      <c r="K1416" s="157">
        <f t="shared" si="186"/>
        <v>100</v>
      </c>
      <c r="L1416" s="157">
        <f t="shared" si="187"/>
        <v>200</v>
      </c>
      <c r="M1416" s="157">
        <f t="shared" si="188"/>
        <v>300</v>
      </c>
      <c r="N1416" s="157">
        <f t="shared" si="189"/>
        <v>400</v>
      </c>
      <c r="O1416" s="967"/>
      <c r="P1416" s="967"/>
      <c r="Q1416" s="586"/>
      <c r="R1416" s="968"/>
      <c r="S1416" s="589"/>
      <c r="T1416" s="589"/>
      <c r="U1416" s="589"/>
    </row>
    <row r="1417" spans="1:21" x14ac:dyDescent="0.35">
      <c r="A1417" s="123">
        <v>3.2</v>
      </c>
      <c r="B1417" s="35"/>
      <c r="C1417" s="151"/>
      <c r="D1417" s="1687"/>
      <c r="E1417" s="1688"/>
      <c r="F1417" s="269" t="s">
        <v>4611</v>
      </c>
      <c r="G1417" s="160"/>
      <c r="H1417" s="161">
        <f>IF(F1417="Variante 1",H1414,H1415)</f>
        <v>0</v>
      </c>
      <c r="I1417" s="166"/>
      <c r="J1417" s="167"/>
      <c r="K1417" s="157">
        <f t="shared" si="186"/>
        <v>100</v>
      </c>
      <c r="L1417" s="157">
        <f t="shared" si="187"/>
        <v>200</v>
      </c>
      <c r="M1417" s="157">
        <f t="shared" si="188"/>
        <v>300</v>
      </c>
      <c r="N1417" s="157">
        <f t="shared" si="189"/>
        <v>400</v>
      </c>
      <c r="O1417" s="967"/>
      <c r="P1417" s="967"/>
      <c r="Q1417" s="586"/>
      <c r="R1417" s="968"/>
      <c r="S1417" s="589"/>
      <c r="T1417" s="589"/>
      <c r="U1417" s="589"/>
    </row>
    <row r="1418" spans="1:21" x14ac:dyDescent="0.35">
      <c r="A1418" s="123"/>
      <c r="B1418" s="35"/>
      <c r="C1418" s="151"/>
      <c r="D1418" s="1687"/>
      <c r="E1418" s="1688"/>
      <c r="F1418" s="159"/>
      <c r="G1418" s="160"/>
      <c r="H1418" s="161"/>
      <c r="I1418" s="166"/>
      <c r="J1418" s="167"/>
      <c r="K1418" s="157">
        <f t="shared" si="186"/>
        <v>100</v>
      </c>
      <c r="L1418" s="157">
        <f t="shared" si="187"/>
        <v>200</v>
      </c>
      <c r="M1418" s="157">
        <f t="shared" si="188"/>
        <v>300</v>
      </c>
      <c r="N1418" s="157">
        <f t="shared" si="189"/>
        <v>400</v>
      </c>
      <c r="O1418" s="967"/>
      <c r="P1418" s="967"/>
      <c r="Q1418" s="586"/>
      <c r="R1418" s="968"/>
      <c r="S1418" s="589"/>
      <c r="T1418" s="589"/>
      <c r="U1418" s="589"/>
    </row>
    <row r="1419" spans="1:21" x14ac:dyDescent="0.35">
      <c r="A1419" s="116"/>
      <c r="B1419" s="35"/>
      <c r="C1419" s="117"/>
      <c r="D1419" s="1687"/>
      <c r="E1419" s="1688"/>
      <c r="F1419" s="593" t="str">
        <f>IF($G$2=1,R1419,"Weiteres Kriterium in der Nutzung")</f>
        <v>Weiteres Kriterium in der Nutzung</v>
      </c>
      <c r="G1419" s="153">
        <f t="shared" ref="G1419:G1421" si="193">IF($H$2=1,S1419,IF($H$2=2,T1419,U1419))</f>
        <v>0</v>
      </c>
      <c r="H1419" s="154"/>
      <c r="I1419" s="158"/>
      <c r="J1419" s="156"/>
      <c r="K1419" s="157">
        <f t="shared" si="186"/>
        <v>100</v>
      </c>
      <c r="L1419" s="157">
        <f t="shared" si="187"/>
        <v>200</v>
      </c>
      <c r="M1419" s="157">
        <f t="shared" si="188"/>
        <v>300</v>
      </c>
      <c r="N1419" s="157">
        <f t="shared" si="189"/>
        <v>400</v>
      </c>
      <c r="O1419" s="967" t="str">
        <f>CONCATENATE(O1411," | ",F1419)</f>
        <v>E.4.2 Vermeidung von nicht gemischten Siedlungsabfällen | Weiteres Kriterium in der Nutzung</v>
      </c>
      <c r="P1419" s="967"/>
      <c r="Q1419" s="586"/>
      <c r="R1419" s="968" t="s">
        <v>5353</v>
      </c>
      <c r="S1419" s="588">
        <v>0.33</v>
      </c>
      <c r="T1419" s="588">
        <v>0.1</v>
      </c>
      <c r="U1419" s="588">
        <v>0</v>
      </c>
    </row>
    <row r="1420" spans="1:21" x14ac:dyDescent="0.35">
      <c r="A1420" s="116"/>
      <c r="B1420" s="35"/>
      <c r="C1420" s="117"/>
      <c r="D1420" s="1687"/>
      <c r="E1420" s="1688"/>
      <c r="F1420" s="593" t="str">
        <f>IF($G$2=1,R1420,"Weiteres Kriterium in der Nutzung")</f>
        <v>Weiteres Kriterium in der Nutzung</v>
      </c>
      <c r="G1420" s="153">
        <f t="shared" si="193"/>
        <v>0</v>
      </c>
      <c r="H1420" s="154"/>
      <c r="I1420" s="158"/>
      <c r="J1420" s="156"/>
      <c r="K1420" s="157">
        <f t="shared" si="186"/>
        <v>100</v>
      </c>
      <c r="L1420" s="157">
        <f t="shared" si="187"/>
        <v>200</v>
      </c>
      <c r="M1420" s="157">
        <f t="shared" si="188"/>
        <v>300</v>
      </c>
      <c r="N1420" s="157">
        <f t="shared" si="189"/>
        <v>400</v>
      </c>
      <c r="O1420" s="967" t="str">
        <f>CONCATENATE(O1411," | ",F1420)</f>
        <v>E.4.2 Vermeidung von nicht gemischten Siedlungsabfällen | Weiteres Kriterium in der Nutzung</v>
      </c>
      <c r="P1420" s="967"/>
      <c r="Q1420" s="586"/>
      <c r="R1420" s="968" t="s">
        <v>5342</v>
      </c>
      <c r="S1420" s="588">
        <v>0.33</v>
      </c>
      <c r="T1420" s="588">
        <v>0.1</v>
      </c>
      <c r="U1420" s="588">
        <v>0</v>
      </c>
    </row>
    <row r="1421" spans="1:21" x14ac:dyDescent="0.35">
      <c r="A1421" s="116"/>
      <c r="B1421" s="35"/>
      <c r="C1421" s="117"/>
      <c r="D1421" s="1687"/>
      <c r="E1421" s="1688"/>
      <c r="F1421" s="593" t="str">
        <f>IF($G$2=1,R1421,"Weiteres Kriterium in der Nutzung")</f>
        <v>Weiteres Kriterium in der Nutzung</v>
      </c>
      <c r="G1421" s="153">
        <f t="shared" si="193"/>
        <v>0</v>
      </c>
      <c r="H1421" s="154"/>
      <c r="I1421" s="158"/>
      <c r="J1421" s="156"/>
      <c r="K1421" s="157">
        <f t="shared" si="186"/>
        <v>100</v>
      </c>
      <c r="L1421" s="157">
        <f t="shared" si="187"/>
        <v>200</v>
      </c>
      <c r="M1421" s="157">
        <f t="shared" si="188"/>
        <v>300</v>
      </c>
      <c r="N1421" s="157">
        <f t="shared" si="189"/>
        <v>400</v>
      </c>
      <c r="O1421" s="967" t="str">
        <f>CONCATENATE(O1411," | ",F1421)</f>
        <v>E.4.2 Vermeidung von nicht gemischten Siedlungsabfällen | Weiteres Kriterium in der Nutzung</v>
      </c>
      <c r="P1421" s="967"/>
      <c r="Q1421" s="586"/>
      <c r="R1421" s="968" t="s">
        <v>5484</v>
      </c>
      <c r="S1421" s="588">
        <v>0.34</v>
      </c>
      <c r="T1421" s="588">
        <v>0.1</v>
      </c>
      <c r="U1421" s="588">
        <v>0</v>
      </c>
    </row>
    <row r="1422" spans="1:21" x14ac:dyDescent="0.35">
      <c r="A1422" s="123"/>
      <c r="B1422" s="35"/>
      <c r="C1422" s="151"/>
      <c r="D1422" s="1687"/>
      <c r="E1422" s="1688"/>
      <c r="F1422" s="165"/>
      <c r="G1422" s="160"/>
      <c r="H1422" s="161"/>
      <c r="I1422" s="166"/>
      <c r="J1422" s="167"/>
      <c r="K1422" s="157">
        <f t="shared" si="186"/>
        <v>100</v>
      </c>
      <c r="L1422" s="157">
        <f t="shared" si="187"/>
        <v>200</v>
      </c>
      <c r="M1422" s="157">
        <f t="shared" si="188"/>
        <v>300</v>
      </c>
      <c r="N1422" s="157">
        <f t="shared" si="189"/>
        <v>400</v>
      </c>
      <c r="O1422" s="959"/>
      <c r="P1422" s="967"/>
      <c r="Q1422" s="586"/>
      <c r="R1422" s="968"/>
      <c r="S1422" s="589"/>
      <c r="T1422" s="589"/>
      <c r="U1422" s="589"/>
    </row>
    <row r="1423" spans="1:21" x14ac:dyDescent="0.35">
      <c r="A1423" s="116"/>
      <c r="B1423" s="35"/>
      <c r="C1423" s="117"/>
      <c r="D1423" s="1687"/>
      <c r="E1423" s="1688"/>
      <c r="F1423" s="159"/>
      <c r="G1423" s="160"/>
      <c r="H1423" s="168"/>
      <c r="I1423" s="162"/>
      <c r="J1423" s="164"/>
      <c r="K1423" s="157">
        <f t="shared" si="186"/>
        <v>100</v>
      </c>
      <c r="L1423" s="157">
        <f t="shared" si="187"/>
        <v>200</v>
      </c>
      <c r="M1423" s="157">
        <f t="shared" si="188"/>
        <v>300</v>
      </c>
      <c r="N1423" s="157">
        <f t="shared" si="189"/>
        <v>400</v>
      </c>
      <c r="O1423" s="959"/>
      <c r="P1423" s="967"/>
      <c r="Q1423" s="586"/>
      <c r="R1423" s="968"/>
      <c r="S1423" s="589"/>
      <c r="T1423" s="589"/>
      <c r="U1423" s="589"/>
    </row>
    <row r="1424" spans="1:21" x14ac:dyDescent="0.35">
      <c r="A1424" s="116"/>
      <c r="B1424" s="117"/>
      <c r="C1424" s="117"/>
      <c r="D1424" s="1687"/>
      <c r="E1424" s="1688"/>
      <c r="F1424" s="159"/>
      <c r="G1424" s="160"/>
      <c r="H1424" s="168"/>
      <c r="I1424" s="162"/>
      <c r="J1424" s="164"/>
      <c r="K1424" s="157">
        <f t="shared" si="186"/>
        <v>100</v>
      </c>
      <c r="L1424" s="157">
        <f t="shared" si="187"/>
        <v>200</v>
      </c>
      <c r="M1424" s="157">
        <f t="shared" si="188"/>
        <v>300</v>
      </c>
      <c r="N1424" s="157">
        <f t="shared" si="189"/>
        <v>400</v>
      </c>
      <c r="O1424" s="959"/>
      <c r="P1424" s="967"/>
      <c r="Q1424" s="586"/>
      <c r="R1424" s="968"/>
      <c r="S1424" s="589"/>
      <c r="T1424" s="589"/>
      <c r="U1424" s="589"/>
    </row>
    <row r="1425" spans="1:21" x14ac:dyDescent="0.35">
      <c r="A1425" s="116"/>
      <c r="B1425" s="117"/>
      <c r="C1425" s="117"/>
      <c r="D1425" s="1687"/>
      <c r="E1425" s="1688"/>
      <c r="F1425" s="169"/>
      <c r="G1425" s="170"/>
      <c r="H1425" s="171"/>
      <c r="I1425" s="172"/>
      <c r="J1425" s="173"/>
      <c r="K1425" s="157">
        <f t="shared" si="186"/>
        <v>100</v>
      </c>
      <c r="L1425" s="157">
        <f t="shared" si="187"/>
        <v>200</v>
      </c>
      <c r="M1425" s="157">
        <f t="shared" si="188"/>
        <v>300</v>
      </c>
      <c r="N1425" s="157">
        <f t="shared" si="189"/>
        <v>400</v>
      </c>
      <c r="O1425" s="959"/>
      <c r="P1425" s="967"/>
      <c r="Q1425" s="586"/>
      <c r="R1425" s="968"/>
      <c r="S1425" s="589"/>
      <c r="T1425" s="589"/>
      <c r="U1425" s="589"/>
    </row>
    <row r="1426" spans="1:21" ht="28.5" customHeight="1" x14ac:dyDescent="0.35">
      <c r="A1426" s="116"/>
      <c r="B1426" s="117"/>
      <c r="C1426" s="117"/>
      <c r="D1426" s="174"/>
      <c r="E1426" s="175"/>
      <c r="F1426" s="1689" t="s">
        <v>2</v>
      </c>
      <c r="G1426" s="1689"/>
      <c r="H1426" s="176">
        <f>IF(O1426&gt;1,"Zielerreichung übersteigt 100%!",O1426)</f>
        <v>0</v>
      </c>
      <c r="I1426" s="177"/>
      <c r="J1426" s="178"/>
      <c r="K1426" s="157">
        <f t="shared" si="186"/>
        <v>100</v>
      </c>
      <c r="L1426" s="157">
        <f t="shared" si="187"/>
        <v>200</v>
      </c>
      <c r="M1426" s="157">
        <f t="shared" si="188"/>
        <v>300</v>
      </c>
      <c r="N1426" s="157">
        <f t="shared" si="189"/>
        <v>400</v>
      </c>
      <c r="O1426" s="959">
        <f>SUM(H1417:H1425)</f>
        <v>0</v>
      </c>
      <c r="P1426" s="967"/>
      <c r="Q1426" s="586"/>
      <c r="R1426" s="968"/>
      <c r="S1426" s="589"/>
      <c r="T1426" s="589"/>
      <c r="U1426" s="589"/>
    </row>
    <row r="1427" spans="1:21" x14ac:dyDescent="0.35">
      <c r="A1427" s="116"/>
      <c r="B1427" s="117"/>
      <c r="C1427" s="117"/>
      <c r="D1427" s="179"/>
      <c r="E1427" s="180"/>
      <c r="F1427" s="1690" t="s">
        <v>3</v>
      </c>
      <c r="G1427" s="1691"/>
      <c r="H1427" s="181">
        <v>15</v>
      </c>
      <c r="I1427" s="177"/>
      <c r="J1427" s="178"/>
      <c r="K1427" s="157">
        <f t="shared" si="186"/>
        <v>100</v>
      </c>
      <c r="L1427" s="157">
        <f t="shared" si="187"/>
        <v>200</v>
      </c>
      <c r="M1427" s="157">
        <f t="shared" si="188"/>
        <v>300</v>
      </c>
      <c r="N1427" s="157">
        <f t="shared" si="189"/>
        <v>400</v>
      </c>
      <c r="O1427" s="1030"/>
      <c r="P1427" s="967"/>
      <c r="Q1427" s="586"/>
      <c r="R1427" s="968"/>
      <c r="S1427" s="589"/>
      <c r="T1427" s="589"/>
      <c r="U1427" s="589"/>
    </row>
    <row r="1428" spans="1:21" x14ac:dyDescent="0.35">
      <c r="A1428" s="116"/>
      <c r="B1428" s="117"/>
      <c r="C1428" s="117"/>
      <c r="D1428" s="179"/>
      <c r="E1428" s="180"/>
      <c r="F1428" s="1692"/>
      <c r="G1428" s="1693"/>
      <c r="H1428" s="182"/>
      <c r="I1428" s="183"/>
      <c r="J1428" s="178"/>
      <c r="K1428" s="157">
        <f t="shared" si="186"/>
        <v>100</v>
      </c>
      <c r="L1428" s="157">
        <f t="shared" si="187"/>
        <v>200</v>
      </c>
      <c r="M1428" s="157">
        <f t="shared" si="188"/>
        <v>300</v>
      </c>
      <c r="N1428" s="157">
        <f t="shared" si="189"/>
        <v>400</v>
      </c>
      <c r="O1428" s="1030"/>
      <c r="P1428" s="967"/>
      <c r="Q1428" s="586"/>
      <c r="R1428" s="968"/>
      <c r="S1428" s="589"/>
      <c r="T1428" s="589"/>
      <c r="U1428" s="589"/>
    </row>
    <row r="1429" spans="1:21" x14ac:dyDescent="0.35">
      <c r="A1429" s="184"/>
      <c r="B1429" s="185"/>
      <c r="C1429" s="185"/>
      <c r="D1429" s="179"/>
      <c r="E1429" s="180"/>
      <c r="F1429" s="186"/>
      <c r="G1429" s="186"/>
      <c r="H1429" s="187"/>
      <c r="I1429" s="177"/>
      <c r="J1429" s="178"/>
      <c r="K1429" s="157">
        <f t="shared" si="186"/>
        <v>100</v>
      </c>
      <c r="L1429" s="157">
        <f t="shared" si="187"/>
        <v>200</v>
      </c>
      <c r="M1429" s="157">
        <f t="shared" si="188"/>
        <v>300</v>
      </c>
      <c r="N1429" s="157">
        <f t="shared" si="189"/>
        <v>400</v>
      </c>
      <c r="O1429" s="1030"/>
      <c r="P1429" s="967"/>
      <c r="Q1429" s="586"/>
      <c r="R1429" s="968"/>
      <c r="S1429" s="589"/>
      <c r="T1429" s="589"/>
      <c r="U1429" s="589"/>
    </row>
    <row r="1430" spans="1:21" ht="15.75" customHeight="1" x14ac:dyDescent="0.35">
      <c r="A1430" s="116"/>
      <c r="B1430" s="185"/>
      <c r="C1430" s="1694"/>
      <c r="D1430" s="1695"/>
      <c r="E1430" s="263"/>
      <c r="F1430" s="1696" t="s">
        <v>5</v>
      </c>
      <c r="G1430" s="1696"/>
      <c r="H1430" s="264">
        <f>IF(ISNUMBER(I1428),H1428*H1426,H1427*H1426)</f>
        <v>0</v>
      </c>
      <c r="I1430" s="265"/>
      <c r="J1430" s="277"/>
      <c r="K1430" s="157">
        <f t="shared" si="186"/>
        <v>100</v>
      </c>
      <c r="L1430" s="157">
        <f t="shared" si="187"/>
        <v>200</v>
      </c>
      <c r="M1430" s="157">
        <f t="shared" si="188"/>
        <v>300</v>
      </c>
      <c r="N1430" s="157">
        <f t="shared" si="189"/>
        <v>400</v>
      </c>
      <c r="O1430" s="1030"/>
      <c r="P1430" s="967"/>
      <c r="Q1430" s="586"/>
      <c r="R1430" s="968"/>
      <c r="S1430" s="589"/>
      <c r="T1430" s="589"/>
      <c r="U1430" s="589"/>
    </row>
    <row r="1431" spans="1:21" x14ac:dyDescent="0.35">
      <c r="J1431" s="278"/>
      <c r="K1431" s="157">
        <f t="shared" si="186"/>
        <v>100</v>
      </c>
      <c r="L1431" s="157">
        <f t="shared" si="187"/>
        <v>200</v>
      </c>
      <c r="M1431" s="157">
        <f t="shared" si="188"/>
        <v>300</v>
      </c>
      <c r="N1431" s="157">
        <f t="shared" si="189"/>
        <v>400</v>
      </c>
      <c r="O1431" s="967"/>
      <c r="P1431" s="967"/>
      <c r="Q1431" s="586"/>
      <c r="R1431" s="968"/>
      <c r="S1431" s="589"/>
      <c r="T1431" s="589"/>
      <c r="U1431" s="589"/>
    </row>
    <row r="1432" spans="1:21" x14ac:dyDescent="0.35">
      <c r="K1432" s="157">
        <f t="shared" si="186"/>
        <v>100</v>
      </c>
      <c r="L1432" s="157">
        <f t="shared" si="187"/>
        <v>200</v>
      </c>
      <c r="M1432" s="157">
        <f t="shared" si="188"/>
        <v>300</v>
      </c>
      <c r="N1432" s="157">
        <f t="shared" si="189"/>
        <v>400</v>
      </c>
      <c r="O1432" s="967"/>
      <c r="P1432" s="967"/>
      <c r="Q1432" s="586"/>
      <c r="R1432" s="968"/>
      <c r="S1432" s="589"/>
      <c r="T1432" s="589"/>
      <c r="U1432" s="589"/>
    </row>
    <row r="1433" spans="1:21" ht="24" customHeight="1" x14ac:dyDescent="0.35">
      <c r="A1433" s="104"/>
      <c r="B1433" s="838" t="s">
        <v>4839</v>
      </c>
      <c r="C1433" s="839"/>
      <c r="D1433" s="840"/>
      <c r="E1433" s="840"/>
      <c r="F1433" s="841" t="str">
        <f>IF($F$3=1,Handlungsfeld6,"")</f>
        <v>Handlungsfeld F - Mobilität</v>
      </c>
      <c r="G1433" s="842"/>
      <c r="H1433" s="840"/>
      <c r="I1433" s="843"/>
      <c r="J1433" s="840"/>
      <c r="K1433" s="157">
        <f t="shared" si="186"/>
        <v>100</v>
      </c>
      <c r="L1433" s="157">
        <f t="shared" si="187"/>
        <v>200</v>
      </c>
      <c r="M1433" s="157">
        <f t="shared" si="188"/>
        <v>300</v>
      </c>
      <c r="N1433" s="157">
        <f t="shared" si="189"/>
        <v>400</v>
      </c>
      <c r="O1433" s="590"/>
      <c r="P1433" s="584"/>
      <c r="Q1433" s="586"/>
      <c r="R1433" s="968"/>
      <c r="S1433" s="589"/>
      <c r="T1433" s="589"/>
      <c r="U1433" s="589"/>
    </row>
    <row r="1434" spans="1:21" ht="15.5" x14ac:dyDescent="0.35">
      <c r="A1434" s="104"/>
      <c r="B1434" s="107"/>
      <c r="C1434" s="108"/>
      <c r="D1434" s="104"/>
      <c r="E1434" s="104"/>
      <c r="F1434" s="109"/>
      <c r="G1434" s="105"/>
      <c r="H1434" s="104"/>
      <c r="I1434" s="110"/>
      <c r="J1434" s="104"/>
      <c r="K1434" s="157">
        <f t="shared" si="186"/>
        <v>100</v>
      </c>
      <c r="L1434" s="157">
        <f t="shared" si="187"/>
        <v>200</v>
      </c>
      <c r="M1434" s="157">
        <f t="shared" si="188"/>
        <v>300</v>
      </c>
      <c r="N1434" s="157">
        <f t="shared" si="189"/>
        <v>400</v>
      </c>
      <c r="O1434" s="590"/>
      <c r="P1434" s="584"/>
      <c r="Q1434" s="586"/>
      <c r="R1434" s="968"/>
      <c r="S1434" s="589"/>
      <c r="T1434" s="589"/>
      <c r="U1434" s="589"/>
    </row>
    <row r="1435" spans="1:21" ht="7.5" customHeight="1" x14ac:dyDescent="0.35">
      <c r="B1435" s="35"/>
      <c r="E1435" s="1"/>
      <c r="K1435" s="157">
        <f t="shared" si="186"/>
        <v>100</v>
      </c>
      <c r="L1435" s="157">
        <f t="shared" si="187"/>
        <v>200</v>
      </c>
      <c r="M1435" s="157">
        <f t="shared" si="188"/>
        <v>300</v>
      </c>
      <c r="N1435" s="157">
        <f t="shared" si="189"/>
        <v>400</v>
      </c>
      <c r="O1435" s="967"/>
      <c r="P1435" s="967"/>
      <c r="Q1435" s="586"/>
      <c r="R1435" s="968"/>
      <c r="S1435" s="589"/>
      <c r="T1435" s="589"/>
      <c r="U1435" s="589"/>
    </row>
    <row r="1436" spans="1:21" ht="15.5" x14ac:dyDescent="0.35">
      <c r="A1436" s="208"/>
      <c r="B1436" s="279" t="s">
        <v>4838</v>
      </c>
      <c r="C1436" s="279" t="s">
        <v>4454</v>
      </c>
      <c r="D1436" s="280"/>
      <c r="E1436" s="280"/>
      <c r="F1436" s="281" t="str">
        <f>IF($F$3=1,O1436,"")</f>
        <v>F.1 Motorisierter Individualverkehr</v>
      </c>
      <c r="G1436" s="282"/>
      <c r="H1436" s="283"/>
      <c r="I1436" s="284"/>
      <c r="J1436" s="285"/>
      <c r="K1436" s="157">
        <f t="shared" si="186"/>
        <v>100</v>
      </c>
      <c r="L1436" s="157">
        <f t="shared" si="187"/>
        <v>200</v>
      </c>
      <c r="M1436" s="157">
        <f t="shared" si="188"/>
        <v>300</v>
      </c>
      <c r="N1436" s="157">
        <f t="shared" si="189"/>
        <v>400</v>
      </c>
      <c r="O1436" s="967" t="str">
        <f>CONCATENATE(B1436," ",C1436)</f>
        <v>F.1 Motorisierter Individualverkehr</v>
      </c>
      <c r="P1436" s="958"/>
      <c r="Q1436" s="586"/>
      <c r="R1436" s="968"/>
      <c r="S1436" s="589"/>
      <c r="T1436" s="589"/>
      <c r="U1436" s="589"/>
    </row>
    <row r="1437" spans="1:21" ht="15.5" x14ac:dyDescent="0.35">
      <c r="A1437" s="208"/>
      <c r="B1437" s="216"/>
      <c r="C1437" s="216"/>
      <c r="D1437" s="208"/>
      <c r="E1437" s="208"/>
      <c r="F1437" s="253"/>
      <c r="G1437" s="217"/>
      <c r="H1437" s="218"/>
      <c r="I1437" s="219"/>
      <c r="J1437" s="220"/>
      <c r="K1437" s="157">
        <f t="shared" si="186"/>
        <v>100</v>
      </c>
      <c r="L1437" s="157">
        <f t="shared" si="187"/>
        <v>200</v>
      </c>
      <c r="M1437" s="157">
        <f t="shared" si="188"/>
        <v>300</v>
      </c>
      <c r="N1437" s="157">
        <f t="shared" si="189"/>
        <v>400</v>
      </c>
      <c r="O1437" s="967"/>
      <c r="P1437" s="958"/>
      <c r="Q1437" s="586"/>
      <c r="R1437" s="968"/>
      <c r="S1437" s="589"/>
      <c r="T1437" s="589"/>
      <c r="U1437" s="589"/>
    </row>
    <row r="1438" spans="1:21" ht="7.5" customHeight="1" x14ac:dyDescent="0.35">
      <c r="A1438" s="116"/>
      <c r="B1438" s="117"/>
      <c r="C1438" s="117"/>
      <c r="D1438" s="116"/>
      <c r="E1438" s="116"/>
      <c r="F1438" s="118"/>
      <c r="G1438" s="119"/>
      <c r="H1438" s="116"/>
      <c r="I1438" s="120"/>
      <c r="J1438" s="121"/>
      <c r="K1438" s="157">
        <f t="shared" si="186"/>
        <v>100</v>
      </c>
      <c r="L1438" s="157">
        <f t="shared" si="187"/>
        <v>200</v>
      </c>
      <c r="M1438" s="157">
        <f t="shared" si="188"/>
        <v>300</v>
      </c>
      <c r="N1438" s="157">
        <f t="shared" si="189"/>
        <v>400</v>
      </c>
      <c r="O1438" s="968"/>
      <c r="P1438" s="968"/>
      <c r="Q1438" s="586"/>
      <c r="R1438" s="968"/>
      <c r="S1438" s="589"/>
      <c r="T1438" s="589"/>
      <c r="U1438" s="589"/>
    </row>
    <row r="1439" spans="1:21" ht="15.5" x14ac:dyDescent="0.35">
      <c r="A1439" s="124"/>
      <c r="B1439" s="125"/>
      <c r="C1439" s="126" t="s">
        <v>4837</v>
      </c>
      <c r="D1439" s="127" t="s">
        <v>5461</v>
      </c>
      <c r="E1439" s="128"/>
      <c r="F1439" s="129" t="str">
        <f>IF($F$3=1,O1439,"")</f>
        <v>F.1.1 Abstellanlagen für Pkw</v>
      </c>
      <c r="G1439" s="204"/>
      <c r="H1439" s="205"/>
      <c r="I1439" s="520" t="s">
        <v>23</v>
      </c>
      <c r="J1439" s="130"/>
      <c r="K1439" s="157">
        <f t="shared" si="186"/>
        <v>100</v>
      </c>
      <c r="L1439" s="157">
        <f t="shared" si="187"/>
        <v>200</v>
      </c>
      <c r="M1439" s="157">
        <f t="shared" si="188"/>
        <v>300</v>
      </c>
      <c r="N1439" s="157">
        <f t="shared" si="189"/>
        <v>400</v>
      </c>
      <c r="O1439" s="967" t="str">
        <f>CONCATENATE(C1439," ",D1439)</f>
        <v>F.1.1 Abstellanlagen für Pkw</v>
      </c>
      <c r="P1439" s="966"/>
      <c r="Q1439" s="586"/>
      <c r="R1439" s="968"/>
      <c r="S1439" s="589"/>
      <c r="T1439" s="589"/>
      <c r="U1439" s="589"/>
    </row>
    <row r="1440" spans="1:21" x14ac:dyDescent="0.35">
      <c r="A1440" s="124"/>
      <c r="B1440" s="134"/>
      <c r="C1440" s="135"/>
      <c r="D1440" s="136"/>
      <c r="E1440" s="136"/>
      <c r="F1440" s="137"/>
      <c r="G1440" s="138"/>
      <c r="H1440" s="124"/>
      <c r="I1440" s="139"/>
      <c r="J1440" s="140"/>
      <c r="K1440" s="157">
        <f t="shared" si="186"/>
        <v>100</v>
      </c>
      <c r="L1440" s="157">
        <f t="shared" si="187"/>
        <v>200</v>
      </c>
      <c r="M1440" s="157">
        <f t="shared" si="188"/>
        <v>300</v>
      </c>
      <c r="N1440" s="157">
        <f t="shared" si="189"/>
        <v>400</v>
      </c>
      <c r="O1440" s="968"/>
      <c r="P1440" s="966"/>
      <c r="Q1440" s="586"/>
      <c r="R1440" s="968"/>
      <c r="S1440" s="589"/>
      <c r="T1440" s="589"/>
      <c r="U1440" s="589"/>
    </row>
    <row r="1441" spans="1:22" x14ac:dyDescent="0.35">
      <c r="A1441" s="142"/>
      <c r="B1441" s="35"/>
      <c r="C1441" s="143"/>
      <c r="D1441" s="1685" t="s">
        <v>18</v>
      </c>
      <c r="E1441" s="1686"/>
      <c r="F1441" s="144" t="s">
        <v>19</v>
      </c>
      <c r="G1441" s="145" t="s">
        <v>0</v>
      </c>
      <c r="H1441" s="146" t="s">
        <v>20</v>
      </c>
      <c r="I1441" s="147" t="s">
        <v>1</v>
      </c>
      <c r="J1441" s="147" t="s">
        <v>4375</v>
      </c>
      <c r="K1441" s="157">
        <f t="shared" si="186"/>
        <v>100</v>
      </c>
      <c r="L1441" s="157">
        <f t="shared" si="187"/>
        <v>200</v>
      </c>
      <c r="M1441" s="157">
        <f t="shared" si="188"/>
        <v>300</v>
      </c>
      <c r="N1441" s="157">
        <f t="shared" si="189"/>
        <v>400</v>
      </c>
      <c r="O1441" s="587"/>
      <c r="P1441" s="967"/>
      <c r="Q1441" s="586"/>
      <c r="R1441" s="968"/>
      <c r="S1441" s="589"/>
      <c r="T1441" s="589"/>
      <c r="U1441" s="589"/>
    </row>
    <row r="1442" spans="1:22" ht="15" thickBot="1" x14ac:dyDescent="0.4">
      <c r="A1442" s="123"/>
      <c r="B1442" s="35"/>
      <c r="C1442" s="151"/>
      <c r="D1442" s="1687" t="s">
        <v>4908</v>
      </c>
      <c r="E1442" s="1688"/>
      <c r="F1442" s="152" t="s">
        <v>4692</v>
      </c>
      <c r="G1442" s="153">
        <f t="shared" ref="G1442:G1443" si="194">IF($H$2=1,S1442,IF($H$2=2,T1442,U1442))</f>
        <v>0.5</v>
      </c>
      <c r="H1442" s="1050">
        <f>'RH Mobilität'!J26</f>
        <v>0</v>
      </c>
      <c r="I1442" s="548"/>
      <c r="J1442" s="156"/>
      <c r="K1442" s="157">
        <f t="shared" si="186"/>
        <v>100</v>
      </c>
      <c r="L1442" s="157">
        <f t="shared" si="187"/>
        <v>200</v>
      </c>
      <c r="M1442" s="157">
        <f t="shared" si="188"/>
        <v>300</v>
      </c>
      <c r="N1442" s="157">
        <f t="shared" si="189"/>
        <v>400</v>
      </c>
      <c r="O1442" s="967" t="str">
        <f>CONCATENATE(O1439," | ",F1442)</f>
        <v xml:space="preserve">F.1.1 Abstellanlagen für Pkw | Rechenhilfe: Anzahl der Pkw-Stellplätze je Nutzung </v>
      </c>
      <c r="P1442" s="1053"/>
      <c r="Q1442" s="1054"/>
      <c r="R1442" s="968"/>
      <c r="S1442" s="588">
        <v>0</v>
      </c>
      <c r="T1442" s="588">
        <v>0.35</v>
      </c>
      <c r="U1442" s="588">
        <v>0.5</v>
      </c>
    </row>
    <row r="1443" spans="1:22" x14ac:dyDescent="0.35">
      <c r="A1443" s="123"/>
      <c r="B1443" s="35"/>
      <c r="C1443" s="151"/>
      <c r="D1443" s="1687"/>
      <c r="E1443" s="1688"/>
      <c r="F1443" s="239" t="s">
        <v>4607</v>
      </c>
      <c r="G1443" s="153">
        <f t="shared" si="194"/>
        <v>0.5</v>
      </c>
      <c r="H1443" s="1066">
        <f>VLOOKUP(F1443,$P$1443:$Q$1446,2,0)*G1443/50%</f>
        <v>0</v>
      </c>
      <c r="I1443" s="548"/>
      <c r="J1443" s="156"/>
      <c r="K1443" s="157">
        <f t="shared" si="186"/>
        <v>100</v>
      </c>
      <c r="L1443" s="157">
        <f t="shared" si="187"/>
        <v>200</v>
      </c>
      <c r="M1443" s="157">
        <f t="shared" si="188"/>
        <v>300</v>
      </c>
      <c r="N1443" s="157">
        <f t="shared" si="189"/>
        <v>400</v>
      </c>
      <c r="O1443" s="1051" t="str">
        <f>CONCATENATE(O1439," | ",F1443)</f>
        <v>F.1.1 Abstellanlagen für Pkw | Eine der vier Anforderungen ist in guter Qualität erfüllt</v>
      </c>
      <c r="P1443" s="1057" t="s">
        <v>4607</v>
      </c>
      <c r="Q1443" s="1058">
        <v>0</v>
      </c>
      <c r="R1443" s="1052"/>
      <c r="S1443" s="588">
        <v>0</v>
      </c>
      <c r="T1443" s="588">
        <v>0.35</v>
      </c>
      <c r="U1443" s="588">
        <v>0.5</v>
      </c>
    </row>
    <row r="1444" spans="1:22" x14ac:dyDescent="0.35">
      <c r="A1444" s="123"/>
      <c r="B1444" s="35"/>
      <c r="C1444" s="151"/>
      <c r="D1444" s="1687"/>
      <c r="E1444" s="1688"/>
      <c r="F1444" s="159"/>
      <c r="G1444" s="160"/>
      <c r="H1444" s="161"/>
      <c r="I1444" s="166"/>
      <c r="J1444" s="164"/>
      <c r="K1444" s="157">
        <f t="shared" si="186"/>
        <v>100</v>
      </c>
      <c r="L1444" s="157">
        <f t="shared" si="187"/>
        <v>200</v>
      </c>
      <c r="M1444" s="157">
        <f t="shared" si="188"/>
        <v>300</v>
      </c>
      <c r="N1444" s="157">
        <f t="shared" si="189"/>
        <v>400</v>
      </c>
      <c r="O1444" s="1051"/>
      <c r="P1444" s="1059" t="s">
        <v>4608</v>
      </c>
      <c r="Q1444" s="1060">
        <v>0.25</v>
      </c>
      <c r="R1444" s="1052"/>
      <c r="S1444" s="588"/>
      <c r="T1444" s="588"/>
      <c r="U1444" s="588"/>
      <c r="V1444" s="772"/>
    </row>
    <row r="1445" spans="1:22" x14ac:dyDescent="0.35">
      <c r="A1445" s="123">
        <v>3.2</v>
      </c>
      <c r="B1445" s="35"/>
      <c r="C1445" s="151"/>
      <c r="D1445" s="1687"/>
      <c r="E1445" s="1688"/>
      <c r="F1445" s="593" t="str">
        <f>IF($G$2=1,R1445,"Weiteres Kriterium in der Nutzung")</f>
        <v>Weiteres Kriterium in der Nutzung</v>
      </c>
      <c r="G1445" s="153">
        <f t="shared" ref="G1445:G1447" si="195">IF($H$2=1,S1445,IF($H$2=2,T1445,U1445))</f>
        <v>0</v>
      </c>
      <c r="H1445" s="154"/>
      <c r="I1445" s="158"/>
      <c r="J1445" s="156"/>
      <c r="K1445" s="157">
        <f t="shared" si="186"/>
        <v>100</v>
      </c>
      <c r="L1445" s="157">
        <f t="shared" si="187"/>
        <v>200</v>
      </c>
      <c r="M1445" s="157">
        <f t="shared" si="188"/>
        <v>300</v>
      </c>
      <c r="N1445" s="157">
        <f t="shared" si="189"/>
        <v>400</v>
      </c>
      <c r="O1445" s="1051" t="str">
        <f>CONCATENATE(O1439," | ",F1445)</f>
        <v>F.1.1 Abstellanlagen für Pkw | Weiteres Kriterium in der Nutzung</v>
      </c>
      <c r="P1445" s="1059" t="s">
        <v>4609</v>
      </c>
      <c r="Q1445" s="1060">
        <v>0.35</v>
      </c>
      <c r="R1445" s="1052" t="s">
        <v>5339</v>
      </c>
      <c r="S1445" s="588">
        <v>0.33</v>
      </c>
      <c r="T1445" s="588">
        <v>0.1</v>
      </c>
      <c r="U1445" s="588">
        <v>0</v>
      </c>
      <c r="V1445" s="772"/>
    </row>
    <row r="1446" spans="1:22" ht="15" thickBot="1" x14ac:dyDescent="0.4">
      <c r="A1446" s="123"/>
      <c r="B1446" s="35"/>
      <c r="C1446" s="151"/>
      <c r="D1446" s="1687"/>
      <c r="E1446" s="1688"/>
      <c r="F1446" s="593" t="str">
        <f>IF($G$2=1,R1446,"Weiteres Kriterium in der Nutzung")</f>
        <v>Weiteres Kriterium in der Nutzung</v>
      </c>
      <c r="G1446" s="153">
        <f t="shared" si="195"/>
        <v>0</v>
      </c>
      <c r="H1446" s="154"/>
      <c r="I1446" s="158"/>
      <c r="J1446" s="156"/>
      <c r="K1446" s="157">
        <f t="shared" si="186"/>
        <v>100</v>
      </c>
      <c r="L1446" s="157">
        <f t="shared" si="187"/>
        <v>200</v>
      </c>
      <c r="M1446" s="157">
        <f t="shared" si="188"/>
        <v>300</v>
      </c>
      <c r="N1446" s="157">
        <f t="shared" si="189"/>
        <v>400</v>
      </c>
      <c r="O1446" s="1051" t="str">
        <f>CONCATENATE(O1439," | ",F1446)</f>
        <v>F.1.1 Abstellanlagen für Pkw | Weiteres Kriterium in der Nutzung</v>
      </c>
      <c r="P1446" s="1061" t="s">
        <v>4610</v>
      </c>
      <c r="Q1446" s="1062">
        <v>0.5</v>
      </c>
      <c r="R1446" s="1052" t="s">
        <v>5330</v>
      </c>
      <c r="S1446" s="588">
        <v>0.33</v>
      </c>
      <c r="T1446" s="588">
        <v>0.1</v>
      </c>
      <c r="U1446" s="588">
        <v>0</v>
      </c>
    </row>
    <row r="1447" spans="1:22" x14ac:dyDescent="0.35">
      <c r="A1447" s="116"/>
      <c r="B1447" s="35"/>
      <c r="C1447" s="117"/>
      <c r="D1447" s="1687"/>
      <c r="E1447" s="1688"/>
      <c r="F1447" s="593" t="str">
        <f>IF($G$2=1,R1447,"Weiteres Kriterium in der Nutzung")</f>
        <v>Weiteres Kriterium in der Nutzung</v>
      </c>
      <c r="G1447" s="153">
        <f t="shared" si="195"/>
        <v>0</v>
      </c>
      <c r="H1447" s="154"/>
      <c r="I1447" s="158"/>
      <c r="J1447" s="156"/>
      <c r="K1447" s="157">
        <f t="shared" si="186"/>
        <v>100</v>
      </c>
      <c r="L1447" s="157">
        <f t="shared" si="187"/>
        <v>200</v>
      </c>
      <c r="M1447" s="157">
        <f t="shared" si="188"/>
        <v>300</v>
      </c>
      <c r="N1447" s="157">
        <f t="shared" si="189"/>
        <v>400</v>
      </c>
      <c r="O1447" s="967" t="str">
        <f>CONCATENATE(O1439," | ",F1447)</f>
        <v>F.1.1 Abstellanlagen für Pkw | Weiteres Kriterium in der Nutzung</v>
      </c>
      <c r="P1447" s="1055"/>
      <c r="Q1447" s="1064"/>
      <c r="R1447" s="968" t="s">
        <v>5336</v>
      </c>
      <c r="S1447" s="588">
        <v>0.34</v>
      </c>
      <c r="T1447" s="588">
        <v>0.1</v>
      </c>
      <c r="U1447" s="588">
        <v>0</v>
      </c>
    </row>
    <row r="1448" spans="1:22" x14ac:dyDescent="0.35">
      <c r="A1448" s="116"/>
      <c r="B1448" s="35"/>
      <c r="C1448" s="117"/>
      <c r="D1448" s="1687"/>
      <c r="E1448" s="1688"/>
      <c r="F1448" s="159"/>
      <c r="G1448" s="160"/>
      <c r="H1448" s="161"/>
      <c r="I1448" s="162"/>
      <c r="J1448" s="164"/>
      <c r="K1448" s="157">
        <f t="shared" si="186"/>
        <v>100</v>
      </c>
      <c r="L1448" s="157">
        <f t="shared" si="187"/>
        <v>200</v>
      </c>
      <c r="M1448" s="157">
        <f t="shared" si="188"/>
        <v>300</v>
      </c>
      <c r="N1448" s="157">
        <f t="shared" si="189"/>
        <v>400</v>
      </c>
      <c r="O1448" s="959"/>
      <c r="P1448" s="967"/>
      <c r="Q1448" s="586"/>
      <c r="R1448" s="968"/>
      <c r="S1448" s="589"/>
      <c r="T1448" s="589"/>
      <c r="U1448" s="589"/>
    </row>
    <row r="1449" spans="1:22" x14ac:dyDescent="0.35">
      <c r="A1449" s="116"/>
      <c r="B1449" s="35"/>
      <c r="C1449" s="117"/>
      <c r="D1449" s="1687"/>
      <c r="E1449" s="1688"/>
      <c r="F1449" s="159"/>
      <c r="G1449" s="160"/>
      <c r="H1449" s="161"/>
      <c r="I1449" s="162"/>
      <c r="J1449" s="164"/>
      <c r="K1449" s="157">
        <f t="shared" si="186"/>
        <v>100</v>
      </c>
      <c r="L1449" s="157">
        <f t="shared" si="187"/>
        <v>200</v>
      </c>
      <c r="M1449" s="157">
        <f t="shared" si="188"/>
        <v>300</v>
      </c>
      <c r="N1449" s="157">
        <f t="shared" si="189"/>
        <v>400</v>
      </c>
      <c r="O1449" s="959"/>
      <c r="P1449" s="967"/>
      <c r="Q1449" s="586"/>
      <c r="R1449" s="968"/>
      <c r="S1449" s="589"/>
      <c r="T1449" s="589"/>
      <c r="U1449" s="589"/>
    </row>
    <row r="1450" spans="1:22" x14ac:dyDescent="0.35">
      <c r="A1450" s="123"/>
      <c r="B1450" s="35"/>
      <c r="C1450" s="151"/>
      <c r="D1450" s="1687"/>
      <c r="E1450" s="1688"/>
      <c r="F1450" s="549" t="s">
        <v>4907</v>
      </c>
      <c r="G1450" s="160"/>
      <c r="H1450" s="161"/>
      <c r="I1450" s="612"/>
      <c r="J1450" s="167"/>
      <c r="K1450" s="157">
        <f t="shared" si="186"/>
        <v>100</v>
      </c>
      <c r="L1450" s="157">
        <f t="shared" si="187"/>
        <v>200</v>
      </c>
      <c r="M1450" s="157">
        <f t="shared" si="188"/>
        <v>300</v>
      </c>
      <c r="N1450" s="157">
        <f t="shared" si="189"/>
        <v>400</v>
      </c>
      <c r="O1450" s="959"/>
      <c r="P1450" s="967"/>
      <c r="Q1450" s="586"/>
      <c r="R1450" s="968"/>
      <c r="S1450" s="589"/>
      <c r="T1450" s="589"/>
      <c r="U1450" s="589"/>
    </row>
    <row r="1451" spans="1:22" x14ac:dyDescent="0.35">
      <c r="A1451" s="116"/>
      <c r="B1451" s="35"/>
      <c r="C1451" s="117"/>
      <c r="D1451" s="1687"/>
      <c r="E1451" s="1688"/>
      <c r="F1451" s="543" t="s">
        <v>4910</v>
      </c>
      <c r="G1451" s="160"/>
      <c r="H1451" s="168"/>
      <c r="I1451" s="611"/>
      <c r="J1451" s="164"/>
      <c r="K1451" s="157">
        <f t="shared" si="186"/>
        <v>100</v>
      </c>
      <c r="L1451" s="157">
        <f t="shared" si="187"/>
        <v>200</v>
      </c>
      <c r="M1451" s="157">
        <f t="shared" si="188"/>
        <v>300</v>
      </c>
      <c r="N1451" s="157">
        <f t="shared" si="189"/>
        <v>400</v>
      </c>
      <c r="O1451" s="959"/>
      <c r="P1451" s="967"/>
      <c r="Q1451" s="586"/>
      <c r="R1451" s="968"/>
      <c r="S1451" s="589"/>
      <c r="T1451" s="589"/>
      <c r="U1451" s="589"/>
    </row>
    <row r="1452" spans="1:22" x14ac:dyDescent="0.35">
      <c r="A1452" s="116"/>
      <c r="B1452" s="117"/>
      <c r="C1452" s="117"/>
      <c r="D1452" s="1687"/>
      <c r="E1452" s="1688"/>
      <c r="F1452" s="543" t="s">
        <v>4911</v>
      </c>
      <c r="G1452" s="160"/>
      <c r="H1452" s="168"/>
      <c r="I1452" s="611"/>
      <c r="J1452" s="164"/>
      <c r="K1452" s="157">
        <f t="shared" si="186"/>
        <v>100</v>
      </c>
      <c r="L1452" s="157">
        <f t="shared" si="187"/>
        <v>200</v>
      </c>
      <c r="M1452" s="157">
        <f t="shared" si="188"/>
        <v>300</v>
      </c>
      <c r="N1452" s="157">
        <f t="shared" si="189"/>
        <v>400</v>
      </c>
      <c r="O1452" s="959"/>
      <c r="P1452" s="967"/>
      <c r="Q1452" s="586"/>
      <c r="R1452" s="968"/>
      <c r="S1452" s="589"/>
      <c r="T1452" s="589"/>
      <c r="U1452" s="589"/>
    </row>
    <row r="1453" spans="1:22" x14ac:dyDescent="0.35">
      <c r="A1453" s="116"/>
      <c r="B1453" s="117"/>
      <c r="C1453" s="117"/>
      <c r="D1453" s="1687"/>
      <c r="E1453" s="1688"/>
      <c r="F1453" s="544" t="s">
        <v>4909</v>
      </c>
      <c r="G1453" s="170"/>
      <c r="H1453" s="171"/>
      <c r="I1453" s="613"/>
      <c r="J1453" s="173"/>
      <c r="K1453" s="157">
        <f t="shared" ref="K1453:K1516" si="196">IF($J1453=$K$41,K1452+1,K1452+0)</f>
        <v>100</v>
      </c>
      <c r="L1453" s="157">
        <f t="shared" ref="L1453:L1516" si="197">IF($J1453=$L$41,L1452+1,L1452+0)</f>
        <v>200</v>
      </c>
      <c r="M1453" s="157">
        <f t="shared" ref="M1453:M1516" si="198">IF($J1453=$M$41,M1452+1,M1452+0)</f>
        <v>300</v>
      </c>
      <c r="N1453" s="157">
        <f t="shared" ref="N1453:N1516" si="199">IF($J1453=$N$41,N1452+1,N1452+0)</f>
        <v>400</v>
      </c>
      <c r="O1453" s="959"/>
      <c r="P1453" s="967"/>
      <c r="Q1453" s="586"/>
      <c r="R1453" s="968"/>
      <c r="S1453" s="589"/>
      <c r="T1453" s="589"/>
      <c r="U1453" s="589"/>
    </row>
    <row r="1454" spans="1:22" ht="28.5" customHeight="1" x14ac:dyDescent="0.35">
      <c r="A1454" s="116"/>
      <c r="B1454" s="117"/>
      <c r="C1454" s="117"/>
      <c r="D1454" s="174"/>
      <c r="E1454" s="175"/>
      <c r="F1454" s="1689" t="s">
        <v>2</v>
      </c>
      <c r="G1454" s="1689"/>
      <c r="H1454" s="176">
        <f>IF(O1454&gt;1,"Zielerreichung übersteigt 100%!",O1454)</f>
        <v>0</v>
      </c>
      <c r="I1454" s="177"/>
      <c r="J1454" s="178"/>
      <c r="K1454" s="157">
        <f t="shared" si="196"/>
        <v>100</v>
      </c>
      <c r="L1454" s="157">
        <f t="shared" si="197"/>
        <v>200</v>
      </c>
      <c r="M1454" s="157">
        <f t="shared" si="198"/>
        <v>300</v>
      </c>
      <c r="N1454" s="157">
        <f t="shared" si="199"/>
        <v>400</v>
      </c>
      <c r="O1454" s="959">
        <f>SUM(H1442:H1453)</f>
        <v>0</v>
      </c>
      <c r="P1454" s="967"/>
      <c r="Q1454" s="586"/>
      <c r="R1454" s="968"/>
      <c r="S1454" s="589"/>
      <c r="T1454" s="589"/>
      <c r="U1454" s="589"/>
    </row>
    <row r="1455" spans="1:22" x14ac:dyDescent="0.35">
      <c r="A1455" s="116"/>
      <c r="B1455" s="117"/>
      <c r="C1455" s="117"/>
      <c r="D1455" s="179"/>
      <c r="E1455" s="180"/>
      <c r="F1455" s="1690" t="s">
        <v>3</v>
      </c>
      <c r="G1455" s="1691"/>
      <c r="H1455" s="181">
        <v>17</v>
      </c>
      <c r="I1455" s="177"/>
      <c r="J1455" s="178"/>
      <c r="K1455" s="157">
        <f t="shared" si="196"/>
        <v>100</v>
      </c>
      <c r="L1455" s="157">
        <f t="shared" si="197"/>
        <v>200</v>
      </c>
      <c r="M1455" s="157">
        <f t="shared" si="198"/>
        <v>300</v>
      </c>
      <c r="N1455" s="157">
        <f t="shared" si="199"/>
        <v>400</v>
      </c>
      <c r="O1455" s="1030"/>
      <c r="P1455" s="967"/>
      <c r="Q1455" s="586"/>
      <c r="R1455" s="968"/>
      <c r="S1455" s="589"/>
      <c r="T1455" s="589"/>
      <c r="U1455" s="589"/>
    </row>
    <row r="1456" spans="1:22" x14ac:dyDescent="0.35">
      <c r="A1456" s="116"/>
      <c r="B1456" s="117"/>
      <c r="C1456" s="117"/>
      <c r="D1456" s="179"/>
      <c r="E1456" s="180"/>
      <c r="F1456" s="1692"/>
      <c r="G1456" s="1693"/>
      <c r="H1456" s="182"/>
      <c r="I1456" s="183"/>
      <c r="J1456" s="178"/>
      <c r="K1456" s="157">
        <f t="shared" si="196"/>
        <v>100</v>
      </c>
      <c r="L1456" s="157">
        <f t="shared" si="197"/>
        <v>200</v>
      </c>
      <c r="M1456" s="157">
        <f t="shared" si="198"/>
        <v>300</v>
      </c>
      <c r="N1456" s="157">
        <f t="shared" si="199"/>
        <v>400</v>
      </c>
      <c r="O1456" s="1030"/>
      <c r="P1456" s="967"/>
      <c r="Q1456" s="586"/>
      <c r="R1456" s="968"/>
      <c r="S1456" s="589"/>
      <c r="T1456" s="589"/>
      <c r="U1456" s="589"/>
    </row>
    <row r="1457" spans="1:21" x14ac:dyDescent="0.35">
      <c r="A1457" s="184"/>
      <c r="B1457" s="185"/>
      <c r="C1457" s="185"/>
      <c r="D1457" s="179"/>
      <c r="E1457" s="180"/>
      <c r="F1457" s="186"/>
      <c r="G1457" s="186"/>
      <c r="H1457" s="187"/>
      <c r="I1457" s="177"/>
      <c r="J1457" s="178"/>
      <c r="K1457" s="157">
        <f t="shared" si="196"/>
        <v>100</v>
      </c>
      <c r="L1457" s="157">
        <f t="shared" si="197"/>
        <v>200</v>
      </c>
      <c r="M1457" s="157">
        <f t="shared" si="198"/>
        <v>300</v>
      </c>
      <c r="N1457" s="157">
        <f t="shared" si="199"/>
        <v>400</v>
      </c>
      <c r="O1457" s="1030"/>
      <c r="P1457" s="967"/>
      <c r="Q1457" s="586"/>
      <c r="R1457" s="968"/>
      <c r="S1457" s="589"/>
      <c r="T1457" s="589"/>
      <c r="U1457" s="589"/>
    </row>
    <row r="1458" spans="1:21" ht="15.5" x14ac:dyDescent="0.35">
      <c r="A1458" s="116"/>
      <c r="B1458" s="117"/>
      <c r="C1458" s="1697"/>
      <c r="D1458" s="1698"/>
      <c r="E1458" s="286"/>
      <c r="F1458" s="1699" t="s">
        <v>5</v>
      </c>
      <c r="G1458" s="1699"/>
      <c r="H1458" s="287">
        <f>IF(ISNUMBER(I1456),H1456*H1454,H1455*H1454)</f>
        <v>0</v>
      </c>
      <c r="I1458" s="288"/>
      <c r="J1458" s="289"/>
      <c r="K1458" s="157">
        <f t="shared" si="196"/>
        <v>100</v>
      </c>
      <c r="L1458" s="157">
        <f t="shared" si="197"/>
        <v>200</v>
      </c>
      <c r="M1458" s="157">
        <f t="shared" si="198"/>
        <v>300</v>
      </c>
      <c r="N1458" s="157">
        <f t="shared" si="199"/>
        <v>400</v>
      </c>
      <c r="O1458" s="1030"/>
      <c r="P1458" s="967"/>
      <c r="Q1458" s="586"/>
      <c r="R1458" s="968"/>
      <c r="S1458" s="589"/>
      <c r="T1458" s="589"/>
      <c r="U1458" s="589"/>
    </row>
    <row r="1459" spans="1:21" x14ac:dyDescent="0.35">
      <c r="K1459" s="157">
        <f t="shared" si="196"/>
        <v>100</v>
      </c>
      <c r="L1459" s="157">
        <f t="shared" si="197"/>
        <v>200</v>
      </c>
      <c r="M1459" s="157">
        <f t="shared" si="198"/>
        <v>300</v>
      </c>
      <c r="N1459" s="157">
        <f t="shared" si="199"/>
        <v>400</v>
      </c>
      <c r="O1459" s="967"/>
      <c r="P1459" s="967"/>
      <c r="Q1459" s="586"/>
      <c r="R1459" s="968"/>
      <c r="S1459" s="589"/>
      <c r="T1459" s="589"/>
      <c r="U1459" s="589"/>
    </row>
    <row r="1460" spans="1:21" ht="7.5" customHeight="1" x14ac:dyDescent="0.35">
      <c r="A1460" s="116"/>
      <c r="B1460" s="117"/>
      <c r="C1460" s="117"/>
      <c r="D1460" s="116"/>
      <c r="E1460" s="116"/>
      <c r="F1460" s="118"/>
      <c r="G1460" s="119"/>
      <c r="H1460" s="116"/>
      <c r="I1460" s="120"/>
      <c r="J1460" s="121"/>
      <c r="K1460" s="157">
        <f t="shared" si="196"/>
        <v>100</v>
      </c>
      <c r="L1460" s="157">
        <f t="shared" si="197"/>
        <v>200</v>
      </c>
      <c r="M1460" s="157">
        <f t="shared" si="198"/>
        <v>300</v>
      </c>
      <c r="N1460" s="157">
        <f t="shared" si="199"/>
        <v>400</v>
      </c>
      <c r="O1460" s="968"/>
      <c r="P1460" s="968"/>
      <c r="Q1460" s="586"/>
      <c r="R1460" s="968"/>
      <c r="S1460" s="589"/>
      <c r="T1460" s="589"/>
      <c r="U1460" s="589"/>
    </row>
    <row r="1461" spans="1:21" ht="15.5" x14ac:dyDescent="0.35">
      <c r="A1461" s="124"/>
      <c r="B1461" s="125"/>
      <c r="C1461" s="126" t="s">
        <v>4840</v>
      </c>
      <c r="D1461" s="127" t="s">
        <v>5462</v>
      </c>
      <c r="E1461" s="128"/>
      <c r="F1461" s="129" t="str">
        <f>IF($F$3=1,O1461,"")</f>
        <v>F.1.2 Parkplatzbewirtschaftung *</v>
      </c>
      <c r="G1461" s="204"/>
      <c r="H1461" s="205"/>
      <c r="I1461" s="520" t="s">
        <v>23</v>
      </c>
      <c r="J1461" s="130"/>
      <c r="K1461" s="157">
        <f t="shared" si="196"/>
        <v>100</v>
      </c>
      <c r="L1461" s="157">
        <f t="shared" si="197"/>
        <v>200</v>
      </c>
      <c r="M1461" s="157">
        <f t="shared" si="198"/>
        <v>300</v>
      </c>
      <c r="N1461" s="157">
        <f t="shared" si="199"/>
        <v>400</v>
      </c>
      <c r="O1461" s="967" t="str">
        <f>CONCATENATE(C1461," ",D1461)</f>
        <v>F.1.2 Parkplatzbewirtschaftung *</v>
      </c>
      <c r="P1461" s="966"/>
      <c r="Q1461" s="586"/>
      <c r="R1461" s="968"/>
      <c r="S1461" s="589"/>
      <c r="T1461" s="589"/>
      <c r="U1461" s="589"/>
    </row>
    <row r="1462" spans="1:21" x14ac:dyDescent="0.35">
      <c r="A1462" s="124"/>
      <c r="B1462" s="134"/>
      <c r="C1462" s="135"/>
      <c r="D1462" s="136"/>
      <c r="E1462" s="136"/>
      <c r="F1462" s="137"/>
      <c r="G1462" s="138"/>
      <c r="H1462" s="124"/>
      <c r="I1462" s="139"/>
      <c r="J1462" s="140"/>
      <c r="K1462" s="157">
        <f t="shared" si="196"/>
        <v>100</v>
      </c>
      <c r="L1462" s="157">
        <f t="shared" si="197"/>
        <v>200</v>
      </c>
      <c r="M1462" s="157">
        <f t="shared" si="198"/>
        <v>300</v>
      </c>
      <c r="N1462" s="157">
        <f t="shared" si="199"/>
        <v>400</v>
      </c>
      <c r="O1462" s="968"/>
      <c r="P1462" s="966"/>
      <c r="Q1462" s="586"/>
      <c r="R1462" s="968"/>
      <c r="S1462" s="589"/>
      <c r="T1462" s="589"/>
      <c r="U1462" s="589"/>
    </row>
    <row r="1463" spans="1:21" ht="15" thickBot="1" x14ac:dyDescent="0.4">
      <c r="A1463" s="142"/>
      <c r="B1463" s="35"/>
      <c r="C1463" s="143"/>
      <c r="D1463" s="1685" t="s">
        <v>18</v>
      </c>
      <c r="E1463" s="1686"/>
      <c r="F1463" s="144" t="s">
        <v>19</v>
      </c>
      <c r="G1463" s="145" t="s">
        <v>0</v>
      </c>
      <c r="H1463" s="146" t="s">
        <v>20</v>
      </c>
      <c r="I1463" s="147" t="s">
        <v>1</v>
      </c>
      <c r="J1463" s="147" t="s">
        <v>4375</v>
      </c>
      <c r="K1463" s="157">
        <f t="shared" si="196"/>
        <v>100</v>
      </c>
      <c r="L1463" s="157">
        <f t="shared" si="197"/>
        <v>200</v>
      </c>
      <c r="M1463" s="157">
        <f t="shared" si="198"/>
        <v>300</v>
      </c>
      <c r="N1463" s="157">
        <f t="shared" si="199"/>
        <v>400</v>
      </c>
      <c r="O1463" s="587"/>
      <c r="P1463" s="1053"/>
      <c r="Q1463" s="1054"/>
      <c r="R1463" s="968"/>
      <c r="S1463" s="589"/>
      <c r="T1463" s="589"/>
      <c r="U1463" s="589"/>
    </row>
    <row r="1464" spans="1:21" ht="48" x14ac:dyDescent="0.35">
      <c r="A1464" s="123"/>
      <c r="B1464" s="35"/>
      <c r="C1464" s="151"/>
      <c r="D1464" s="1687" t="s">
        <v>4693</v>
      </c>
      <c r="E1464" s="1688"/>
      <c r="F1464" s="239" t="s">
        <v>5480</v>
      </c>
      <c r="G1464" s="153">
        <f t="shared" ref="G1464" si="200">IF($H$2=1,S1464,IF($H$2=2,T1464,U1464))</f>
        <v>1</v>
      </c>
      <c r="H1464" s="1066">
        <f>VLOOKUP(F1464,$P$1464:$Q$1467,2,0)*G1464/100%</f>
        <v>0</v>
      </c>
      <c r="I1464" s="155"/>
      <c r="J1464" s="156"/>
      <c r="K1464" s="157">
        <f t="shared" si="196"/>
        <v>100</v>
      </c>
      <c r="L1464" s="157">
        <f t="shared" si="197"/>
        <v>200</v>
      </c>
      <c r="M1464" s="157">
        <f t="shared" si="198"/>
        <v>300</v>
      </c>
      <c r="N1464" s="157">
        <f t="shared" si="199"/>
        <v>400</v>
      </c>
      <c r="O1464" s="1051" t="str">
        <f>CONCATENATE(O1461," | ",F1464)</f>
        <v>F.1.2 Parkplatzbewirtschaftung * | Bezüglich Parkraumbewirtschaftung inkl. zweckgebundener Einsatz von Erträgen, wurden – trotz vorhandener öffentlich zugänglicher Pkw-Stellplätze – keine Gespräche mit der Kommune geführt</v>
      </c>
      <c r="P1464" s="1072" t="s">
        <v>5480</v>
      </c>
      <c r="Q1464" s="1058">
        <v>0</v>
      </c>
      <c r="R1464" s="1052"/>
      <c r="S1464" s="595">
        <v>0</v>
      </c>
      <c r="T1464" s="595">
        <v>0.7</v>
      </c>
      <c r="U1464" s="588">
        <v>1</v>
      </c>
    </row>
    <row r="1465" spans="1:21" x14ac:dyDescent="0.35">
      <c r="A1465" s="123"/>
      <c r="B1465" s="35"/>
      <c r="C1465" s="151"/>
      <c r="D1465" s="1687"/>
      <c r="E1465" s="1688"/>
      <c r="F1465" s="159"/>
      <c r="G1465" s="160"/>
      <c r="H1465" s="161"/>
      <c r="I1465" s="166"/>
      <c r="J1465" s="164"/>
      <c r="K1465" s="157">
        <f t="shared" si="196"/>
        <v>100</v>
      </c>
      <c r="L1465" s="157">
        <f t="shared" si="197"/>
        <v>200</v>
      </c>
      <c r="M1465" s="157">
        <f t="shared" si="198"/>
        <v>300</v>
      </c>
      <c r="N1465" s="157">
        <f t="shared" si="199"/>
        <v>400</v>
      </c>
      <c r="O1465" s="1051"/>
      <c r="P1465" s="1065" t="s">
        <v>5481</v>
      </c>
      <c r="Q1465" s="1060">
        <v>0.25</v>
      </c>
      <c r="R1465" s="1052"/>
      <c r="S1465" s="589"/>
      <c r="T1465" s="589"/>
      <c r="U1465" s="589"/>
    </row>
    <row r="1466" spans="1:21" x14ac:dyDescent="0.35">
      <c r="A1466" s="123"/>
      <c r="B1466" s="35"/>
      <c r="C1466" s="151"/>
      <c r="D1466" s="1687"/>
      <c r="E1466" s="1688"/>
      <c r="F1466" s="593" t="str">
        <f>IF($G$2=1,R1466,"Weiteres Kriterium in der Nutzung")</f>
        <v>Weiteres Kriterium in der Nutzung</v>
      </c>
      <c r="G1466" s="153">
        <f t="shared" ref="G1466:G1468" si="201">IF($H$2=1,S1466,IF($H$2=2,T1466,U1466))</f>
        <v>0</v>
      </c>
      <c r="H1466" s="154"/>
      <c r="I1466" s="158"/>
      <c r="J1466" s="156"/>
      <c r="K1466" s="157">
        <f t="shared" si="196"/>
        <v>100</v>
      </c>
      <c r="L1466" s="157">
        <f t="shared" si="197"/>
        <v>200</v>
      </c>
      <c r="M1466" s="157">
        <f t="shared" si="198"/>
        <v>300</v>
      </c>
      <c r="N1466" s="157">
        <f t="shared" si="199"/>
        <v>400</v>
      </c>
      <c r="O1466" s="1051" t="str">
        <f>CONCATENATE(O1461," | ",F1466)</f>
        <v>F.1.2 Parkplatzbewirtschaftung * | Weiteres Kriterium in der Nutzung</v>
      </c>
      <c r="P1466" s="1065" t="s">
        <v>5603</v>
      </c>
      <c r="Q1466" s="1060">
        <v>0.5</v>
      </c>
      <c r="R1466" s="1052" t="s">
        <v>5604</v>
      </c>
      <c r="S1466" s="588">
        <v>0.33</v>
      </c>
      <c r="T1466" s="588">
        <v>0.1</v>
      </c>
      <c r="U1466" s="588">
        <v>0</v>
      </c>
    </row>
    <row r="1467" spans="1:21" ht="15" thickBot="1" x14ac:dyDescent="0.4">
      <c r="A1467" s="123">
        <v>3.2</v>
      </c>
      <c r="B1467" s="35"/>
      <c r="C1467" s="151"/>
      <c r="D1467" s="1687"/>
      <c r="E1467" s="1688"/>
      <c r="F1467" s="593" t="str">
        <f t="shared" ref="F1467:F1468" si="202">IF($G$2=1,R1467,"Weiteres Kriterium in der Nutzung")</f>
        <v>Weiteres Kriterium in der Nutzung</v>
      </c>
      <c r="G1467" s="153">
        <f t="shared" si="201"/>
        <v>0</v>
      </c>
      <c r="H1467" s="154"/>
      <c r="I1467" s="158"/>
      <c r="J1467" s="156"/>
      <c r="K1467" s="157">
        <f t="shared" si="196"/>
        <v>100</v>
      </c>
      <c r="L1467" s="157">
        <f t="shared" si="197"/>
        <v>200</v>
      </c>
      <c r="M1467" s="157">
        <f t="shared" si="198"/>
        <v>300</v>
      </c>
      <c r="N1467" s="157">
        <f t="shared" si="199"/>
        <v>400</v>
      </c>
      <c r="O1467" s="1051" t="str">
        <f>CONCATENATE(O1461," | ",F1467)</f>
        <v>F.1.2 Parkplatzbewirtschaftung * | Weiteres Kriterium in der Nutzung</v>
      </c>
      <c r="P1467" s="1073" t="s">
        <v>5482</v>
      </c>
      <c r="Q1467" s="1062">
        <v>1</v>
      </c>
      <c r="R1467" s="1052" t="s">
        <v>5330</v>
      </c>
      <c r="S1467" s="588">
        <v>0.33</v>
      </c>
      <c r="T1467" s="588">
        <v>0.1</v>
      </c>
      <c r="U1467" s="588">
        <v>0</v>
      </c>
    </row>
    <row r="1468" spans="1:21" x14ac:dyDescent="0.35">
      <c r="A1468" s="123"/>
      <c r="B1468" s="35"/>
      <c r="C1468" s="151"/>
      <c r="D1468" s="1687"/>
      <c r="E1468" s="1688"/>
      <c r="F1468" s="593" t="str">
        <f t="shared" si="202"/>
        <v>Weiteres Kriterium in der Nutzung</v>
      </c>
      <c r="G1468" s="153">
        <f t="shared" si="201"/>
        <v>0</v>
      </c>
      <c r="H1468" s="154"/>
      <c r="I1468" s="158"/>
      <c r="J1468" s="156"/>
      <c r="K1468" s="157">
        <f t="shared" si="196"/>
        <v>100</v>
      </c>
      <c r="L1468" s="157">
        <f t="shared" si="197"/>
        <v>200</v>
      </c>
      <c r="M1468" s="157">
        <f t="shared" si="198"/>
        <v>300</v>
      </c>
      <c r="N1468" s="157">
        <f t="shared" si="199"/>
        <v>400</v>
      </c>
      <c r="O1468" s="967" t="str">
        <f>CONCATENATE(O1461," | ",F1468)</f>
        <v>F.1.2 Parkplatzbewirtschaftung * | Weiteres Kriterium in der Nutzung</v>
      </c>
      <c r="P1468" s="1055"/>
      <c r="Q1468" s="1064"/>
      <c r="R1468" s="968" t="s">
        <v>5484</v>
      </c>
      <c r="S1468" s="588">
        <v>0.34</v>
      </c>
      <c r="T1468" s="588">
        <v>0.1</v>
      </c>
      <c r="U1468" s="588">
        <v>0</v>
      </c>
    </row>
    <row r="1469" spans="1:21" x14ac:dyDescent="0.35">
      <c r="A1469" s="116"/>
      <c r="B1469" s="35"/>
      <c r="C1469" s="117"/>
      <c r="D1469" s="1687"/>
      <c r="E1469" s="1688"/>
      <c r="F1469" s="159"/>
      <c r="G1469" s="160"/>
      <c r="H1469" s="161"/>
      <c r="I1469" s="162"/>
      <c r="J1469" s="164"/>
      <c r="K1469" s="157">
        <f t="shared" si="196"/>
        <v>100</v>
      </c>
      <c r="L1469" s="157">
        <f t="shared" si="197"/>
        <v>200</v>
      </c>
      <c r="M1469" s="157">
        <f t="shared" si="198"/>
        <v>300</v>
      </c>
      <c r="N1469" s="157">
        <f t="shared" si="199"/>
        <v>400</v>
      </c>
      <c r="O1469" s="959"/>
      <c r="P1469" s="967"/>
      <c r="Q1469" s="586"/>
      <c r="R1469" s="968"/>
      <c r="S1469" s="589"/>
      <c r="T1469" s="589"/>
      <c r="U1469" s="589"/>
    </row>
    <row r="1470" spans="1:21" ht="24" x14ac:dyDescent="0.35">
      <c r="A1470" s="116"/>
      <c r="B1470" s="35"/>
      <c r="C1470" s="117"/>
      <c r="D1470" s="1687"/>
      <c r="E1470" s="1688"/>
      <c r="F1470" s="1083" t="s">
        <v>5483</v>
      </c>
      <c r="G1470" s="1082" t="s">
        <v>2048</v>
      </c>
      <c r="H1470" s="161"/>
      <c r="I1470" s="162"/>
      <c r="J1470" s="164"/>
      <c r="K1470" s="157">
        <f t="shared" si="196"/>
        <v>100</v>
      </c>
      <c r="L1470" s="157">
        <f t="shared" si="197"/>
        <v>200</v>
      </c>
      <c r="M1470" s="157">
        <f t="shared" si="198"/>
        <v>300</v>
      </c>
      <c r="N1470" s="157">
        <f t="shared" si="199"/>
        <v>400</v>
      </c>
      <c r="O1470" s="959"/>
      <c r="P1470" s="967"/>
      <c r="Q1470" s="586"/>
      <c r="R1470" s="968"/>
      <c r="S1470" s="589"/>
      <c r="T1470" s="589"/>
      <c r="U1470" s="589"/>
    </row>
    <row r="1471" spans="1:21" x14ac:dyDescent="0.35">
      <c r="A1471" s="116"/>
      <c r="B1471" s="35"/>
      <c r="C1471" s="117"/>
      <c r="D1471" s="1687"/>
      <c r="E1471" s="1688"/>
      <c r="F1471" s="159"/>
      <c r="G1471" s="160"/>
      <c r="H1471" s="161"/>
      <c r="I1471" s="162"/>
      <c r="J1471" s="164"/>
      <c r="K1471" s="157">
        <f t="shared" si="196"/>
        <v>100</v>
      </c>
      <c r="L1471" s="157">
        <f t="shared" si="197"/>
        <v>200</v>
      </c>
      <c r="M1471" s="157">
        <f t="shared" si="198"/>
        <v>300</v>
      </c>
      <c r="N1471" s="157">
        <f t="shared" si="199"/>
        <v>400</v>
      </c>
      <c r="O1471" s="959"/>
      <c r="P1471" s="967"/>
      <c r="Q1471" s="586"/>
      <c r="R1471" s="968"/>
      <c r="S1471" s="589"/>
      <c r="T1471" s="589"/>
      <c r="U1471" s="589"/>
    </row>
    <row r="1472" spans="1:21" x14ac:dyDescent="0.35">
      <c r="A1472" s="123"/>
      <c r="B1472" s="35"/>
      <c r="C1472" s="151"/>
      <c r="D1472" s="1687"/>
      <c r="E1472" s="1688"/>
      <c r="F1472" s="165"/>
      <c r="G1472" s="160"/>
      <c r="H1472" s="161"/>
      <c r="I1472" s="166"/>
      <c r="J1472" s="167"/>
      <c r="K1472" s="157">
        <f t="shared" si="196"/>
        <v>100</v>
      </c>
      <c r="L1472" s="157">
        <f t="shared" si="197"/>
        <v>200</v>
      </c>
      <c r="M1472" s="157">
        <f t="shared" si="198"/>
        <v>300</v>
      </c>
      <c r="N1472" s="157">
        <f t="shared" si="199"/>
        <v>400</v>
      </c>
      <c r="O1472" s="959"/>
      <c r="P1472" s="967"/>
      <c r="Q1472" s="586"/>
      <c r="R1472" s="968"/>
      <c r="S1472" s="589"/>
      <c r="T1472" s="589"/>
      <c r="U1472" s="589"/>
    </row>
    <row r="1473" spans="1:21" x14ac:dyDescent="0.35">
      <c r="A1473" s="116"/>
      <c r="B1473" s="35"/>
      <c r="C1473" s="117"/>
      <c r="D1473" s="1687"/>
      <c r="E1473" s="1688"/>
      <c r="F1473" s="159"/>
      <c r="G1473" s="160"/>
      <c r="H1473" s="168"/>
      <c r="I1473" s="162"/>
      <c r="J1473" s="164"/>
      <c r="K1473" s="157">
        <f t="shared" si="196"/>
        <v>100</v>
      </c>
      <c r="L1473" s="157">
        <f t="shared" si="197"/>
        <v>200</v>
      </c>
      <c r="M1473" s="157">
        <f t="shared" si="198"/>
        <v>300</v>
      </c>
      <c r="N1473" s="157">
        <f t="shared" si="199"/>
        <v>400</v>
      </c>
      <c r="O1473" s="959"/>
      <c r="P1473" s="967"/>
      <c r="Q1473" s="586"/>
      <c r="R1473" s="968"/>
      <c r="S1473" s="589"/>
      <c r="T1473" s="589"/>
      <c r="U1473" s="589"/>
    </row>
    <row r="1474" spans="1:21" x14ac:dyDescent="0.35">
      <c r="A1474" s="116"/>
      <c r="B1474" s="117"/>
      <c r="C1474" s="117"/>
      <c r="D1474" s="1687"/>
      <c r="E1474" s="1688"/>
      <c r="F1474" s="159"/>
      <c r="G1474" s="160"/>
      <c r="H1474" s="168"/>
      <c r="I1474" s="162"/>
      <c r="J1474" s="164"/>
      <c r="K1474" s="157">
        <f t="shared" si="196"/>
        <v>100</v>
      </c>
      <c r="L1474" s="157">
        <f t="shared" si="197"/>
        <v>200</v>
      </c>
      <c r="M1474" s="157">
        <f t="shared" si="198"/>
        <v>300</v>
      </c>
      <c r="N1474" s="157">
        <f t="shared" si="199"/>
        <v>400</v>
      </c>
      <c r="O1474" s="959"/>
      <c r="P1474" s="967"/>
      <c r="Q1474" s="586"/>
      <c r="R1474" s="968"/>
      <c r="S1474" s="589"/>
      <c r="T1474" s="589"/>
      <c r="U1474" s="589"/>
    </row>
    <row r="1475" spans="1:21" x14ac:dyDescent="0.35">
      <c r="A1475" s="116"/>
      <c r="B1475" s="117"/>
      <c r="C1475" s="117"/>
      <c r="D1475" s="1687"/>
      <c r="E1475" s="1688"/>
      <c r="F1475" s="169"/>
      <c r="G1475" s="170"/>
      <c r="H1475" s="171"/>
      <c r="I1475" s="172"/>
      <c r="J1475" s="173"/>
      <c r="K1475" s="157">
        <f t="shared" si="196"/>
        <v>100</v>
      </c>
      <c r="L1475" s="157">
        <f t="shared" si="197"/>
        <v>200</v>
      </c>
      <c r="M1475" s="157">
        <f t="shared" si="198"/>
        <v>300</v>
      </c>
      <c r="N1475" s="157">
        <f t="shared" si="199"/>
        <v>400</v>
      </c>
      <c r="O1475" s="959"/>
      <c r="P1475" s="967"/>
      <c r="Q1475" s="586"/>
      <c r="R1475" s="968"/>
      <c r="S1475" s="589"/>
      <c r="T1475" s="589"/>
      <c r="U1475" s="589"/>
    </row>
    <row r="1476" spans="1:21" ht="28.5" customHeight="1" x14ac:dyDescent="0.35">
      <c r="A1476" s="116"/>
      <c r="B1476" s="117"/>
      <c r="C1476" s="117"/>
      <c r="D1476" s="174"/>
      <c r="E1476" s="175"/>
      <c r="F1476" s="1689" t="s">
        <v>2</v>
      </c>
      <c r="G1476" s="1689"/>
      <c r="H1476" s="176">
        <f>IF(O1476&gt;1,"Zielerreichung übersteigt 100%!",O1476)</f>
        <v>0</v>
      </c>
      <c r="I1476" s="177"/>
      <c r="J1476" s="178"/>
      <c r="K1476" s="157">
        <f t="shared" si="196"/>
        <v>100</v>
      </c>
      <c r="L1476" s="157">
        <f t="shared" si="197"/>
        <v>200</v>
      </c>
      <c r="M1476" s="157">
        <f t="shared" si="198"/>
        <v>300</v>
      </c>
      <c r="N1476" s="157">
        <f t="shared" si="199"/>
        <v>400</v>
      </c>
      <c r="O1476" s="959">
        <f>SUM(H1464:H1475)</f>
        <v>0</v>
      </c>
      <c r="P1476" s="967"/>
      <c r="Q1476" s="586"/>
      <c r="R1476" s="968"/>
      <c r="S1476" s="589"/>
      <c r="T1476" s="589"/>
      <c r="U1476" s="589"/>
    </row>
    <row r="1477" spans="1:21" x14ac:dyDescent="0.35">
      <c r="A1477" s="116"/>
      <c r="B1477" s="117"/>
      <c r="C1477" s="117"/>
      <c r="D1477" s="179"/>
      <c r="E1477" s="180"/>
      <c r="F1477" s="1690" t="s">
        <v>3</v>
      </c>
      <c r="G1477" s="1691"/>
      <c r="H1477" s="181">
        <v>7</v>
      </c>
      <c r="I1477" s="1"/>
      <c r="J1477" s="178"/>
      <c r="K1477" s="157">
        <f t="shared" si="196"/>
        <v>100</v>
      </c>
      <c r="L1477" s="157">
        <f t="shared" si="197"/>
        <v>200</v>
      </c>
      <c r="M1477" s="157">
        <f t="shared" si="198"/>
        <v>300</v>
      </c>
      <c r="N1477" s="157">
        <f t="shared" si="199"/>
        <v>400</v>
      </c>
      <c r="O1477" s="1030"/>
      <c r="P1477" s="967"/>
      <c r="Q1477" s="586"/>
      <c r="R1477" s="968"/>
      <c r="S1477" s="589"/>
      <c r="T1477" s="589"/>
      <c r="U1477" s="589"/>
    </row>
    <row r="1478" spans="1:21" x14ac:dyDescent="0.35">
      <c r="A1478" s="116"/>
      <c r="B1478" s="117"/>
      <c r="C1478" s="117"/>
      <c r="D1478" s="179"/>
      <c r="E1478" s="180"/>
      <c r="F1478" s="1700" t="s">
        <v>5493</v>
      </c>
      <c r="G1478" s="1701"/>
      <c r="H1478" s="1089" t="str">
        <f>IF(G1470="ja",0,IF($H$2=1,9,""))</f>
        <v/>
      </c>
      <c r="I1478" s="206"/>
      <c r="J1478" s="178"/>
      <c r="K1478" s="157">
        <f t="shared" si="196"/>
        <v>100</v>
      </c>
      <c r="L1478" s="157">
        <f t="shared" si="197"/>
        <v>200</v>
      </c>
      <c r="M1478" s="157">
        <f t="shared" si="198"/>
        <v>300</v>
      </c>
      <c r="N1478" s="157">
        <f t="shared" si="199"/>
        <v>400</v>
      </c>
      <c r="O1478" s="1030"/>
      <c r="P1478" s="967"/>
      <c r="Q1478" s="586"/>
      <c r="R1478" s="968"/>
      <c r="S1478" s="589"/>
      <c r="T1478" s="589"/>
      <c r="U1478" s="589"/>
    </row>
    <row r="1479" spans="1:21" x14ac:dyDescent="0.35">
      <c r="A1479" s="184"/>
      <c r="B1479" s="185"/>
      <c r="C1479" s="185"/>
      <c r="D1479" s="179"/>
      <c r="E1479" s="180"/>
      <c r="F1479" s="186"/>
      <c r="G1479" s="186"/>
      <c r="H1479" s="187"/>
      <c r="I1479" s="177"/>
      <c r="J1479" s="178"/>
      <c r="K1479" s="157">
        <f t="shared" si="196"/>
        <v>100</v>
      </c>
      <c r="L1479" s="157">
        <f t="shared" si="197"/>
        <v>200</v>
      </c>
      <c r="M1479" s="157">
        <f t="shared" si="198"/>
        <v>300</v>
      </c>
      <c r="N1479" s="157">
        <f t="shared" si="199"/>
        <v>400</v>
      </c>
      <c r="O1479" s="1030"/>
      <c r="P1479" s="967"/>
      <c r="Q1479" s="586"/>
      <c r="R1479" s="968"/>
      <c r="S1479" s="589"/>
      <c r="T1479" s="589"/>
      <c r="U1479" s="589"/>
    </row>
    <row r="1480" spans="1:21" ht="15.5" x14ac:dyDescent="0.35">
      <c r="A1480" s="116"/>
      <c r="B1480" s="117"/>
      <c r="C1480" s="1697"/>
      <c r="D1480" s="1698"/>
      <c r="E1480" s="286"/>
      <c r="F1480" s="1699" t="s">
        <v>5</v>
      </c>
      <c r="G1480" s="1699"/>
      <c r="H1480" s="287">
        <f>IF(ISNUMBER(H1478),H1478*H1476,H1477*H1476)</f>
        <v>0</v>
      </c>
      <c r="I1480" s="288"/>
      <c r="J1480" s="289"/>
      <c r="K1480" s="157">
        <f t="shared" si="196"/>
        <v>100</v>
      </c>
      <c r="L1480" s="157">
        <f t="shared" si="197"/>
        <v>200</v>
      </c>
      <c r="M1480" s="157">
        <f t="shared" si="198"/>
        <v>300</v>
      </c>
      <c r="N1480" s="157">
        <f t="shared" si="199"/>
        <v>400</v>
      </c>
      <c r="O1480" s="1030"/>
      <c r="P1480" s="967"/>
      <c r="Q1480" s="586"/>
      <c r="R1480" s="968"/>
      <c r="S1480" s="589"/>
      <c r="T1480" s="589"/>
      <c r="U1480" s="589"/>
    </row>
    <row r="1481" spans="1:21" ht="14.25" customHeight="1" x14ac:dyDescent="0.35">
      <c r="A1481" s="104"/>
      <c r="B1481" s="107"/>
      <c r="C1481" s="108"/>
      <c r="D1481" s="104"/>
      <c r="E1481" s="104"/>
      <c r="F1481" s="109"/>
      <c r="G1481" s="105"/>
      <c r="H1481" s="104"/>
      <c r="I1481" s="110"/>
      <c r="J1481" s="104"/>
      <c r="K1481" s="157">
        <f t="shared" si="196"/>
        <v>100</v>
      </c>
      <c r="L1481" s="157">
        <f t="shared" si="197"/>
        <v>200</v>
      </c>
      <c r="M1481" s="157">
        <f t="shared" si="198"/>
        <v>300</v>
      </c>
      <c r="N1481" s="157">
        <f t="shared" si="199"/>
        <v>400</v>
      </c>
      <c r="O1481" s="590"/>
      <c r="P1481" s="584"/>
      <c r="Q1481" s="586"/>
      <c r="R1481" s="968"/>
      <c r="S1481" s="589"/>
      <c r="T1481" s="589"/>
      <c r="U1481" s="589"/>
    </row>
    <row r="1482" spans="1:21" ht="7.5" customHeight="1" x14ac:dyDescent="0.35">
      <c r="A1482" s="116"/>
      <c r="B1482" s="117"/>
      <c r="C1482" s="117"/>
      <c r="D1482" s="116"/>
      <c r="E1482" s="116"/>
      <c r="F1482" s="118"/>
      <c r="G1482" s="119"/>
      <c r="H1482" s="116"/>
      <c r="I1482" s="120"/>
      <c r="J1482" s="121"/>
      <c r="K1482" s="157">
        <f t="shared" si="196"/>
        <v>100</v>
      </c>
      <c r="L1482" s="157">
        <f t="shared" si="197"/>
        <v>200</v>
      </c>
      <c r="M1482" s="157">
        <f t="shared" si="198"/>
        <v>300</v>
      </c>
      <c r="N1482" s="157">
        <f t="shared" si="199"/>
        <v>400</v>
      </c>
      <c r="O1482" s="968"/>
      <c r="P1482" s="968"/>
      <c r="Q1482" s="586"/>
      <c r="R1482" s="968"/>
      <c r="S1482" s="589"/>
      <c r="T1482" s="589"/>
      <c r="U1482" s="589"/>
    </row>
    <row r="1483" spans="1:21" ht="15.5" x14ac:dyDescent="0.35">
      <c r="A1483" s="124"/>
      <c r="B1483" s="125"/>
      <c r="C1483" s="126" t="s">
        <v>4841</v>
      </c>
      <c r="D1483" s="127" t="s">
        <v>5404</v>
      </c>
      <c r="E1483" s="128"/>
      <c r="F1483" s="129" t="str">
        <f>IF($F$3=1,O1483,"")</f>
        <v>F.1.3 Gebühren / Mietpreise *</v>
      </c>
      <c r="G1483" s="204"/>
      <c r="H1483" s="205"/>
      <c r="I1483" s="520" t="s">
        <v>23</v>
      </c>
      <c r="J1483" s="130"/>
      <c r="K1483" s="157">
        <f t="shared" si="196"/>
        <v>100</v>
      </c>
      <c r="L1483" s="157">
        <f t="shared" si="197"/>
        <v>200</v>
      </c>
      <c r="M1483" s="157">
        <f t="shared" si="198"/>
        <v>300</v>
      </c>
      <c r="N1483" s="157">
        <f t="shared" si="199"/>
        <v>400</v>
      </c>
      <c r="O1483" s="967" t="str">
        <f>CONCATENATE(C1483," ",D1483)</f>
        <v>F.1.3 Gebühren / Mietpreise *</v>
      </c>
      <c r="P1483" s="966"/>
      <c r="Q1483" s="586"/>
      <c r="R1483" s="968"/>
      <c r="S1483" s="589"/>
      <c r="T1483" s="589"/>
      <c r="U1483" s="589"/>
    </row>
    <row r="1484" spans="1:21" x14ac:dyDescent="0.35">
      <c r="A1484" s="124"/>
      <c r="B1484" s="134"/>
      <c r="C1484" s="135"/>
      <c r="D1484" s="136"/>
      <c r="E1484" s="136"/>
      <c r="F1484" s="137"/>
      <c r="G1484" s="138"/>
      <c r="H1484" s="124"/>
      <c r="I1484" s="139"/>
      <c r="J1484" s="140"/>
      <c r="K1484" s="157">
        <f t="shared" si="196"/>
        <v>100</v>
      </c>
      <c r="L1484" s="157">
        <f t="shared" si="197"/>
        <v>200</v>
      </c>
      <c r="M1484" s="157">
        <f t="shared" si="198"/>
        <v>300</v>
      </c>
      <c r="N1484" s="157">
        <f t="shared" si="199"/>
        <v>400</v>
      </c>
      <c r="O1484" s="968"/>
      <c r="P1484" s="966"/>
      <c r="Q1484" s="586"/>
      <c r="R1484" s="968"/>
      <c r="S1484" s="589"/>
      <c r="T1484" s="589"/>
      <c r="U1484" s="589"/>
    </row>
    <row r="1485" spans="1:21" x14ac:dyDescent="0.35">
      <c r="A1485" s="142"/>
      <c r="B1485" s="35"/>
      <c r="C1485" s="143"/>
      <c r="D1485" s="1685" t="s">
        <v>18</v>
      </c>
      <c r="E1485" s="1686"/>
      <c r="F1485" s="144" t="s">
        <v>19</v>
      </c>
      <c r="G1485" s="145" t="s">
        <v>0</v>
      </c>
      <c r="H1485" s="146" t="s">
        <v>20</v>
      </c>
      <c r="I1485" s="147" t="s">
        <v>1</v>
      </c>
      <c r="J1485" s="147" t="s">
        <v>4375</v>
      </c>
      <c r="K1485" s="157">
        <f t="shared" si="196"/>
        <v>100</v>
      </c>
      <c r="L1485" s="157">
        <f t="shared" si="197"/>
        <v>200</v>
      </c>
      <c r="M1485" s="157">
        <f t="shared" si="198"/>
        <v>300</v>
      </c>
      <c r="N1485" s="157">
        <f t="shared" si="199"/>
        <v>400</v>
      </c>
      <c r="O1485" s="587"/>
      <c r="P1485" s="967"/>
      <c r="Q1485" s="586"/>
      <c r="R1485" s="968"/>
      <c r="S1485" s="589"/>
      <c r="T1485" s="589"/>
      <c r="U1485" s="589"/>
    </row>
    <row r="1486" spans="1:21" ht="24" x14ac:dyDescent="0.35">
      <c r="A1486" s="123"/>
      <c r="B1486" s="35"/>
      <c r="C1486" s="151"/>
      <c r="D1486" s="1687" t="s">
        <v>5495</v>
      </c>
      <c r="E1486" s="1688"/>
      <c r="F1486" s="152" t="s">
        <v>4694</v>
      </c>
      <c r="G1486" s="153">
        <f t="shared" ref="G1486" si="203">IF($H$2=1,S1486,IF($H$2=2,T1486,U1486))</f>
        <v>1</v>
      </c>
      <c r="H1486" s="226">
        <f>'RH Mobilität'!F33</f>
        <v>0</v>
      </c>
      <c r="I1486" s="155"/>
      <c r="J1486" s="156"/>
      <c r="K1486" s="157">
        <f t="shared" si="196"/>
        <v>100</v>
      </c>
      <c r="L1486" s="157">
        <f t="shared" si="197"/>
        <v>200</v>
      </c>
      <c r="M1486" s="157">
        <f t="shared" si="198"/>
        <v>300</v>
      </c>
      <c r="N1486" s="157">
        <f t="shared" si="199"/>
        <v>400</v>
      </c>
      <c r="O1486" s="967" t="str">
        <f>CONCATENATE(O1483," | ",F1486)</f>
        <v>F.1.3 Gebühren / Mietpreise * | Rechenhilfe: Gebühren / Mietpreise in Abhängigkeit der Nutzungen</v>
      </c>
      <c r="P1486" s="967"/>
      <c r="Q1486" s="586"/>
      <c r="R1486" s="968"/>
      <c r="S1486" s="588">
        <v>1</v>
      </c>
      <c r="T1486" s="588">
        <v>1</v>
      </c>
      <c r="U1486" s="588">
        <v>1</v>
      </c>
    </row>
    <row r="1487" spans="1:21" x14ac:dyDescent="0.35">
      <c r="A1487" s="123"/>
      <c r="B1487" s="35"/>
      <c r="C1487" s="151"/>
      <c r="D1487" s="1687"/>
      <c r="E1487" s="1688"/>
      <c r="F1487" s="159"/>
      <c r="G1487" s="160"/>
      <c r="H1487" s="161"/>
      <c r="I1487" s="166"/>
      <c r="J1487" s="164"/>
      <c r="K1487" s="157">
        <f t="shared" si="196"/>
        <v>100</v>
      </c>
      <c r="L1487" s="157">
        <f t="shared" si="197"/>
        <v>200</v>
      </c>
      <c r="M1487" s="157">
        <f t="shared" si="198"/>
        <v>300</v>
      </c>
      <c r="N1487" s="157">
        <f t="shared" si="199"/>
        <v>400</v>
      </c>
      <c r="O1487" s="967"/>
      <c r="P1487" s="967"/>
      <c r="Q1487" s="586"/>
      <c r="R1487" s="968"/>
      <c r="S1487" s="589"/>
      <c r="T1487" s="589"/>
      <c r="U1487" s="589"/>
    </row>
    <row r="1488" spans="1:21" ht="24" x14ac:dyDescent="0.35">
      <c r="A1488" s="123"/>
      <c r="B1488" s="35"/>
      <c r="C1488" s="151"/>
      <c r="D1488" s="1687"/>
      <c r="E1488" s="1688"/>
      <c r="F1488" s="1090" t="s">
        <v>5496</v>
      </c>
      <c r="G1488" s="1082" t="s">
        <v>2048</v>
      </c>
      <c r="H1488" s="161"/>
      <c r="I1488" s="162"/>
      <c r="J1488" s="164"/>
      <c r="K1488" s="157">
        <f t="shared" si="196"/>
        <v>100</v>
      </c>
      <c r="L1488" s="157">
        <f t="shared" si="197"/>
        <v>200</v>
      </c>
      <c r="M1488" s="157">
        <f t="shared" si="198"/>
        <v>300</v>
      </c>
      <c r="N1488" s="157">
        <f t="shared" si="199"/>
        <v>400</v>
      </c>
      <c r="O1488" s="967"/>
      <c r="P1488" s="967"/>
      <c r="Q1488" s="586"/>
      <c r="R1488" s="968"/>
      <c r="S1488" s="588"/>
      <c r="T1488" s="588"/>
      <c r="U1488" s="588"/>
    </row>
    <row r="1489" spans="1:21" x14ac:dyDescent="0.35">
      <c r="A1489" s="123">
        <v>3.2</v>
      </c>
      <c r="B1489" s="35"/>
      <c r="C1489" s="151"/>
      <c r="D1489" s="1687"/>
      <c r="E1489" s="1688"/>
      <c r="F1489" s="159"/>
      <c r="G1489" s="160"/>
      <c r="H1489" s="161"/>
      <c r="I1489" s="162"/>
      <c r="J1489" s="164"/>
      <c r="K1489" s="157">
        <f t="shared" si="196"/>
        <v>100</v>
      </c>
      <c r="L1489" s="157">
        <f t="shared" si="197"/>
        <v>200</v>
      </c>
      <c r="M1489" s="157">
        <f t="shared" si="198"/>
        <v>300</v>
      </c>
      <c r="N1489" s="157">
        <f t="shared" si="199"/>
        <v>400</v>
      </c>
      <c r="O1489" s="967"/>
      <c r="P1489" s="967"/>
      <c r="Q1489" s="586"/>
      <c r="R1489" s="968"/>
      <c r="S1489" s="588"/>
      <c r="T1489" s="588"/>
      <c r="U1489" s="588"/>
    </row>
    <row r="1490" spans="1:21" x14ac:dyDescent="0.35">
      <c r="A1490" s="123"/>
      <c r="B1490" s="35"/>
      <c r="C1490" s="151"/>
      <c r="D1490" s="1687"/>
      <c r="E1490" s="1688"/>
      <c r="F1490" s="159"/>
      <c r="G1490" s="160"/>
      <c r="H1490" s="161"/>
      <c r="I1490" s="162"/>
      <c r="J1490" s="164"/>
      <c r="K1490" s="157">
        <f t="shared" si="196"/>
        <v>100</v>
      </c>
      <c r="L1490" s="157">
        <f t="shared" si="197"/>
        <v>200</v>
      </c>
      <c r="M1490" s="157">
        <f t="shared" si="198"/>
        <v>300</v>
      </c>
      <c r="N1490" s="157">
        <f t="shared" si="199"/>
        <v>400</v>
      </c>
      <c r="O1490" s="967"/>
      <c r="P1490" s="967"/>
      <c r="Q1490" s="586"/>
      <c r="R1490" s="968"/>
      <c r="S1490" s="588"/>
      <c r="T1490" s="588"/>
      <c r="U1490" s="588"/>
    </row>
    <row r="1491" spans="1:21" x14ac:dyDescent="0.35">
      <c r="A1491" s="116"/>
      <c r="B1491" s="35"/>
      <c r="C1491" s="117"/>
      <c r="D1491" s="1687"/>
      <c r="E1491" s="1688"/>
      <c r="F1491" s="159"/>
      <c r="G1491" s="160"/>
      <c r="H1491" s="161"/>
      <c r="I1491" s="162"/>
      <c r="J1491" s="164"/>
      <c r="K1491" s="157">
        <f t="shared" si="196"/>
        <v>100</v>
      </c>
      <c r="L1491" s="157">
        <f t="shared" si="197"/>
        <v>200</v>
      </c>
      <c r="M1491" s="157">
        <f t="shared" si="198"/>
        <v>300</v>
      </c>
      <c r="N1491" s="157">
        <f t="shared" si="199"/>
        <v>400</v>
      </c>
      <c r="O1491" s="959"/>
      <c r="P1491" s="967"/>
      <c r="Q1491" s="586"/>
      <c r="R1491" s="968"/>
      <c r="S1491" s="589"/>
      <c r="T1491" s="589"/>
      <c r="U1491" s="589"/>
    </row>
    <row r="1492" spans="1:21" x14ac:dyDescent="0.35">
      <c r="A1492" s="116"/>
      <c r="B1492" s="35"/>
      <c r="C1492" s="117"/>
      <c r="D1492" s="1687"/>
      <c r="E1492" s="1688"/>
      <c r="F1492" s="159"/>
      <c r="G1492" s="160"/>
      <c r="H1492" s="161"/>
      <c r="I1492" s="162"/>
      <c r="J1492" s="164"/>
      <c r="K1492" s="157">
        <f t="shared" si="196"/>
        <v>100</v>
      </c>
      <c r="L1492" s="157">
        <f t="shared" si="197"/>
        <v>200</v>
      </c>
      <c r="M1492" s="157">
        <f t="shared" si="198"/>
        <v>300</v>
      </c>
      <c r="N1492" s="157">
        <f t="shared" si="199"/>
        <v>400</v>
      </c>
      <c r="O1492" s="959"/>
      <c r="P1492" s="967"/>
      <c r="Q1492" s="586"/>
      <c r="R1492" s="968"/>
      <c r="S1492" s="589"/>
      <c r="T1492" s="589"/>
      <c r="U1492" s="589"/>
    </row>
    <row r="1493" spans="1:21" x14ac:dyDescent="0.35">
      <c r="A1493" s="116"/>
      <c r="B1493" s="35"/>
      <c r="C1493" s="117"/>
      <c r="D1493" s="1687"/>
      <c r="E1493" s="1688"/>
      <c r="F1493" s="159"/>
      <c r="G1493" s="160"/>
      <c r="H1493" s="161"/>
      <c r="I1493" s="162"/>
      <c r="J1493" s="164"/>
      <c r="K1493" s="157">
        <f t="shared" si="196"/>
        <v>100</v>
      </c>
      <c r="L1493" s="157">
        <f t="shared" si="197"/>
        <v>200</v>
      </c>
      <c r="M1493" s="157">
        <f t="shared" si="198"/>
        <v>300</v>
      </c>
      <c r="N1493" s="157">
        <f t="shared" si="199"/>
        <v>400</v>
      </c>
      <c r="O1493" s="959"/>
      <c r="P1493" s="967"/>
      <c r="Q1493" s="586"/>
      <c r="R1493" s="968"/>
      <c r="S1493" s="589"/>
      <c r="T1493" s="589"/>
      <c r="U1493" s="589"/>
    </row>
    <row r="1494" spans="1:21" x14ac:dyDescent="0.35">
      <c r="A1494" s="123"/>
      <c r="B1494" s="35"/>
      <c r="C1494" s="151"/>
      <c r="D1494" s="1687"/>
      <c r="E1494" s="1688"/>
      <c r="F1494" s="165"/>
      <c r="G1494" s="160"/>
      <c r="H1494" s="161"/>
      <c r="I1494" s="166"/>
      <c r="J1494" s="167"/>
      <c r="K1494" s="157">
        <f t="shared" si="196"/>
        <v>100</v>
      </c>
      <c r="L1494" s="157">
        <f t="shared" si="197"/>
        <v>200</v>
      </c>
      <c r="M1494" s="157">
        <f t="shared" si="198"/>
        <v>300</v>
      </c>
      <c r="N1494" s="157">
        <f t="shared" si="199"/>
        <v>400</v>
      </c>
      <c r="O1494" s="959"/>
      <c r="P1494" s="967"/>
      <c r="Q1494" s="586"/>
      <c r="R1494" s="968"/>
      <c r="S1494" s="589"/>
      <c r="T1494" s="589"/>
      <c r="U1494" s="589"/>
    </row>
    <row r="1495" spans="1:21" x14ac:dyDescent="0.35">
      <c r="A1495" s="116"/>
      <c r="B1495" s="35"/>
      <c r="C1495" s="117"/>
      <c r="D1495" s="1687"/>
      <c r="E1495" s="1688"/>
      <c r="F1495" s="159"/>
      <c r="G1495" s="160"/>
      <c r="H1495" s="168"/>
      <c r="I1495" s="162"/>
      <c r="J1495" s="164"/>
      <c r="K1495" s="157">
        <f t="shared" si="196"/>
        <v>100</v>
      </c>
      <c r="L1495" s="157">
        <f t="shared" si="197"/>
        <v>200</v>
      </c>
      <c r="M1495" s="157">
        <f t="shared" si="198"/>
        <v>300</v>
      </c>
      <c r="N1495" s="157">
        <f t="shared" si="199"/>
        <v>400</v>
      </c>
      <c r="O1495" s="959"/>
      <c r="P1495" s="967"/>
      <c r="Q1495" s="586"/>
      <c r="R1495" s="968"/>
      <c r="S1495" s="589"/>
      <c r="T1495" s="589"/>
      <c r="U1495" s="589"/>
    </row>
    <row r="1496" spans="1:21" x14ac:dyDescent="0.35">
      <c r="A1496" s="116"/>
      <c r="B1496" s="117"/>
      <c r="C1496" s="117"/>
      <c r="D1496" s="1687"/>
      <c r="E1496" s="1688"/>
      <c r="F1496" s="159"/>
      <c r="G1496" s="160"/>
      <c r="H1496" s="168"/>
      <c r="I1496" s="162"/>
      <c r="J1496" s="164"/>
      <c r="K1496" s="157">
        <f t="shared" si="196"/>
        <v>100</v>
      </c>
      <c r="L1496" s="157">
        <f t="shared" si="197"/>
        <v>200</v>
      </c>
      <c r="M1496" s="157">
        <f t="shared" si="198"/>
        <v>300</v>
      </c>
      <c r="N1496" s="157">
        <f t="shared" si="199"/>
        <v>400</v>
      </c>
      <c r="O1496" s="959"/>
      <c r="P1496" s="967"/>
      <c r="Q1496" s="586"/>
      <c r="R1496" s="968"/>
      <c r="S1496" s="589"/>
      <c r="T1496" s="589"/>
      <c r="U1496" s="589"/>
    </row>
    <row r="1497" spans="1:21" x14ac:dyDescent="0.35">
      <c r="A1497" s="116"/>
      <c r="B1497" s="117"/>
      <c r="C1497" s="117"/>
      <c r="D1497" s="1687"/>
      <c r="E1497" s="1688"/>
      <c r="F1497" s="169"/>
      <c r="G1497" s="170"/>
      <c r="H1497" s="171"/>
      <c r="I1497" s="172"/>
      <c r="J1497" s="173"/>
      <c r="K1497" s="157">
        <f t="shared" si="196"/>
        <v>100</v>
      </c>
      <c r="L1497" s="157">
        <f t="shared" si="197"/>
        <v>200</v>
      </c>
      <c r="M1497" s="157">
        <f t="shared" si="198"/>
        <v>300</v>
      </c>
      <c r="N1497" s="157">
        <f t="shared" si="199"/>
        <v>400</v>
      </c>
      <c r="O1497" s="959"/>
      <c r="P1497" s="967"/>
      <c r="Q1497" s="586"/>
      <c r="R1497" s="968"/>
      <c r="S1497" s="589"/>
      <c r="T1497" s="589"/>
      <c r="U1497" s="589"/>
    </row>
    <row r="1498" spans="1:21" ht="28.5" customHeight="1" x14ac:dyDescent="0.35">
      <c r="A1498" s="116"/>
      <c r="B1498" s="117"/>
      <c r="C1498" s="117"/>
      <c r="D1498" s="174"/>
      <c r="E1498" s="175"/>
      <c r="F1498" s="1689" t="s">
        <v>2</v>
      </c>
      <c r="G1498" s="1689"/>
      <c r="H1498" s="176">
        <f>IF(O1498&gt;1,"Zielerreichung übersteigt 100%!",O1498)</f>
        <v>0</v>
      </c>
      <c r="I1498" s="177"/>
      <c r="J1498" s="178"/>
      <c r="K1498" s="157">
        <f t="shared" si="196"/>
        <v>100</v>
      </c>
      <c r="L1498" s="157">
        <f t="shared" si="197"/>
        <v>200</v>
      </c>
      <c r="M1498" s="157">
        <f t="shared" si="198"/>
        <v>300</v>
      </c>
      <c r="N1498" s="157">
        <f t="shared" si="199"/>
        <v>400</v>
      </c>
      <c r="O1498" s="959">
        <f>SUM(H1486:H1497)</f>
        <v>0</v>
      </c>
      <c r="P1498" s="967"/>
      <c r="Q1498" s="586"/>
      <c r="R1498" s="968"/>
      <c r="S1498" s="589"/>
      <c r="T1498" s="589"/>
      <c r="U1498" s="589"/>
    </row>
    <row r="1499" spans="1:21" x14ac:dyDescent="0.35">
      <c r="A1499" s="116"/>
      <c r="B1499" s="117"/>
      <c r="C1499" s="117"/>
      <c r="D1499" s="179"/>
      <c r="E1499" s="180"/>
      <c r="F1499" s="1690" t="s">
        <v>3</v>
      </c>
      <c r="G1499" s="1691"/>
      <c r="H1499" s="181">
        <v>2</v>
      </c>
      <c r="I1499" s="1"/>
      <c r="J1499" s="178"/>
      <c r="K1499" s="157">
        <f t="shared" si="196"/>
        <v>100</v>
      </c>
      <c r="L1499" s="157">
        <f t="shared" si="197"/>
        <v>200</v>
      </c>
      <c r="M1499" s="157">
        <f t="shared" si="198"/>
        <v>300</v>
      </c>
      <c r="N1499" s="157">
        <f t="shared" si="199"/>
        <v>400</v>
      </c>
      <c r="O1499" s="1030"/>
      <c r="P1499" s="967"/>
      <c r="Q1499" s="586"/>
      <c r="R1499" s="968"/>
      <c r="S1499" s="589"/>
      <c r="T1499" s="589"/>
      <c r="U1499" s="589"/>
    </row>
    <row r="1500" spans="1:21" ht="15" customHeight="1" x14ac:dyDescent="0.35">
      <c r="A1500" s="116"/>
      <c r="B1500" s="117"/>
      <c r="C1500" s="117"/>
      <c r="D1500" s="179"/>
      <c r="E1500" s="180"/>
      <c r="F1500" s="1700" t="s">
        <v>5493</v>
      </c>
      <c r="G1500" s="1701"/>
      <c r="H1500" s="1089" t="str">
        <f>IF(G1488="ja",0,IF($H$2=1,0,""))</f>
        <v/>
      </c>
      <c r="I1500" s="206"/>
      <c r="J1500" s="178"/>
      <c r="K1500" s="157">
        <f t="shared" si="196"/>
        <v>100</v>
      </c>
      <c r="L1500" s="157">
        <f t="shared" si="197"/>
        <v>200</v>
      </c>
      <c r="M1500" s="157">
        <f t="shared" si="198"/>
        <v>300</v>
      </c>
      <c r="N1500" s="157">
        <f t="shared" si="199"/>
        <v>400</v>
      </c>
      <c r="O1500" s="1030"/>
      <c r="P1500" s="967"/>
      <c r="Q1500" s="586"/>
      <c r="R1500" s="968"/>
      <c r="S1500" s="589"/>
      <c r="T1500" s="589"/>
      <c r="U1500" s="589"/>
    </row>
    <row r="1501" spans="1:21" x14ac:dyDescent="0.35">
      <c r="A1501" s="184"/>
      <c r="B1501" s="185"/>
      <c r="C1501" s="185"/>
      <c r="D1501" s="179"/>
      <c r="E1501" s="180"/>
      <c r="F1501" s="186"/>
      <c r="G1501" s="186"/>
      <c r="H1501" s="187"/>
      <c r="I1501" s="177"/>
      <c r="J1501" s="178"/>
      <c r="K1501" s="157">
        <f t="shared" si="196"/>
        <v>100</v>
      </c>
      <c r="L1501" s="157">
        <f t="shared" si="197"/>
        <v>200</v>
      </c>
      <c r="M1501" s="157">
        <f t="shared" si="198"/>
        <v>300</v>
      </c>
      <c r="N1501" s="157">
        <f t="shared" si="199"/>
        <v>400</v>
      </c>
      <c r="O1501" s="1030"/>
      <c r="P1501" s="967"/>
      <c r="Q1501" s="586"/>
      <c r="R1501" s="968"/>
      <c r="S1501" s="589"/>
      <c r="T1501" s="589"/>
      <c r="U1501" s="589"/>
    </row>
    <row r="1502" spans="1:21" ht="15.5" x14ac:dyDescent="0.35">
      <c r="A1502" s="116"/>
      <c r="B1502" s="117"/>
      <c r="C1502" s="1697"/>
      <c r="D1502" s="1698"/>
      <c r="E1502" s="286"/>
      <c r="F1502" s="1699" t="s">
        <v>5</v>
      </c>
      <c r="G1502" s="1699"/>
      <c r="H1502" s="287">
        <f>IF(ISNUMBER(H1500),H1500*H1498,H1499*H1498)</f>
        <v>0</v>
      </c>
      <c r="I1502" s="288"/>
      <c r="J1502" s="289"/>
      <c r="K1502" s="157">
        <f t="shared" si="196"/>
        <v>100</v>
      </c>
      <c r="L1502" s="157">
        <f t="shared" si="197"/>
        <v>200</v>
      </c>
      <c r="M1502" s="157">
        <f t="shared" si="198"/>
        <v>300</v>
      </c>
      <c r="N1502" s="157">
        <f t="shared" si="199"/>
        <v>400</v>
      </c>
      <c r="O1502" s="1030"/>
      <c r="P1502" s="967"/>
      <c r="Q1502" s="586"/>
      <c r="R1502" s="968"/>
      <c r="S1502" s="589"/>
      <c r="T1502" s="589"/>
      <c r="U1502" s="589"/>
    </row>
    <row r="1503" spans="1:21" x14ac:dyDescent="0.35">
      <c r="K1503" s="157">
        <f t="shared" si="196"/>
        <v>100</v>
      </c>
      <c r="L1503" s="157">
        <f t="shared" si="197"/>
        <v>200</v>
      </c>
      <c r="M1503" s="157">
        <f t="shared" si="198"/>
        <v>300</v>
      </c>
      <c r="N1503" s="157">
        <f t="shared" si="199"/>
        <v>400</v>
      </c>
      <c r="O1503" s="967"/>
      <c r="P1503" s="967"/>
      <c r="Q1503" s="586"/>
      <c r="R1503" s="968"/>
      <c r="S1503" s="589"/>
      <c r="T1503" s="589"/>
      <c r="U1503" s="589"/>
    </row>
    <row r="1504" spans="1:21" x14ac:dyDescent="0.35">
      <c r="K1504" s="157">
        <f t="shared" si="196"/>
        <v>100</v>
      </c>
      <c r="L1504" s="157">
        <f t="shared" si="197"/>
        <v>200</v>
      </c>
      <c r="M1504" s="157">
        <f t="shared" si="198"/>
        <v>300</v>
      </c>
      <c r="N1504" s="157">
        <f t="shared" si="199"/>
        <v>400</v>
      </c>
      <c r="O1504" s="967"/>
      <c r="P1504" s="967"/>
      <c r="Q1504" s="586"/>
      <c r="R1504" s="968"/>
      <c r="S1504" s="589"/>
      <c r="T1504" s="589"/>
      <c r="U1504" s="589"/>
    </row>
    <row r="1505" spans="1:22" ht="15.5" x14ac:dyDescent="0.35">
      <c r="A1505" s="208"/>
      <c r="B1505" s="279" t="s">
        <v>4843</v>
      </c>
      <c r="C1505" s="279" t="s">
        <v>5266</v>
      </c>
      <c r="D1505" s="280"/>
      <c r="E1505" s="280"/>
      <c r="F1505" s="281" t="str">
        <f>IF($F$3=1,O1505,"")</f>
        <v>F.2 Fuß- und Radverkehr</v>
      </c>
      <c r="G1505" s="282"/>
      <c r="H1505" s="283"/>
      <c r="I1505" s="284"/>
      <c r="J1505" s="285"/>
      <c r="K1505" s="157">
        <f t="shared" si="196"/>
        <v>100</v>
      </c>
      <c r="L1505" s="157">
        <f t="shared" si="197"/>
        <v>200</v>
      </c>
      <c r="M1505" s="157">
        <f t="shared" si="198"/>
        <v>300</v>
      </c>
      <c r="N1505" s="157">
        <f t="shared" si="199"/>
        <v>400</v>
      </c>
      <c r="O1505" s="967" t="str">
        <f>CONCATENATE(B1505," ",C1505)</f>
        <v>F.2 Fuß- und Radverkehr</v>
      </c>
      <c r="P1505" s="958"/>
      <c r="Q1505" s="586"/>
      <c r="R1505" s="968"/>
      <c r="S1505" s="589"/>
      <c r="T1505" s="589"/>
      <c r="U1505" s="589"/>
    </row>
    <row r="1506" spans="1:22" x14ac:dyDescent="0.35">
      <c r="K1506" s="157">
        <f t="shared" si="196"/>
        <v>100</v>
      </c>
      <c r="L1506" s="157">
        <f t="shared" si="197"/>
        <v>200</v>
      </c>
      <c r="M1506" s="157">
        <f t="shared" si="198"/>
        <v>300</v>
      </c>
      <c r="N1506" s="157">
        <f t="shared" si="199"/>
        <v>400</v>
      </c>
      <c r="O1506" s="967"/>
      <c r="P1506" s="967"/>
      <c r="Q1506" s="586"/>
      <c r="R1506" s="968"/>
      <c r="S1506" s="589"/>
      <c r="T1506" s="589"/>
      <c r="U1506" s="589"/>
    </row>
    <row r="1507" spans="1:22" ht="7.5" customHeight="1" x14ac:dyDescent="0.35">
      <c r="A1507" s="116"/>
      <c r="B1507" s="117"/>
      <c r="C1507" s="117"/>
      <c r="D1507" s="116"/>
      <c r="E1507" s="116"/>
      <c r="F1507" s="118"/>
      <c r="G1507" s="119"/>
      <c r="H1507" s="116"/>
      <c r="I1507" s="120"/>
      <c r="J1507" s="121"/>
      <c r="K1507" s="157">
        <f t="shared" si="196"/>
        <v>100</v>
      </c>
      <c r="L1507" s="157">
        <f t="shared" si="197"/>
        <v>200</v>
      </c>
      <c r="M1507" s="157">
        <f t="shared" si="198"/>
        <v>300</v>
      </c>
      <c r="N1507" s="157">
        <f t="shared" si="199"/>
        <v>400</v>
      </c>
      <c r="O1507" s="968"/>
      <c r="P1507" s="968"/>
      <c r="Q1507" s="586"/>
      <c r="R1507" s="968"/>
      <c r="S1507" s="589"/>
      <c r="T1507" s="589"/>
      <c r="U1507" s="589"/>
    </row>
    <row r="1508" spans="1:22" ht="15.5" x14ac:dyDescent="0.35">
      <c r="A1508" s="124"/>
      <c r="B1508" s="125"/>
      <c r="C1508" s="126" t="s">
        <v>4842</v>
      </c>
      <c r="D1508" s="127" t="s">
        <v>5463</v>
      </c>
      <c r="E1508" s="128"/>
      <c r="F1508" s="129" t="str">
        <f>IF($F$3=1,O1508,"")</f>
        <v>F.2.1 Abstellanlagen für Fahrräder</v>
      </c>
      <c r="G1508" s="204"/>
      <c r="H1508" s="205"/>
      <c r="I1508" s="520" t="s">
        <v>23</v>
      </c>
      <c r="J1508" s="130"/>
      <c r="K1508" s="157">
        <f t="shared" si="196"/>
        <v>100</v>
      </c>
      <c r="L1508" s="157">
        <f t="shared" si="197"/>
        <v>200</v>
      </c>
      <c r="M1508" s="157">
        <f t="shared" si="198"/>
        <v>300</v>
      </c>
      <c r="N1508" s="157">
        <f t="shared" si="199"/>
        <v>400</v>
      </c>
      <c r="O1508" s="967" t="str">
        <f>CONCATENATE(C1508," ",D1508)</f>
        <v>F.2.1 Abstellanlagen für Fahrräder</v>
      </c>
      <c r="P1508" s="966"/>
      <c r="Q1508" s="586"/>
      <c r="R1508" s="968"/>
      <c r="S1508" s="589"/>
      <c r="T1508" s="589"/>
      <c r="U1508" s="589"/>
    </row>
    <row r="1509" spans="1:22" x14ac:dyDescent="0.35">
      <c r="A1509" s="124"/>
      <c r="B1509" s="134"/>
      <c r="C1509" s="135"/>
      <c r="D1509" s="136"/>
      <c r="E1509" s="136"/>
      <c r="F1509" s="137"/>
      <c r="G1509" s="138"/>
      <c r="H1509" s="124"/>
      <c r="I1509" s="139"/>
      <c r="J1509" s="140"/>
      <c r="K1509" s="157">
        <f t="shared" si="196"/>
        <v>100</v>
      </c>
      <c r="L1509" s="157">
        <f t="shared" si="197"/>
        <v>200</v>
      </c>
      <c r="M1509" s="157">
        <f t="shared" si="198"/>
        <v>300</v>
      </c>
      <c r="N1509" s="157">
        <f t="shared" si="199"/>
        <v>400</v>
      </c>
      <c r="O1509" s="968"/>
      <c r="P1509" s="966"/>
      <c r="Q1509" s="586"/>
      <c r="R1509" s="968"/>
      <c r="S1509" s="589"/>
      <c r="T1509" s="589"/>
      <c r="U1509" s="589"/>
    </row>
    <row r="1510" spans="1:22" x14ac:dyDescent="0.35">
      <c r="A1510" s="142"/>
      <c r="B1510" s="35"/>
      <c r="C1510" s="143"/>
      <c r="D1510" s="1685" t="s">
        <v>18</v>
      </c>
      <c r="E1510" s="1686"/>
      <c r="F1510" s="144" t="s">
        <v>19</v>
      </c>
      <c r="G1510" s="145" t="s">
        <v>0</v>
      </c>
      <c r="H1510" s="146" t="s">
        <v>20</v>
      </c>
      <c r="I1510" s="147" t="s">
        <v>1</v>
      </c>
      <c r="J1510" s="147" t="s">
        <v>4375</v>
      </c>
      <c r="K1510" s="157">
        <f t="shared" si="196"/>
        <v>100</v>
      </c>
      <c r="L1510" s="157">
        <f t="shared" si="197"/>
        <v>200</v>
      </c>
      <c r="M1510" s="157">
        <f t="shared" si="198"/>
        <v>300</v>
      </c>
      <c r="N1510" s="157">
        <f t="shared" si="199"/>
        <v>400</v>
      </c>
      <c r="O1510" s="587"/>
      <c r="P1510" s="967"/>
      <c r="Q1510" s="586"/>
      <c r="R1510" s="968"/>
      <c r="S1510" s="589"/>
      <c r="T1510" s="589"/>
      <c r="U1510" s="589"/>
    </row>
    <row r="1511" spans="1:22" ht="15" thickBot="1" x14ac:dyDescent="0.4">
      <c r="A1511" s="123"/>
      <c r="B1511" s="35"/>
      <c r="C1511" s="151"/>
      <c r="D1511" s="1687" t="s">
        <v>5375</v>
      </c>
      <c r="E1511" s="1688"/>
      <c r="F1511" s="152" t="s">
        <v>4695</v>
      </c>
      <c r="G1511" s="153">
        <f t="shared" ref="G1511:G1512" si="204">IF($H$2=1,S1511,IF($H$2=2,T1511,U1511))</f>
        <v>0.35</v>
      </c>
      <c r="H1511" s="226">
        <f>'RH Mobilität'!J59</f>
        <v>0</v>
      </c>
      <c r="I1511" s="155"/>
      <c r="J1511" s="156"/>
      <c r="K1511" s="157">
        <f t="shared" si="196"/>
        <v>100</v>
      </c>
      <c r="L1511" s="157">
        <f t="shared" si="197"/>
        <v>200</v>
      </c>
      <c r="M1511" s="157">
        <f t="shared" si="198"/>
        <v>300</v>
      </c>
      <c r="N1511" s="157">
        <f t="shared" si="199"/>
        <v>400</v>
      </c>
      <c r="O1511" s="967" t="str">
        <f>CONCATENATE(O1508," | ",F1511)</f>
        <v xml:space="preserve">F.2.1 Abstellanlagen für Fahrräder | Rechenhilfe: Anzahl der Fahrradabstellplätze je Nutzung </v>
      </c>
      <c r="P1511" s="1053"/>
      <c r="Q1511" s="1054"/>
      <c r="R1511" s="968"/>
      <c r="S1511" s="588">
        <v>0</v>
      </c>
      <c r="T1511" s="588">
        <v>0.25</v>
      </c>
      <c r="U1511" s="588">
        <v>0.35</v>
      </c>
    </row>
    <row r="1512" spans="1:22" ht="36" x14ac:dyDescent="0.35">
      <c r="A1512" s="123"/>
      <c r="B1512" s="35"/>
      <c r="C1512" s="151"/>
      <c r="D1512" s="1687"/>
      <c r="E1512" s="1688"/>
      <c r="F1512" s="239" t="s">
        <v>4527</v>
      </c>
      <c r="G1512" s="153">
        <f t="shared" si="204"/>
        <v>0.65</v>
      </c>
      <c r="H1512" s="1066">
        <f>VLOOKUP(F1512,$P$1512:$Q$1515,2,0)*G1512/65%</f>
        <v>0</v>
      </c>
      <c r="I1512" s="158"/>
      <c r="J1512" s="156"/>
      <c r="K1512" s="157">
        <f t="shared" si="196"/>
        <v>100</v>
      </c>
      <c r="L1512" s="157">
        <f t="shared" si="197"/>
        <v>200</v>
      </c>
      <c r="M1512" s="157">
        <f t="shared" si="198"/>
        <v>300</v>
      </c>
      <c r="N1512" s="157">
        <f t="shared" si="199"/>
        <v>400</v>
      </c>
      <c r="O1512" s="1051" t="str">
        <f>CONCATENATE(O1508," | ",F1512)</f>
        <v>F.2.1 Abstellanlagen für Fahrräder | Weniger als 1/3 der Fahrradabstellplätze sind bei den Eingängen der Gebäude angeordnet und weniger als zwei Anforderungen sind in guter Qualität erfüllt</v>
      </c>
      <c r="P1512" s="1057" t="s">
        <v>4527</v>
      </c>
      <c r="Q1512" s="1058">
        <v>0</v>
      </c>
      <c r="R1512" s="1052"/>
      <c r="S1512" s="588">
        <v>0</v>
      </c>
      <c r="T1512" s="588">
        <v>0.45</v>
      </c>
      <c r="U1512" s="588">
        <v>0.65</v>
      </c>
    </row>
    <row r="1513" spans="1:22" x14ac:dyDescent="0.35">
      <c r="A1513" s="123"/>
      <c r="B1513" s="35"/>
      <c r="C1513" s="151"/>
      <c r="D1513" s="1687"/>
      <c r="E1513" s="1688"/>
      <c r="F1513" s="159"/>
      <c r="G1513" s="160"/>
      <c r="H1513" s="161"/>
      <c r="I1513" s="166"/>
      <c r="J1513" s="164"/>
      <c r="K1513" s="157">
        <f t="shared" si="196"/>
        <v>100</v>
      </c>
      <c r="L1513" s="157">
        <f t="shared" si="197"/>
        <v>200</v>
      </c>
      <c r="M1513" s="157">
        <f t="shared" si="198"/>
        <v>300</v>
      </c>
      <c r="N1513" s="157">
        <f t="shared" si="199"/>
        <v>400</v>
      </c>
      <c r="O1513" s="1051"/>
      <c r="P1513" s="1059" t="s">
        <v>4528</v>
      </c>
      <c r="Q1513" s="1060">
        <v>0.3</v>
      </c>
      <c r="R1513" s="1052"/>
      <c r="S1513" s="588"/>
      <c r="T1513" s="588"/>
      <c r="U1513" s="588"/>
      <c r="V1513" s="772"/>
    </row>
    <row r="1514" spans="1:22" x14ac:dyDescent="0.35">
      <c r="A1514" s="123">
        <v>3.2</v>
      </c>
      <c r="B1514" s="35"/>
      <c r="C1514" s="151"/>
      <c r="D1514" s="1687"/>
      <c r="E1514" s="1688"/>
      <c r="F1514" s="593" t="str">
        <f>IF($G$2=1,R1514,"Weiteres Kriterium in der Nutzung")</f>
        <v>Weiteres Kriterium in der Nutzung</v>
      </c>
      <c r="G1514" s="153">
        <f t="shared" ref="G1514:G1516" si="205">IF($H$2=1,S1514,IF($H$2=2,T1514,U1514))</f>
        <v>0</v>
      </c>
      <c r="H1514" s="154"/>
      <c r="I1514" s="158"/>
      <c r="J1514" s="156"/>
      <c r="K1514" s="157">
        <f t="shared" si="196"/>
        <v>100</v>
      </c>
      <c r="L1514" s="157">
        <f t="shared" si="197"/>
        <v>200</v>
      </c>
      <c r="M1514" s="157">
        <f t="shared" si="198"/>
        <v>300</v>
      </c>
      <c r="N1514" s="157">
        <f t="shared" si="199"/>
        <v>400</v>
      </c>
      <c r="O1514" s="1051" t="str">
        <f>CONCATENATE(O1508," | ",F1514)</f>
        <v>F.2.1 Abstellanlagen für Fahrräder | Weiteres Kriterium in der Nutzung</v>
      </c>
      <c r="P1514" s="1059" t="s">
        <v>4529</v>
      </c>
      <c r="Q1514" s="1060">
        <v>0.5</v>
      </c>
      <c r="R1514" s="1052" t="s">
        <v>5338</v>
      </c>
      <c r="S1514" s="588">
        <v>0.33</v>
      </c>
      <c r="T1514" s="588">
        <v>0.1</v>
      </c>
      <c r="U1514" s="588">
        <v>0</v>
      </c>
      <c r="V1514" s="772"/>
    </row>
    <row r="1515" spans="1:22" ht="15" thickBot="1" x14ac:dyDescent="0.4">
      <c r="A1515" s="123"/>
      <c r="B1515" s="35"/>
      <c r="C1515" s="151"/>
      <c r="D1515" s="1687"/>
      <c r="E1515" s="1688"/>
      <c r="F1515" s="593" t="str">
        <f t="shared" ref="F1515:F1516" si="206">IF($G$2=1,R1515,"Weiteres Kriterium in der Nutzung")</f>
        <v>Weiteres Kriterium in der Nutzung</v>
      </c>
      <c r="G1515" s="153">
        <f t="shared" si="205"/>
        <v>0</v>
      </c>
      <c r="H1515" s="154"/>
      <c r="I1515" s="158"/>
      <c r="J1515" s="156"/>
      <c r="K1515" s="157">
        <f t="shared" si="196"/>
        <v>100</v>
      </c>
      <c r="L1515" s="157">
        <f t="shared" si="197"/>
        <v>200</v>
      </c>
      <c r="M1515" s="157">
        <f t="shared" si="198"/>
        <v>300</v>
      </c>
      <c r="N1515" s="157">
        <f t="shared" si="199"/>
        <v>400</v>
      </c>
      <c r="O1515" s="1051" t="str">
        <f>CONCATENATE(O1508," | ",F1515)</f>
        <v>F.2.1 Abstellanlagen für Fahrräder | Weiteres Kriterium in der Nutzung</v>
      </c>
      <c r="P1515" s="1061" t="s">
        <v>4530</v>
      </c>
      <c r="Q1515" s="1062">
        <v>0.65</v>
      </c>
      <c r="R1515" s="1052" t="s">
        <v>5330</v>
      </c>
      <c r="S1515" s="588">
        <v>0.33</v>
      </c>
      <c r="T1515" s="588">
        <v>0.1</v>
      </c>
      <c r="U1515" s="588">
        <v>0</v>
      </c>
    </row>
    <row r="1516" spans="1:22" x14ac:dyDescent="0.35">
      <c r="A1516" s="116"/>
      <c r="B1516" s="35"/>
      <c r="C1516" s="117"/>
      <c r="D1516" s="1687"/>
      <c r="E1516" s="1688"/>
      <c r="F1516" s="593" t="str">
        <f t="shared" si="206"/>
        <v>Weiteres Kriterium in der Nutzung</v>
      </c>
      <c r="G1516" s="153">
        <f t="shared" si="205"/>
        <v>0</v>
      </c>
      <c r="H1516" s="154"/>
      <c r="I1516" s="158"/>
      <c r="J1516" s="156"/>
      <c r="K1516" s="157">
        <f t="shared" si="196"/>
        <v>100</v>
      </c>
      <c r="L1516" s="157">
        <f t="shared" si="197"/>
        <v>200</v>
      </c>
      <c r="M1516" s="157">
        <f t="shared" si="198"/>
        <v>300</v>
      </c>
      <c r="N1516" s="157">
        <f t="shared" si="199"/>
        <v>400</v>
      </c>
      <c r="O1516" s="967" t="str">
        <f>CONCATENATE(O1508," | ",F1516)</f>
        <v>F.2.1 Abstellanlagen für Fahrräder | Weiteres Kriterium in der Nutzung</v>
      </c>
      <c r="P1516" s="1055"/>
      <c r="Q1516" s="1064"/>
      <c r="R1516" s="968" t="s">
        <v>5337</v>
      </c>
      <c r="S1516" s="588">
        <v>0.34</v>
      </c>
      <c r="T1516" s="588">
        <v>0.1</v>
      </c>
      <c r="U1516" s="588">
        <v>0</v>
      </c>
    </row>
    <row r="1517" spans="1:22" x14ac:dyDescent="0.35">
      <c r="A1517" s="116"/>
      <c r="B1517" s="35"/>
      <c r="C1517" s="117"/>
      <c r="D1517" s="1687"/>
      <c r="E1517" s="1688"/>
      <c r="F1517" s="543" t="s">
        <v>4912</v>
      </c>
      <c r="G1517" s="160"/>
      <c r="H1517" s="161"/>
      <c r="I1517" s="611"/>
      <c r="J1517" s="164"/>
      <c r="K1517" s="157">
        <f t="shared" ref="K1517:K1580" si="207">IF($J1517=$K$41,K1516+1,K1516+0)</f>
        <v>100</v>
      </c>
      <c r="L1517" s="157">
        <f t="shared" ref="L1517:L1580" si="208">IF($J1517=$L$41,L1516+1,L1516+0)</f>
        <v>200</v>
      </c>
      <c r="M1517" s="157">
        <f t="shared" ref="M1517:M1580" si="209">IF($J1517=$M$41,M1516+1,M1516+0)</f>
        <v>300</v>
      </c>
      <c r="N1517" s="157">
        <f t="shared" ref="N1517:N1580" si="210">IF($J1517=$N$41,N1516+1,N1516+0)</f>
        <v>400</v>
      </c>
      <c r="O1517" s="959"/>
      <c r="P1517" s="967"/>
      <c r="Q1517" s="586"/>
      <c r="R1517" s="968"/>
      <c r="S1517" s="589"/>
      <c r="T1517" s="589"/>
      <c r="U1517" s="589"/>
    </row>
    <row r="1518" spans="1:22" x14ac:dyDescent="0.35">
      <c r="A1518" s="116"/>
      <c r="B1518" s="35"/>
      <c r="C1518" s="117"/>
      <c r="D1518" s="1687"/>
      <c r="E1518" s="1688"/>
      <c r="F1518" s="543" t="s">
        <v>4913</v>
      </c>
      <c r="G1518" s="160"/>
      <c r="H1518" s="161"/>
      <c r="I1518" s="611"/>
      <c r="J1518" s="164"/>
      <c r="K1518" s="157">
        <f t="shared" si="207"/>
        <v>100</v>
      </c>
      <c r="L1518" s="157">
        <f t="shared" si="208"/>
        <v>200</v>
      </c>
      <c r="M1518" s="157">
        <f t="shared" si="209"/>
        <v>300</v>
      </c>
      <c r="N1518" s="157">
        <f t="shared" si="210"/>
        <v>400</v>
      </c>
      <c r="O1518" s="959"/>
      <c r="P1518" s="967"/>
      <c r="Q1518" s="586"/>
      <c r="R1518" s="968"/>
      <c r="S1518" s="589"/>
      <c r="T1518" s="589"/>
      <c r="U1518" s="589"/>
    </row>
    <row r="1519" spans="1:22" x14ac:dyDescent="0.35">
      <c r="A1519" s="123"/>
      <c r="B1519" s="35"/>
      <c r="C1519" s="151"/>
      <c r="D1519" s="1687"/>
      <c r="E1519" s="1688"/>
      <c r="F1519" s="549" t="s">
        <v>4914</v>
      </c>
      <c r="G1519" s="160"/>
      <c r="H1519" s="161"/>
      <c r="I1519" s="612"/>
      <c r="J1519" s="167"/>
      <c r="K1519" s="157">
        <f t="shared" si="207"/>
        <v>100</v>
      </c>
      <c r="L1519" s="157">
        <f t="shared" si="208"/>
        <v>200</v>
      </c>
      <c r="M1519" s="157">
        <f t="shared" si="209"/>
        <v>300</v>
      </c>
      <c r="N1519" s="157">
        <f t="shared" si="210"/>
        <v>400</v>
      </c>
      <c r="O1519" s="959"/>
      <c r="P1519" s="967"/>
      <c r="Q1519" s="586"/>
      <c r="R1519" s="968"/>
      <c r="S1519" s="589"/>
      <c r="T1519" s="589"/>
      <c r="U1519" s="589"/>
    </row>
    <row r="1520" spans="1:22" x14ac:dyDescent="0.35">
      <c r="A1520" s="116"/>
      <c r="B1520" s="35"/>
      <c r="C1520" s="117"/>
      <c r="D1520" s="1687"/>
      <c r="E1520" s="1688"/>
      <c r="F1520" s="543" t="s">
        <v>4915</v>
      </c>
      <c r="G1520" s="160"/>
      <c r="H1520" s="168"/>
      <c r="I1520" s="611"/>
      <c r="J1520" s="164"/>
      <c r="K1520" s="157">
        <f t="shared" si="207"/>
        <v>100</v>
      </c>
      <c r="L1520" s="157">
        <f t="shared" si="208"/>
        <v>200</v>
      </c>
      <c r="M1520" s="157">
        <f t="shared" si="209"/>
        <v>300</v>
      </c>
      <c r="N1520" s="157">
        <f t="shared" si="210"/>
        <v>400</v>
      </c>
      <c r="O1520" s="959"/>
      <c r="P1520" s="967"/>
      <c r="Q1520" s="586"/>
      <c r="R1520" s="968"/>
      <c r="S1520" s="589"/>
      <c r="T1520" s="589"/>
      <c r="U1520" s="589"/>
    </row>
    <row r="1521" spans="1:21" x14ac:dyDescent="0.35">
      <c r="A1521" s="116"/>
      <c r="B1521" s="117"/>
      <c r="C1521" s="117"/>
      <c r="D1521" s="1687"/>
      <c r="E1521" s="1688"/>
      <c r="F1521" s="543" t="s">
        <v>4940</v>
      </c>
      <c r="G1521" s="160"/>
      <c r="H1521" s="168"/>
      <c r="I1521" s="611"/>
      <c r="J1521" s="164"/>
      <c r="K1521" s="157">
        <f t="shared" si="207"/>
        <v>100</v>
      </c>
      <c r="L1521" s="157">
        <f t="shared" si="208"/>
        <v>200</v>
      </c>
      <c r="M1521" s="157">
        <f t="shared" si="209"/>
        <v>300</v>
      </c>
      <c r="N1521" s="157">
        <f t="shared" si="210"/>
        <v>400</v>
      </c>
      <c r="O1521" s="959"/>
      <c r="P1521" s="967"/>
      <c r="Q1521" s="586"/>
      <c r="R1521" s="968"/>
      <c r="S1521" s="589"/>
      <c r="T1521" s="589"/>
      <c r="U1521" s="589"/>
    </row>
    <row r="1522" spans="1:21" x14ac:dyDescent="0.35">
      <c r="A1522" s="116"/>
      <c r="B1522" s="117"/>
      <c r="C1522" s="117"/>
      <c r="D1522" s="1687"/>
      <c r="E1522" s="1688"/>
      <c r="F1522" s="544" t="s">
        <v>4916</v>
      </c>
      <c r="G1522" s="170"/>
      <c r="H1522" s="171"/>
      <c r="I1522" s="613"/>
      <c r="J1522" s="173"/>
      <c r="K1522" s="157">
        <f t="shared" si="207"/>
        <v>100</v>
      </c>
      <c r="L1522" s="157">
        <f t="shared" si="208"/>
        <v>200</v>
      </c>
      <c r="M1522" s="157">
        <f t="shared" si="209"/>
        <v>300</v>
      </c>
      <c r="N1522" s="157">
        <f t="shared" si="210"/>
        <v>400</v>
      </c>
      <c r="O1522" s="959"/>
      <c r="P1522" s="967"/>
      <c r="Q1522" s="586"/>
      <c r="R1522" s="968"/>
      <c r="S1522" s="589"/>
      <c r="T1522" s="589"/>
      <c r="U1522" s="589"/>
    </row>
    <row r="1523" spans="1:21" ht="28.5" customHeight="1" x14ac:dyDescent="0.35">
      <c r="A1523" s="116"/>
      <c r="B1523" s="117"/>
      <c r="C1523" s="117"/>
      <c r="D1523" s="174"/>
      <c r="E1523" s="175"/>
      <c r="F1523" s="1689" t="s">
        <v>2</v>
      </c>
      <c r="G1523" s="1689"/>
      <c r="H1523" s="176">
        <f>IF(O1523&gt;1,"Zielerreichung übersteigt 100%!",O1523)</f>
        <v>0</v>
      </c>
      <c r="I1523" s="177"/>
      <c r="J1523" s="178"/>
      <c r="K1523" s="157">
        <f t="shared" si="207"/>
        <v>100</v>
      </c>
      <c r="L1523" s="157">
        <f t="shared" si="208"/>
        <v>200</v>
      </c>
      <c r="M1523" s="157">
        <f t="shared" si="209"/>
        <v>300</v>
      </c>
      <c r="N1523" s="157">
        <f t="shared" si="210"/>
        <v>400</v>
      </c>
      <c r="O1523" s="959">
        <f>SUM(H1511:H1522)</f>
        <v>0</v>
      </c>
      <c r="P1523" s="967"/>
      <c r="Q1523" s="586"/>
      <c r="R1523" s="968"/>
      <c r="S1523" s="589"/>
      <c r="T1523" s="589"/>
      <c r="U1523" s="589"/>
    </row>
    <row r="1524" spans="1:21" x14ac:dyDescent="0.35">
      <c r="A1524" s="116"/>
      <c r="B1524" s="117"/>
      <c r="C1524" s="117"/>
      <c r="D1524" s="179"/>
      <c r="E1524" s="180"/>
      <c r="F1524" s="1690" t="s">
        <v>3</v>
      </c>
      <c r="G1524" s="1691"/>
      <c r="H1524" s="181">
        <v>17</v>
      </c>
      <c r="I1524" s="177"/>
      <c r="J1524" s="178"/>
      <c r="K1524" s="157">
        <f t="shared" si="207"/>
        <v>100</v>
      </c>
      <c r="L1524" s="157">
        <f t="shared" si="208"/>
        <v>200</v>
      </c>
      <c r="M1524" s="157">
        <f t="shared" si="209"/>
        <v>300</v>
      </c>
      <c r="N1524" s="157">
        <f t="shared" si="210"/>
        <v>400</v>
      </c>
      <c r="O1524" s="1030"/>
      <c r="P1524" s="967"/>
      <c r="Q1524" s="586"/>
      <c r="R1524" s="968"/>
      <c r="S1524" s="589"/>
      <c r="T1524" s="589"/>
      <c r="U1524" s="589"/>
    </row>
    <row r="1525" spans="1:21" x14ac:dyDescent="0.35">
      <c r="A1525" s="116"/>
      <c r="B1525" s="117"/>
      <c r="C1525" s="117"/>
      <c r="D1525" s="179"/>
      <c r="E1525" s="180"/>
      <c r="F1525" s="1692"/>
      <c r="G1525" s="1693"/>
      <c r="H1525" s="182"/>
      <c r="I1525" s="183"/>
      <c r="J1525" s="178"/>
      <c r="K1525" s="157">
        <f t="shared" si="207"/>
        <v>100</v>
      </c>
      <c r="L1525" s="157">
        <f t="shared" si="208"/>
        <v>200</v>
      </c>
      <c r="M1525" s="157">
        <f t="shared" si="209"/>
        <v>300</v>
      </c>
      <c r="N1525" s="157">
        <f t="shared" si="210"/>
        <v>400</v>
      </c>
      <c r="O1525" s="1030"/>
      <c r="P1525" s="967"/>
      <c r="Q1525" s="586"/>
      <c r="R1525" s="968"/>
      <c r="S1525" s="589"/>
      <c r="T1525" s="589"/>
      <c r="U1525" s="589"/>
    </row>
    <row r="1526" spans="1:21" x14ac:dyDescent="0.35">
      <c r="A1526" s="184"/>
      <c r="B1526" s="185"/>
      <c r="C1526" s="185"/>
      <c r="D1526" s="179"/>
      <c r="E1526" s="180"/>
      <c r="F1526" s="186"/>
      <c r="G1526" s="186"/>
      <c r="H1526" s="187"/>
      <c r="I1526" s="177"/>
      <c r="J1526" s="178"/>
      <c r="K1526" s="157">
        <f t="shared" si="207"/>
        <v>100</v>
      </c>
      <c r="L1526" s="157">
        <f t="shared" si="208"/>
        <v>200</v>
      </c>
      <c r="M1526" s="157">
        <f t="shared" si="209"/>
        <v>300</v>
      </c>
      <c r="N1526" s="157">
        <f t="shared" si="210"/>
        <v>400</v>
      </c>
      <c r="O1526" s="1030"/>
      <c r="P1526" s="967"/>
      <c r="Q1526" s="586"/>
      <c r="R1526" s="968"/>
      <c r="S1526" s="589"/>
      <c r="T1526" s="589"/>
      <c r="U1526" s="589"/>
    </row>
    <row r="1527" spans="1:21" ht="15.75" customHeight="1" x14ac:dyDescent="0.35">
      <c r="A1527" s="116"/>
      <c r="B1527" s="185"/>
      <c r="C1527" s="1697"/>
      <c r="D1527" s="1698"/>
      <c r="E1527" s="286"/>
      <c r="F1527" s="1699" t="s">
        <v>5</v>
      </c>
      <c r="G1527" s="1699"/>
      <c r="H1527" s="287">
        <f>IF(ISNUMBER(I1525),H1525*H1523,H1524*H1523)</f>
        <v>0</v>
      </c>
      <c r="I1527" s="288"/>
      <c r="J1527" s="289"/>
      <c r="K1527" s="157">
        <f t="shared" si="207"/>
        <v>100</v>
      </c>
      <c r="L1527" s="157">
        <f t="shared" si="208"/>
        <v>200</v>
      </c>
      <c r="M1527" s="157">
        <f t="shared" si="209"/>
        <v>300</v>
      </c>
      <c r="N1527" s="157">
        <f t="shared" si="210"/>
        <v>400</v>
      </c>
      <c r="O1527" s="1030"/>
      <c r="P1527" s="967"/>
      <c r="Q1527" s="586"/>
      <c r="R1527" s="968"/>
      <c r="S1527" s="589"/>
      <c r="T1527" s="589"/>
      <c r="U1527" s="589"/>
    </row>
    <row r="1528" spans="1:21" x14ac:dyDescent="0.35">
      <c r="K1528" s="157">
        <f t="shared" si="207"/>
        <v>100</v>
      </c>
      <c r="L1528" s="157">
        <f t="shared" si="208"/>
        <v>200</v>
      </c>
      <c r="M1528" s="157">
        <f t="shared" si="209"/>
        <v>300</v>
      </c>
      <c r="N1528" s="157">
        <f t="shared" si="210"/>
        <v>400</v>
      </c>
      <c r="O1528" s="967"/>
      <c r="P1528" s="967"/>
      <c r="Q1528" s="586"/>
      <c r="R1528" s="968"/>
      <c r="S1528" s="589"/>
      <c r="T1528" s="589"/>
      <c r="U1528" s="589"/>
    </row>
    <row r="1529" spans="1:21" ht="7.5" customHeight="1" x14ac:dyDescent="0.35">
      <c r="A1529" s="116"/>
      <c r="B1529" s="117"/>
      <c r="C1529" s="117"/>
      <c r="D1529" s="116"/>
      <c r="E1529" s="116"/>
      <c r="F1529" s="118"/>
      <c r="G1529" s="119"/>
      <c r="H1529" s="116"/>
      <c r="I1529" s="120"/>
      <c r="J1529" s="121"/>
      <c r="K1529" s="157">
        <f t="shared" si="207"/>
        <v>100</v>
      </c>
      <c r="L1529" s="157">
        <f t="shared" si="208"/>
        <v>200</v>
      </c>
      <c r="M1529" s="157">
        <f t="shared" si="209"/>
        <v>300</v>
      </c>
      <c r="N1529" s="157">
        <f t="shared" si="210"/>
        <v>400</v>
      </c>
      <c r="O1529" s="968"/>
      <c r="P1529" s="968"/>
      <c r="Q1529" s="586"/>
      <c r="R1529" s="968"/>
      <c r="S1529" s="589"/>
      <c r="T1529" s="589"/>
      <c r="U1529" s="589"/>
    </row>
    <row r="1530" spans="1:21" ht="15.5" x14ac:dyDescent="0.35">
      <c r="A1530" s="124"/>
      <c r="B1530" s="125"/>
      <c r="C1530" s="126" t="s">
        <v>4844</v>
      </c>
      <c r="D1530" s="127" t="s">
        <v>5464</v>
      </c>
      <c r="E1530" s="128"/>
      <c r="F1530" s="129" t="str">
        <f>IF($F$3=1,O1530,"")</f>
        <v>F.2.2 Fuß- und Radwegnetz</v>
      </c>
      <c r="G1530" s="204"/>
      <c r="H1530" s="205"/>
      <c r="I1530" s="520" t="s">
        <v>23</v>
      </c>
      <c r="J1530" s="130"/>
      <c r="K1530" s="157">
        <f t="shared" si="207"/>
        <v>100</v>
      </c>
      <c r="L1530" s="157">
        <f t="shared" si="208"/>
        <v>200</v>
      </c>
      <c r="M1530" s="157">
        <f t="shared" si="209"/>
        <v>300</v>
      </c>
      <c r="N1530" s="157">
        <f t="shared" si="210"/>
        <v>400</v>
      </c>
      <c r="O1530" s="967" t="str">
        <f>CONCATENATE(C1530," ",D1530)</f>
        <v>F.2.2 Fuß- und Radwegnetz</v>
      </c>
      <c r="P1530" s="966"/>
      <c r="Q1530" s="586"/>
      <c r="R1530" s="968"/>
      <c r="S1530" s="589"/>
      <c r="T1530" s="589"/>
      <c r="U1530" s="589"/>
    </row>
    <row r="1531" spans="1:21" x14ac:dyDescent="0.35">
      <c r="A1531" s="124"/>
      <c r="B1531" s="134"/>
      <c r="C1531" s="135"/>
      <c r="D1531" s="136"/>
      <c r="E1531" s="136"/>
      <c r="F1531" s="137"/>
      <c r="G1531" s="138"/>
      <c r="H1531" s="124"/>
      <c r="I1531" s="139"/>
      <c r="J1531" s="140"/>
      <c r="K1531" s="157">
        <f t="shared" si="207"/>
        <v>100</v>
      </c>
      <c r="L1531" s="157">
        <f t="shared" si="208"/>
        <v>200</v>
      </c>
      <c r="M1531" s="157">
        <f t="shared" si="209"/>
        <v>300</v>
      </c>
      <c r="N1531" s="157">
        <f t="shared" si="210"/>
        <v>400</v>
      </c>
      <c r="O1531" s="968"/>
      <c r="P1531" s="966"/>
      <c r="Q1531" s="586"/>
      <c r="R1531" s="968"/>
      <c r="S1531" s="589"/>
      <c r="T1531" s="589"/>
      <c r="U1531" s="589"/>
    </row>
    <row r="1532" spans="1:21" x14ac:dyDescent="0.35">
      <c r="A1532" s="142"/>
      <c r="B1532" s="35"/>
      <c r="C1532" s="143"/>
      <c r="D1532" s="1685" t="s">
        <v>18</v>
      </c>
      <c r="E1532" s="1686"/>
      <c r="F1532" s="144" t="s">
        <v>19</v>
      </c>
      <c r="G1532" s="145" t="s">
        <v>0</v>
      </c>
      <c r="H1532" s="146" t="s">
        <v>20</v>
      </c>
      <c r="I1532" s="147" t="s">
        <v>1</v>
      </c>
      <c r="J1532" s="147" t="s">
        <v>4375</v>
      </c>
      <c r="K1532" s="157">
        <f t="shared" si="207"/>
        <v>100</v>
      </c>
      <c r="L1532" s="157">
        <f t="shared" si="208"/>
        <v>200</v>
      </c>
      <c r="M1532" s="157">
        <f t="shared" si="209"/>
        <v>300</v>
      </c>
      <c r="N1532" s="157">
        <f t="shared" si="210"/>
        <v>400</v>
      </c>
      <c r="O1532" s="587"/>
      <c r="P1532" s="967"/>
      <c r="Q1532" s="586"/>
      <c r="R1532" s="968"/>
      <c r="S1532" s="589"/>
      <c r="T1532" s="589"/>
      <c r="U1532" s="589"/>
    </row>
    <row r="1533" spans="1:21" ht="60" x14ac:dyDescent="0.35">
      <c r="A1533" s="123"/>
      <c r="B1533" s="35"/>
      <c r="C1533" s="151"/>
      <c r="D1533" s="1687" t="s">
        <v>5374</v>
      </c>
      <c r="E1533" s="1688"/>
      <c r="F1533" s="152" t="s">
        <v>5652</v>
      </c>
      <c r="G1533" s="153">
        <f t="shared" ref="G1533:G1534" si="211">IF($H$2=1,S1533,IF($H$2=2,T1533,U1533))</f>
        <v>0.5</v>
      </c>
      <c r="H1533" s="226">
        <f>'RH Mobilität'!J73</f>
        <v>0</v>
      </c>
      <c r="I1533" s="158"/>
      <c r="J1533" s="156"/>
      <c r="K1533" s="157">
        <f t="shared" si="207"/>
        <v>100</v>
      </c>
      <c r="L1533" s="157">
        <f t="shared" si="208"/>
        <v>200</v>
      </c>
      <c r="M1533" s="157">
        <f t="shared" si="209"/>
        <v>300</v>
      </c>
      <c r="N1533" s="157">
        <f t="shared" si="210"/>
        <v>400</v>
      </c>
      <c r="O1533" s="967" t="str">
        <f>CONCATENATE(O1530," | ",F1533)</f>
        <v>F.2.2 Fuß- und Radwegnetz | Rechenhilfe: (Anteil gut erschlossener Flächen mit FUSSwegen am Areal / Fläche des gesamten Areals) * 0,75 + (Anteil gut erschlossener Flächen mit Fußwegen 300 Meter außerhalb des Areals / Fläche des gesamten Areals 300 Meter außerhalb) * 0,25</v>
      </c>
      <c r="P1533" s="967"/>
      <c r="Q1533" s="586"/>
      <c r="R1533" s="968"/>
      <c r="S1533" s="595">
        <v>0</v>
      </c>
      <c r="T1533" s="595">
        <v>0.35</v>
      </c>
      <c r="U1533" s="595">
        <v>0.5</v>
      </c>
    </row>
    <row r="1534" spans="1:21" ht="60" x14ac:dyDescent="0.35">
      <c r="A1534" s="123"/>
      <c r="B1534" s="35"/>
      <c r="C1534" s="151"/>
      <c r="D1534" s="1687"/>
      <c r="E1534" s="1688"/>
      <c r="F1534" s="152" t="s">
        <v>5651</v>
      </c>
      <c r="G1534" s="153">
        <f t="shared" si="211"/>
        <v>0.5</v>
      </c>
      <c r="H1534" s="226">
        <f>'RH Mobilität'!J87</f>
        <v>0</v>
      </c>
      <c r="I1534" s="158"/>
      <c r="J1534" s="156"/>
      <c r="K1534" s="157">
        <f t="shared" si="207"/>
        <v>100</v>
      </c>
      <c r="L1534" s="157">
        <f t="shared" si="208"/>
        <v>200</v>
      </c>
      <c r="M1534" s="157">
        <f t="shared" si="209"/>
        <v>300</v>
      </c>
      <c r="N1534" s="157">
        <f t="shared" si="210"/>
        <v>400</v>
      </c>
      <c r="O1534" s="967" t="str">
        <f>CONCATENATE(O1530," | ",F1534)</f>
        <v>F.2.2 Fuß- und Radwegnetz | Rechenhilfe: (Anteil gut erschlossener Flächen mit RADwegen am Areal / Fläche des gesamten Areals) * 0,75 + (Anteil gut erschlossener Flächen mit Radwegen 300 Meter außerhalb des Areals / Fläche des gesamten Areals 300 Meter außerhalb) * 0,25</v>
      </c>
      <c r="P1534" s="967"/>
      <c r="Q1534" s="586"/>
      <c r="R1534" s="968"/>
      <c r="S1534" s="595">
        <v>0</v>
      </c>
      <c r="T1534" s="595">
        <v>0.35</v>
      </c>
      <c r="U1534" s="595">
        <v>0.5</v>
      </c>
    </row>
    <row r="1535" spans="1:21" x14ac:dyDescent="0.35">
      <c r="A1535" s="123"/>
      <c r="B1535" s="35"/>
      <c r="C1535" s="151"/>
      <c r="D1535" s="1687"/>
      <c r="E1535" s="1688"/>
      <c r="F1535" s="159"/>
      <c r="G1535" s="160"/>
      <c r="H1535" s="161"/>
      <c r="I1535" s="166"/>
      <c r="J1535" s="164"/>
      <c r="K1535" s="157">
        <f t="shared" si="207"/>
        <v>100</v>
      </c>
      <c r="L1535" s="157">
        <f t="shared" si="208"/>
        <v>200</v>
      </c>
      <c r="M1535" s="157">
        <f t="shared" si="209"/>
        <v>300</v>
      </c>
      <c r="N1535" s="157">
        <f t="shared" si="210"/>
        <v>400</v>
      </c>
      <c r="O1535" s="967"/>
      <c r="P1535" s="967"/>
      <c r="Q1535" s="586"/>
      <c r="R1535" s="968"/>
      <c r="S1535" s="589"/>
      <c r="T1535" s="589"/>
      <c r="U1535" s="589"/>
    </row>
    <row r="1536" spans="1:21" x14ac:dyDescent="0.35">
      <c r="A1536" s="123">
        <v>3.2</v>
      </c>
      <c r="B1536" s="35"/>
      <c r="C1536" s="151"/>
      <c r="D1536" s="1687"/>
      <c r="E1536" s="1688"/>
      <c r="F1536" s="593" t="str">
        <f>IF($G$2=1,R1536,"Weiteres Kriterium in der Nutzung")</f>
        <v>Weiteres Kriterium in der Nutzung</v>
      </c>
      <c r="G1536" s="153">
        <f t="shared" ref="G1536:G1538" si="212">IF($H$2=1,S1536,IF($H$2=2,T1536,U1536))</f>
        <v>0</v>
      </c>
      <c r="H1536" s="154"/>
      <c r="I1536" s="158"/>
      <c r="J1536" s="156"/>
      <c r="K1536" s="157">
        <f t="shared" si="207"/>
        <v>100</v>
      </c>
      <c r="L1536" s="157">
        <f t="shared" si="208"/>
        <v>200</v>
      </c>
      <c r="M1536" s="157">
        <f t="shared" si="209"/>
        <v>300</v>
      </c>
      <c r="N1536" s="157">
        <f t="shared" si="210"/>
        <v>400</v>
      </c>
      <c r="O1536" s="967" t="str">
        <f>CONCATENATE(O1530," | ",F1536)</f>
        <v>F.2.2 Fuß- und Radwegnetz | Weiteres Kriterium in der Nutzung</v>
      </c>
      <c r="P1536" s="967"/>
      <c r="Q1536" s="586"/>
      <c r="R1536" s="968" t="s">
        <v>5376</v>
      </c>
      <c r="S1536" s="595">
        <v>0.33</v>
      </c>
      <c r="T1536" s="595">
        <v>0.1</v>
      </c>
      <c r="U1536" s="595">
        <v>0</v>
      </c>
    </row>
    <row r="1537" spans="1:21" x14ac:dyDescent="0.35">
      <c r="A1537" s="123"/>
      <c r="B1537" s="35"/>
      <c r="C1537" s="151"/>
      <c r="D1537" s="1687"/>
      <c r="E1537" s="1688"/>
      <c r="F1537" s="593" t="str">
        <f>IF($G$2=1,R1537,"Weiteres Kriterium in der Nutzung")</f>
        <v>Weiteres Kriterium in der Nutzung</v>
      </c>
      <c r="G1537" s="153">
        <f t="shared" si="212"/>
        <v>0</v>
      </c>
      <c r="H1537" s="154"/>
      <c r="I1537" s="158"/>
      <c r="J1537" s="156"/>
      <c r="K1537" s="157">
        <f t="shared" si="207"/>
        <v>100</v>
      </c>
      <c r="L1537" s="157">
        <f t="shared" si="208"/>
        <v>200</v>
      </c>
      <c r="M1537" s="157">
        <f t="shared" si="209"/>
        <v>300</v>
      </c>
      <c r="N1537" s="157">
        <f t="shared" si="210"/>
        <v>400</v>
      </c>
      <c r="O1537" s="967" t="str">
        <f>CONCATENATE(O1530," | ",F1537)</f>
        <v>F.2.2 Fuß- und Radwegnetz | Weiteres Kriterium in der Nutzung</v>
      </c>
      <c r="P1537" s="967"/>
      <c r="Q1537" s="586"/>
      <c r="R1537" s="968" t="s">
        <v>5330</v>
      </c>
      <c r="S1537" s="595">
        <v>0.33</v>
      </c>
      <c r="T1537" s="595">
        <v>0.1</v>
      </c>
      <c r="U1537" s="595">
        <v>0</v>
      </c>
    </row>
    <row r="1538" spans="1:21" x14ac:dyDescent="0.35">
      <c r="A1538" s="116"/>
      <c r="B1538" s="35"/>
      <c r="C1538" s="117"/>
      <c r="D1538" s="1687"/>
      <c r="E1538" s="1688"/>
      <c r="F1538" s="593" t="str">
        <f>IF($G$2=1,R1538,"Weiteres Kriterium in der Nutzung")</f>
        <v>Weiteres Kriterium in der Nutzung</v>
      </c>
      <c r="G1538" s="153">
        <f t="shared" si="212"/>
        <v>0</v>
      </c>
      <c r="H1538" s="154"/>
      <c r="I1538" s="158"/>
      <c r="J1538" s="156"/>
      <c r="K1538" s="157">
        <f t="shared" si="207"/>
        <v>100</v>
      </c>
      <c r="L1538" s="157">
        <f t="shared" si="208"/>
        <v>200</v>
      </c>
      <c r="M1538" s="157">
        <f t="shared" si="209"/>
        <v>300</v>
      </c>
      <c r="N1538" s="157">
        <f t="shared" si="210"/>
        <v>400</v>
      </c>
      <c r="O1538" s="967" t="str">
        <f>CONCATENATE(O1530," | ",F1538)</f>
        <v>F.2.2 Fuß- und Radwegnetz | Weiteres Kriterium in der Nutzung</v>
      </c>
      <c r="P1538" s="967"/>
      <c r="Q1538" s="586"/>
      <c r="R1538" s="968" t="s">
        <v>5337</v>
      </c>
      <c r="S1538" s="595">
        <v>0.34</v>
      </c>
      <c r="T1538" s="595">
        <v>0.1</v>
      </c>
      <c r="U1538" s="595">
        <v>0</v>
      </c>
    </row>
    <row r="1539" spans="1:21" x14ac:dyDescent="0.35">
      <c r="A1539" s="116"/>
      <c r="B1539" s="35"/>
      <c r="C1539" s="117"/>
      <c r="D1539" s="1687"/>
      <c r="E1539" s="1688"/>
      <c r="F1539" s="159"/>
      <c r="G1539" s="160"/>
      <c r="H1539" s="161"/>
      <c r="I1539" s="162"/>
      <c r="J1539" s="164"/>
      <c r="K1539" s="157">
        <f t="shared" si="207"/>
        <v>100</v>
      </c>
      <c r="L1539" s="157">
        <f t="shared" si="208"/>
        <v>200</v>
      </c>
      <c r="M1539" s="157">
        <f t="shared" si="209"/>
        <v>300</v>
      </c>
      <c r="N1539" s="157">
        <f t="shared" si="210"/>
        <v>400</v>
      </c>
      <c r="O1539" s="959"/>
      <c r="P1539" s="967"/>
      <c r="Q1539" s="586"/>
      <c r="R1539" s="968"/>
      <c r="S1539" s="589"/>
      <c r="T1539" s="589"/>
      <c r="U1539" s="589"/>
    </row>
    <row r="1540" spans="1:21" x14ac:dyDescent="0.35">
      <c r="A1540" s="116"/>
      <c r="B1540" s="35"/>
      <c r="C1540" s="117"/>
      <c r="D1540" s="1687"/>
      <c r="E1540" s="1688"/>
      <c r="F1540" s="159"/>
      <c r="G1540" s="160"/>
      <c r="H1540" s="161"/>
      <c r="I1540" s="162"/>
      <c r="J1540" s="164"/>
      <c r="K1540" s="157">
        <f t="shared" si="207"/>
        <v>100</v>
      </c>
      <c r="L1540" s="157">
        <f t="shared" si="208"/>
        <v>200</v>
      </c>
      <c r="M1540" s="157">
        <f t="shared" si="209"/>
        <v>300</v>
      </c>
      <c r="N1540" s="157">
        <f t="shared" si="210"/>
        <v>400</v>
      </c>
      <c r="O1540" s="959"/>
      <c r="P1540" s="967"/>
      <c r="Q1540" s="586"/>
      <c r="R1540" s="968"/>
      <c r="S1540" s="589"/>
      <c r="T1540" s="589"/>
      <c r="U1540" s="589"/>
    </row>
    <row r="1541" spans="1:21" x14ac:dyDescent="0.35">
      <c r="A1541" s="123"/>
      <c r="B1541" s="35"/>
      <c r="C1541" s="151"/>
      <c r="D1541" s="1687"/>
      <c r="E1541" s="1688"/>
      <c r="F1541" s="165"/>
      <c r="G1541" s="160"/>
      <c r="H1541" s="161"/>
      <c r="I1541" s="166"/>
      <c r="J1541" s="167"/>
      <c r="K1541" s="157">
        <f t="shared" si="207"/>
        <v>100</v>
      </c>
      <c r="L1541" s="157">
        <f t="shared" si="208"/>
        <v>200</v>
      </c>
      <c r="M1541" s="157">
        <f t="shared" si="209"/>
        <v>300</v>
      </c>
      <c r="N1541" s="157">
        <f t="shared" si="210"/>
        <v>400</v>
      </c>
      <c r="O1541" s="959"/>
      <c r="P1541" s="967"/>
      <c r="Q1541" s="586"/>
      <c r="R1541" s="968"/>
      <c r="S1541" s="589"/>
      <c r="T1541" s="589"/>
      <c r="U1541" s="589"/>
    </row>
    <row r="1542" spans="1:21" x14ac:dyDescent="0.35">
      <c r="A1542" s="116"/>
      <c r="B1542" s="35"/>
      <c r="C1542" s="117"/>
      <c r="D1542" s="1687"/>
      <c r="E1542" s="1688"/>
      <c r="F1542" s="159"/>
      <c r="G1542" s="160"/>
      <c r="H1542" s="168"/>
      <c r="I1542" s="162"/>
      <c r="J1542" s="164"/>
      <c r="K1542" s="157">
        <f t="shared" si="207"/>
        <v>100</v>
      </c>
      <c r="L1542" s="157">
        <f t="shared" si="208"/>
        <v>200</v>
      </c>
      <c r="M1542" s="157">
        <f t="shared" si="209"/>
        <v>300</v>
      </c>
      <c r="N1542" s="157">
        <f t="shared" si="210"/>
        <v>400</v>
      </c>
      <c r="O1542" s="959"/>
      <c r="P1542" s="967"/>
      <c r="Q1542" s="586"/>
      <c r="R1542" s="968"/>
      <c r="S1542" s="589"/>
      <c r="T1542" s="589"/>
      <c r="U1542" s="589"/>
    </row>
    <row r="1543" spans="1:21" x14ac:dyDescent="0.35">
      <c r="A1543" s="116"/>
      <c r="B1543" s="117"/>
      <c r="C1543" s="117"/>
      <c r="D1543" s="1687"/>
      <c r="E1543" s="1688"/>
      <c r="F1543" s="159"/>
      <c r="G1543" s="160"/>
      <c r="H1543" s="168"/>
      <c r="I1543" s="162"/>
      <c r="J1543" s="164"/>
      <c r="K1543" s="157">
        <f t="shared" si="207"/>
        <v>100</v>
      </c>
      <c r="L1543" s="157">
        <f t="shared" si="208"/>
        <v>200</v>
      </c>
      <c r="M1543" s="157">
        <f t="shared" si="209"/>
        <v>300</v>
      </c>
      <c r="N1543" s="157">
        <f t="shared" si="210"/>
        <v>400</v>
      </c>
      <c r="O1543" s="959"/>
      <c r="P1543" s="967"/>
      <c r="Q1543" s="586"/>
      <c r="R1543" s="968"/>
      <c r="S1543" s="589"/>
      <c r="T1543" s="589"/>
      <c r="U1543" s="589"/>
    </row>
    <row r="1544" spans="1:21" x14ac:dyDescent="0.35">
      <c r="A1544" s="116"/>
      <c r="B1544" s="117"/>
      <c r="C1544" s="117"/>
      <c r="D1544" s="1687"/>
      <c r="E1544" s="1688"/>
      <c r="F1544" s="169"/>
      <c r="G1544" s="170"/>
      <c r="H1544" s="171"/>
      <c r="I1544" s="172"/>
      <c r="J1544" s="173"/>
      <c r="K1544" s="157">
        <f t="shared" si="207"/>
        <v>100</v>
      </c>
      <c r="L1544" s="157">
        <f t="shared" si="208"/>
        <v>200</v>
      </c>
      <c r="M1544" s="157">
        <f t="shared" si="209"/>
        <v>300</v>
      </c>
      <c r="N1544" s="157">
        <f t="shared" si="210"/>
        <v>400</v>
      </c>
      <c r="O1544" s="959"/>
      <c r="P1544" s="967"/>
      <c r="Q1544" s="586"/>
      <c r="R1544" s="968"/>
      <c r="S1544" s="589"/>
      <c r="T1544" s="589"/>
      <c r="U1544" s="589"/>
    </row>
    <row r="1545" spans="1:21" ht="28.5" customHeight="1" x14ac:dyDescent="0.35">
      <c r="A1545" s="116"/>
      <c r="B1545" s="117"/>
      <c r="C1545" s="117"/>
      <c r="D1545" s="174"/>
      <c r="E1545" s="175"/>
      <c r="F1545" s="1689" t="s">
        <v>2</v>
      </c>
      <c r="G1545" s="1689"/>
      <c r="H1545" s="176">
        <f>IF(O1545&gt;1,"Zielerreichung übersteigt 100%!",O1545)</f>
        <v>0</v>
      </c>
      <c r="I1545" s="177"/>
      <c r="J1545" s="178"/>
      <c r="K1545" s="157">
        <f t="shared" si="207"/>
        <v>100</v>
      </c>
      <c r="L1545" s="157">
        <f t="shared" si="208"/>
        <v>200</v>
      </c>
      <c r="M1545" s="157">
        <f t="shared" si="209"/>
        <v>300</v>
      </c>
      <c r="N1545" s="157">
        <f t="shared" si="210"/>
        <v>400</v>
      </c>
      <c r="O1545" s="959">
        <f>SUM(H1533:H1544)</f>
        <v>0</v>
      </c>
      <c r="P1545" s="967"/>
      <c r="Q1545" s="586"/>
      <c r="R1545" s="968"/>
      <c r="S1545" s="589"/>
      <c r="T1545" s="589"/>
      <c r="U1545" s="589"/>
    </row>
    <row r="1546" spans="1:21" x14ac:dyDescent="0.35">
      <c r="A1546" s="116"/>
      <c r="B1546" s="117"/>
      <c r="C1546" s="117"/>
      <c r="D1546" s="179"/>
      <c r="E1546" s="180"/>
      <c r="F1546" s="1690" t="s">
        <v>3</v>
      </c>
      <c r="G1546" s="1691"/>
      <c r="H1546" s="181">
        <v>27</v>
      </c>
      <c r="I1546" s="177"/>
      <c r="J1546" s="178"/>
      <c r="K1546" s="157">
        <f t="shared" si="207"/>
        <v>100</v>
      </c>
      <c r="L1546" s="157">
        <f t="shared" si="208"/>
        <v>200</v>
      </c>
      <c r="M1546" s="157">
        <f t="shared" si="209"/>
        <v>300</v>
      </c>
      <c r="N1546" s="157">
        <f t="shared" si="210"/>
        <v>400</v>
      </c>
      <c r="O1546" s="1030"/>
      <c r="P1546" s="967"/>
      <c r="Q1546" s="586"/>
      <c r="R1546" s="968"/>
      <c r="S1546" s="589"/>
      <c r="T1546" s="589"/>
      <c r="U1546" s="589"/>
    </row>
    <row r="1547" spans="1:21" x14ac:dyDescent="0.35">
      <c r="A1547" s="116"/>
      <c r="B1547" s="117"/>
      <c r="C1547" s="117"/>
      <c r="D1547" s="179"/>
      <c r="E1547" s="180"/>
      <c r="F1547" s="1692"/>
      <c r="G1547" s="1693"/>
      <c r="H1547" s="182"/>
      <c r="I1547" s="183"/>
      <c r="J1547" s="178"/>
      <c r="K1547" s="157">
        <f t="shared" si="207"/>
        <v>100</v>
      </c>
      <c r="L1547" s="157">
        <f t="shared" si="208"/>
        <v>200</v>
      </c>
      <c r="M1547" s="157">
        <f t="shared" si="209"/>
        <v>300</v>
      </c>
      <c r="N1547" s="157">
        <f t="shared" si="210"/>
        <v>400</v>
      </c>
      <c r="O1547" s="1030"/>
      <c r="P1547" s="967"/>
      <c r="Q1547" s="586"/>
      <c r="R1547" s="968"/>
      <c r="S1547" s="589"/>
      <c r="T1547" s="589"/>
      <c r="U1547" s="589"/>
    </row>
    <row r="1548" spans="1:21" x14ac:dyDescent="0.35">
      <c r="A1548" s="184"/>
      <c r="B1548" s="185"/>
      <c r="C1548" s="185"/>
      <c r="D1548" s="179"/>
      <c r="E1548" s="180"/>
      <c r="F1548" s="186"/>
      <c r="G1548" s="186"/>
      <c r="H1548" s="187"/>
      <c r="I1548" s="177"/>
      <c r="J1548" s="178"/>
      <c r="K1548" s="157">
        <f t="shared" si="207"/>
        <v>100</v>
      </c>
      <c r="L1548" s="157">
        <f t="shared" si="208"/>
        <v>200</v>
      </c>
      <c r="M1548" s="157">
        <f t="shared" si="209"/>
        <v>300</v>
      </c>
      <c r="N1548" s="157">
        <f t="shared" si="210"/>
        <v>400</v>
      </c>
      <c r="O1548" s="1030"/>
      <c r="P1548" s="967"/>
      <c r="Q1548" s="586"/>
      <c r="R1548" s="968"/>
      <c r="S1548" s="589"/>
      <c r="T1548" s="589"/>
      <c r="U1548" s="589"/>
    </row>
    <row r="1549" spans="1:21" ht="15.75" customHeight="1" x14ac:dyDescent="0.35">
      <c r="A1549" s="116"/>
      <c r="B1549" s="185"/>
      <c r="C1549" s="1697"/>
      <c r="D1549" s="1698"/>
      <c r="E1549" s="286"/>
      <c r="F1549" s="1699" t="s">
        <v>5</v>
      </c>
      <c r="G1549" s="1699"/>
      <c r="H1549" s="287">
        <f>IF(ISNUMBER(I1547),H1547*H1545,H1546*H1545)</f>
        <v>0</v>
      </c>
      <c r="I1549" s="288"/>
      <c r="J1549" s="289"/>
      <c r="K1549" s="157">
        <f t="shared" si="207"/>
        <v>100</v>
      </c>
      <c r="L1549" s="157">
        <f t="shared" si="208"/>
        <v>200</v>
      </c>
      <c r="M1549" s="157">
        <f t="shared" si="209"/>
        <v>300</v>
      </c>
      <c r="N1549" s="157">
        <f t="shared" si="210"/>
        <v>400</v>
      </c>
      <c r="O1549" s="1030"/>
      <c r="P1549" s="967"/>
      <c r="Q1549" s="586"/>
      <c r="R1549" s="968"/>
      <c r="S1549" s="589"/>
      <c r="T1549" s="589"/>
      <c r="U1549" s="589"/>
    </row>
    <row r="1550" spans="1:21" x14ac:dyDescent="0.35">
      <c r="K1550" s="157">
        <f t="shared" si="207"/>
        <v>100</v>
      </c>
      <c r="L1550" s="157">
        <f t="shared" si="208"/>
        <v>200</v>
      </c>
      <c r="M1550" s="157">
        <f t="shared" si="209"/>
        <v>300</v>
      </c>
      <c r="N1550" s="157">
        <f t="shared" si="210"/>
        <v>400</v>
      </c>
      <c r="O1550" s="967"/>
      <c r="P1550" s="967"/>
      <c r="Q1550" s="586"/>
      <c r="R1550" s="968"/>
      <c r="S1550" s="589"/>
      <c r="T1550" s="589"/>
      <c r="U1550" s="589"/>
    </row>
    <row r="1551" spans="1:21" ht="7.5" customHeight="1" x14ac:dyDescent="0.35">
      <c r="A1551" s="116"/>
      <c r="B1551" s="117"/>
      <c r="C1551" s="117"/>
      <c r="D1551" s="116"/>
      <c r="E1551" s="116"/>
      <c r="F1551" s="118"/>
      <c r="G1551" s="119"/>
      <c r="H1551" s="116"/>
      <c r="I1551" s="120"/>
      <c r="J1551" s="121"/>
      <c r="K1551" s="157">
        <f t="shared" si="207"/>
        <v>100</v>
      </c>
      <c r="L1551" s="157">
        <f t="shared" si="208"/>
        <v>200</v>
      </c>
      <c r="M1551" s="157">
        <f t="shared" si="209"/>
        <v>300</v>
      </c>
      <c r="N1551" s="157">
        <f t="shared" si="210"/>
        <v>400</v>
      </c>
      <c r="O1551" s="968"/>
      <c r="P1551" s="968"/>
      <c r="Q1551" s="586"/>
      <c r="R1551" s="968"/>
      <c r="S1551" s="589"/>
      <c r="T1551" s="589"/>
      <c r="U1551" s="589"/>
    </row>
    <row r="1552" spans="1:21" ht="15.5" x14ac:dyDescent="0.35">
      <c r="A1552" s="124"/>
      <c r="B1552" s="125"/>
      <c r="C1552" s="126" t="s">
        <v>4845</v>
      </c>
      <c r="D1552" s="127" t="s">
        <v>5465</v>
      </c>
      <c r="E1552" s="128"/>
      <c r="F1552" s="129" t="str">
        <f>IF($F$3=1,O1552,"")</f>
        <v>F.2.3 Gestaltung und Barrierefreiheit</v>
      </c>
      <c r="G1552" s="204"/>
      <c r="H1552" s="205"/>
      <c r="I1552" s="520" t="s">
        <v>23</v>
      </c>
      <c r="J1552" s="130"/>
      <c r="K1552" s="157">
        <f t="shared" si="207"/>
        <v>100</v>
      </c>
      <c r="L1552" s="157">
        <f t="shared" si="208"/>
        <v>200</v>
      </c>
      <c r="M1552" s="157">
        <f t="shared" si="209"/>
        <v>300</v>
      </c>
      <c r="N1552" s="157">
        <f t="shared" si="210"/>
        <v>400</v>
      </c>
      <c r="O1552" s="967" t="str">
        <f>CONCATENATE(C1552," ",D1552)</f>
        <v>F.2.3 Gestaltung und Barrierefreiheit</v>
      </c>
      <c r="P1552" s="966"/>
      <c r="Q1552" s="586"/>
      <c r="R1552" s="968"/>
      <c r="S1552" s="589"/>
      <c r="T1552" s="589"/>
      <c r="U1552" s="589"/>
    </row>
    <row r="1553" spans="1:21" x14ac:dyDescent="0.35">
      <c r="A1553" s="124"/>
      <c r="B1553" s="134"/>
      <c r="C1553" s="135"/>
      <c r="D1553" s="136"/>
      <c r="E1553" s="136"/>
      <c r="F1553" s="137"/>
      <c r="G1553" s="138"/>
      <c r="H1553" s="124"/>
      <c r="I1553" s="139"/>
      <c r="J1553" s="140"/>
      <c r="K1553" s="157">
        <f t="shared" si="207"/>
        <v>100</v>
      </c>
      <c r="L1553" s="157">
        <f t="shared" si="208"/>
        <v>200</v>
      </c>
      <c r="M1553" s="157">
        <f t="shared" si="209"/>
        <v>300</v>
      </c>
      <c r="N1553" s="157">
        <f t="shared" si="210"/>
        <v>400</v>
      </c>
      <c r="O1553" s="968"/>
      <c r="P1553" s="966"/>
      <c r="Q1553" s="586"/>
      <c r="R1553" s="968"/>
      <c r="S1553" s="589"/>
      <c r="T1553" s="589"/>
      <c r="U1553" s="589"/>
    </row>
    <row r="1554" spans="1:21" ht="15" thickBot="1" x14ac:dyDescent="0.4">
      <c r="A1554" s="142"/>
      <c r="B1554" s="35"/>
      <c r="C1554" s="143"/>
      <c r="D1554" s="1685" t="s">
        <v>18</v>
      </c>
      <c r="E1554" s="1686"/>
      <c r="F1554" s="144" t="s">
        <v>19</v>
      </c>
      <c r="G1554" s="145" t="s">
        <v>0</v>
      </c>
      <c r="H1554" s="146" t="s">
        <v>20</v>
      </c>
      <c r="I1554" s="147" t="s">
        <v>1</v>
      </c>
      <c r="J1554" s="147" t="s">
        <v>4375</v>
      </c>
      <c r="K1554" s="157">
        <f t="shared" si="207"/>
        <v>100</v>
      </c>
      <c r="L1554" s="157">
        <f t="shared" si="208"/>
        <v>200</v>
      </c>
      <c r="M1554" s="157">
        <f t="shared" si="209"/>
        <v>300</v>
      </c>
      <c r="N1554" s="157">
        <f t="shared" si="210"/>
        <v>400</v>
      </c>
      <c r="O1554" s="587"/>
      <c r="P1554" s="1053"/>
      <c r="Q1554" s="1054"/>
      <c r="R1554" s="968"/>
      <c r="S1554" s="589"/>
      <c r="T1554" s="589"/>
      <c r="U1554" s="589"/>
    </row>
    <row r="1555" spans="1:21" ht="36" x14ac:dyDescent="0.35">
      <c r="A1555" s="123"/>
      <c r="B1555" s="35"/>
      <c r="C1555" s="151"/>
      <c r="D1555" s="1687" t="s">
        <v>4855</v>
      </c>
      <c r="E1555" s="1688"/>
      <c r="F1555" s="239" t="s">
        <v>4578</v>
      </c>
      <c r="G1555" s="153">
        <f t="shared" ref="G1555:G1557" si="213">IF($H$2=1,S1555,IF($H$2=2,T1555,U1555))</f>
        <v>0.3</v>
      </c>
      <c r="H1555" s="1066">
        <f>VLOOKUP(F1555,$P$1555:$Q$1558,2,0)*G1555/30%</f>
        <v>0</v>
      </c>
      <c r="I1555" s="155"/>
      <c r="J1555" s="156"/>
      <c r="K1555" s="157">
        <f t="shared" si="207"/>
        <v>100</v>
      </c>
      <c r="L1555" s="157">
        <f t="shared" si="208"/>
        <v>200</v>
      </c>
      <c r="M1555" s="157">
        <f t="shared" si="209"/>
        <v>300</v>
      </c>
      <c r="N1555" s="157">
        <f t="shared" si="210"/>
        <v>400</v>
      </c>
      <c r="O1555" s="1051" t="str">
        <f>CONCATENATE(O1552," | ",F1555)</f>
        <v>F.2.3 Gestaltung und Barrierefreiheit | Das interne Wegenetz für Fuß- und Radverkehr weist keine sichere Querungs- /Anbindungsmöglichkeiten zu den übergeordneten Fuß- und Radwegnetzen auf</v>
      </c>
      <c r="P1555" s="1057" t="s">
        <v>4578</v>
      </c>
      <c r="Q1555" s="1058">
        <v>0</v>
      </c>
      <c r="R1555" s="1052"/>
      <c r="S1555" s="595">
        <v>0</v>
      </c>
      <c r="T1555" s="595">
        <v>0.2</v>
      </c>
      <c r="U1555" s="595">
        <v>0.3</v>
      </c>
    </row>
    <row r="1556" spans="1:21" ht="48" x14ac:dyDescent="0.35">
      <c r="A1556" s="123"/>
      <c r="B1556" s="35"/>
      <c r="C1556" s="151"/>
      <c r="D1556" s="1687"/>
      <c r="E1556" s="1688"/>
      <c r="F1556" s="152" t="s">
        <v>4615</v>
      </c>
      <c r="G1556" s="153">
        <f t="shared" si="213"/>
        <v>0.35</v>
      </c>
      <c r="H1556" s="154"/>
      <c r="I1556" s="158"/>
      <c r="J1556" s="156"/>
      <c r="K1556" s="157">
        <f t="shared" si="207"/>
        <v>100</v>
      </c>
      <c r="L1556" s="157">
        <f t="shared" si="208"/>
        <v>200</v>
      </c>
      <c r="M1556" s="157">
        <f t="shared" si="209"/>
        <v>300</v>
      </c>
      <c r="N1556" s="157">
        <f t="shared" si="210"/>
        <v>400</v>
      </c>
      <c r="O1556" s="1051" t="str">
        <f>CONCATENATE(O1552," | ",F1556)</f>
        <v>F.2.3 Gestaltung und Barrierefreiheit | Erfüllungsgrad nach Flächenanteil an signalisierten Temporeduktions- und Begegnungszonen am Gesamtareal inkl. Einbezug der direkt angrenzenden Straßen</v>
      </c>
      <c r="P1556" s="1059" t="s">
        <v>4579</v>
      </c>
      <c r="Q1556" s="1060">
        <v>0.15</v>
      </c>
      <c r="R1556" s="1052"/>
      <c r="S1556" s="595">
        <v>0</v>
      </c>
      <c r="T1556" s="595">
        <v>0.25</v>
      </c>
      <c r="U1556" s="595">
        <v>0.35</v>
      </c>
    </row>
    <row r="1557" spans="1:21" ht="24" x14ac:dyDescent="0.35">
      <c r="A1557" s="123"/>
      <c r="B1557" s="35"/>
      <c r="C1557" s="151"/>
      <c r="D1557" s="1687"/>
      <c r="E1557" s="1688"/>
      <c r="F1557" s="239" t="s">
        <v>4531</v>
      </c>
      <c r="G1557" s="153">
        <f t="shared" si="213"/>
        <v>0.35</v>
      </c>
      <c r="H1557" s="1066">
        <f>VLOOKUP(F1557,$P$1559:$Q$1562,2,0)*G1557/35%</f>
        <v>0</v>
      </c>
      <c r="I1557" s="158"/>
      <c r="J1557" s="156"/>
      <c r="K1557" s="157">
        <f t="shared" si="207"/>
        <v>100</v>
      </c>
      <c r="L1557" s="157">
        <f t="shared" si="208"/>
        <v>200</v>
      </c>
      <c r="M1557" s="157">
        <f t="shared" si="209"/>
        <v>300</v>
      </c>
      <c r="N1557" s="157">
        <f t="shared" si="210"/>
        <v>400</v>
      </c>
      <c r="O1557" s="1051" t="str">
        <f>CONCATENATE(O1552," | ",F1557)</f>
        <v>F.2.3 Gestaltung und Barrierefreiheit | Die RVS-Empfehlungen zum Thema „Barrierefreiheit“ ist nicht realisiert</v>
      </c>
      <c r="P1557" s="1059" t="s">
        <v>4580</v>
      </c>
      <c r="Q1557" s="1060">
        <v>0.2</v>
      </c>
      <c r="R1557" s="1052"/>
      <c r="S1557" s="595">
        <v>0</v>
      </c>
      <c r="T1557" s="595">
        <v>0.25</v>
      </c>
      <c r="U1557" s="595">
        <v>0.35</v>
      </c>
    </row>
    <row r="1558" spans="1:21" ht="15" thickBot="1" x14ac:dyDescent="0.4">
      <c r="A1558" s="123">
        <v>3.2</v>
      </c>
      <c r="B1558" s="35"/>
      <c r="C1558" s="151"/>
      <c r="D1558" s="1687"/>
      <c r="E1558" s="1688"/>
      <c r="F1558" s="159"/>
      <c r="G1558" s="160"/>
      <c r="H1558" s="161"/>
      <c r="I1558" s="166"/>
      <c r="J1558" s="164"/>
      <c r="K1558" s="157">
        <f t="shared" si="207"/>
        <v>100</v>
      </c>
      <c r="L1558" s="157">
        <f t="shared" si="208"/>
        <v>200</v>
      </c>
      <c r="M1558" s="157">
        <f t="shared" si="209"/>
        <v>300</v>
      </c>
      <c r="N1558" s="157">
        <f t="shared" si="210"/>
        <v>400</v>
      </c>
      <c r="O1558" s="1051"/>
      <c r="P1558" s="1061" t="s">
        <v>4581</v>
      </c>
      <c r="Q1558" s="1062">
        <v>0.3</v>
      </c>
      <c r="R1558" s="1052"/>
      <c r="S1558" s="595"/>
      <c r="T1558" s="595"/>
      <c r="U1558" s="595"/>
    </row>
    <row r="1559" spans="1:21" x14ac:dyDescent="0.35">
      <c r="A1559" s="123"/>
      <c r="B1559" s="35"/>
      <c r="C1559" s="151"/>
      <c r="D1559" s="1687"/>
      <c r="E1559" s="1688"/>
      <c r="F1559" s="593" t="str">
        <f>IF($G$2=1,R1559,"Weiteres Kriterium in der Nutzung")</f>
        <v>Weiteres Kriterium in der Nutzung</v>
      </c>
      <c r="G1559" s="153">
        <f t="shared" ref="G1559:G1561" si="214">IF($H$2=1,S1559,IF($H$2=2,T1559,U1559))</f>
        <v>0</v>
      </c>
      <c r="H1559" s="154"/>
      <c r="I1559" s="158"/>
      <c r="J1559" s="156"/>
      <c r="K1559" s="157">
        <f t="shared" si="207"/>
        <v>100</v>
      </c>
      <c r="L1559" s="157">
        <f t="shared" si="208"/>
        <v>200</v>
      </c>
      <c r="M1559" s="157">
        <f t="shared" si="209"/>
        <v>300</v>
      </c>
      <c r="N1559" s="157">
        <f t="shared" si="210"/>
        <v>400</v>
      </c>
      <c r="O1559" s="1051" t="str">
        <f>CONCATENATE(O1552," | ",F1559)</f>
        <v>F.2.3 Gestaltung und Barrierefreiheit | Weiteres Kriterium in der Nutzung</v>
      </c>
      <c r="P1559" s="1057" t="s">
        <v>4531</v>
      </c>
      <c r="Q1559" s="1058">
        <v>0</v>
      </c>
      <c r="R1559" s="1052" t="s">
        <v>5340</v>
      </c>
      <c r="S1559" s="595">
        <v>0.33</v>
      </c>
      <c r="T1559" s="595">
        <v>0.1</v>
      </c>
      <c r="U1559" s="595">
        <v>0</v>
      </c>
    </row>
    <row r="1560" spans="1:21" x14ac:dyDescent="0.35">
      <c r="A1560" s="116"/>
      <c r="B1560" s="35"/>
      <c r="C1560" s="117"/>
      <c r="D1560" s="1687"/>
      <c r="E1560" s="1688"/>
      <c r="F1560" s="593" t="str">
        <f>IF($G$2=1,R1560,"Weiteres Kriterium in der Nutzung")</f>
        <v>Weiteres Kriterium in der Nutzung</v>
      </c>
      <c r="G1560" s="153">
        <f t="shared" si="214"/>
        <v>0</v>
      </c>
      <c r="H1560" s="154"/>
      <c r="I1560" s="158"/>
      <c r="J1560" s="156"/>
      <c r="K1560" s="157">
        <f t="shared" si="207"/>
        <v>100</v>
      </c>
      <c r="L1560" s="157">
        <f t="shared" si="208"/>
        <v>200</v>
      </c>
      <c r="M1560" s="157">
        <f t="shared" si="209"/>
        <v>300</v>
      </c>
      <c r="N1560" s="157">
        <f t="shared" si="210"/>
        <v>400</v>
      </c>
      <c r="O1560" s="1051" t="str">
        <f>CONCATENATE(O1552," | ",F1560)</f>
        <v>F.2.3 Gestaltung und Barrierefreiheit | Weiteres Kriterium in der Nutzung</v>
      </c>
      <c r="P1560" s="1065" t="s">
        <v>5377</v>
      </c>
      <c r="Q1560" s="1060">
        <v>0.15</v>
      </c>
      <c r="R1560" s="1052" t="s">
        <v>5330</v>
      </c>
      <c r="S1560" s="595">
        <v>0.33</v>
      </c>
      <c r="T1560" s="595">
        <v>0.1</v>
      </c>
      <c r="U1560" s="595">
        <v>0</v>
      </c>
    </row>
    <row r="1561" spans="1:21" x14ac:dyDescent="0.35">
      <c r="A1561" s="116"/>
      <c r="B1561" s="35"/>
      <c r="C1561" s="117"/>
      <c r="D1561" s="1687"/>
      <c r="E1561" s="1688"/>
      <c r="F1561" s="593" t="str">
        <f>IF($G$2=1,R1561,"Weiteres Kriterium in der Nutzung")</f>
        <v>Weiteres Kriterium in der Nutzung</v>
      </c>
      <c r="G1561" s="153">
        <f t="shared" si="214"/>
        <v>0</v>
      </c>
      <c r="H1561" s="154"/>
      <c r="I1561" s="158"/>
      <c r="J1561" s="156"/>
      <c r="K1561" s="157">
        <f t="shared" si="207"/>
        <v>100</v>
      </c>
      <c r="L1561" s="157">
        <f t="shared" si="208"/>
        <v>200</v>
      </c>
      <c r="M1561" s="157">
        <f t="shared" si="209"/>
        <v>300</v>
      </c>
      <c r="N1561" s="157">
        <f t="shared" si="210"/>
        <v>400</v>
      </c>
      <c r="O1561" s="1051" t="str">
        <f>CONCATENATE(O1552," | ",F1561)</f>
        <v>F.2.3 Gestaltung und Barrierefreiheit | Weiteres Kriterium in der Nutzung</v>
      </c>
      <c r="P1561" s="1065" t="s">
        <v>5378</v>
      </c>
      <c r="Q1561" s="1060">
        <v>0.25</v>
      </c>
      <c r="R1561" s="1052" t="s">
        <v>5337</v>
      </c>
      <c r="S1561" s="595">
        <v>0.34</v>
      </c>
      <c r="T1561" s="595">
        <v>0.1</v>
      </c>
      <c r="U1561" s="595">
        <v>0</v>
      </c>
    </row>
    <row r="1562" spans="1:21" ht="15" thickBot="1" x14ac:dyDescent="0.4">
      <c r="A1562" s="116"/>
      <c r="B1562" s="35"/>
      <c r="C1562" s="117"/>
      <c r="D1562" s="1687"/>
      <c r="E1562" s="1688"/>
      <c r="F1562" s="159"/>
      <c r="G1562" s="160"/>
      <c r="H1562" s="161"/>
      <c r="I1562" s="162"/>
      <c r="J1562" s="164"/>
      <c r="K1562" s="157">
        <f t="shared" si="207"/>
        <v>100</v>
      </c>
      <c r="L1562" s="157">
        <f t="shared" si="208"/>
        <v>200</v>
      </c>
      <c r="M1562" s="157">
        <f t="shared" si="209"/>
        <v>300</v>
      </c>
      <c r="N1562" s="157">
        <f t="shared" si="210"/>
        <v>400</v>
      </c>
      <c r="O1562" s="1063"/>
      <c r="P1562" s="1061" t="s">
        <v>4532</v>
      </c>
      <c r="Q1562" s="1062">
        <v>0.35</v>
      </c>
      <c r="R1562" s="1052"/>
      <c r="S1562" s="589"/>
      <c r="T1562" s="589"/>
      <c r="U1562" s="589"/>
    </row>
    <row r="1563" spans="1:21" x14ac:dyDescent="0.35">
      <c r="A1563" s="123"/>
      <c r="B1563" s="35"/>
      <c r="C1563" s="151"/>
      <c r="D1563" s="1687"/>
      <c r="E1563" s="1688"/>
      <c r="F1563" s="165"/>
      <c r="G1563" s="160"/>
      <c r="H1563" s="161"/>
      <c r="I1563" s="166"/>
      <c r="J1563" s="167"/>
      <c r="K1563" s="157">
        <f t="shared" si="207"/>
        <v>100</v>
      </c>
      <c r="L1563" s="157">
        <f t="shared" si="208"/>
        <v>200</v>
      </c>
      <c r="M1563" s="157">
        <f t="shared" si="209"/>
        <v>300</v>
      </c>
      <c r="N1563" s="157">
        <f t="shared" si="210"/>
        <v>400</v>
      </c>
      <c r="O1563" s="959"/>
      <c r="P1563" s="1055"/>
      <c r="Q1563" s="1064"/>
      <c r="R1563" s="968"/>
      <c r="S1563" s="589"/>
      <c r="T1563" s="589"/>
      <c r="U1563" s="589"/>
    </row>
    <row r="1564" spans="1:21" x14ac:dyDescent="0.35">
      <c r="A1564" s="116"/>
      <c r="B1564" s="35"/>
      <c r="C1564" s="117"/>
      <c r="D1564" s="1687"/>
      <c r="E1564" s="1688"/>
      <c r="F1564" s="159"/>
      <c r="G1564" s="160"/>
      <c r="H1564" s="168"/>
      <c r="I1564" s="162"/>
      <c r="J1564" s="164"/>
      <c r="K1564" s="157">
        <f t="shared" si="207"/>
        <v>100</v>
      </c>
      <c r="L1564" s="157">
        <f t="shared" si="208"/>
        <v>200</v>
      </c>
      <c r="M1564" s="157">
        <f t="shared" si="209"/>
        <v>300</v>
      </c>
      <c r="N1564" s="157">
        <f t="shared" si="210"/>
        <v>400</v>
      </c>
      <c r="O1564" s="959"/>
      <c r="P1564" s="967"/>
      <c r="Q1564" s="586"/>
      <c r="R1564" s="968"/>
      <c r="S1564" s="589"/>
      <c r="T1564" s="589"/>
      <c r="U1564" s="589"/>
    </row>
    <row r="1565" spans="1:21" x14ac:dyDescent="0.35">
      <c r="A1565" s="116"/>
      <c r="B1565" s="117"/>
      <c r="C1565" s="117"/>
      <c r="D1565" s="1687"/>
      <c r="E1565" s="1688"/>
      <c r="F1565" s="159"/>
      <c r="G1565" s="160"/>
      <c r="H1565" s="168"/>
      <c r="I1565" s="162"/>
      <c r="J1565" s="164"/>
      <c r="K1565" s="157">
        <f t="shared" si="207"/>
        <v>100</v>
      </c>
      <c r="L1565" s="157">
        <f t="shared" si="208"/>
        <v>200</v>
      </c>
      <c r="M1565" s="157">
        <f t="shared" si="209"/>
        <v>300</v>
      </c>
      <c r="N1565" s="157">
        <f t="shared" si="210"/>
        <v>400</v>
      </c>
      <c r="O1565" s="959"/>
      <c r="P1565" s="967"/>
      <c r="Q1565" s="586"/>
      <c r="R1565" s="968"/>
      <c r="S1565" s="589"/>
      <c r="T1565" s="589"/>
      <c r="U1565" s="589"/>
    </row>
    <row r="1566" spans="1:21" x14ac:dyDescent="0.35">
      <c r="A1566" s="116"/>
      <c r="B1566" s="117"/>
      <c r="C1566" s="117"/>
      <c r="D1566" s="1687"/>
      <c r="E1566" s="1688"/>
      <c r="F1566" s="169"/>
      <c r="G1566" s="170"/>
      <c r="H1566" s="171"/>
      <c r="I1566" s="172"/>
      <c r="J1566" s="173"/>
      <c r="K1566" s="157">
        <f t="shared" si="207"/>
        <v>100</v>
      </c>
      <c r="L1566" s="157">
        <f t="shared" si="208"/>
        <v>200</v>
      </c>
      <c r="M1566" s="157">
        <f t="shared" si="209"/>
        <v>300</v>
      </c>
      <c r="N1566" s="157">
        <f t="shared" si="210"/>
        <v>400</v>
      </c>
      <c r="O1566" s="959"/>
      <c r="P1566" s="967"/>
      <c r="Q1566" s="586"/>
      <c r="R1566" s="968"/>
      <c r="S1566" s="589"/>
      <c r="T1566" s="589"/>
      <c r="U1566" s="589"/>
    </row>
    <row r="1567" spans="1:21" ht="28.5" customHeight="1" x14ac:dyDescent="0.35">
      <c r="A1567" s="116"/>
      <c r="B1567" s="117"/>
      <c r="C1567" s="117"/>
      <c r="D1567" s="174"/>
      <c r="E1567" s="175"/>
      <c r="F1567" s="1689" t="s">
        <v>2</v>
      </c>
      <c r="G1567" s="1689"/>
      <c r="H1567" s="176">
        <f>IF(O1567&gt;1,"Zielerreichung übersteigt 100%!",O1567)</f>
        <v>0</v>
      </c>
      <c r="I1567" s="177"/>
      <c r="J1567" s="178"/>
      <c r="K1567" s="157">
        <f t="shared" si="207"/>
        <v>100</v>
      </c>
      <c r="L1567" s="157">
        <f t="shared" si="208"/>
        <v>200</v>
      </c>
      <c r="M1567" s="157">
        <f t="shared" si="209"/>
        <v>300</v>
      </c>
      <c r="N1567" s="157">
        <f t="shared" si="210"/>
        <v>400</v>
      </c>
      <c r="O1567" s="959">
        <f>SUM(H1555:H1566)</f>
        <v>0</v>
      </c>
      <c r="P1567" s="967"/>
      <c r="Q1567" s="586"/>
      <c r="R1567" s="968"/>
      <c r="S1567" s="589"/>
      <c r="T1567" s="589"/>
      <c r="U1567" s="589"/>
    </row>
    <row r="1568" spans="1:21" x14ac:dyDescent="0.35">
      <c r="A1568" s="116"/>
      <c r="B1568" s="117"/>
      <c r="C1568" s="117"/>
      <c r="D1568" s="179"/>
      <c r="E1568" s="180"/>
      <c r="F1568" s="1690" t="s">
        <v>3</v>
      </c>
      <c r="G1568" s="1691"/>
      <c r="H1568" s="181">
        <v>52</v>
      </c>
      <c r="I1568" s="177"/>
      <c r="J1568" s="178"/>
      <c r="K1568" s="157">
        <f t="shared" si="207"/>
        <v>100</v>
      </c>
      <c r="L1568" s="157">
        <f t="shared" si="208"/>
        <v>200</v>
      </c>
      <c r="M1568" s="157">
        <f t="shared" si="209"/>
        <v>300</v>
      </c>
      <c r="N1568" s="157">
        <f t="shared" si="210"/>
        <v>400</v>
      </c>
      <c r="O1568" s="1030"/>
      <c r="P1568" s="967"/>
      <c r="Q1568" s="586"/>
      <c r="R1568" s="968"/>
      <c r="S1568" s="589"/>
      <c r="T1568" s="589"/>
      <c r="U1568" s="589"/>
    </row>
    <row r="1569" spans="1:21" x14ac:dyDescent="0.35">
      <c r="A1569" s="116"/>
      <c r="B1569" s="117"/>
      <c r="C1569" s="117"/>
      <c r="D1569" s="179"/>
      <c r="E1569" s="180"/>
      <c r="F1569" s="1692"/>
      <c r="G1569" s="1693"/>
      <c r="H1569" s="182"/>
      <c r="I1569" s="183"/>
      <c r="J1569" s="178"/>
      <c r="K1569" s="157">
        <f t="shared" si="207"/>
        <v>100</v>
      </c>
      <c r="L1569" s="157">
        <f t="shared" si="208"/>
        <v>200</v>
      </c>
      <c r="M1569" s="157">
        <f t="shared" si="209"/>
        <v>300</v>
      </c>
      <c r="N1569" s="157">
        <f t="shared" si="210"/>
        <v>400</v>
      </c>
      <c r="O1569" s="1030"/>
      <c r="P1569" s="967"/>
      <c r="Q1569" s="586"/>
      <c r="R1569" s="968"/>
      <c r="S1569" s="589"/>
      <c r="T1569" s="589"/>
      <c r="U1569" s="589"/>
    </row>
    <row r="1570" spans="1:21" x14ac:dyDescent="0.35">
      <c r="A1570" s="184"/>
      <c r="B1570" s="185"/>
      <c r="C1570" s="185"/>
      <c r="D1570" s="179"/>
      <c r="E1570" s="180"/>
      <c r="F1570" s="186"/>
      <c r="G1570" s="186"/>
      <c r="H1570" s="187"/>
      <c r="I1570" s="177"/>
      <c r="J1570" s="178"/>
      <c r="K1570" s="157">
        <f t="shared" si="207"/>
        <v>100</v>
      </c>
      <c r="L1570" s="157">
        <f t="shared" si="208"/>
        <v>200</v>
      </c>
      <c r="M1570" s="157">
        <f t="shared" si="209"/>
        <v>300</v>
      </c>
      <c r="N1570" s="157">
        <f t="shared" si="210"/>
        <v>400</v>
      </c>
      <c r="O1570" s="1030"/>
      <c r="P1570" s="967"/>
      <c r="Q1570" s="586"/>
      <c r="R1570" s="968"/>
      <c r="S1570" s="589"/>
      <c r="T1570" s="589"/>
      <c r="U1570" s="589"/>
    </row>
    <row r="1571" spans="1:21" ht="15.75" customHeight="1" x14ac:dyDescent="0.35">
      <c r="A1571" s="116"/>
      <c r="B1571" s="185"/>
      <c r="C1571" s="1697"/>
      <c r="D1571" s="1698"/>
      <c r="E1571" s="286"/>
      <c r="F1571" s="1699" t="s">
        <v>5</v>
      </c>
      <c r="G1571" s="1699"/>
      <c r="H1571" s="287">
        <f>IF(ISNUMBER(I1569),H1569*H1567,H1568*H1567)</f>
        <v>0</v>
      </c>
      <c r="I1571" s="288"/>
      <c r="J1571" s="289"/>
      <c r="K1571" s="157">
        <f t="shared" si="207"/>
        <v>100</v>
      </c>
      <c r="L1571" s="157">
        <f t="shared" si="208"/>
        <v>200</v>
      </c>
      <c r="M1571" s="157">
        <f t="shared" si="209"/>
        <v>300</v>
      </c>
      <c r="N1571" s="157">
        <f t="shared" si="210"/>
        <v>400</v>
      </c>
      <c r="O1571" s="1030"/>
      <c r="P1571" s="967"/>
      <c r="Q1571" s="586"/>
      <c r="R1571" s="968"/>
      <c r="S1571" s="589"/>
      <c r="T1571" s="589"/>
      <c r="U1571" s="589"/>
    </row>
    <row r="1572" spans="1:21" x14ac:dyDescent="0.35">
      <c r="K1572" s="157">
        <f t="shared" si="207"/>
        <v>100</v>
      </c>
      <c r="L1572" s="157">
        <f t="shared" si="208"/>
        <v>200</v>
      </c>
      <c r="M1572" s="157">
        <f t="shared" si="209"/>
        <v>300</v>
      </c>
      <c r="N1572" s="157">
        <f t="shared" si="210"/>
        <v>400</v>
      </c>
      <c r="O1572" s="967"/>
      <c r="P1572" s="967"/>
      <c r="Q1572" s="586"/>
      <c r="R1572" s="968"/>
      <c r="S1572" s="589"/>
      <c r="T1572" s="589"/>
      <c r="U1572" s="589"/>
    </row>
    <row r="1573" spans="1:21" x14ac:dyDescent="0.35">
      <c r="K1573" s="157">
        <f t="shared" si="207"/>
        <v>100</v>
      </c>
      <c r="L1573" s="157">
        <f t="shared" si="208"/>
        <v>200</v>
      </c>
      <c r="M1573" s="157">
        <f t="shared" si="209"/>
        <v>300</v>
      </c>
      <c r="N1573" s="157">
        <f t="shared" si="210"/>
        <v>400</v>
      </c>
      <c r="O1573" s="967"/>
      <c r="P1573" s="967"/>
      <c r="Q1573" s="586"/>
      <c r="R1573" s="968"/>
      <c r="S1573" s="589"/>
      <c r="T1573" s="589"/>
      <c r="U1573" s="589"/>
    </row>
    <row r="1574" spans="1:21" ht="15.5" x14ac:dyDescent="0.35">
      <c r="A1574" s="208"/>
      <c r="B1574" s="279" t="s">
        <v>4846</v>
      </c>
      <c r="C1574" s="279" t="s">
        <v>4455</v>
      </c>
      <c r="D1574" s="280"/>
      <c r="E1574" s="280"/>
      <c r="F1574" s="281" t="str">
        <f>IF($F$3=1,O1574,"")</f>
        <v>F.3 ÖV-Angebote und alternative Angebote</v>
      </c>
      <c r="G1574" s="282"/>
      <c r="H1574" s="283"/>
      <c r="I1574" s="284"/>
      <c r="J1574" s="285"/>
      <c r="K1574" s="157">
        <f t="shared" si="207"/>
        <v>100</v>
      </c>
      <c r="L1574" s="157">
        <f t="shared" si="208"/>
        <v>200</v>
      </c>
      <c r="M1574" s="157">
        <f t="shared" si="209"/>
        <v>300</v>
      </c>
      <c r="N1574" s="157">
        <f t="shared" si="210"/>
        <v>400</v>
      </c>
      <c r="O1574" s="967" t="str">
        <f>CONCATENATE(B1574," ",C1574)</f>
        <v>F.3 ÖV-Angebote und alternative Angebote</v>
      </c>
      <c r="P1574" s="958"/>
      <c r="Q1574" s="586"/>
      <c r="R1574" s="968"/>
      <c r="S1574" s="589"/>
      <c r="T1574" s="589"/>
      <c r="U1574" s="589"/>
    </row>
    <row r="1575" spans="1:21" x14ac:dyDescent="0.35">
      <c r="K1575" s="157">
        <f t="shared" si="207"/>
        <v>100</v>
      </c>
      <c r="L1575" s="157">
        <f t="shared" si="208"/>
        <v>200</v>
      </c>
      <c r="M1575" s="157">
        <f t="shared" si="209"/>
        <v>300</v>
      </c>
      <c r="N1575" s="157">
        <f t="shared" si="210"/>
        <v>400</v>
      </c>
      <c r="O1575" s="967"/>
      <c r="P1575" s="967"/>
      <c r="Q1575" s="586"/>
      <c r="R1575" s="968"/>
      <c r="S1575" s="589"/>
      <c r="T1575" s="589"/>
      <c r="U1575" s="589"/>
    </row>
    <row r="1576" spans="1:21" ht="7.5" customHeight="1" x14ac:dyDescent="0.35">
      <c r="A1576" s="116"/>
      <c r="B1576" s="117"/>
      <c r="C1576" s="117"/>
      <c r="D1576" s="116"/>
      <c r="E1576" s="116"/>
      <c r="F1576" s="118"/>
      <c r="G1576" s="119"/>
      <c r="H1576" s="116"/>
      <c r="I1576" s="120"/>
      <c r="J1576" s="121"/>
      <c r="K1576" s="157">
        <f t="shared" si="207"/>
        <v>100</v>
      </c>
      <c r="L1576" s="157">
        <f t="shared" si="208"/>
        <v>200</v>
      </c>
      <c r="M1576" s="157">
        <f t="shared" si="209"/>
        <v>300</v>
      </c>
      <c r="N1576" s="157">
        <f t="shared" si="210"/>
        <v>400</v>
      </c>
      <c r="O1576" s="968"/>
      <c r="P1576" s="968"/>
      <c r="Q1576" s="586"/>
      <c r="R1576" s="968"/>
      <c r="S1576" s="589"/>
      <c r="T1576" s="589"/>
      <c r="U1576" s="589"/>
    </row>
    <row r="1577" spans="1:21" ht="15.5" x14ac:dyDescent="0.35">
      <c r="A1577" s="124"/>
      <c r="B1577" s="125"/>
      <c r="C1577" s="126" t="s">
        <v>4847</v>
      </c>
      <c r="D1577" s="127" t="s">
        <v>5466</v>
      </c>
      <c r="E1577" s="128"/>
      <c r="F1577" s="129" t="str">
        <f>IF($F$3=1,O1577,"")</f>
        <v>F.3.1 Angebote an öffentlichen Verkehrsmittel</v>
      </c>
      <c r="G1577" s="204"/>
      <c r="H1577" s="205"/>
      <c r="I1577" s="520" t="s">
        <v>23</v>
      </c>
      <c r="J1577" s="130"/>
      <c r="K1577" s="157">
        <f t="shared" si="207"/>
        <v>100</v>
      </c>
      <c r="L1577" s="157">
        <f t="shared" si="208"/>
        <v>200</v>
      </c>
      <c r="M1577" s="157">
        <f t="shared" si="209"/>
        <v>300</v>
      </c>
      <c r="N1577" s="157">
        <f t="shared" si="210"/>
        <v>400</v>
      </c>
      <c r="O1577" s="967" t="str">
        <f>CONCATENATE(C1577," ",D1577)</f>
        <v>F.3.1 Angebote an öffentlichen Verkehrsmittel</v>
      </c>
      <c r="P1577" s="966"/>
      <c r="Q1577" s="586"/>
      <c r="R1577" s="968"/>
      <c r="S1577" s="589"/>
      <c r="T1577" s="589"/>
      <c r="U1577" s="589"/>
    </row>
    <row r="1578" spans="1:21" x14ac:dyDescent="0.35">
      <c r="A1578" s="124"/>
      <c r="B1578" s="134"/>
      <c r="C1578" s="135"/>
      <c r="D1578" s="136"/>
      <c r="E1578" s="136"/>
      <c r="F1578" s="137"/>
      <c r="G1578" s="138"/>
      <c r="H1578" s="124"/>
      <c r="I1578" s="139"/>
      <c r="J1578" s="140"/>
      <c r="K1578" s="157">
        <f t="shared" si="207"/>
        <v>100</v>
      </c>
      <c r="L1578" s="157">
        <f t="shared" si="208"/>
        <v>200</v>
      </c>
      <c r="M1578" s="157">
        <f t="shared" si="209"/>
        <v>300</v>
      </c>
      <c r="N1578" s="157">
        <f t="shared" si="210"/>
        <v>400</v>
      </c>
      <c r="O1578" s="968"/>
      <c r="P1578" s="966"/>
      <c r="Q1578" s="586"/>
      <c r="R1578" s="968"/>
      <c r="S1578" s="589"/>
      <c r="T1578" s="589"/>
      <c r="U1578" s="589"/>
    </row>
    <row r="1579" spans="1:21" ht="15" thickBot="1" x14ac:dyDescent="0.4">
      <c r="A1579" s="142"/>
      <c r="B1579" s="35"/>
      <c r="C1579" s="143"/>
      <c r="D1579" s="1685" t="s">
        <v>18</v>
      </c>
      <c r="E1579" s="1686"/>
      <c r="F1579" s="144" t="s">
        <v>19</v>
      </c>
      <c r="G1579" s="145" t="s">
        <v>0</v>
      </c>
      <c r="H1579" s="146" t="s">
        <v>20</v>
      </c>
      <c r="I1579" s="147" t="s">
        <v>1</v>
      </c>
      <c r="J1579" s="147" t="s">
        <v>4375</v>
      </c>
      <c r="K1579" s="157">
        <f t="shared" si="207"/>
        <v>100</v>
      </c>
      <c r="L1579" s="157">
        <f t="shared" si="208"/>
        <v>200</v>
      </c>
      <c r="M1579" s="157">
        <f t="shared" si="209"/>
        <v>300</v>
      </c>
      <c r="N1579" s="157">
        <f t="shared" si="210"/>
        <v>400</v>
      </c>
      <c r="O1579" s="587"/>
      <c r="P1579" s="1053"/>
      <c r="Q1579" s="1054"/>
      <c r="R1579" s="968"/>
      <c r="S1579" s="589"/>
      <c r="T1579" s="589"/>
      <c r="U1579" s="589"/>
    </row>
    <row r="1580" spans="1:21" x14ac:dyDescent="0.35">
      <c r="A1580" s="123"/>
      <c r="B1580" s="35"/>
      <c r="C1580" s="151"/>
      <c r="D1580" s="1687" t="s">
        <v>4739</v>
      </c>
      <c r="E1580" s="1688"/>
      <c r="F1580" s="239" t="s">
        <v>4484</v>
      </c>
      <c r="G1580" s="153">
        <f t="shared" ref="G1580" si="215">IF($H$2=1,S1580,IF($H$2=2,T1580,U1580))</f>
        <v>1</v>
      </c>
      <c r="H1580" s="1066">
        <f>VLOOKUP(F1580,$P$1580:$Q$1586,2,0)*G1580/100%</f>
        <v>0</v>
      </c>
      <c r="I1580" s="155"/>
      <c r="J1580" s="156"/>
      <c r="K1580" s="157">
        <f t="shared" si="207"/>
        <v>100</v>
      </c>
      <c r="L1580" s="157">
        <f t="shared" si="208"/>
        <v>200</v>
      </c>
      <c r="M1580" s="157">
        <f t="shared" si="209"/>
        <v>300</v>
      </c>
      <c r="N1580" s="157">
        <f t="shared" si="210"/>
        <v>400</v>
      </c>
      <c r="O1580" s="1051" t="str">
        <f>CONCATENATE(O1577," | ",F1580)</f>
        <v>F.3.1 Angebote an öffentlichen Verkehrsmittel | G - Basiserschließung</v>
      </c>
      <c r="P1580" s="1057" t="s">
        <v>4480</v>
      </c>
      <c r="Q1580" s="1058">
        <v>1</v>
      </c>
      <c r="R1580" s="1052"/>
      <c r="S1580" s="588">
        <v>0</v>
      </c>
      <c r="T1580" s="588">
        <v>0.7</v>
      </c>
      <c r="U1580" s="588">
        <v>1</v>
      </c>
    </row>
    <row r="1581" spans="1:21" x14ac:dyDescent="0.35">
      <c r="A1581" s="123"/>
      <c r="B1581" s="35"/>
      <c r="C1581" s="151"/>
      <c r="D1581" s="1687"/>
      <c r="E1581" s="1688"/>
      <c r="F1581" s="159"/>
      <c r="G1581" s="160"/>
      <c r="H1581" s="161"/>
      <c r="I1581" s="166"/>
      <c r="J1581" s="164"/>
      <c r="K1581" s="157">
        <f t="shared" ref="K1581:K1619" si="216">IF($J1581=$K$41,K1580+1,K1580+0)</f>
        <v>100</v>
      </c>
      <c r="L1581" s="157">
        <f t="shared" ref="L1581:L1619" si="217">IF($J1581=$L$41,L1580+1,L1580+0)</f>
        <v>200</v>
      </c>
      <c r="M1581" s="157">
        <f t="shared" ref="M1581:M1619" si="218">IF($J1581=$M$41,M1580+1,M1580+0)</f>
        <v>300</v>
      </c>
      <c r="N1581" s="157">
        <f t="shared" ref="N1581:N1619" si="219">IF($J1581=$N$41,N1580+1,N1580+0)</f>
        <v>400</v>
      </c>
      <c r="O1581" s="1051"/>
      <c r="P1581" s="1059" t="s">
        <v>4479</v>
      </c>
      <c r="Q1581" s="1060">
        <v>0.75</v>
      </c>
      <c r="R1581" s="1052"/>
      <c r="S1581" s="588"/>
      <c r="T1581" s="588"/>
      <c r="U1581" s="588"/>
    </row>
    <row r="1582" spans="1:21" x14ac:dyDescent="0.35">
      <c r="A1582" s="123"/>
      <c r="B1582" s="35"/>
      <c r="C1582" s="151"/>
      <c r="D1582" s="1687"/>
      <c r="E1582" s="1688"/>
      <c r="F1582" s="593" t="str">
        <f>IF($G$2=1,R1582,"Weiteres Kriterium in der Nutzung")</f>
        <v>Weiteres Kriterium in der Nutzung</v>
      </c>
      <c r="G1582" s="153">
        <f t="shared" ref="G1582:G1584" si="220">IF($H$2=1,S1582,IF($H$2=2,T1582,U1582))</f>
        <v>0</v>
      </c>
      <c r="H1582" s="154"/>
      <c r="I1582" s="158"/>
      <c r="J1582" s="156"/>
      <c r="K1582" s="157">
        <f t="shared" si="216"/>
        <v>100</v>
      </c>
      <c r="L1582" s="157">
        <f t="shared" si="217"/>
        <v>200</v>
      </c>
      <c r="M1582" s="157">
        <f t="shared" si="218"/>
        <v>300</v>
      </c>
      <c r="N1582" s="157">
        <f t="shared" si="219"/>
        <v>400</v>
      </c>
      <c r="O1582" s="1051" t="str">
        <f>CONCATENATE(O1577," | ",F1582)</f>
        <v>F.3.1 Angebote an öffentlichen Verkehrsmittel | Weiteres Kriterium in der Nutzung</v>
      </c>
      <c r="P1582" s="1059" t="s">
        <v>4481</v>
      </c>
      <c r="Q1582" s="1060">
        <v>0.5</v>
      </c>
      <c r="R1582" s="1052" t="s">
        <v>5379</v>
      </c>
      <c r="S1582" s="588">
        <v>0.33</v>
      </c>
      <c r="T1582" s="588">
        <v>0.1</v>
      </c>
      <c r="U1582" s="588">
        <v>0</v>
      </c>
    </row>
    <row r="1583" spans="1:21" x14ac:dyDescent="0.35">
      <c r="A1583" s="123">
        <v>3.2</v>
      </c>
      <c r="B1583" s="35"/>
      <c r="C1583" s="151"/>
      <c r="D1583" s="1687"/>
      <c r="E1583" s="1688"/>
      <c r="F1583" s="593" t="str">
        <f>IF($G$2=1,R1583,"Weiteres Kriterium in der Nutzung")</f>
        <v>Weiteres Kriterium in der Nutzung</v>
      </c>
      <c r="G1583" s="153">
        <f t="shared" si="220"/>
        <v>0</v>
      </c>
      <c r="H1583" s="154"/>
      <c r="I1583" s="158"/>
      <c r="J1583" s="156"/>
      <c r="K1583" s="157">
        <f t="shared" si="216"/>
        <v>100</v>
      </c>
      <c r="L1583" s="157">
        <f t="shared" si="217"/>
        <v>200</v>
      </c>
      <c r="M1583" s="157">
        <f t="shared" si="218"/>
        <v>300</v>
      </c>
      <c r="N1583" s="157">
        <f t="shared" si="219"/>
        <v>400</v>
      </c>
      <c r="O1583" s="1051" t="str">
        <f>CONCATENATE(O1577," | ",F1583)</f>
        <v>F.3.1 Angebote an öffentlichen Verkehrsmittel | Weiteres Kriterium in der Nutzung</v>
      </c>
      <c r="P1583" s="1059" t="s">
        <v>4482</v>
      </c>
      <c r="Q1583" s="1060">
        <v>0.25</v>
      </c>
      <c r="R1583" s="1052" t="s">
        <v>5330</v>
      </c>
      <c r="S1583" s="588">
        <v>0.33</v>
      </c>
      <c r="T1583" s="588">
        <v>0.1</v>
      </c>
      <c r="U1583" s="588">
        <v>0</v>
      </c>
    </row>
    <row r="1584" spans="1:21" x14ac:dyDescent="0.35">
      <c r="A1584" s="123"/>
      <c r="B1584" s="35"/>
      <c r="C1584" s="151"/>
      <c r="D1584" s="1687"/>
      <c r="E1584" s="1688"/>
      <c r="F1584" s="593" t="str">
        <f>IF($G$2=1,R1584,"Weiteres Kriterium in der Nutzung")</f>
        <v>Weiteres Kriterium in der Nutzung</v>
      </c>
      <c r="G1584" s="153">
        <f t="shared" si="220"/>
        <v>0</v>
      </c>
      <c r="H1584" s="154"/>
      <c r="I1584" s="158"/>
      <c r="J1584" s="156"/>
      <c r="K1584" s="157">
        <f t="shared" si="216"/>
        <v>100</v>
      </c>
      <c r="L1584" s="157">
        <f t="shared" si="217"/>
        <v>200</v>
      </c>
      <c r="M1584" s="157">
        <f t="shared" si="218"/>
        <v>300</v>
      </c>
      <c r="N1584" s="157">
        <f t="shared" si="219"/>
        <v>400</v>
      </c>
      <c r="O1584" s="1051" t="str">
        <f>CONCATENATE(O1577," | ",F1584)</f>
        <v>F.3.1 Angebote an öffentlichen Verkehrsmittel | Weiteres Kriterium in der Nutzung</v>
      </c>
      <c r="P1584" s="1059" t="s">
        <v>4483</v>
      </c>
      <c r="Q1584" s="1060">
        <v>0</v>
      </c>
      <c r="R1584" s="1052" t="s">
        <v>5337</v>
      </c>
      <c r="S1584" s="588">
        <v>0.34</v>
      </c>
      <c r="T1584" s="588">
        <v>0.1</v>
      </c>
      <c r="U1584" s="588">
        <v>0</v>
      </c>
    </row>
    <row r="1585" spans="1:21" x14ac:dyDescent="0.35">
      <c r="A1585" s="116"/>
      <c r="B1585" s="35"/>
      <c r="C1585" s="117"/>
      <c r="D1585" s="1687"/>
      <c r="E1585" s="1688"/>
      <c r="F1585" s="159"/>
      <c r="G1585" s="160"/>
      <c r="H1585" s="161"/>
      <c r="I1585" s="162"/>
      <c r="J1585" s="164"/>
      <c r="K1585" s="157">
        <f t="shared" si="216"/>
        <v>100</v>
      </c>
      <c r="L1585" s="157">
        <f t="shared" si="217"/>
        <v>200</v>
      </c>
      <c r="M1585" s="157">
        <f t="shared" si="218"/>
        <v>300</v>
      </c>
      <c r="N1585" s="157">
        <f t="shared" si="219"/>
        <v>400</v>
      </c>
      <c r="O1585" s="1063"/>
      <c r="P1585" s="1059" t="s">
        <v>4485</v>
      </c>
      <c r="Q1585" s="1060">
        <v>0</v>
      </c>
      <c r="R1585" s="1052"/>
      <c r="S1585" s="589"/>
      <c r="T1585" s="589"/>
      <c r="U1585" s="589"/>
    </row>
    <row r="1586" spans="1:21" ht="15" thickBot="1" x14ac:dyDescent="0.4">
      <c r="A1586" s="116"/>
      <c r="B1586" s="35"/>
      <c r="C1586" s="117"/>
      <c r="D1586" s="1687"/>
      <c r="E1586" s="1688"/>
      <c r="F1586" s="159"/>
      <c r="G1586" s="160"/>
      <c r="H1586" s="161"/>
      <c r="I1586" s="162"/>
      <c r="J1586" s="164"/>
      <c r="K1586" s="157">
        <f t="shared" si="216"/>
        <v>100</v>
      </c>
      <c r="L1586" s="157">
        <f t="shared" si="217"/>
        <v>200</v>
      </c>
      <c r="M1586" s="157">
        <f t="shared" si="218"/>
        <v>300</v>
      </c>
      <c r="N1586" s="157">
        <f t="shared" si="219"/>
        <v>400</v>
      </c>
      <c r="O1586" s="1063"/>
      <c r="P1586" s="1061" t="s">
        <v>4484</v>
      </c>
      <c r="Q1586" s="1062">
        <v>0</v>
      </c>
      <c r="R1586" s="1052"/>
      <c r="S1586" s="589"/>
      <c r="T1586" s="589"/>
      <c r="U1586" s="589"/>
    </row>
    <row r="1587" spans="1:21" x14ac:dyDescent="0.35">
      <c r="A1587" s="116"/>
      <c r="B1587" s="35"/>
      <c r="C1587" s="117"/>
      <c r="D1587" s="1687"/>
      <c r="E1587" s="1688"/>
      <c r="F1587" s="159"/>
      <c r="G1587" s="160"/>
      <c r="H1587" s="161"/>
      <c r="I1587" s="162"/>
      <c r="J1587" s="164"/>
      <c r="K1587" s="157">
        <f t="shared" si="216"/>
        <v>100</v>
      </c>
      <c r="L1587" s="157">
        <f t="shared" si="217"/>
        <v>200</v>
      </c>
      <c r="M1587" s="157">
        <f t="shared" si="218"/>
        <v>300</v>
      </c>
      <c r="N1587" s="157">
        <f t="shared" si="219"/>
        <v>400</v>
      </c>
      <c r="O1587" s="959"/>
      <c r="P1587" s="1055"/>
      <c r="Q1587" s="1064"/>
      <c r="R1587" s="968"/>
      <c r="S1587" s="589"/>
      <c r="T1587" s="589"/>
      <c r="U1587" s="589"/>
    </row>
    <row r="1588" spans="1:21" x14ac:dyDescent="0.35">
      <c r="A1588" s="123"/>
      <c r="B1588" s="35"/>
      <c r="C1588" s="151"/>
      <c r="D1588" s="1687"/>
      <c r="E1588" s="1688"/>
      <c r="F1588" s="165"/>
      <c r="G1588" s="160"/>
      <c r="H1588" s="161"/>
      <c r="I1588" s="166"/>
      <c r="J1588" s="167"/>
      <c r="K1588" s="157">
        <f t="shared" si="216"/>
        <v>100</v>
      </c>
      <c r="L1588" s="157">
        <f t="shared" si="217"/>
        <v>200</v>
      </c>
      <c r="M1588" s="157">
        <f t="shared" si="218"/>
        <v>300</v>
      </c>
      <c r="N1588" s="157">
        <f t="shared" si="219"/>
        <v>400</v>
      </c>
      <c r="O1588" s="959"/>
      <c r="P1588" s="967"/>
      <c r="Q1588" s="586"/>
      <c r="R1588" s="968"/>
      <c r="S1588" s="589"/>
      <c r="T1588" s="589"/>
      <c r="U1588" s="589"/>
    </row>
    <row r="1589" spans="1:21" x14ac:dyDescent="0.35">
      <c r="A1589" s="116"/>
      <c r="B1589" s="35"/>
      <c r="C1589" s="117"/>
      <c r="D1589" s="1687"/>
      <c r="E1589" s="1688"/>
      <c r="F1589" s="159"/>
      <c r="G1589" s="160"/>
      <c r="H1589" s="168"/>
      <c r="I1589" s="162"/>
      <c r="J1589" s="164"/>
      <c r="K1589" s="157">
        <f t="shared" si="216"/>
        <v>100</v>
      </c>
      <c r="L1589" s="157">
        <f t="shared" si="217"/>
        <v>200</v>
      </c>
      <c r="M1589" s="157">
        <f t="shared" si="218"/>
        <v>300</v>
      </c>
      <c r="N1589" s="157">
        <f t="shared" si="219"/>
        <v>400</v>
      </c>
      <c r="O1589" s="959"/>
      <c r="P1589" s="967"/>
      <c r="Q1589" s="586"/>
      <c r="R1589" s="968"/>
      <c r="S1589" s="589"/>
      <c r="T1589" s="589"/>
      <c r="U1589" s="589"/>
    </row>
    <row r="1590" spans="1:21" x14ac:dyDescent="0.35">
      <c r="A1590" s="116"/>
      <c r="B1590" s="117"/>
      <c r="C1590" s="117"/>
      <c r="D1590" s="1687"/>
      <c r="E1590" s="1688"/>
      <c r="F1590" s="159"/>
      <c r="G1590" s="160"/>
      <c r="H1590" s="168"/>
      <c r="I1590" s="162"/>
      <c r="J1590" s="164"/>
      <c r="K1590" s="157">
        <f t="shared" si="216"/>
        <v>100</v>
      </c>
      <c r="L1590" s="157">
        <f t="shared" si="217"/>
        <v>200</v>
      </c>
      <c r="M1590" s="157">
        <f t="shared" si="218"/>
        <v>300</v>
      </c>
      <c r="N1590" s="157">
        <f t="shared" si="219"/>
        <v>400</v>
      </c>
      <c r="O1590" s="959"/>
      <c r="P1590" s="967"/>
      <c r="Q1590" s="586"/>
      <c r="R1590" s="968"/>
      <c r="S1590" s="589"/>
      <c r="T1590" s="589"/>
      <c r="U1590" s="589"/>
    </row>
    <row r="1591" spans="1:21" x14ac:dyDescent="0.35">
      <c r="A1591" s="116"/>
      <c r="B1591" s="117"/>
      <c r="C1591" s="117"/>
      <c r="D1591" s="1687"/>
      <c r="E1591" s="1688"/>
      <c r="F1591" s="169"/>
      <c r="G1591" s="170"/>
      <c r="H1591" s="171"/>
      <c r="I1591" s="172"/>
      <c r="J1591" s="173"/>
      <c r="K1591" s="157">
        <f t="shared" si="216"/>
        <v>100</v>
      </c>
      <c r="L1591" s="157">
        <f t="shared" si="217"/>
        <v>200</v>
      </c>
      <c r="M1591" s="157">
        <f t="shared" si="218"/>
        <v>300</v>
      </c>
      <c r="N1591" s="157">
        <f t="shared" si="219"/>
        <v>400</v>
      </c>
      <c r="O1591" s="959"/>
      <c r="P1591" s="967"/>
      <c r="Q1591" s="586"/>
      <c r="R1591" s="968"/>
      <c r="S1591" s="589"/>
      <c r="T1591" s="589"/>
      <c r="U1591" s="589"/>
    </row>
    <row r="1592" spans="1:21" ht="28.5" customHeight="1" x14ac:dyDescent="0.35">
      <c r="A1592" s="116"/>
      <c r="B1592" s="117"/>
      <c r="C1592" s="117"/>
      <c r="D1592" s="174"/>
      <c r="E1592" s="175"/>
      <c r="F1592" s="1689" t="s">
        <v>2</v>
      </c>
      <c r="G1592" s="1689"/>
      <c r="H1592" s="176">
        <f>IF(O1592&gt;1,"Zielerreichung übersteigt 100%!",O1592)</f>
        <v>0</v>
      </c>
      <c r="I1592" s="177"/>
      <c r="J1592" s="178"/>
      <c r="K1592" s="157">
        <f t="shared" si="216"/>
        <v>100</v>
      </c>
      <c r="L1592" s="157">
        <f t="shared" si="217"/>
        <v>200</v>
      </c>
      <c r="M1592" s="157">
        <f t="shared" si="218"/>
        <v>300</v>
      </c>
      <c r="N1592" s="157">
        <f t="shared" si="219"/>
        <v>400</v>
      </c>
      <c r="O1592" s="959">
        <f>SUM(H1580:H1591)</f>
        <v>0</v>
      </c>
      <c r="P1592" s="967"/>
      <c r="Q1592" s="586"/>
      <c r="R1592" s="968"/>
      <c r="S1592" s="589"/>
      <c r="T1592" s="589"/>
      <c r="U1592" s="589"/>
    </row>
    <row r="1593" spans="1:21" x14ac:dyDescent="0.35">
      <c r="A1593" s="116"/>
      <c r="B1593" s="117"/>
      <c r="C1593" s="117"/>
      <c r="D1593" s="179"/>
      <c r="E1593" s="180"/>
      <c r="F1593" s="1690" t="s">
        <v>3</v>
      </c>
      <c r="G1593" s="1691"/>
      <c r="H1593" s="181">
        <v>46</v>
      </c>
      <c r="I1593" s="177"/>
      <c r="J1593" s="178"/>
      <c r="K1593" s="157">
        <f t="shared" si="216"/>
        <v>100</v>
      </c>
      <c r="L1593" s="157">
        <f t="shared" si="217"/>
        <v>200</v>
      </c>
      <c r="M1593" s="157">
        <f t="shared" si="218"/>
        <v>300</v>
      </c>
      <c r="N1593" s="157">
        <f t="shared" si="219"/>
        <v>400</v>
      </c>
      <c r="O1593" s="1030"/>
      <c r="P1593" s="967"/>
      <c r="Q1593" s="586"/>
      <c r="R1593" s="968"/>
      <c r="S1593" s="589"/>
      <c r="T1593" s="589"/>
      <c r="U1593" s="589"/>
    </row>
    <row r="1594" spans="1:21" ht="15" customHeight="1" x14ac:dyDescent="0.35">
      <c r="A1594" s="116"/>
      <c r="B1594" s="117"/>
      <c r="C1594" s="117"/>
      <c r="D1594" s="179"/>
      <c r="E1594" s="180"/>
      <c r="F1594" s="1692"/>
      <c r="G1594" s="1693"/>
      <c r="H1594" s="182"/>
      <c r="I1594" s="183"/>
      <c r="J1594" s="178"/>
      <c r="K1594" s="157">
        <f t="shared" si="216"/>
        <v>100</v>
      </c>
      <c r="L1594" s="157">
        <f t="shared" si="217"/>
        <v>200</v>
      </c>
      <c r="M1594" s="157">
        <f t="shared" si="218"/>
        <v>300</v>
      </c>
      <c r="N1594" s="157">
        <f t="shared" si="219"/>
        <v>400</v>
      </c>
      <c r="O1594" s="1030"/>
      <c r="P1594" s="967"/>
      <c r="Q1594" s="586"/>
      <c r="R1594" s="968"/>
      <c r="S1594" s="589"/>
      <c r="T1594" s="589"/>
      <c r="U1594" s="589"/>
    </row>
    <row r="1595" spans="1:21" x14ac:dyDescent="0.35">
      <c r="A1595" s="184"/>
      <c r="B1595" s="185"/>
      <c r="C1595" s="185"/>
      <c r="D1595" s="179"/>
      <c r="E1595" s="180"/>
      <c r="F1595" s="186"/>
      <c r="G1595" s="186"/>
      <c r="H1595" s="187"/>
      <c r="I1595" s="177"/>
      <c r="J1595" s="178"/>
      <c r="K1595" s="157">
        <f t="shared" si="216"/>
        <v>100</v>
      </c>
      <c r="L1595" s="157">
        <f t="shared" si="217"/>
        <v>200</v>
      </c>
      <c r="M1595" s="157">
        <f t="shared" si="218"/>
        <v>300</v>
      </c>
      <c r="N1595" s="157">
        <f t="shared" si="219"/>
        <v>400</v>
      </c>
      <c r="O1595" s="1030"/>
      <c r="P1595" s="967"/>
      <c r="Q1595" s="586"/>
      <c r="R1595" s="968"/>
      <c r="S1595" s="589"/>
      <c r="T1595" s="589"/>
      <c r="U1595" s="589"/>
    </row>
    <row r="1596" spans="1:21" ht="15.75" customHeight="1" x14ac:dyDescent="0.35">
      <c r="A1596" s="116"/>
      <c r="B1596" s="185"/>
      <c r="C1596" s="1697"/>
      <c r="D1596" s="1698"/>
      <c r="E1596" s="286"/>
      <c r="F1596" s="1699" t="s">
        <v>5</v>
      </c>
      <c r="G1596" s="1699"/>
      <c r="H1596" s="287">
        <f>IF(ISNUMBER(I1594),H1594*H1592,H1593*H1592)</f>
        <v>0</v>
      </c>
      <c r="I1596" s="288"/>
      <c r="J1596" s="289"/>
      <c r="K1596" s="157">
        <f t="shared" si="216"/>
        <v>100</v>
      </c>
      <c r="L1596" s="157">
        <f t="shared" si="217"/>
        <v>200</v>
      </c>
      <c r="M1596" s="157">
        <f t="shared" si="218"/>
        <v>300</v>
      </c>
      <c r="N1596" s="157">
        <f t="shared" si="219"/>
        <v>400</v>
      </c>
      <c r="O1596" s="1030"/>
      <c r="P1596" s="967"/>
      <c r="Q1596" s="586"/>
      <c r="R1596" s="968"/>
      <c r="S1596" s="589"/>
      <c r="T1596" s="589"/>
      <c r="U1596" s="589"/>
    </row>
    <row r="1597" spans="1:21" ht="15.5" x14ac:dyDescent="0.35">
      <c r="B1597" s="185"/>
      <c r="F1597" s="290"/>
      <c r="K1597" s="157">
        <f t="shared" si="216"/>
        <v>100</v>
      </c>
      <c r="L1597" s="157">
        <f t="shared" si="217"/>
        <v>200</v>
      </c>
      <c r="M1597" s="157">
        <f t="shared" si="218"/>
        <v>300</v>
      </c>
      <c r="N1597" s="157">
        <f t="shared" si="219"/>
        <v>400</v>
      </c>
      <c r="O1597" s="967"/>
      <c r="P1597" s="967"/>
      <c r="Q1597" s="586"/>
      <c r="R1597" s="968"/>
      <c r="S1597" s="589"/>
      <c r="T1597" s="589"/>
      <c r="U1597" s="589"/>
    </row>
    <row r="1598" spans="1:21" ht="7.5" customHeight="1" x14ac:dyDescent="0.35">
      <c r="A1598" s="116"/>
      <c r="B1598" s="117"/>
      <c r="C1598" s="117"/>
      <c r="D1598" s="116"/>
      <c r="E1598" s="116"/>
      <c r="F1598" s="118"/>
      <c r="G1598" s="119"/>
      <c r="H1598" s="116"/>
      <c r="I1598" s="120"/>
      <c r="J1598" s="121"/>
      <c r="K1598" s="157">
        <f t="shared" si="216"/>
        <v>100</v>
      </c>
      <c r="L1598" s="157">
        <f t="shared" si="217"/>
        <v>200</v>
      </c>
      <c r="M1598" s="157">
        <f t="shared" si="218"/>
        <v>300</v>
      </c>
      <c r="N1598" s="157">
        <f t="shared" si="219"/>
        <v>400</v>
      </c>
      <c r="O1598" s="968"/>
      <c r="P1598" s="968"/>
      <c r="Q1598" s="586"/>
      <c r="R1598" s="968"/>
      <c r="S1598" s="589"/>
      <c r="T1598" s="589"/>
      <c r="U1598" s="589"/>
    </row>
    <row r="1599" spans="1:21" ht="15.5" x14ac:dyDescent="0.35">
      <c r="A1599" s="124"/>
      <c r="B1599" s="125"/>
      <c r="C1599" s="126" t="s">
        <v>4848</v>
      </c>
      <c r="D1599" s="127" t="s">
        <v>5467</v>
      </c>
      <c r="E1599" s="128"/>
      <c r="F1599" s="129" t="str">
        <f>IF($F$3=1,O1599,"")</f>
        <v>F.3.2 Alternative Mobilitätsangebote</v>
      </c>
      <c r="G1599" s="204"/>
      <c r="H1599" s="205"/>
      <c r="I1599" s="520" t="s">
        <v>23</v>
      </c>
      <c r="J1599" s="130"/>
      <c r="K1599" s="157">
        <f t="shared" si="216"/>
        <v>100</v>
      </c>
      <c r="L1599" s="157">
        <f t="shared" si="217"/>
        <v>200</v>
      </c>
      <c r="M1599" s="157">
        <f t="shared" si="218"/>
        <v>300</v>
      </c>
      <c r="N1599" s="157">
        <f t="shared" si="219"/>
        <v>400</v>
      </c>
      <c r="O1599" s="967" t="str">
        <f>CONCATENATE(C1599," ",D1599)</f>
        <v>F.3.2 Alternative Mobilitätsangebote</v>
      </c>
      <c r="P1599" s="966"/>
      <c r="Q1599" s="586"/>
      <c r="R1599" s="968"/>
      <c r="S1599" s="589"/>
      <c r="T1599" s="589"/>
      <c r="U1599" s="589"/>
    </row>
    <row r="1600" spans="1:21" x14ac:dyDescent="0.35">
      <c r="A1600" s="124"/>
      <c r="B1600" s="134"/>
      <c r="C1600" s="135"/>
      <c r="D1600" s="136"/>
      <c r="E1600" s="136"/>
      <c r="F1600" s="137"/>
      <c r="G1600" s="138"/>
      <c r="H1600" s="124"/>
      <c r="I1600" s="139"/>
      <c r="J1600" s="140"/>
      <c r="K1600" s="157">
        <f t="shared" si="216"/>
        <v>100</v>
      </c>
      <c r="L1600" s="157">
        <f t="shared" si="217"/>
        <v>200</v>
      </c>
      <c r="M1600" s="157">
        <f t="shared" si="218"/>
        <v>300</v>
      </c>
      <c r="N1600" s="157">
        <f t="shared" si="219"/>
        <v>400</v>
      </c>
      <c r="O1600" s="968"/>
      <c r="P1600" s="966"/>
      <c r="Q1600" s="586"/>
      <c r="R1600" s="968"/>
      <c r="S1600" s="589"/>
      <c r="T1600" s="589"/>
      <c r="U1600" s="589"/>
    </row>
    <row r="1601" spans="1:21" ht="15" thickBot="1" x14ac:dyDescent="0.4">
      <c r="A1601" s="142"/>
      <c r="B1601" s="35"/>
      <c r="C1601" s="143"/>
      <c r="D1601" s="1685" t="s">
        <v>18</v>
      </c>
      <c r="E1601" s="1686"/>
      <c r="F1601" s="144" t="s">
        <v>19</v>
      </c>
      <c r="G1601" s="145" t="s">
        <v>0</v>
      </c>
      <c r="H1601" s="146" t="s">
        <v>20</v>
      </c>
      <c r="I1601" s="147" t="s">
        <v>1</v>
      </c>
      <c r="J1601" s="147" t="s">
        <v>4375</v>
      </c>
      <c r="K1601" s="157">
        <f t="shared" si="216"/>
        <v>100</v>
      </c>
      <c r="L1601" s="157">
        <f t="shared" si="217"/>
        <v>200</v>
      </c>
      <c r="M1601" s="157">
        <f t="shared" si="218"/>
        <v>300</v>
      </c>
      <c r="N1601" s="157">
        <f t="shared" si="219"/>
        <v>400</v>
      </c>
      <c r="O1601" s="587"/>
      <c r="P1601" s="1053"/>
      <c r="Q1601" s="1054"/>
      <c r="R1601" s="968"/>
      <c r="S1601" s="589"/>
      <c r="T1601" s="589"/>
      <c r="U1601" s="589"/>
    </row>
    <row r="1602" spans="1:21" x14ac:dyDescent="0.35">
      <c r="A1602" s="123"/>
      <c r="B1602" s="35"/>
      <c r="C1602" s="151"/>
      <c r="D1602" s="1687" t="s">
        <v>5380</v>
      </c>
      <c r="E1602" s="1688"/>
      <c r="F1602" s="239" t="s">
        <v>4537</v>
      </c>
      <c r="G1602" s="153">
        <f t="shared" ref="G1602:G1603" si="221">IF($H$2=1,S1602,IF($H$2=2,T1602,U1602))</f>
        <v>0.5</v>
      </c>
      <c r="H1602" s="1066">
        <f>VLOOKUP(F1602,$P$1602:$Q$1605,2,0)*G1602/50%</f>
        <v>0</v>
      </c>
      <c r="I1602" s="155"/>
      <c r="J1602" s="156"/>
      <c r="K1602" s="157">
        <f t="shared" si="216"/>
        <v>100</v>
      </c>
      <c r="L1602" s="157">
        <f t="shared" si="217"/>
        <v>200</v>
      </c>
      <c r="M1602" s="157">
        <f t="shared" si="218"/>
        <v>300</v>
      </c>
      <c r="N1602" s="157">
        <f t="shared" si="219"/>
        <v>400</v>
      </c>
      <c r="O1602" s="1051" t="str">
        <f>CONCATENATE(O1599," | ",F1602)</f>
        <v>F.3.2 Alternative Mobilitätsangebote | Kein Carsharing-Standplatz vorhanden</v>
      </c>
      <c r="P1602" s="1057" t="s">
        <v>4537</v>
      </c>
      <c r="Q1602" s="1058">
        <v>0</v>
      </c>
      <c r="R1602" s="1052"/>
      <c r="S1602" s="595">
        <v>0</v>
      </c>
      <c r="T1602" s="595">
        <v>0.35</v>
      </c>
      <c r="U1602" s="588">
        <v>0.5</v>
      </c>
    </row>
    <row r="1603" spans="1:21" x14ac:dyDescent="0.35">
      <c r="A1603" s="123"/>
      <c r="B1603" s="35"/>
      <c r="C1603" s="151"/>
      <c r="D1603" s="1687"/>
      <c r="E1603" s="1688"/>
      <c r="F1603" s="239" t="s">
        <v>4533</v>
      </c>
      <c r="G1603" s="153">
        <f t="shared" si="221"/>
        <v>0.5</v>
      </c>
      <c r="H1603" s="1066">
        <f>VLOOKUP(F1603,$P$1607:$Q$1610,2,0)*G1603/50%</f>
        <v>0</v>
      </c>
      <c r="I1603" s="158"/>
      <c r="J1603" s="156"/>
      <c r="K1603" s="157">
        <f t="shared" si="216"/>
        <v>100</v>
      </c>
      <c r="L1603" s="157">
        <f t="shared" si="217"/>
        <v>200</v>
      </c>
      <c r="M1603" s="157">
        <f t="shared" si="218"/>
        <v>300</v>
      </c>
      <c r="N1603" s="157">
        <f t="shared" si="219"/>
        <v>400</v>
      </c>
      <c r="O1603" s="1051" t="str">
        <f>CONCATENATE(O1599," | ",F1603)</f>
        <v>F.3.2 Alternative Mobilitätsangebote | Ein Angebot in guter Qualität vorhanden</v>
      </c>
      <c r="P1603" s="1059" t="s">
        <v>4538</v>
      </c>
      <c r="Q1603" s="1060">
        <v>0.25</v>
      </c>
      <c r="R1603" s="1052"/>
      <c r="S1603" s="595">
        <v>0</v>
      </c>
      <c r="T1603" s="595">
        <v>0.35</v>
      </c>
      <c r="U1603" s="588">
        <v>0.5</v>
      </c>
    </row>
    <row r="1604" spans="1:21" x14ac:dyDescent="0.35">
      <c r="A1604" s="123"/>
      <c r="B1604" s="35"/>
      <c r="C1604" s="151"/>
      <c r="D1604" s="1687"/>
      <c r="E1604" s="1688"/>
      <c r="F1604" s="159"/>
      <c r="G1604" s="160"/>
      <c r="H1604" s="161"/>
      <c r="I1604" s="166"/>
      <c r="J1604" s="167"/>
      <c r="K1604" s="157">
        <f t="shared" si="216"/>
        <v>100</v>
      </c>
      <c r="L1604" s="157">
        <f t="shared" si="217"/>
        <v>200</v>
      </c>
      <c r="M1604" s="157">
        <f t="shared" si="218"/>
        <v>300</v>
      </c>
      <c r="N1604" s="157">
        <f t="shared" si="219"/>
        <v>400</v>
      </c>
      <c r="O1604" s="1051"/>
      <c r="P1604" s="1059" t="s">
        <v>4539</v>
      </c>
      <c r="Q1604" s="1060">
        <v>0.35</v>
      </c>
      <c r="R1604" s="1052"/>
      <c r="S1604" s="595"/>
      <c r="T1604" s="595"/>
      <c r="U1604" s="596"/>
    </row>
    <row r="1605" spans="1:21" ht="15" thickBot="1" x14ac:dyDescent="0.4">
      <c r="A1605" s="123">
        <v>3.2</v>
      </c>
      <c r="B1605" s="35"/>
      <c r="C1605" s="151"/>
      <c r="D1605" s="1687"/>
      <c r="E1605" s="1688"/>
      <c r="F1605" s="593" t="str">
        <f>IF($G$2=1,R1605,"Weiteres Kriterium in der Nutzung")</f>
        <v>Weiteres Kriterium in der Nutzung</v>
      </c>
      <c r="G1605" s="153">
        <f t="shared" ref="G1605:G1607" si="222">IF($H$2=1,S1605,IF($H$2=2,T1605,U1605))</f>
        <v>0</v>
      </c>
      <c r="H1605" s="154"/>
      <c r="I1605" s="158"/>
      <c r="J1605" s="156"/>
      <c r="K1605" s="157">
        <f t="shared" si="216"/>
        <v>100</v>
      </c>
      <c r="L1605" s="157">
        <f t="shared" si="217"/>
        <v>200</v>
      </c>
      <c r="M1605" s="157">
        <f t="shared" si="218"/>
        <v>300</v>
      </c>
      <c r="N1605" s="157">
        <f t="shared" si="219"/>
        <v>400</v>
      </c>
      <c r="O1605" s="1051" t="str">
        <f>CONCATENATE(O1599," | ",F1605)</f>
        <v>F.3.2 Alternative Mobilitätsangebote | Weiteres Kriterium in der Nutzung</v>
      </c>
      <c r="P1605" s="1061" t="s">
        <v>4540</v>
      </c>
      <c r="Q1605" s="1062">
        <v>0.5</v>
      </c>
      <c r="R1605" s="1052" t="s">
        <v>5341</v>
      </c>
      <c r="S1605" s="588">
        <v>0.33</v>
      </c>
      <c r="T1605" s="588">
        <v>0.1</v>
      </c>
      <c r="U1605" s="588">
        <v>0</v>
      </c>
    </row>
    <row r="1606" spans="1:21" ht="15" thickBot="1" x14ac:dyDescent="0.4">
      <c r="A1606" s="123"/>
      <c r="B1606" s="35"/>
      <c r="C1606" s="151"/>
      <c r="D1606" s="1687"/>
      <c r="E1606" s="1688"/>
      <c r="F1606" s="593" t="str">
        <f>IF($G$2=1,R1606,"Weiteres Kriterium in der Nutzung")</f>
        <v>Weiteres Kriterium in der Nutzung</v>
      </c>
      <c r="G1606" s="153">
        <f t="shared" si="222"/>
        <v>0</v>
      </c>
      <c r="H1606" s="154"/>
      <c r="I1606" s="158"/>
      <c r="J1606" s="156"/>
      <c r="K1606" s="157">
        <f t="shared" si="216"/>
        <v>100</v>
      </c>
      <c r="L1606" s="157">
        <f t="shared" si="217"/>
        <v>200</v>
      </c>
      <c r="M1606" s="157">
        <f t="shared" si="218"/>
        <v>300</v>
      </c>
      <c r="N1606" s="157">
        <f t="shared" si="219"/>
        <v>400</v>
      </c>
      <c r="O1606" s="967" t="str">
        <f>CONCATENATE(O1599," | ",F1606)</f>
        <v>F.3.2 Alternative Mobilitätsangebote | Weiteres Kriterium in der Nutzung</v>
      </c>
      <c r="P1606" s="1067"/>
      <c r="Q1606" s="1068"/>
      <c r="R1606" s="968" t="s">
        <v>5330</v>
      </c>
      <c r="S1606" s="588">
        <v>0.33</v>
      </c>
      <c r="T1606" s="588">
        <v>0.1</v>
      </c>
      <c r="U1606" s="588">
        <v>0</v>
      </c>
    </row>
    <row r="1607" spans="1:21" x14ac:dyDescent="0.35">
      <c r="A1607" s="123"/>
      <c r="B1607" s="35"/>
      <c r="C1607" s="151"/>
      <c r="D1607" s="1687"/>
      <c r="E1607" s="1688"/>
      <c r="F1607" s="593" t="str">
        <f>IF($G$2=1,R1607,"Weiteres Kriterium in der Nutzung")</f>
        <v>Weiteres Kriterium in der Nutzung</v>
      </c>
      <c r="G1607" s="153">
        <f t="shared" si="222"/>
        <v>0</v>
      </c>
      <c r="H1607" s="154"/>
      <c r="I1607" s="158"/>
      <c r="J1607" s="156"/>
      <c r="K1607" s="157">
        <f>IF($J1607=$K$41,K1605+1,K1605+0)</f>
        <v>100</v>
      </c>
      <c r="L1607" s="157">
        <f>IF($J1607=$L$41,L1605+1,L1605+0)</f>
        <v>200</v>
      </c>
      <c r="M1607" s="157">
        <f>IF($J1607=$M$41,M1605+1,M1605+0)</f>
        <v>300</v>
      </c>
      <c r="N1607" s="157">
        <f>IF($J1607=$N$41,N1605+1,N1605+0)</f>
        <v>400</v>
      </c>
      <c r="O1607" s="1051" t="str">
        <f>CONCATENATE(O1599," | ",F1607)</f>
        <v>F.3.2 Alternative Mobilitätsangebote | Weiteres Kriterium in der Nutzung</v>
      </c>
      <c r="P1607" s="1057" t="s">
        <v>4533</v>
      </c>
      <c r="Q1607" s="1058">
        <v>0</v>
      </c>
      <c r="R1607" s="1052" t="s">
        <v>5337</v>
      </c>
      <c r="S1607" s="588">
        <v>0.34</v>
      </c>
      <c r="T1607" s="588">
        <v>0.1</v>
      </c>
      <c r="U1607" s="588">
        <v>0</v>
      </c>
    </row>
    <row r="1608" spans="1:21" x14ac:dyDescent="0.35">
      <c r="A1608" s="116"/>
      <c r="B1608" s="35"/>
      <c r="C1608" s="117"/>
      <c r="D1608" s="1687"/>
      <c r="E1608" s="1688"/>
      <c r="F1608" s="614" t="s">
        <v>4917</v>
      </c>
      <c r="G1608" s="160"/>
      <c r="H1608" s="161"/>
      <c r="I1608" s="611"/>
      <c r="J1608" s="164"/>
      <c r="K1608" s="157">
        <f t="shared" si="216"/>
        <v>100</v>
      </c>
      <c r="L1608" s="157">
        <f t="shared" si="217"/>
        <v>200</v>
      </c>
      <c r="M1608" s="157">
        <f t="shared" si="218"/>
        <v>300</v>
      </c>
      <c r="N1608" s="157">
        <f t="shared" si="219"/>
        <v>400</v>
      </c>
      <c r="O1608" s="1063"/>
      <c r="P1608" s="1059" t="s">
        <v>4534</v>
      </c>
      <c r="Q1608" s="1060">
        <v>0.25</v>
      </c>
      <c r="R1608" s="1052"/>
      <c r="S1608" s="589"/>
      <c r="T1608" s="589"/>
      <c r="U1608" s="589"/>
    </row>
    <row r="1609" spans="1:21" x14ac:dyDescent="0.35">
      <c r="A1609" s="116"/>
      <c r="B1609" s="35"/>
      <c r="C1609" s="117"/>
      <c r="D1609" s="1687"/>
      <c r="E1609" s="1688"/>
      <c r="F1609" s="614" t="s">
        <v>4918</v>
      </c>
      <c r="G1609" s="160"/>
      <c r="H1609" s="161"/>
      <c r="I1609" s="611"/>
      <c r="J1609" s="164"/>
      <c r="K1609" s="157">
        <f t="shared" si="216"/>
        <v>100</v>
      </c>
      <c r="L1609" s="157">
        <f t="shared" si="217"/>
        <v>200</v>
      </c>
      <c r="M1609" s="157">
        <f t="shared" si="218"/>
        <v>300</v>
      </c>
      <c r="N1609" s="157">
        <f t="shared" si="219"/>
        <v>400</v>
      </c>
      <c r="O1609" s="1063"/>
      <c r="P1609" s="1059" t="s">
        <v>4535</v>
      </c>
      <c r="Q1609" s="1060">
        <v>0.35</v>
      </c>
      <c r="R1609" s="1052"/>
      <c r="S1609" s="589"/>
      <c r="T1609" s="589"/>
      <c r="U1609" s="589"/>
    </row>
    <row r="1610" spans="1:21" ht="15" thickBot="1" x14ac:dyDescent="0.4">
      <c r="A1610" s="116"/>
      <c r="B1610" s="35"/>
      <c r="C1610" s="117"/>
      <c r="D1610" s="1687"/>
      <c r="E1610" s="1688"/>
      <c r="F1610" s="614" t="s">
        <v>4919</v>
      </c>
      <c r="G1610" s="160"/>
      <c r="H1610" s="161"/>
      <c r="I1610" s="611"/>
      <c r="J1610" s="164"/>
      <c r="K1610" s="157">
        <f t="shared" si="216"/>
        <v>100</v>
      </c>
      <c r="L1610" s="157">
        <f t="shared" si="217"/>
        <v>200</v>
      </c>
      <c r="M1610" s="157">
        <f t="shared" si="218"/>
        <v>300</v>
      </c>
      <c r="N1610" s="157">
        <f t="shared" si="219"/>
        <v>400</v>
      </c>
      <c r="O1610" s="1063"/>
      <c r="P1610" s="1061" t="s">
        <v>4536</v>
      </c>
      <c r="Q1610" s="1062">
        <v>0.5</v>
      </c>
      <c r="R1610" s="1052"/>
      <c r="S1610" s="589"/>
      <c r="T1610" s="589"/>
      <c r="U1610" s="589"/>
    </row>
    <row r="1611" spans="1:21" x14ac:dyDescent="0.35">
      <c r="A1611" s="123"/>
      <c r="B1611" s="35"/>
      <c r="C1611" s="151"/>
      <c r="D1611" s="1687"/>
      <c r="E1611" s="1688"/>
      <c r="F1611" s="616" t="s">
        <v>4920</v>
      </c>
      <c r="G1611" s="160"/>
      <c r="H1611" s="161"/>
      <c r="I1611" s="612"/>
      <c r="J1611" s="167"/>
      <c r="K1611" s="157">
        <f t="shared" si="216"/>
        <v>100</v>
      </c>
      <c r="L1611" s="157">
        <f t="shared" si="217"/>
        <v>200</v>
      </c>
      <c r="M1611" s="157">
        <f t="shared" si="218"/>
        <v>300</v>
      </c>
      <c r="N1611" s="157">
        <f t="shared" si="219"/>
        <v>400</v>
      </c>
      <c r="O1611" s="959"/>
      <c r="P1611" s="1055"/>
      <c r="Q1611" s="1064"/>
      <c r="R1611" s="968"/>
      <c r="S1611" s="589"/>
      <c r="T1611" s="589"/>
      <c r="U1611" s="589"/>
    </row>
    <row r="1612" spans="1:21" x14ac:dyDescent="0.35">
      <c r="A1612" s="116"/>
      <c r="B1612" s="35"/>
      <c r="C1612" s="117"/>
      <c r="D1612" s="1687"/>
      <c r="E1612" s="1688"/>
      <c r="F1612" s="614" t="s">
        <v>4905</v>
      </c>
      <c r="G1612" s="160"/>
      <c r="H1612" s="168"/>
      <c r="I1612" s="611"/>
      <c r="J1612" s="164"/>
      <c r="K1612" s="157">
        <f t="shared" si="216"/>
        <v>100</v>
      </c>
      <c r="L1612" s="157">
        <f t="shared" si="217"/>
        <v>200</v>
      </c>
      <c r="M1612" s="157">
        <f t="shared" si="218"/>
        <v>300</v>
      </c>
      <c r="N1612" s="157">
        <f t="shared" si="219"/>
        <v>400</v>
      </c>
      <c r="O1612" s="959"/>
      <c r="P1612" s="967"/>
      <c r="Q1612" s="586"/>
      <c r="R1612" s="968"/>
      <c r="S1612" s="589"/>
      <c r="T1612" s="589"/>
      <c r="U1612" s="589"/>
    </row>
    <row r="1613" spans="1:21" x14ac:dyDescent="0.35">
      <c r="A1613" s="116"/>
      <c r="B1613" s="117"/>
      <c r="C1613" s="117"/>
      <c r="D1613" s="1687"/>
      <c r="E1613" s="1688"/>
      <c r="F1613" s="614" t="s">
        <v>4921</v>
      </c>
      <c r="G1613" s="160"/>
      <c r="H1613" s="168"/>
      <c r="I1613" s="611"/>
      <c r="J1613" s="164"/>
      <c r="K1613" s="157">
        <f t="shared" si="216"/>
        <v>100</v>
      </c>
      <c r="L1613" s="157">
        <f t="shared" si="217"/>
        <v>200</v>
      </c>
      <c r="M1613" s="157">
        <f t="shared" si="218"/>
        <v>300</v>
      </c>
      <c r="N1613" s="157">
        <f t="shared" si="219"/>
        <v>400</v>
      </c>
      <c r="O1613" s="959"/>
      <c r="P1613" s="967"/>
      <c r="Q1613" s="586"/>
      <c r="R1613" s="968"/>
      <c r="S1613" s="589"/>
      <c r="T1613" s="589"/>
      <c r="U1613" s="589"/>
    </row>
    <row r="1614" spans="1:21" x14ac:dyDescent="0.35">
      <c r="A1614" s="116"/>
      <c r="B1614" s="117"/>
      <c r="C1614" s="117"/>
      <c r="D1614" s="1687"/>
      <c r="E1614" s="1688"/>
      <c r="F1614" s="615" t="s">
        <v>4906</v>
      </c>
      <c r="G1614" s="170"/>
      <c r="H1614" s="171"/>
      <c r="I1614" s="613"/>
      <c r="J1614" s="173"/>
      <c r="K1614" s="157">
        <f t="shared" si="216"/>
        <v>100</v>
      </c>
      <c r="L1614" s="157">
        <f t="shared" si="217"/>
        <v>200</v>
      </c>
      <c r="M1614" s="157">
        <f t="shared" si="218"/>
        <v>300</v>
      </c>
      <c r="N1614" s="157">
        <f t="shared" si="219"/>
        <v>400</v>
      </c>
      <c r="O1614" s="959"/>
      <c r="P1614" s="967"/>
      <c r="Q1614" s="586"/>
      <c r="R1614" s="968"/>
      <c r="S1614" s="589"/>
      <c r="T1614" s="589"/>
      <c r="U1614" s="589"/>
    </row>
    <row r="1615" spans="1:21" ht="28.5" customHeight="1" x14ac:dyDescent="0.35">
      <c r="A1615" s="116"/>
      <c r="B1615" s="117"/>
      <c r="C1615" s="117"/>
      <c r="D1615" s="174"/>
      <c r="E1615" s="175"/>
      <c r="F1615" s="1689" t="s">
        <v>2</v>
      </c>
      <c r="G1615" s="1689"/>
      <c r="H1615" s="176">
        <f>IF(O1615&gt;1,"Zielerreichung übersteigt 100%!",O1615)</f>
        <v>0</v>
      </c>
      <c r="I1615" s="177"/>
      <c r="J1615" s="178"/>
      <c r="K1615" s="157">
        <f t="shared" si="216"/>
        <v>100</v>
      </c>
      <c r="L1615" s="157">
        <f t="shared" si="217"/>
        <v>200</v>
      </c>
      <c r="M1615" s="157">
        <f t="shared" si="218"/>
        <v>300</v>
      </c>
      <c r="N1615" s="157">
        <f t="shared" si="219"/>
        <v>400</v>
      </c>
      <c r="O1615" s="959">
        <f>SUM(H1602:H1614)</f>
        <v>0</v>
      </c>
      <c r="P1615" s="967"/>
      <c r="Q1615" s="586"/>
      <c r="R1615" s="968"/>
      <c r="S1615" s="589"/>
      <c r="T1615" s="589"/>
      <c r="U1615" s="589"/>
    </row>
    <row r="1616" spans="1:21" x14ac:dyDescent="0.35">
      <c r="A1616" s="116"/>
      <c r="B1616" s="117"/>
      <c r="C1616" s="117"/>
      <c r="D1616" s="179"/>
      <c r="E1616" s="180"/>
      <c r="F1616" s="1690" t="s">
        <v>3</v>
      </c>
      <c r="G1616" s="1691"/>
      <c r="H1616" s="181">
        <v>37</v>
      </c>
      <c r="I1616" s="177"/>
      <c r="J1616" s="178"/>
      <c r="K1616" s="157">
        <f t="shared" si="216"/>
        <v>100</v>
      </c>
      <c r="L1616" s="157">
        <f t="shared" si="217"/>
        <v>200</v>
      </c>
      <c r="M1616" s="157">
        <f t="shared" si="218"/>
        <v>300</v>
      </c>
      <c r="N1616" s="157">
        <f t="shared" si="219"/>
        <v>400</v>
      </c>
      <c r="O1616" s="1030"/>
      <c r="P1616" s="967"/>
      <c r="Q1616" s="586"/>
      <c r="R1616" s="968"/>
      <c r="S1616" s="589"/>
      <c r="T1616" s="589"/>
      <c r="U1616" s="589"/>
    </row>
    <row r="1617" spans="1:21" x14ac:dyDescent="0.35">
      <c r="A1617" s="116"/>
      <c r="B1617" s="117"/>
      <c r="C1617" s="117"/>
      <c r="D1617" s="179"/>
      <c r="E1617" s="180"/>
      <c r="F1617" s="1692"/>
      <c r="G1617" s="1693"/>
      <c r="H1617" s="182"/>
      <c r="I1617" s="183"/>
      <c r="J1617" s="178"/>
      <c r="K1617" s="157">
        <f t="shared" si="216"/>
        <v>100</v>
      </c>
      <c r="L1617" s="157">
        <f t="shared" si="217"/>
        <v>200</v>
      </c>
      <c r="M1617" s="157">
        <f t="shared" si="218"/>
        <v>300</v>
      </c>
      <c r="N1617" s="157">
        <f t="shared" si="219"/>
        <v>400</v>
      </c>
      <c r="O1617" s="1030"/>
      <c r="P1617" s="967"/>
      <c r="Q1617" s="586"/>
      <c r="R1617" s="968"/>
      <c r="S1617" s="589"/>
      <c r="T1617" s="589"/>
      <c r="U1617" s="589"/>
    </row>
    <row r="1618" spans="1:21" x14ac:dyDescent="0.35">
      <c r="A1618" s="184"/>
      <c r="B1618" s="185"/>
      <c r="C1618" s="185"/>
      <c r="D1618" s="179"/>
      <c r="E1618" s="180"/>
      <c r="F1618" s="186"/>
      <c r="G1618" s="186"/>
      <c r="H1618" s="187"/>
      <c r="I1618" s="177"/>
      <c r="J1618" s="178"/>
      <c r="K1618" s="157">
        <f t="shared" si="216"/>
        <v>100</v>
      </c>
      <c r="L1618" s="157">
        <f t="shared" si="217"/>
        <v>200</v>
      </c>
      <c r="M1618" s="157">
        <f t="shared" si="218"/>
        <v>300</v>
      </c>
      <c r="N1618" s="157">
        <f t="shared" si="219"/>
        <v>400</v>
      </c>
      <c r="O1618" s="1030"/>
      <c r="P1618" s="967"/>
      <c r="Q1618" s="586"/>
      <c r="R1618" s="968"/>
      <c r="S1618" s="589"/>
      <c r="T1618" s="589"/>
      <c r="U1618" s="589"/>
    </row>
    <row r="1619" spans="1:21" ht="15.5" x14ac:dyDescent="0.35">
      <c r="A1619" s="116"/>
      <c r="B1619" s="117"/>
      <c r="C1619" s="1697"/>
      <c r="D1619" s="1698"/>
      <c r="E1619" s="286"/>
      <c r="F1619" s="1699" t="s">
        <v>5</v>
      </c>
      <c r="G1619" s="1699"/>
      <c r="H1619" s="287">
        <f>IF(ISNUMBER(I1617),H1617*H1615,H1616*H1615)</f>
        <v>0</v>
      </c>
      <c r="I1619" s="288"/>
      <c r="J1619" s="291"/>
      <c r="K1619" s="157">
        <f t="shared" si="216"/>
        <v>100</v>
      </c>
      <c r="L1619" s="157">
        <f t="shared" si="217"/>
        <v>200</v>
      </c>
      <c r="M1619" s="157">
        <f t="shared" si="218"/>
        <v>300</v>
      </c>
      <c r="N1619" s="157">
        <f t="shared" si="219"/>
        <v>400</v>
      </c>
      <c r="O1619" s="1030"/>
      <c r="P1619" s="967"/>
      <c r="Q1619" s="586"/>
      <c r="R1619" s="968"/>
      <c r="S1619" s="589"/>
      <c r="T1619" s="589"/>
      <c r="U1619" s="589"/>
    </row>
    <row r="1620" spans="1:21" x14ac:dyDescent="0.35">
      <c r="J1620" s="278"/>
    </row>
  </sheetData>
  <mergeCells count="476">
    <mergeCell ref="C420:D420"/>
    <mergeCell ref="F420:G420"/>
    <mergeCell ref="D425:E425"/>
    <mergeCell ref="D426:E437"/>
    <mergeCell ref="F438:G438"/>
    <mergeCell ref="F439:G439"/>
    <mergeCell ref="F440:G440"/>
    <mergeCell ref="C442:D442"/>
    <mergeCell ref="F442:G442"/>
    <mergeCell ref="D42:E42"/>
    <mergeCell ref="D43:E54"/>
    <mergeCell ref="F55:G55"/>
    <mergeCell ref="F56:G56"/>
    <mergeCell ref="F57:G57"/>
    <mergeCell ref="D65:E76"/>
    <mergeCell ref="F77:G77"/>
    <mergeCell ref="F78:G78"/>
    <mergeCell ref="F79:G79"/>
    <mergeCell ref="F81:G81"/>
    <mergeCell ref="D88:E88"/>
    <mergeCell ref="D89:E100"/>
    <mergeCell ref="F101:G101"/>
    <mergeCell ref="F105:G105"/>
    <mergeCell ref="F102:G102"/>
    <mergeCell ref="F124:G124"/>
    <mergeCell ref="F125:G125"/>
    <mergeCell ref="F127:G127"/>
    <mergeCell ref="F103:G103"/>
    <mergeCell ref="D110:E110"/>
    <mergeCell ref="D111:E122"/>
    <mergeCell ref="F123:G123"/>
    <mergeCell ref="C105:D105"/>
    <mergeCell ref="C127:D127"/>
    <mergeCell ref="F149:G149"/>
    <mergeCell ref="D154:E154"/>
    <mergeCell ref="D155:E166"/>
    <mergeCell ref="F167:G167"/>
    <mergeCell ref="F168:G168"/>
    <mergeCell ref="D132:E132"/>
    <mergeCell ref="D133:E144"/>
    <mergeCell ref="F145:G145"/>
    <mergeCell ref="F146:G146"/>
    <mergeCell ref="F147:G147"/>
    <mergeCell ref="C149:D149"/>
    <mergeCell ref="F214:G214"/>
    <mergeCell ref="F215:G215"/>
    <mergeCell ref="F217:G217"/>
    <mergeCell ref="D222:E222"/>
    <mergeCell ref="D223:E234"/>
    <mergeCell ref="F169:G169"/>
    <mergeCell ref="F171:G171"/>
    <mergeCell ref="D200:E200"/>
    <mergeCell ref="D201:E212"/>
    <mergeCell ref="F213:G213"/>
    <mergeCell ref="C171:D171"/>
    <mergeCell ref="C217:D217"/>
    <mergeCell ref="D175:E175"/>
    <mergeCell ref="D176:E187"/>
    <mergeCell ref="F188:G188"/>
    <mergeCell ref="F189:G189"/>
    <mergeCell ref="F190:G190"/>
    <mergeCell ref="C192:D192"/>
    <mergeCell ref="F192:G192"/>
    <mergeCell ref="D290:E290"/>
    <mergeCell ref="D291:E302"/>
    <mergeCell ref="D268:E268"/>
    <mergeCell ref="D269:E280"/>
    <mergeCell ref="F281:G281"/>
    <mergeCell ref="F282:G282"/>
    <mergeCell ref="F283:G283"/>
    <mergeCell ref="C285:D285"/>
    <mergeCell ref="F285:G285"/>
    <mergeCell ref="D245:E256"/>
    <mergeCell ref="F257:G257"/>
    <mergeCell ref="F258:G258"/>
    <mergeCell ref="F259:G259"/>
    <mergeCell ref="F261:G261"/>
    <mergeCell ref="F235:G235"/>
    <mergeCell ref="F236:G236"/>
    <mergeCell ref="F237:G237"/>
    <mergeCell ref="F239:G239"/>
    <mergeCell ref="D244:E244"/>
    <mergeCell ref="C239:D239"/>
    <mergeCell ref="C261:D261"/>
    <mergeCell ref="F307:G307"/>
    <mergeCell ref="D312:E312"/>
    <mergeCell ref="D313:E324"/>
    <mergeCell ref="F325:G325"/>
    <mergeCell ref="F326:G326"/>
    <mergeCell ref="C307:D307"/>
    <mergeCell ref="C329:D329"/>
    <mergeCell ref="F303:G303"/>
    <mergeCell ref="F304:G304"/>
    <mergeCell ref="F305:G305"/>
    <mergeCell ref="F352:G352"/>
    <mergeCell ref="F354:G354"/>
    <mergeCell ref="D359:E359"/>
    <mergeCell ref="D360:E371"/>
    <mergeCell ref="C354:D354"/>
    <mergeCell ref="C376:D376"/>
    <mergeCell ref="F327:G327"/>
    <mergeCell ref="F329:G329"/>
    <mergeCell ref="D337:E337"/>
    <mergeCell ref="D338:E349"/>
    <mergeCell ref="F350:G350"/>
    <mergeCell ref="F416:G416"/>
    <mergeCell ref="F417:G417"/>
    <mergeCell ref="F418:G418"/>
    <mergeCell ref="C81:D81"/>
    <mergeCell ref="D450:E450"/>
    <mergeCell ref="D451:E462"/>
    <mergeCell ref="F463:G463"/>
    <mergeCell ref="F59:G59"/>
    <mergeCell ref="C59:D59"/>
    <mergeCell ref="D381:E381"/>
    <mergeCell ref="D382:E393"/>
    <mergeCell ref="F394:G394"/>
    <mergeCell ref="F395:G395"/>
    <mergeCell ref="F396:G396"/>
    <mergeCell ref="C398:D398"/>
    <mergeCell ref="F398:G398"/>
    <mergeCell ref="D403:E403"/>
    <mergeCell ref="D404:E415"/>
    <mergeCell ref="F372:G372"/>
    <mergeCell ref="F373:G373"/>
    <mergeCell ref="F374:G374"/>
    <mergeCell ref="F376:G376"/>
    <mergeCell ref="D64:E64"/>
    <mergeCell ref="F351:G351"/>
    <mergeCell ref="F464:G464"/>
    <mergeCell ref="F465:G465"/>
    <mergeCell ref="F467:G467"/>
    <mergeCell ref="C467:D467"/>
    <mergeCell ref="D472:E472"/>
    <mergeCell ref="D473:E484"/>
    <mergeCell ref="F485:G485"/>
    <mergeCell ref="F535:G535"/>
    <mergeCell ref="F536:G536"/>
    <mergeCell ref="F537:G537"/>
    <mergeCell ref="F539:G539"/>
    <mergeCell ref="D544:E544"/>
    <mergeCell ref="C539:D539"/>
    <mergeCell ref="D522:E522"/>
    <mergeCell ref="D523:E534"/>
    <mergeCell ref="F486:G486"/>
    <mergeCell ref="F487:G487"/>
    <mergeCell ref="C489:D489"/>
    <mergeCell ref="F489:G489"/>
    <mergeCell ref="D494:E494"/>
    <mergeCell ref="D495:E506"/>
    <mergeCell ref="F507:G507"/>
    <mergeCell ref="F508:G508"/>
    <mergeCell ref="F509:G509"/>
    <mergeCell ref="C511:D511"/>
    <mergeCell ref="F511:G511"/>
    <mergeCell ref="D566:E566"/>
    <mergeCell ref="D567:E578"/>
    <mergeCell ref="F579:G579"/>
    <mergeCell ref="F580:G580"/>
    <mergeCell ref="F581:G581"/>
    <mergeCell ref="D545:E556"/>
    <mergeCell ref="F557:G557"/>
    <mergeCell ref="F558:G558"/>
    <mergeCell ref="F559:G559"/>
    <mergeCell ref="F561:G561"/>
    <mergeCell ref="C561:D561"/>
    <mergeCell ref="F603:G603"/>
    <mergeCell ref="F605:G605"/>
    <mergeCell ref="D610:E610"/>
    <mergeCell ref="D611:E622"/>
    <mergeCell ref="F623:G623"/>
    <mergeCell ref="C605:D605"/>
    <mergeCell ref="F583:G583"/>
    <mergeCell ref="D588:E588"/>
    <mergeCell ref="D589:E600"/>
    <mergeCell ref="F601:G601"/>
    <mergeCell ref="F602:G602"/>
    <mergeCell ref="C583:D583"/>
    <mergeCell ref="D636:E647"/>
    <mergeCell ref="F648:G648"/>
    <mergeCell ref="F649:G649"/>
    <mergeCell ref="F650:G650"/>
    <mergeCell ref="F652:G652"/>
    <mergeCell ref="C652:D652"/>
    <mergeCell ref="D635:E635"/>
    <mergeCell ref="F624:G624"/>
    <mergeCell ref="F625:G625"/>
    <mergeCell ref="F627:G627"/>
    <mergeCell ref="C627:D627"/>
    <mergeCell ref="F674:G674"/>
    <mergeCell ref="D682:E682"/>
    <mergeCell ref="D683:E694"/>
    <mergeCell ref="F695:G695"/>
    <mergeCell ref="F696:G696"/>
    <mergeCell ref="C674:D674"/>
    <mergeCell ref="D657:E657"/>
    <mergeCell ref="D658:E669"/>
    <mergeCell ref="F670:G670"/>
    <mergeCell ref="F671:G671"/>
    <mergeCell ref="F672:G672"/>
    <mergeCell ref="F718:G718"/>
    <mergeCell ref="F719:G719"/>
    <mergeCell ref="F721:G721"/>
    <mergeCell ref="C721:D721"/>
    <mergeCell ref="F697:G697"/>
    <mergeCell ref="F699:G699"/>
    <mergeCell ref="D704:E704"/>
    <mergeCell ref="D705:E716"/>
    <mergeCell ref="F717:G717"/>
    <mergeCell ref="C699:D699"/>
    <mergeCell ref="D961:E961"/>
    <mergeCell ref="D962:E973"/>
    <mergeCell ref="F905:G905"/>
    <mergeCell ref="F906:G906"/>
    <mergeCell ref="F814:G814"/>
    <mergeCell ref="F815:G815"/>
    <mergeCell ref="D801:E801"/>
    <mergeCell ref="D802:E813"/>
    <mergeCell ref="F816:G816"/>
    <mergeCell ref="C818:D818"/>
    <mergeCell ref="F818:G818"/>
    <mergeCell ref="F952:G952"/>
    <mergeCell ref="F953:G953"/>
    <mergeCell ref="F954:G954"/>
    <mergeCell ref="C956:D956"/>
    <mergeCell ref="F956:G956"/>
    <mergeCell ref="D826:E826"/>
    <mergeCell ref="D827:E838"/>
    <mergeCell ref="F839:G839"/>
    <mergeCell ref="F840:G840"/>
    <mergeCell ref="F841:G841"/>
    <mergeCell ref="F862:G862"/>
    <mergeCell ref="F863:G863"/>
    <mergeCell ref="D848:E848"/>
    <mergeCell ref="F931:G931"/>
    <mergeCell ref="F794:G794"/>
    <mergeCell ref="C796:D796"/>
    <mergeCell ref="F796:G796"/>
    <mergeCell ref="F792:G792"/>
    <mergeCell ref="F793:G793"/>
    <mergeCell ref="F770:G770"/>
    <mergeCell ref="C749:D749"/>
    <mergeCell ref="D732:E732"/>
    <mergeCell ref="D733:E744"/>
    <mergeCell ref="F745:G745"/>
    <mergeCell ref="F746:G746"/>
    <mergeCell ref="F747:G747"/>
    <mergeCell ref="F749:G749"/>
    <mergeCell ref="F771:G771"/>
    <mergeCell ref="F772:G772"/>
    <mergeCell ref="D757:E757"/>
    <mergeCell ref="D758:E769"/>
    <mergeCell ref="C774:D774"/>
    <mergeCell ref="F774:G774"/>
    <mergeCell ref="D779:E779"/>
    <mergeCell ref="D780:E791"/>
    <mergeCell ref="F1021:G1021"/>
    <mergeCell ref="F1022:G1022"/>
    <mergeCell ref="F1023:G1023"/>
    <mergeCell ref="C1025:D1025"/>
    <mergeCell ref="F1025:G1025"/>
    <mergeCell ref="D1030:E1030"/>
    <mergeCell ref="D1031:E1042"/>
    <mergeCell ref="F1043:G1043"/>
    <mergeCell ref="F1045:G1045"/>
    <mergeCell ref="F1044:G1044"/>
    <mergeCell ref="C1047:D1047"/>
    <mergeCell ref="F1047:G1047"/>
    <mergeCell ref="D849:E860"/>
    <mergeCell ref="F861:G861"/>
    <mergeCell ref="D1083:E1083"/>
    <mergeCell ref="C1072:D1072"/>
    <mergeCell ref="F1072:G1072"/>
    <mergeCell ref="F997:G997"/>
    <mergeCell ref="F998:G998"/>
    <mergeCell ref="F1068:G1068"/>
    <mergeCell ref="F1070:G1070"/>
    <mergeCell ref="D1055:E1055"/>
    <mergeCell ref="D1008:E1008"/>
    <mergeCell ref="D1009:E1020"/>
    <mergeCell ref="D1056:E1067"/>
    <mergeCell ref="F974:G974"/>
    <mergeCell ref="F975:G975"/>
    <mergeCell ref="F976:G976"/>
    <mergeCell ref="C978:D978"/>
    <mergeCell ref="F978:G978"/>
    <mergeCell ref="D983:E983"/>
    <mergeCell ref="D984:E995"/>
    <mergeCell ref="C1000:D1000"/>
    <mergeCell ref="F1000:G1000"/>
    <mergeCell ref="D1084:E1095"/>
    <mergeCell ref="F1096:G1096"/>
    <mergeCell ref="F1097:G1097"/>
    <mergeCell ref="F1098:G1098"/>
    <mergeCell ref="D871:E882"/>
    <mergeCell ref="F883:G883"/>
    <mergeCell ref="F884:G884"/>
    <mergeCell ref="F885:G885"/>
    <mergeCell ref="C887:D887"/>
    <mergeCell ref="F887:G887"/>
    <mergeCell ref="D892:E892"/>
    <mergeCell ref="D893:E904"/>
    <mergeCell ref="F907:G907"/>
    <mergeCell ref="C909:D909"/>
    <mergeCell ref="F909:G909"/>
    <mergeCell ref="D917:E917"/>
    <mergeCell ref="D918:E929"/>
    <mergeCell ref="F930:G930"/>
    <mergeCell ref="F932:G932"/>
    <mergeCell ref="C934:D934"/>
    <mergeCell ref="F934:G934"/>
    <mergeCell ref="D939:E939"/>
    <mergeCell ref="D940:E951"/>
    <mergeCell ref="F1069:G1069"/>
    <mergeCell ref="C1100:D1100"/>
    <mergeCell ref="F1100:G1100"/>
    <mergeCell ref="D1108:E1108"/>
    <mergeCell ref="D1109:E1120"/>
    <mergeCell ref="F1121:G1121"/>
    <mergeCell ref="F1122:G1122"/>
    <mergeCell ref="F1123:G1123"/>
    <mergeCell ref="F1147:G1147"/>
    <mergeCell ref="F1148:G1148"/>
    <mergeCell ref="C1150:D1150"/>
    <mergeCell ref="F1150:G1150"/>
    <mergeCell ref="D1155:E1155"/>
    <mergeCell ref="C1125:D1125"/>
    <mergeCell ref="F1125:G1125"/>
    <mergeCell ref="D1133:E1133"/>
    <mergeCell ref="D1134:E1145"/>
    <mergeCell ref="F1146:G1146"/>
    <mergeCell ref="D1156:E1167"/>
    <mergeCell ref="F1170:G1170"/>
    <mergeCell ref="C1172:D1172"/>
    <mergeCell ref="F1172:G1172"/>
    <mergeCell ref="F1219:G1219"/>
    <mergeCell ref="F1220:G1220"/>
    <mergeCell ref="C1222:D1222"/>
    <mergeCell ref="F1222:G1222"/>
    <mergeCell ref="D1183:E1183"/>
    <mergeCell ref="D1184:E1195"/>
    <mergeCell ref="F1196:G1196"/>
    <mergeCell ref="F1198:G1198"/>
    <mergeCell ref="C1200:D1200"/>
    <mergeCell ref="F1200:G1200"/>
    <mergeCell ref="F996:G996"/>
    <mergeCell ref="C865:D865"/>
    <mergeCell ref="F865:G865"/>
    <mergeCell ref="D870:E870"/>
    <mergeCell ref="C843:D843"/>
    <mergeCell ref="F843:G843"/>
    <mergeCell ref="F1266:G1266"/>
    <mergeCell ref="F1267:G1267"/>
    <mergeCell ref="F1268:G1268"/>
    <mergeCell ref="D1227:E1227"/>
    <mergeCell ref="D1228:E1240"/>
    <mergeCell ref="F1241:G1241"/>
    <mergeCell ref="F1242:G1242"/>
    <mergeCell ref="F1243:G1243"/>
    <mergeCell ref="C1245:D1245"/>
    <mergeCell ref="F1245:G1245"/>
    <mergeCell ref="F1197:G1197"/>
    <mergeCell ref="D1253:E1253"/>
    <mergeCell ref="D1254:E1265"/>
    <mergeCell ref="D1205:E1205"/>
    <mergeCell ref="D1206:E1217"/>
    <mergeCell ref="F1218:G1218"/>
    <mergeCell ref="F1168:G1168"/>
    <mergeCell ref="F1169:G1169"/>
    <mergeCell ref="C1270:D1270"/>
    <mergeCell ref="F1270:G1270"/>
    <mergeCell ref="D1275:E1275"/>
    <mergeCell ref="D1276:E1287"/>
    <mergeCell ref="F1288:G1288"/>
    <mergeCell ref="F1289:G1289"/>
    <mergeCell ref="F1290:G1290"/>
    <mergeCell ref="C1292:D1292"/>
    <mergeCell ref="F1292:G1292"/>
    <mergeCell ref="F1428:G1428"/>
    <mergeCell ref="C1430:D1430"/>
    <mergeCell ref="F1430:G1430"/>
    <mergeCell ref="D1344:E1344"/>
    <mergeCell ref="D1345:E1356"/>
    <mergeCell ref="F1357:G1357"/>
    <mergeCell ref="F1358:G1358"/>
    <mergeCell ref="F1359:G1359"/>
    <mergeCell ref="C1361:D1361"/>
    <mergeCell ref="F1361:G1361"/>
    <mergeCell ref="D1366:E1366"/>
    <mergeCell ref="D1367:E1378"/>
    <mergeCell ref="F1405:G1405"/>
    <mergeCell ref="F1406:G1406"/>
    <mergeCell ref="C1408:D1408"/>
    <mergeCell ref="F1408:G1408"/>
    <mergeCell ref="D1413:E1413"/>
    <mergeCell ref="D1414:E1425"/>
    <mergeCell ref="F1426:G1426"/>
    <mergeCell ref="F1427:G1427"/>
    <mergeCell ref="D1322:E1322"/>
    <mergeCell ref="D1323:E1334"/>
    <mergeCell ref="F1335:G1335"/>
    <mergeCell ref="F1336:G1336"/>
    <mergeCell ref="F1337:G1337"/>
    <mergeCell ref="C1339:D1339"/>
    <mergeCell ref="F1339:G1339"/>
    <mergeCell ref="F1545:G1545"/>
    <mergeCell ref="F1546:G1546"/>
    <mergeCell ref="D1463:E1463"/>
    <mergeCell ref="D1464:E1475"/>
    <mergeCell ref="F1476:G1476"/>
    <mergeCell ref="F1477:G1477"/>
    <mergeCell ref="F1478:G1478"/>
    <mergeCell ref="C1480:D1480"/>
    <mergeCell ref="F1480:G1480"/>
    <mergeCell ref="D1485:E1485"/>
    <mergeCell ref="D1486:E1497"/>
    <mergeCell ref="F1498:G1498"/>
    <mergeCell ref="F1525:G1525"/>
    <mergeCell ref="C1527:D1527"/>
    <mergeCell ref="F1527:G1527"/>
    <mergeCell ref="F1523:G1523"/>
    <mergeCell ref="F1524:G1524"/>
    <mergeCell ref="F1499:G1499"/>
    <mergeCell ref="F1500:G1500"/>
    <mergeCell ref="C1502:D1502"/>
    <mergeCell ref="F1502:G1502"/>
    <mergeCell ref="D1532:E1532"/>
    <mergeCell ref="D1533:E1544"/>
    <mergeCell ref="D1601:E1601"/>
    <mergeCell ref="D1602:E1614"/>
    <mergeCell ref="F1615:G1615"/>
    <mergeCell ref="F1547:G1547"/>
    <mergeCell ref="C1549:D1549"/>
    <mergeCell ref="F1549:G1549"/>
    <mergeCell ref="D1554:E1554"/>
    <mergeCell ref="D1555:E1566"/>
    <mergeCell ref="F1569:G1569"/>
    <mergeCell ref="C1571:D1571"/>
    <mergeCell ref="F1571:G1571"/>
    <mergeCell ref="F1567:G1567"/>
    <mergeCell ref="F1568:G1568"/>
    <mergeCell ref="F1616:G1616"/>
    <mergeCell ref="F1617:G1617"/>
    <mergeCell ref="C1619:D1619"/>
    <mergeCell ref="F1619:G1619"/>
    <mergeCell ref="D1579:E1579"/>
    <mergeCell ref="D1580:E1591"/>
    <mergeCell ref="F1592:G1592"/>
    <mergeCell ref="F1593:G1593"/>
    <mergeCell ref="F1594:G1594"/>
    <mergeCell ref="C1596:D1596"/>
    <mergeCell ref="F1596:G1596"/>
    <mergeCell ref="D1297:E1297"/>
    <mergeCell ref="D1298:E1309"/>
    <mergeCell ref="F1310:G1310"/>
    <mergeCell ref="F1311:G1311"/>
    <mergeCell ref="F1312:G1312"/>
    <mergeCell ref="C1314:D1314"/>
    <mergeCell ref="F1314:G1314"/>
    <mergeCell ref="D1510:E1510"/>
    <mergeCell ref="D1511:E1522"/>
    <mergeCell ref="F1456:G1456"/>
    <mergeCell ref="C1458:D1458"/>
    <mergeCell ref="F1458:G1458"/>
    <mergeCell ref="F1379:G1379"/>
    <mergeCell ref="F1380:G1380"/>
    <mergeCell ref="F1381:G1381"/>
    <mergeCell ref="C1383:D1383"/>
    <mergeCell ref="F1383:G1383"/>
    <mergeCell ref="D1441:E1441"/>
    <mergeCell ref="D1442:E1453"/>
    <mergeCell ref="F1454:G1454"/>
    <mergeCell ref="F1455:G1455"/>
    <mergeCell ref="D1391:E1391"/>
    <mergeCell ref="D1392:E1403"/>
    <mergeCell ref="F1404:G1404"/>
  </mergeCells>
  <conditionalFormatting sqref="H101">
    <cfRule type="containsText" dxfId="69" priority="140" operator="containsText" text="Zielerreichung übersteigt 100%!">
      <formula>NOT(ISERROR(SEARCH("Zielerreichung übersteigt 100%!",H101)))</formula>
    </cfRule>
  </conditionalFormatting>
  <conditionalFormatting sqref="H123">
    <cfRule type="containsText" dxfId="68" priority="139" operator="containsText" text="Zielerreichung übersteigt 100%!">
      <formula>NOT(ISERROR(SEARCH("Zielerreichung übersteigt 100%!",H123)))</formula>
    </cfRule>
  </conditionalFormatting>
  <conditionalFormatting sqref="H145">
    <cfRule type="containsText" dxfId="67" priority="138" operator="containsText" text="Zielerreichung übersteigt 100%!">
      <formula>NOT(ISERROR(SEARCH("Zielerreichung übersteigt 100%!",H145)))</formula>
    </cfRule>
  </conditionalFormatting>
  <conditionalFormatting sqref="H167">
    <cfRule type="containsText" dxfId="66" priority="137" operator="containsText" text="Zielerreichung übersteigt 100%!">
      <formula>NOT(ISERROR(SEARCH("Zielerreichung übersteigt 100%!",H167)))</formula>
    </cfRule>
  </conditionalFormatting>
  <conditionalFormatting sqref="H213">
    <cfRule type="containsText" dxfId="65" priority="136" operator="containsText" text="Zielerreichung übersteigt 100%!">
      <formula>NOT(ISERROR(SEARCH("Zielerreichung übersteigt 100%!",H213)))</formula>
    </cfRule>
  </conditionalFormatting>
  <conditionalFormatting sqref="H235">
    <cfRule type="containsText" dxfId="64" priority="135" operator="containsText" text="Zielerreichung übersteigt 100%!">
      <formula>NOT(ISERROR(SEARCH("Zielerreichung übersteigt 100%!",H235)))</formula>
    </cfRule>
  </conditionalFormatting>
  <conditionalFormatting sqref="H257">
    <cfRule type="containsText" dxfId="63" priority="134" operator="containsText" text="Zielerreichung übersteigt 100%!">
      <formula>NOT(ISERROR(SEARCH("Zielerreichung übersteigt 100%!",H257)))</formula>
    </cfRule>
  </conditionalFormatting>
  <conditionalFormatting sqref="H303">
    <cfRule type="containsText" dxfId="62" priority="133" operator="containsText" text="Zielerreichung übersteigt 100%!">
      <formula>NOT(ISERROR(SEARCH("Zielerreichung übersteigt 100%!",H303)))</formula>
    </cfRule>
  </conditionalFormatting>
  <conditionalFormatting sqref="H325">
    <cfRule type="containsText" dxfId="61" priority="132" operator="containsText" text="Zielerreichung übersteigt 100%!">
      <formula>NOT(ISERROR(SEARCH("Zielerreichung übersteigt 100%!",H325)))</formula>
    </cfRule>
  </conditionalFormatting>
  <conditionalFormatting sqref="H350">
    <cfRule type="containsText" dxfId="60" priority="131" operator="containsText" text="Zielerreichung übersteigt 100%!">
      <formula>NOT(ISERROR(SEARCH("Zielerreichung übersteigt 100%!",H350)))</formula>
    </cfRule>
  </conditionalFormatting>
  <conditionalFormatting sqref="H372">
    <cfRule type="containsText" dxfId="59" priority="130" operator="containsText" text="Zielerreichung übersteigt 100%!">
      <formula>NOT(ISERROR(SEARCH("Zielerreichung übersteigt 100%!",H372)))</formula>
    </cfRule>
  </conditionalFormatting>
  <conditionalFormatting sqref="H77">
    <cfRule type="containsText" dxfId="58" priority="129" operator="containsText" text="Zielerreichung übersteigt 100%!">
      <formula>NOT(ISERROR(SEARCH("Zielerreichung übersteigt 100%!",H77)))</formula>
    </cfRule>
  </conditionalFormatting>
  <conditionalFormatting sqref="H55">
    <cfRule type="containsText" dxfId="57" priority="128" operator="containsText" text="Zielerreichung übersteigt 100%!">
      <formula>NOT(ISERROR(SEARCH("Zielerreichung übersteigt 100%!",H55)))</formula>
    </cfRule>
  </conditionalFormatting>
  <conditionalFormatting sqref="H463">
    <cfRule type="containsText" dxfId="56" priority="126" operator="containsText" text="Zielerreichung übersteigt 100%!">
      <formula>NOT(ISERROR(SEARCH("Zielerreichung übersteigt 100%!",H463)))</formula>
    </cfRule>
  </conditionalFormatting>
  <conditionalFormatting sqref="H535">
    <cfRule type="containsText" dxfId="55" priority="120" operator="containsText" text="Zielerreichung übersteigt 100%!">
      <formula>NOT(ISERROR(SEARCH("Zielerreichung übersteigt 100%!",H535)))</formula>
    </cfRule>
  </conditionalFormatting>
  <conditionalFormatting sqref="H557">
    <cfRule type="containsText" dxfId="54" priority="119" operator="containsText" text="Zielerreichung übersteigt 100%!">
      <formula>NOT(ISERROR(SEARCH("Zielerreichung übersteigt 100%!",H557)))</formula>
    </cfRule>
  </conditionalFormatting>
  <conditionalFormatting sqref="H579">
    <cfRule type="containsText" dxfId="53" priority="118" operator="containsText" text="Zielerreichung übersteigt 100%!">
      <formula>NOT(ISERROR(SEARCH("Zielerreichung übersteigt 100%!",H579)))</formula>
    </cfRule>
  </conditionalFormatting>
  <conditionalFormatting sqref="H623">
    <cfRule type="containsText" dxfId="52" priority="116" operator="containsText" text="Zielerreichung übersteigt 100%!">
      <formula>NOT(ISERROR(SEARCH("Zielerreichung übersteigt 100%!",H623)))</formula>
    </cfRule>
  </conditionalFormatting>
  <conditionalFormatting sqref="H601">
    <cfRule type="containsText" dxfId="51" priority="117" operator="containsText" text="Zielerreichung übersteigt 100%!">
      <formula>NOT(ISERROR(SEARCH("Zielerreichung übersteigt 100%!",H601)))</formula>
    </cfRule>
  </conditionalFormatting>
  <conditionalFormatting sqref="H648">
    <cfRule type="containsText" dxfId="50" priority="114" operator="containsText" text="Zielerreichung übersteigt 100%!">
      <formula>NOT(ISERROR(SEARCH("Zielerreichung übersteigt 100%!",H648)))</formula>
    </cfRule>
  </conditionalFormatting>
  <conditionalFormatting sqref="H670">
    <cfRule type="containsText" dxfId="49" priority="113" operator="containsText" text="Zielerreichung übersteigt 100%!">
      <formula>NOT(ISERROR(SEARCH("Zielerreichung übersteigt 100%!",H670)))</formula>
    </cfRule>
  </conditionalFormatting>
  <conditionalFormatting sqref="H695">
    <cfRule type="containsText" dxfId="48" priority="112" operator="containsText" text="Zielerreichung übersteigt 100%!">
      <formula>NOT(ISERROR(SEARCH("Zielerreichung übersteigt 100%!",H695)))</formula>
    </cfRule>
  </conditionalFormatting>
  <conditionalFormatting sqref="H717">
    <cfRule type="containsText" dxfId="47" priority="111" operator="containsText" text="Zielerreichung übersteigt 100%!">
      <formula>NOT(ISERROR(SEARCH("Zielerreichung übersteigt 100%!",H717)))</formula>
    </cfRule>
  </conditionalFormatting>
  <conditionalFormatting sqref="H745">
    <cfRule type="containsText" dxfId="46" priority="78" operator="containsText" text="Zielerreichung übersteigt 100%!">
      <formula>NOT(ISERROR(SEARCH("Zielerreichung übersteigt 100%!",H745)))</formula>
    </cfRule>
  </conditionalFormatting>
  <conditionalFormatting sqref="H1021">
    <cfRule type="containsText" dxfId="45" priority="71" operator="containsText" text="Zielerreichung übersteigt 100%!">
      <formula>NOT(ISERROR(SEARCH("Zielerreichung übersteigt 100%!",H1021)))</formula>
    </cfRule>
  </conditionalFormatting>
  <conditionalFormatting sqref="H839">
    <cfRule type="containsText" dxfId="44" priority="70" operator="containsText" text="Zielerreichung übersteigt 100%!">
      <formula>NOT(ISERROR(SEARCH("Zielerreichung übersteigt 100%!",H839)))</formula>
    </cfRule>
  </conditionalFormatting>
  <conditionalFormatting sqref="H861">
    <cfRule type="containsText" dxfId="43" priority="69" operator="containsText" text="Zielerreichung übersteigt 100%!">
      <formula>NOT(ISERROR(SEARCH("Zielerreichung übersteigt 100%!",H861)))</formula>
    </cfRule>
  </conditionalFormatting>
  <conditionalFormatting sqref="H883">
    <cfRule type="containsText" dxfId="42" priority="68" operator="containsText" text="Zielerreichung übersteigt 100%!">
      <formula>NOT(ISERROR(SEARCH("Zielerreichung übersteigt 100%!",H883)))</formula>
    </cfRule>
  </conditionalFormatting>
  <conditionalFormatting sqref="H1096">
    <cfRule type="containsText" dxfId="41" priority="67" operator="containsText" text="Zielerreichung übersteigt 100%!">
      <formula>NOT(ISERROR(SEARCH("Zielerreichung übersteigt 100%!",H1096)))</formula>
    </cfRule>
  </conditionalFormatting>
  <conditionalFormatting sqref="H1121">
    <cfRule type="containsText" dxfId="40" priority="64" operator="containsText" text="Zielerreichung übersteigt 100%!">
      <formula>NOT(ISERROR(SEARCH("Zielerreichung übersteigt 100%!",H1121)))</formula>
    </cfRule>
  </conditionalFormatting>
  <conditionalFormatting sqref="H1146">
    <cfRule type="containsText" dxfId="39" priority="63" operator="containsText" text="Zielerreichung übersteigt 100%!">
      <formula>NOT(ISERROR(SEARCH("Zielerreichung übersteigt 100%!",H1146)))</formula>
    </cfRule>
  </conditionalFormatting>
  <conditionalFormatting sqref="H1168">
    <cfRule type="containsText" dxfId="38" priority="62" operator="containsText" text="Zielerreichung übersteigt 100%!">
      <formula>NOT(ISERROR(SEARCH("Zielerreichung übersteigt 100%!",H1168)))</formula>
    </cfRule>
  </conditionalFormatting>
  <conditionalFormatting sqref="H394">
    <cfRule type="containsText" dxfId="37" priority="59" operator="containsText" text="Zielerreichung übersteigt 100%!">
      <formula>NOT(ISERROR(SEARCH("Zielerreichung übersteigt 100%!",H394)))</formula>
    </cfRule>
  </conditionalFormatting>
  <conditionalFormatting sqref="H416">
    <cfRule type="containsText" dxfId="36" priority="58" operator="containsText" text="Zielerreichung übersteigt 100%!">
      <formula>NOT(ISERROR(SEARCH("Zielerreichung übersteigt 100%!",H416)))</formula>
    </cfRule>
  </conditionalFormatting>
  <conditionalFormatting sqref="H438">
    <cfRule type="containsText" dxfId="35" priority="57" operator="containsText" text="Zielerreichung übersteigt 100%!">
      <formula>NOT(ISERROR(SEARCH("Zielerreichung übersteigt 100%!",H438)))</formula>
    </cfRule>
  </conditionalFormatting>
  <conditionalFormatting sqref="H485">
    <cfRule type="containsText" dxfId="34" priority="56" operator="containsText" text="Zielerreichung übersteigt 100%!">
      <formula>NOT(ISERROR(SEARCH("Zielerreichung übersteigt 100%!",H485)))</formula>
    </cfRule>
  </conditionalFormatting>
  <conditionalFormatting sqref="H507">
    <cfRule type="containsText" dxfId="33" priority="55" operator="containsText" text="Zielerreichung übersteigt 100%!">
      <formula>NOT(ISERROR(SEARCH("Zielerreichung übersteigt 100%!",H507)))</formula>
    </cfRule>
  </conditionalFormatting>
  <conditionalFormatting sqref="H1043">
    <cfRule type="containsText" dxfId="32" priority="54" operator="containsText" text="Zielerreichung übersteigt 100%!">
      <formula>NOT(ISERROR(SEARCH("Zielerreichung übersteigt 100%!",H1043)))</formula>
    </cfRule>
  </conditionalFormatting>
  <conditionalFormatting sqref="H770">
    <cfRule type="containsText" dxfId="31" priority="48" operator="containsText" text="Zielerreichung übersteigt 100%!">
      <formula>NOT(ISERROR(SEARCH("Zielerreichung übersteigt 100%!",H770)))</formula>
    </cfRule>
  </conditionalFormatting>
  <conditionalFormatting sqref="H792">
    <cfRule type="containsText" dxfId="30" priority="47" operator="containsText" text="Zielerreichung übersteigt 100%!">
      <formula>NOT(ISERROR(SEARCH("Zielerreichung übersteigt 100%!",H792)))</formula>
    </cfRule>
  </conditionalFormatting>
  <conditionalFormatting sqref="H814">
    <cfRule type="containsText" dxfId="29" priority="46" operator="containsText" text="Zielerreichung übersteigt 100%!">
      <formula>NOT(ISERROR(SEARCH("Zielerreichung übersteigt 100%!",H814)))</formula>
    </cfRule>
  </conditionalFormatting>
  <conditionalFormatting sqref="H905">
    <cfRule type="containsText" dxfId="28" priority="45" operator="containsText" text="Zielerreichung übersteigt 100%!">
      <formula>NOT(ISERROR(SEARCH("Zielerreichung übersteigt 100%!",H905)))</formula>
    </cfRule>
  </conditionalFormatting>
  <conditionalFormatting sqref="H930">
    <cfRule type="containsText" dxfId="27" priority="44" operator="containsText" text="Zielerreichung übersteigt 100%!">
      <formula>NOT(ISERROR(SEARCH("Zielerreichung übersteigt 100%!",H930)))</formula>
    </cfRule>
  </conditionalFormatting>
  <conditionalFormatting sqref="H952">
    <cfRule type="containsText" dxfId="26" priority="43" operator="containsText" text="Zielerreichung übersteigt 100%!">
      <formula>NOT(ISERROR(SEARCH("Zielerreichung übersteigt 100%!",H952)))</formula>
    </cfRule>
  </conditionalFormatting>
  <conditionalFormatting sqref="H1068">
    <cfRule type="containsText" dxfId="25" priority="42" operator="containsText" text="Zielerreichung übersteigt 100%!">
      <formula>NOT(ISERROR(SEARCH("Zielerreichung übersteigt 100%!",H1068)))</formula>
    </cfRule>
  </conditionalFormatting>
  <conditionalFormatting sqref="H1196">
    <cfRule type="containsText" dxfId="24" priority="41" operator="containsText" text="Zielerreichung übersteigt 100%!">
      <formula>NOT(ISERROR(SEARCH("Zielerreichung übersteigt 100%!",H1196)))</formula>
    </cfRule>
  </conditionalFormatting>
  <conditionalFormatting sqref="H1266">
    <cfRule type="containsText" dxfId="23" priority="40" operator="containsText" text="Zielerreichung übersteigt 100%!">
      <formula>NOT(ISERROR(SEARCH("Zielerreichung übersteigt 100%!",H1266)))</formula>
    </cfRule>
  </conditionalFormatting>
  <conditionalFormatting sqref="H1288">
    <cfRule type="containsText" dxfId="22" priority="39" operator="containsText" text="Zielerreichung übersteigt 100%!">
      <formula>NOT(ISERROR(SEARCH("Zielerreichung übersteigt 100%!",H1288)))</formula>
    </cfRule>
  </conditionalFormatting>
  <conditionalFormatting sqref="H1335">
    <cfRule type="containsText" dxfId="21" priority="38" operator="containsText" text="Zielerreichung übersteigt 100%!">
      <formula>NOT(ISERROR(SEARCH("Zielerreichung übersteigt 100%!",H1335)))</formula>
    </cfRule>
  </conditionalFormatting>
  <conditionalFormatting sqref="H1357">
    <cfRule type="containsText" dxfId="20" priority="37" operator="containsText" text="Zielerreichung übersteigt 100%!">
      <formula>NOT(ISERROR(SEARCH("Zielerreichung übersteigt 100%!",H1357)))</formula>
    </cfRule>
  </conditionalFormatting>
  <conditionalFormatting sqref="H1379">
    <cfRule type="containsText" dxfId="19" priority="36" operator="containsText" text="Zielerreichung übersteigt 100%!">
      <formula>NOT(ISERROR(SEARCH("Zielerreichung übersteigt 100%!",H1379)))</formula>
    </cfRule>
  </conditionalFormatting>
  <conditionalFormatting sqref="H1454">
    <cfRule type="containsText" dxfId="18" priority="35" operator="containsText" text="Zielerreichung übersteigt 100%!">
      <formula>NOT(ISERROR(SEARCH("Zielerreichung übersteigt 100%!",H1454)))</formula>
    </cfRule>
  </conditionalFormatting>
  <conditionalFormatting sqref="H1523">
    <cfRule type="containsText" dxfId="17" priority="31" operator="containsText" text="Zielerreichung übersteigt 100%!">
      <formula>NOT(ISERROR(SEARCH("Zielerreichung übersteigt 100%!",H1523)))</formula>
    </cfRule>
  </conditionalFormatting>
  <conditionalFormatting sqref="H1615">
    <cfRule type="containsText" dxfId="16" priority="30" operator="containsText" text="Zielerreichung übersteigt 100%!">
      <formula>NOT(ISERROR(SEARCH("Zielerreichung übersteigt 100%!",H1615)))</formula>
    </cfRule>
  </conditionalFormatting>
  <conditionalFormatting sqref="H1218">
    <cfRule type="containsText" dxfId="15" priority="29" operator="containsText" text="Zielerreichung übersteigt 100%!">
      <formula>NOT(ISERROR(SEARCH("Zielerreichung übersteigt 100%!",H1218)))</formula>
    </cfRule>
  </conditionalFormatting>
  <conditionalFormatting sqref="H1404">
    <cfRule type="containsText" dxfId="14" priority="28" operator="containsText" text="Zielerreichung übersteigt 100%!">
      <formula>NOT(ISERROR(SEARCH("Zielerreichung übersteigt 100%!",H1404)))</formula>
    </cfRule>
  </conditionalFormatting>
  <conditionalFormatting sqref="H1426">
    <cfRule type="containsText" dxfId="13" priority="27" operator="containsText" text="Zielerreichung übersteigt 100%!">
      <formula>NOT(ISERROR(SEARCH("Zielerreichung übersteigt 100%!",H1426)))</formula>
    </cfRule>
  </conditionalFormatting>
  <conditionalFormatting sqref="H1476">
    <cfRule type="containsText" dxfId="12" priority="26" operator="containsText" text="Zielerreichung übersteigt 100%!">
      <formula>NOT(ISERROR(SEARCH("Zielerreichung übersteigt 100%!",H1476)))</formula>
    </cfRule>
  </conditionalFormatting>
  <conditionalFormatting sqref="H1498">
    <cfRule type="containsText" dxfId="11" priority="25" operator="containsText" text="Zielerreichung übersteigt 100%!">
      <formula>NOT(ISERROR(SEARCH("Zielerreichung übersteigt 100%!",H1498)))</formula>
    </cfRule>
  </conditionalFormatting>
  <conditionalFormatting sqref="H1592">
    <cfRule type="containsText" dxfId="10" priority="20" operator="containsText" text="Zielerreichung übersteigt 100%!">
      <formula>NOT(ISERROR(SEARCH("Zielerreichung übersteigt 100%!",H1592)))</formula>
    </cfRule>
  </conditionalFormatting>
  <conditionalFormatting sqref="H974">
    <cfRule type="containsText" dxfId="9" priority="19" operator="containsText" text="Zielerreichung übersteigt 100%!">
      <formula>NOT(ISERROR(SEARCH("Zielerreichung übersteigt 100%!",H974)))</formula>
    </cfRule>
  </conditionalFormatting>
  <conditionalFormatting sqref="H996">
    <cfRule type="containsText" dxfId="8" priority="18" operator="containsText" text="Zielerreichung übersteigt 100%!">
      <formula>NOT(ISERROR(SEARCH("Zielerreichung übersteigt 100%!",H996)))</formula>
    </cfRule>
  </conditionalFormatting>
  <conditionalFormatting sqref="H1241">
    <cfRule type="containsText" dxfId="7" priority="9" operator="containsText" text="Zielerreichung übersteigt 100%!">
      <formula>NOT(ISERROR(SEARCH("Zielerreichung übersteigt 100%!",H1241)))</formula>
    </cfRule>
  </conditionalFormatting>
  <conditionalFormatting sqref="H1310">
    <cfRule type="containsText" dxfId="6" priority="8" operator="containsText" text="Zielerreichung übersteigt 100%!">
      <formula>NOT(ISERROR(SEARCH("Zielerreichung übersteigt 100%!",H1310)))</formula>
    </cfRule>
  </conditionalFormatting>
  <conditionalFormatting sqref="H188">
    <cfRule type="containsText" dxfId="5" priority="6" operator="containsText" text="Zielerreichung übersteigt 100%!">
      <formula>NOT(ISERROR(SEARCH("Zielerreichung übersteigt 100%!",H188)))</formula>
    </cfRule>
  </conditionalFormatting>
  <conditionalFormatting sqref="H281">
    <cfRule type="containsText" dxfId="4" priority="5" operator="containsText" text="Zielerreichung übersteigt 100%!">
      <formula>NOT(ISERROR(SEARCH("Zielerreichung übersteigt 100%!",H281)))</formula>
    </cfRule>
  </conditionalFormatting>
  <conditionalFormatting sqref="H1545">
    <cfRule type="containsText" dxfId="3" priority="4" operator="containsText" text="Zielerreichung übersteigt 100%!">
      <formula>NOT(ISERROR(SEARCH("Zielerreichung übersteigt 100%!",H1545)))</formula>
    </cfRule>
  </conditionalFormatting>
  <conditionalFormatting sqref="H1567">
    <cfRule type="containsText" dxfId="2" priority="3" operator="containsText" text="Zielerreichung übersteigt 100%!">
      <formula>NOT(ISERROR(SEARCH("Zielerreichung übersteigt 100%!",H1567)))</formula>
    </cfRule>
  </conditionalFormatting>
  <dataValidations count="39">
    <dataValidation type="list" allowBlank="1" showInputMessage="1" showErrorMessage="1" sqref="J612 J1604 J614:J615 J986">
      <formula1>$B$47:$B$50</formula1>
    </dataValidation>
    <dataValidation type="list" allowBlank="1" showInputMessage="1" showErrorMessage="1" sqref="F871">
      <formula1>$P$871:$P$873</formula1>
    </dataValidation>
    <dataValidation type="list" allowBlank="1" showInputMessage="1" showErrorMessage="1" sqref="F962">
      <formula1>$P$962:$P$964</formula1>
    </dataValidation>
    <dataValidation type="list" allowBlank="1" showInputMessage="1" showErrorMessage="1" sqref="F1009">
      <formula1>$P$1009:$P$1013</formula1>
    </dataValidation>
    <dataValidation type="list" allowBlank="1" showInputMessage="1" showErrorMessage="1" sqref="F1156">
      <formula1>$P$1156:$P$1162</formula1>
    </dataValidation>
    <dataValidation type="list" allowBlank="1" showInputMessage="1" showErrorMessage="1" sqref="F1443">
      <formula1>$P$1443:$P$1446</formula1>
    </dataValidation>
    <dataValidation type="list" allowBlank="1" showInputMessage="1" showErrorMessage="1" sqref="F1464">
      <formula1>$P$1464:$P$1467</formula1>
    </dataValidation>
    <dataValidation type="list" allowBlank="1" showInputMessage="1" showErrorMessage="1" sqref="F1512">
      <formula1>$P$1512:$P$1515</formula1>
    </dataValidation>
    <dataValidation type="list" allowBlank="1" showInputMessage="1" showErrorMessage="1" sqref="F1555">
      <formula1>$P$1555:$P$1558</formula1>
    </dataValidation>
    <dataValidation type="list" allowBlank="1" showInputMessage="1" showErrorMessage="1" sqref="F1557">
      <formula1>$P$1559:$P$1562</formula1>
    </dataValidation>
    <dataValidation type="list" allowBlank="1" showInputMessage="1" showErrorMessage="1" sqref="F1602">
      <formula1>$P$1602:$P$1605</formula1>
    </dataValidation>
    <dataValidation type="list" allowBlank="1" showInputMessage="1" showErrorMessage="1" sqref="F1603">
      <formula1>$P$1607:$P$1610</formula1>
    </dataValidation>
    <dataValidation type="list" allowBlank="1" showInputMessage="1" showErrorMessage="1" sqref="F705">
      <formula1>$P$705:$P$708</formula1>
    </dataValidation>
    <dataValidation type="list" allowBlank="1" showInputMessage="1" showErrorMessage="1" sqref="F611">
      <formula1>$P$611:$P$614</formula1>
    </dataValidation>
    <dataValidation type="list" allowBlank="1" showInputMessage="1" showErrorMessage="1" sqref="F589">
      <formula1>$P$589:$P$592</formula1>
    </dataValidation>
    <dataValidation type="list" allowBlank="1" showInputMessage="1" showErrorMessage="1" sqref="F567">
      <formula1>$P$567:$P$571</formula1>
    </dataValidation>
    <dataValidation type="list" allowBlank="1" showInputMessage="1" showErrorMessage="1" sqref="F1228">
      <formula1>$P$1228:$P$1230</formula1>
    </dataValidation>
    <dataValidation type="list" allowBlank="1" showInputMessage="1" showErrorMessage="1" sqref="F1229">
      <formula1>$P$1231:$P$1233</formula1>
    </dataValidation>
    <dataValidation type="list" allowBlank="1" showInputMessage="1" showErrorMessage="1" sqref="F1230">
      <formula1>$P$1234:$P$1236</formula1>
    </dataValidation>
    <dataValidation type="list" allowBlank="1" showInputMessage="1" showErrorMessage="1" sqref="F1298">
      <formula1>$P$1298:$P$1300</formula1>
    </dataValidation>
    <dataValidation type="list" allowBlank="1" showInputMessage="1" showErrorMessage="1" sqref="F1299">
      <formula1>$P$1301:$P$1303</formula1>
    </dataValidation>
    <dataValidation type="list" allowBlank="1" showInputMessage="1" showErrorMessage="1" sqref="F1300">
      <formula1>$P$1304:$P$1306</formula1>
    </dataValidation>
    <dataValidation type="list" allowBlank="1" showInputMessage="1" showErrorMessage="1" sqref="F1236">
      <formula1>$P$1253:$P$1255</formula1>
    </dataValidation>
    <dataValidation type="list" allowBlank="1" showInputMessage="1" showErrorMessage="1" sqref="F1235">
      <formula1>$P$1250:$P$1252</formula1>
    </dataValidation>
    <dataValidation type="list" allowBlank="1" showInputMessage="1" showErrorMessage="1" sqref="F1301">
      <formula1>$P$1307:$P$1309</formula1>
    </dataValidation>
    <dataValidation type="list" allowBlank="1" showInputMessage="1" showErrorMessage="1" sqref="F1302">
      <formula1>$P$1310:$P$1312</formula1>
    </dataValidation>
    <dataValidation type="list" allowBlank="1" showInputMessage="1" showErrorMessage="1" sqref="F569">
      <formula1>$P$573:$P$577</formula1>
    </dataValidation>
    <dataValidation type="list" allowBlank="1" showInputMessage="1" showErrorMessage="1" sqref="F1231">
      <formula1>$P$1237:$P$1239</formula1>
    </dataValidation>
    <dataValidation type="list" allowBlank="1" showInputMessage="1" showErrorMessage="1" sqref="F1232">
      <formula1>$P$1240:$P$1242</formula1>
    </dataValidation>
    <dataValidation type="list" allowBlank="1" showInputMessage="1" showErrorMessage="1" sqref="F1233">
      <formula1>$P$1243:$P$1245</formula1>
    </dataValidation>
    <dataValidation type="list" allowBlank="1" showInputMessage="1" showErrorMessage="1" sqref="F1234">
      <formula1>$P$1246:$P$1248</formula1>
    </dataValidation>
    <dataValidation type="list" allowBlank="1" showInputMessage="1" showErrorMessage="1" sqref="J364 J1136:J1138 J408 J386 J295 J1488:J1490 J430 J1036:J1038">
      <formula1>$B$61:$B$64</formula1>
    </dataValidation>
    <dataValidation type="list" allowBlank="1" showInputMessage="1" showErrorMessage="1" sqref="F613">
      <formula1>$P$616:$P$617</formula1>
    </dataValidation>
    <dataValidation type="list" allowBlank="1" showInputMessage="1" showErrorMessage="1" sqref="F707">
      <formula1>$P$710:$P$713</formula1>
    </dataValidation>
    <dataValidation type="list" allowBlank="1" showInputMessage="1" showErrorMessage="1" sqref="J340">
      <formula1>$B$62:$B$65</formula1>
    </dataValidation>
    <dataValidation type="list" allowBlank="1" showInputMessage="1" showErrorMessage="1" sqref="G990">
      <formula1>$B$34:$B$35</formula1>
    </dataValidation>
    <dataValidation type="list" allowBlank="1" showInputMessage="1" showErrorMessage="1" sqref="G179 G206 G226 G783 G991:G992 G1354 G1376 G1470 G1488">
      <formula1>jn</formula1>
    </dataValidation>
    <dataValidation type="list" allowBlank="1" showInputMessage="1" showErrorMessage="1" sqref="J43:J47 J65:J67 J89:J93 J95:J96 J111:J115 J117:J118 J133:J137 J139:J140 J155:J159 J161:J162 J176:J177 J201:J204 J223:J224 J245:J247 J249 J269:J271 J291:J292 J294 J313 J338 J360:J362 J382:J384 J404 J426 J451:J452 J473:J474 J495:J498 J500:J503 J505 J523:J526 J545:J548 J550:J551 J567 J569 J589 J611 J613 J636:J639 J641:J646 J658:J661 J663:J668 J683:J686 J705 J707 J733:J735 J758:J759 J780:J781 J802:J803 J807:J809 J827:J828 J849:J851 J853:J855 J871 J873:J875 J893:J895 J918 J940:J942 J962 J964:J966 J984:J985 J987:J989 J1009 J1011:J1013 J1031:J1034 J1056 J1058:J1060 J1084:J1086 J1088:J1090 J1109 J1134 J1156 J1158:J1160 J1184 J1186:J1188 J1206 J1208:J1210 J1228:J1236 J1238:J1240 J1254 J1256:J1258 J1276 J1278:J1280 J1298:J1302 J1304:J1306 J1323:J1324 J1328:J1330 J1345:J1346 J1350:J1352 J1367:J1368 J1372:J1374 J1392:J1393 J1397:J1399 J1414:J1415 J1419:J1421 J1442:J1443 J1445:J1447 J1464 J1466:J1468 J1486 J1511:J1512 J1514:J1516 J1533:J1534 J1536:J1538 J1555:J1557 J1559:J1561 J1580 J1582:J1584 J1602:J1603 J1605:J1607">
      <formula1>Merker</formula1>
    </dataValidation>
    <dataValidation type="list" allowBlank="1" showInputMessage="1" showErrorMessage="1" sqref="F805 F1326 F1348 F1370 F1395 F1417">
      <formula1>v1o2</formula1>
    </dataValidation>
  </dataValidations>
  <hyperlinks>
    <hyperlink ref="I40" location="oben" display="é"/>
    <hyperlink ref="I4" location="Handlungsfeld1" display="ê"/>
    <hyperlink ref="I10" location="Handlungsfeld2" display="ê"/>
    <hyperlink ref="I14" location="Handlungsfeld3" display="ê"/>
    <hyperlink ref="I21" location="Handlungsfeld4" display="ê"/>
    <hyperlink ref="I25" location="Handlungsfeld5" display="ê"/>
    <hyperlink ref="I30" location="Handlungsfeld6" display="ê"/>
    <hyperlink ref="I5" location="Strukturen_etablieren" display="ê"/>
    <hyperlink ref="I6" location="Ziele_setzen" display="ê"/>
    <hyperlink ref="I7" location="Ziele_übertragen_und_verbindlich_machen" display="ê"/>
    <hyperlink ref="I8" location="Monitoring_installieren" display="ê"/>
    <hyperlink ref="I9" location="Projektcontrolling_durchführen" display="ê"/>
    <hyperlink ref="I11" location="Partizipation" display="ê"/>
    <hyperlink ref="I12" location="Sensibilisierung_zu_Energie__und_Mobilitätsthemen" display="ê"/>
    <hyperlink ref="I13" location="Vorbildwirkung" display="ê"/>
    <hyperlink ref="I16" location="Stadtklima" display="ê"/>
    <hyperlink ref="I17" location="Vielfalt_der_Nutzungen_und_der_Nutzenden" display="ê"/>
    <hyperlink ref="I19" location="Freiraum" display="ê"/>
    <hyperlink ref="I20" location="Angebote_für_den_täglichen_Bedarf" display="ê"/>
    <hyperlink ref="I22" location="Lebenszykluskosten" display="ê"/>
    <hyperlink ref="I23" location="Gebäudestandards" display="ê"/>
    <hyperlink ref="I24" location="Angemessene_Nutzungsdichte" display="ê"/>
    <hyperlink ref="I26" location="Eigenversorgungsgrad" display="ê"/>
    <hyperlink ref="I27" location="Qualität_der_externen_Energieversorgung" display="ê"/>
    <hyperlink ref="I28" location="Effizienz_der_Wassernutzung" display="ê"/>
    <hyperlink ref="I29" location="Abfallvermeidung" display="ê"/>
    <hyperlink ref="I31" location="MIV" display="ê"/>
    <hyperlink ref="I32" location="Fuss_und_Radverkehr" display="ê"/>
    <hyperlink ref="I33" location="ÖV_Angebote" display="ê"/>
    <hyperlink ref="I18" location="Halböffentliche_Räume" display="ê"/>
    <hyperlink ref="I15" location="Umgang_mit_Dichte" display="ê"/>
    <hyperlink ref="I62" location="oben" display="é"/>
    <hyperlink ref="I86" location="oben" display="é"/>
    <hyperlink ref="I108" location="oben" display="é"/>
    <hyperlink ref="I130" location="oben" display="é"/>
    <hyperlink ref="I152" location="oben" display="é"/>
    <hyperlink ref="I173" location="oben" display="é"/>
    <hyperlink ref="I198" location="oben" display="é"/>
    <hyperlink ref="I220" location="oben" display="é"/>
    <hyperlink ref="I242" location="oben" display="é"/>
    <hyperlink ref="I266" location="oben" display="é"/>
    <hyperlink ref="I288" location="oben" display="é"/>
    <hyperlink ref="I310" location="oben" display="é"/>
    <hyperlink ref="I335" location="oben" display="é"/>
    <hyperlink ref="I357" location="oben" display="é"/>
    <hyperlink ref="I379" location="oben" display="é"/>
    <hyperlink ref="I401" location="oben" display="é"/>
    <hyperlink ref="I423" location="oben" display="é"/>
    <hyperlink ref="I448" location="oben" display="é"/>
    <hyperlink ref="I470" location="oben" display="é"/>
    <hyperlink ref="I492" location="oben" display="é"/>
    <hyperlink ref="I520" location="oben" display="é"/>
    <hyperlink ref="I542" location="oben" display="é"/>
    <hyperlink ref="I564" location="oben" display="é"/>
    <hyperlink ref="I586" location="oben" display="é"/>
    <hyperlink ref="I608" location="oben" display="é"/>
    <hyperlink ref="I633" location="oben" display="é"/>
    <hyperlink ref="I655" location="oben" display="é"/>
    <hyperlink ref="I680" location="oben" display="é"/>
    <hyperlink ref="I702" location="oben" display="é"/>
    <hyperlink ref="I730" location="oben" display="é"/>
    <hyperlink ref="I755" location="oben" display="é"/>
    <hyperlink ref="I777" location="oben" display="é"/>
    <hyperlink ref="I799" location="oben" display="é"/>
    <hyperlink ref="I824" location="oben" display="é"/>
    <hyperlink ref="I846" location="oben" display="é"/>
    <hyperlink ref="I868" location="oben" display="é"/>
    <hyperlink ref="I890" location="oben" display="é"/>
    <hyperlink ref="I915" location="oben" display="é"/>
    <hyperlink ref="I937" location="oben" display="é"/>
    <hyperlink ref="I959" location="oben" display="é"/>
    <hyperlink ref="I981" location="oben" display="é"/>
    <hyperlink ref="I1006" location="oben" display="é"/>
    <hyperlink ref="I1028" location="oben" display="é"/>
    <hyperlink ref="I1053" location="oben" display="é"/>
    <hyperlink ref="I1081" location="oben" display="é"/>
    <hyperlink ref="I1106" location="oben" display="é"/>
    <hyperlink ref="I1131" location="oben" display="é"/>
    <hyperlink ref="I1153" location="oben" display="é"/>
    <hyperlink ref="I1181" location="oben" display="é"/>
    <hyperlink ref="I1203" location="oben" display="é"/>
    <hyperlink ref="I1225" location="oben" display="é"/>
    <hyperlink ref="I1251" location="oben" display="é"/>
    <hyperlink ref="I1273" location="oben" display="é"/>
    <hyperlink ref="I1295" location="oben" display="é"/>
    <hyperlink ref="I1320" location="oben" display="é"/>
    <hyperlink ref="I1342" location="oben" display="é"/>
    <hyperlink ref="I1364" location="oben" display="é"/>
    <hyperlink ref="I1389" location="oben" display="é"/>
    <hyperlink ref="I1411" location="oben" display="é"/>
    <hyperlink ref="I1439" location="oben" display="é"/>
    <hyperlink ref="I1461" location="oben" display="é"/>
    <hyperlink ref="I1483" location="oben" display="é"/>
    <hyperlink ref="I1508" location="oben" display="é"/>
    <hyperlink ref="I1530" location="oben" display="é"/>
    <hyperlink ref="I1552" location="oben" display="é"/>
    <hyperlink ref="I1577" location="oben" display="é"/>
    <hyperlink ref="I1599" location="oben" display="é"/>
    <hyperlink ref="U1442" location="'RH Mobilität'!A1" display="0-25%"/>
  </hyperlinks>
  <pageMargins left="0.70866141732283472" right="0.70866141732283472" top="0.78740157480314965" bottom="0.78740157480314965" header="0.31496062992125984" footer="0.31496062992125984"/>
  <pageSetup paperSize="8" orientation="landscape" r:id="rId1"/>
  <ignoredErrors>
    <ignoredError sqref="K1607:N1607 K1240:N124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5127" r:id="rId4" name="Check Box 7">
              <controlPr defaultSize="0" autoFill="0" autoLine="0" autoPict="0">
                <anchor>
                  <from>
                    <xdr:col>3</xdr:col>
                    <xdr:colOff>965200</xdr:colOff>
                    <xdr:row>1</xdr:row>
                    <xdr:rowOff>247650</xdr:rowOff>
                  </from>
                  <to>
                    <xdr:col>3</xdr:col>
                    <xdr:colOff>1441450</xdr:colOff>
                    <xdr:row>3</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Listen!$B$31:$B$37</xm:f>
          </x14:formula1>
          <xm:sqref>F1580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4DA6FF"/>
  </sheetPr>
  <dimension ref="A2:AH82"/>
  <sheetViews>
    <sheetView zoomScaleNormal="100" workbookViewId="0"/>
  </sheetViews>
  <sheetFormatPr baseColWidth="10" defaultColWidth="11" defaultRowHeight="14.5" outlineLevelRow="2" outlineLevelCol="1" x14ac:dyDescent="0.35"/>
  <cols>
    <col min="1" max="1" width="3.75" style="1" customWidth="1"/>
    <col min="2" max="2" width="22" style="1" customWidth="1"/>
    <col min="3" max="3" width="25.58203125" style="37" customWidth="1"/>
    <col min="4" max="4" width="18.58203125" style="38" customWidth="1"/>
    <col min="5" max="8" width="18.58203125" style="1" customWidth="1"/>
    <col min="9" max="9" width="18.58203125" style="298" customWidth="1"/>
    <col min="10" max="10" width="11.75" style="37" bestFit="1" customWidth="1"/>
    <col min="11" max="11" width="18.58203125" style="37" hidden="1" customWidth="1" outlineLevel="1"/>
    <col min="12" max="19" width="25.58203125" style="1" hidden="1" customWidth="1" outlineLevel="1"/>
    <col min="20" max="20" width="8.58203125" style="1" customWidth="1" collapsed="1"/>
    <col min="21" max="23" width="18.58203125" style="1" customWidth="1"/>
    <col min="24" max="26" width="8.58203125" style="1" customWidth="1"/>
    <col min="27" max="29" width="18.58203125" style="1" customWidth="1"/>
    <col min="30" max="32" width="8.58203125" style="1" customWidth="1"/>
    <col min="33" max="34" width="18.58203125" style="1" customWidth="1"/>
    <col min="35" max="16384" width="11" style="1"/>
  </cols>
  <sheetData>
    <row r="2" spans="2:34" x14ac:dyDescent="0.35">
      <c r="B2" s="242" t="s">
        <v>5305</v>
      </c>
      <c r="C2" s="624"/>
      <c r="D2" s="625"/>
      <c r="E2" s="621"/>
      <c r="F2" s="621"/>
      <c r="G2" s="621"/>
      <c r="H2" s="621"/>
      <c r="I2" s="621"/>
      <c r="J2" s="624"/>
      <c r="K2" s="1608" t="s">
        <v>6114</v>
      </c>
      <c r="L2" s="1607"/>
      <c r="M2" s="1607"/>
      <c r="N2" s="1607"/>
      <c r="O2" s="1607"/>
      <c r="P2" s="1607"/>
      <c r="Q2" s="1607"/>
      <c r="R2" s="1607"/>
      <c r="S2" s="1607"/>
      <c r="U2" s="619" t="s">
        <v>4923</v>
      </c>
      <c r="V2" s="618"/>
      <c r="W2" s="620"/>
      <c r="X2" s="620"/>
      <c r="Y2" s="620"/>
      <c r="AA2" s="619" t="s">
        <v>4924</v>
      </c>
      <c r="AB2" s="618"/>
      <c r="AC2" s="620"/>
      <c r="AD2" s="620"/>
      <c r="AE2" s="620"/>
      <c r="AG2" s="622" t="s">
        <v>4946</v>
      </c>
      <c r="AH2" s="623"/>
    </row>
    <row r="3" spans="2:34" outlineLevel="1" x14ac:dyDescent="0.35">
      <c r="I3" s="1"/>
      <c r="L3" s="298"/>
      <c r="M3" s="298"/>
      <c r="N3" s="298"/>
      <c r="O3" s="298"/>
      <c r="P3" s="298"/>
      <c r="Q3" s="298"/>
      <c r="R3" s="298"/>
      <c r="S3" s="298"/>
    </row>
    <row r="4" spans="2:34" s="2" customFormat="1" ht="58" outlineLevel="1" x14ac:dyDescent="0.35">
      <c r="B4" s="978" t="s">
        <v>6128</v>
      </c>
      <c r="C4" s="979" t="s">
        <v>5031</v>
      </c>
      <c r="D4" s="980" t="s">
        <v>4652</v>
      </c>
      <c r="E4" s="980" t="s">
        <v>4651</v>
      </c>
      <c r="F4" s="980" t="s">
        <v>4653</v>
      </c>
      <c r="G4" s="980" t="s">
        <v>4432</v>
      </c>
      <c r="H4" s="980" t="s">
        <v>5033</v>
      </c>
      <c r="I4" s="301" t="s">
        <v>5199</v>
      </c>
      <c r="J4" s="351" t="s">
        <v>4362</v>
      </c>
      <c r="K4" s="301" t="s">
        <v>5648</v>
      </c>
      <c r="L4" s="300" t="s">
        <v>6107</v>
      </c>
      <c r="M4" s="300" t="s">
        <v>6108</v>
      </c>
      <c r="N4" s="300" t="s">
        <v>6109</v>
      </c>
      <c r="O4" s="300" t="s">
        <v>6110</v>
      </c>
      <c r="P4" s="300" t="s">
        <v>5647</v>
      </c>
      <c r="Q4" s="300" t="s">
        <v>6111</v>
      </c>
      <c r="R4" s="300" t="s">
        <v>6112</v>
      </c>
      <c r="S4" s="300" t="s">
        <v>6113</v>
      </c>
      <c r="U4" s="299" t="s">
        <v>5032</v>
      </c>
      <c r="V4" s="301" t="s">
        <v>4740</v>
      </c>
      <c r="W4" s="301" t="s">
        <v>4742</v>
      </c>
      <c r="X4" s="346" t="s">
        <v>4620</v>
      </c>
      <c r="Y4" s="346"/>
      <c r="Z4" s="346"/>
      <c r="AA4" s="299" t="s">
        <v>5032</v>
      </c>
      <c r="AB4" s="301" t="s">
        <v>4741</v>
      </c>
      <c r="AC4" s="301" t="s">
        <v>5273</v>
      </c>
      <c r="AD4" s="346" t="s">
        <v>4620</v>
      </c>
      <c r="AG4" s="299" t="s">
        <v>5032</v>
      </c>
      <c r="AH4" s="301" t="s">
        <v>4945</v>
      </c>
    </row>
    <row r="5" spans="2:34" outlineLevel="1" x14ac:dyDescent="0.35">
      <c r="B5" s="1615"/>
      <c r="C5" s="306"/>
      <c r="D5" s="307"/>
      <c r="E5" s="307"/>
      <c r="F5" s="308"/>
      <c r="G5" s="309"/>
      <c r="H5" s="309"/>
      <c r="I5" s="1614"/>
      <c r="J5" s="977" t="e">
        <f t="shared" ref="J5:J19" si="0">I5/1000*F5/$F$20</f>
        <v>#DIV/0!</v>
      </c>
      <c r="K5" s="1133"/>
      <c r="L5" s="1137"/>
      <c r="M5" s="1137"/>
      <c r="N5" s="1137"/>
      <c r="O5" s="1137"/>
      <c r="P5" s="306"/>
      <c r="Q5" s="1137"/>
      <c r="R5" s="1137"/>
      <c r="S5" s="1137"/>
      <c r="U5" s="607">
        <f t="shared" ref="U5:U19" si="1">B5</f>
        <v>0</v>
      </c>
      <c r="V5" s="308"/>
      <c r="W5" s="308"/>
      <c r="X5" s="312"/>
      <c r="Y5" s="601"/>
      <c r="Z5" s="312"/>
      <c r="AA5" s="607">
        <f t="shared" ref="AA5:AA19" si="2">B5</f>
        <v>0</v>
      </c>
      <c r="AB5" s="308"/>
      <c r="AC5" s="308"/>
      <c r="AD5" s="312"/>
      <c r="AG5" s="607">
        <f t="shared" ref="AG5:AG19" si="3">B5</f>
        <v>0</v>
      </c>
      <c r="AH5" s="308"/>
    </row>
    <row r="6" spans="2:34" outlineLevel="1" x14ac:dyDescent="0.35">
      <c r="B6" s="1615"/>
      <c r="C6" s="306"/>
      <c r="D6" s="307"/>
      <c r="E6" s="307"/>
      <c r="F6" s="308"/>
      <c r="G6" s="309"/>
      <c r="H6" s="309"/>
      <c r="I6" s="1614"/>
      <c r="J6" s="977" t="e">
        <f t="shared" si="0"/>
        <v>#DIV/0!</v>
      </c>
      <c r="K6" s="1133"/>
      <c r="L6" s="1137"/>
      <c r="M6" s="1137"/>
      <c r="N6" s="1137"/>
      <c r="O6" s="1137"/>
      <c r="P6" s="306"/>
      <c r="Q6" s="1137"/>
      <c r="R6" s="1137"/>
      <c r="S6" s="1137"/>
      <c r="U6" s="607">
        <f t="shared" si="1"/>
        <v>0</v>
      </c>
      <c r="V6" s="308"/>
      <c r="W6" s="308"/>
      <c r="X6" s="312"/>
      <c r="Y6" s="601"/>
      <c r="Z6" s="312"/>
      <c r="AA6" s="607">
        <f t="shared" si="2"/>
        <v>0</v>
      </c>
      <c r="AB6" s="308"/>
      <c r="AC6" s="308"/>
      <c r="AD6" s="312"/>
      <c r="AG6" s="607">
        <f t="shared" si="3"/>
        <v>0</v>
      </c>
      <c r="AH6" s="308"/>
    </row>
    <row r="7" spans="2:34" outlineLevel="1" x14ac:dyDescent="0.35">
      <c r="B7" s="1615"/>
      <c r="C7" s="306"/>
      <c r="D7" s="307"/>
      <c r="E7" s="307"/>
      <c r="F7" s="308"/>
      <c r="G7" s="309"/>
      <c r="H7" s="309"/>
      <c r="I7" s="1614"/>
      <c r="J7" s="977" t="e">
        <f t="shared" si="0"/>
        <v>#DIV/0!</v>
      </c>
      <c r="K7" s="1133"/>
      <c r="L7" s="1137"/>
      <c r="M7" s="1137"/>
      <c r="N7" s="1137"/>
      <c r="O7" s="1137"/>
      <c r="P7" s="306"/>
      <c r="Q7" s="1137"/>
      <c r="R7" s="1137"/>
      <c r="S7" s="1137"/>
      <c r="U7" s="607">
        <f t="shared" si="1"/>
        <v>0</v>
      </c>
      <c r="V7" s="308"/>
      <c r="W7" s="308"/>
      <c r="X7" s="312"/>
      <c r="Y7" s="312"/>
      <c r="Z7" s="312"/>
      <c r="AA7" s="607">
        <f t="shared" si="2"/>
        <v>0</v>
      </c>
      <c r="AB7" s="308"/>
      <c r="AC7" s="308"/>
      <c r="AD7" s="312"/>
      <c r="AG7" s="607">
        <f t="shared" si="3"/>
        <v>0</v>
      </c>
      <c r="AH7" s="308"/>
    </row>
    <row r="8" spans="2:34" outlineLevel="1" x14ac:dyDescent="0.35">
      <c r="B8" s="1615"/>
      <c r="C8" s="306"/>
      <c r="D8" s="307"/>
      <c r="E8" s="307"/>
      <c r="F8" s="308"/>
      <c r="G8" s="309"/>
      <c r="H8" s="309"/>
      <c r="I8" s="1614"/>
      <c r="J8" s="977" t="e">
        <f t="shared" si="0"/>
        <v>#DIV/0!</v>
      </c>
      <c r="K8" s="1133"/>
      <c r="L8" s="1137"/>
      <c r="M8" s="1137"/>
      <c r="N8" s="1137"/>
      <c r="O8" s="1137"/>
      <c r="P8" s="306"/>
      <c r="Q8" s="1137"/>
      <c r="R8" s="1137"/>
      <c r="S8" s="1137"/>
      <c r="U8" s="607">
        <f t="shared" si="1"/>
        <v>0</v>
      </c>
      <c r="V8" s="308"/>
      <c r="W8" s="308"/>
      <c r="X8" s="312"/>
      <c r="Y8" s="312"/>
      <c r="Z8" s="312"/>
      <c r="AA8" s="607">
        <f t="shared" si="2"/>
        <v>0</v>
      </c>
      <c r="AB8" s="308"/>
      <c r="AC8" s="308"/>
      <c r="AD8" s="312"/>
      <c r="AG8" s="607">
        <f t="shared" si="3"/>
        <v>0</v>
      </c>
      <c r="AH8" s="308"/>
    </row>
    <row r="9" spans="2:34" outlineLevel="1" x14ac:dyDescent="0.35">
      <c r="B9" s="1615"/>
      <c r="C9" s="306"/>
      <c r="D9" s="307"/>
      <c r="E9" s="307"/>
      <c r="F9" s="308"/>
      <c r="G9" s="309"/>
      <c r="H9" s="309"/>
      <c r="I9" s="1614"/>
      <c r="J9" s="977" t="e">
        <f t="shared" si="0"/>
        <v>#DIV/0!</v>
      </c>
      <c r="K9" s="1133"/>
      <c r="L9" s="1137"/>
      <c r="M9" s="1137"/>
      <c r="N9" s="1137"/>
      <c r="O9" s="1137"/>
      <c r="P9" s="306"/>
      <c r="Q9" s="1137"/>
      <c r="R9" s="1137"/>
      <c r="S9" s="1137"/>
      <c r="U9" s="607">
        <f t="shared" si="1"/>
        <v>0</v>
      </c>
      <c r="V9" s="308"/>
      <c r="W9" s="308"/>
      <c r="X9" s="312"/>
      <c r="Y9" s="312"/>
      <c r="Z9" s="312"/>
      <c r="AA9" s="607">
        <f t="shared" si="2"/>
        <v>0</v>
      </c>
      <c r="AB9" s="308"/>
      <c r="AC9" s="308"/>
      <c r="AD9" s="312"/>
      <c r="AG9" s="607">
        <f t="shared" si="3"/>
        <v>0</v>
      </c>
      <c r="AH9" s="308"/>
    </row>
    <row r="10" spans="2:34" outlineLevel="1" x14ac:dyDescent="0.35">
      <c r="B10" s="1615"/>
      <c r="C10" s="306"/>
      <c r="D10" s="307"/>
      <c r="E10" s="307"/>
      <c r="F10" s="308"/>
      <c r="G10" s="309"/>
      <c r="H10" s="309"/>
      <c r="I10" s="1614"/>
      <c r="J10" s="977" t="e">
        <f t="shared" si="0"/>
        <v>#DIV/0!</v>
      </c>
      <c r="K10" s="1133"/>
      <c r="L10" s="1137"/>
      <c r="M10" s="1137"/>
      <c r="N10" s="1137"/>
      <c r="O10" s="1137"/>
      <c r="P10" s="306"/>
      <c r="Q10" s="1137"/>
      <c r="R10" s="1137"/>
      <c r="S10" s="1137"/>
      <c r="U10" s="607">
        <f t="shared" si="1"/>
        <v>0</v>
      </c>
      <c r="V10" s="308"/>
      <c r="W10" s="308"/>
      <c r="X10" s="312"/>
      <c r="Y10" s="312"/>
      <c r="Z10" s="312"/>
      <c r="AA10" s="607">
        <f t="shared" si="2"/>
        <v>0</v>
      </c>
      <c r="AB10" s="308"/>
      <c r="AC10" s="308"/>
      <c r="AD10" s="312"/>
      <c r="AG10" s="607">
        <f t="shared" si="3"/>
        <v>0</v>
      </c>
      <c r="AH10" s="308"/>
    </row>
    <row r="11" spans="2:34" outlineLevel="1" x14ac:dyDescent="0.35">
      <c r="B11" s="1615"/>
      <c r="C11" s="306"/>
      <c r="D11" s="307"/>
      <c r="E11" s="307"/>
      <c r="F11" s="308"/>
      <c r="G11" s="309"/>
      <c r="H11" s="309"/>
      <c r="I11" s="1614"/>
      <c r="J11" s="977" t="e">
        <f t="shared" si="0"/>
        <v>#DIV/0!</v>
      </c>
      <c r="K11" s="1133"/>
      <c r="L11" s="1137"/>
      <c r="M11" s="1137"/>
      <c r="N11" s="1137"/>
      <c r="O11" s="1137"/>
      <c r="P11" s="306"/>
      <c r="Q11" s="1137"/>
      <c r="R11" s="1137"/>
      <c r="S11" s="1137"/>
      <c r="U11" s="607">
        <f t="shared" si="1"/>
        <v>0</v>
      </c>
      <c r="V11" s="308"/>
      <c r="W11" s="308"/>
      <c r="X11" s="312"/>
      <c r="Y11" s="312"/>
      <c r="Z11" s="312"/>
      <c r="AA11" s="607">
        <f t="shared" si="2"/>
        <v>0</v>
      </c>
      <c r="AB11" s="308"/>
      <c r="AC11" s="308"/>
      <c r="AD11" s="312"/>
      <c r="AG11" s="607">
        <f t="shared" si="3"/>
        <v>0</v>
      </c>
      <c r="AH11" s="308"/>
    </row>
    <row r="12" spans="2:34" outlineLevel="1" x14ac:dyDescent="0.35">
      <c r="B12" s="1615"/>
      <c r="C12" s="306"/>
      <c r="D12" s="307"/>
      <c r="E12" s="307"/>
      <c r="F12" s="308"/>
      <c r="G12" s="309"/>
      <c r="H12" s="309"/>
      <c r="I12" s="1614"/>
      <c r="J12" s="977" t="e">
        <f t="shared" si="0"/>
        <v>#DIV/0!</v>
      </c>
      <c r="K12" s="1133"/>
      <c r="L12" s="1137"/>
      <c r="M12" s="1137"/>
      <c r="N12" s="1137"/>
      <c r="O12" s="1137"/>
      <c r="P12" s="306"/>
      <c r="Q12" s="1137"/>
      <c r="R12" s="1137"/>
      <c r="S12" s="1137"/>
      <c r="U12" s="607">
        <f t="shared" si="1"/>
        <v>0</v>
      </c>
      <c r="V12" s="308"/>
      <c r="W12" s="308"/>
      <c r="X12" s="312"/>
      <c r="Y12" s="312"/>
      <c r="Z12" s="312"/>
      <c r="AA12" s="607">
        <f t="shared" si="2"/>
        <v>0</v>
      </c>
      <c r="AB12" s="308"/>
      <c r="AC12" s="308"/>
      <c r="AD12" s="312"/>
      <c r="AG12" s="607">
        <f t="shared" si="3"/>
        <v>0</v>
      </c>
      <c r="AH12" s="308"/>
    </row>
    <row r="13" spans="2:34" outlineLevel="1" x14ac:dyDescent="0.35">
      <c r="B13" s="1615"/>
      <c r="C13" s="306"/>
      <c r="D13" s="307"/>
      <c r="E13" s="307"/>
      <c r="F13" s="308"/>
      <c r="G13" s="309"/>
      <c r="H13" s="309"/>
      <c r="I13" s="1614"/>
      <c r="J13" s="977" t="e">
        <f t="shared" si="0"/>
        <v>#DIV/0!</v>
      </c>
      <c r="K13" s="1133"/>
      <c r="L13" s="1137"/>
      <c r="M13" s="1137"/>
      <c r="N13" s="1137"/>
      <c r="O13" s="1137"/>
      <c r="P13" s="306"/>
      <c r="Q13" s="1137"/>
      <c r="R13" s="1137"/>
      <c r="S13" s="1137"/>
      <c r="U13" s="607">
        <f t="shared" si="1"/>
        <v>0</v>
      </c>
      <c r="V13" s="308"/>
      <c r="W13" s="308"/>
      <c r="X13" s="312"/>
      <c r="Y13" s="312"/>
      <c r="Z13" s="312"/>
      <c r="AA13" s="607">
        <f t="shared" si="2"/>
        <v>0</v>
      </c>
      <c r="AB13" s="308"/>
      <c r="AC13" s="308"/>
      <c r="AD13" s="312"/>
      <c r="AG13" s="607">
        <f t="shared" si="3"/>
        <v>0</v>
      </c>
      <c r="AH13" s="308"/>
    </row>
    <row r="14" spans="2:34" outlineLevel="1" x14ac:dyDescent="0.35">
      <c r="B14" s="1615"/>
      <c r="C14" s="306"/>
      <c r="D14" s="307"/>
      <c r="E14" s="307"/>
      <c r="F14" s="308"/>
      <c r="G14" s="309"/>
      <c r="H14" s="309"/>
      <c r="I14" s="1614"/>
      <c r="J14" s="977" t="e">
        <f t="shared" si="0"/>
        <v>#DIV/0!</v>
      </c>
      <c r="K14" s="1133"/>
      <c r="L14" s="1137"/>
      <c r="M14" s="1137"/>
      <c r="N14" s="1137"/>
      <c r="O14" s="1137"/>
      <c r="P14" s="306"/>
      <c r="Q14" s="1137"/>
      <c r="R14" s="1137"/>
      <c r="S14" s="1137"/>
      <c r="U14" s="607">
        <f t="shared" si="1"/>
        <v>0</v>
      </c>
      <c r="V14" s="308"/>
      <c r="W14" s="308"/>
      <c r="X14" s="312"/>
      <c r="Y14" s="312"/>
      <c r="Z14" s="312"/>
      <c r="AA14" s="607">
        <f t="shared" si="2"/>
        <v>0</v>
      </c>
      <c r="AB14" s="308"/>
      <c r="AC14" s="308"/>
      <c r="AD14" s="312"/>
      <c r="AG14" s="607">
        <f t="shared" si="3"/>
        <v>0</v>
      </c>
      <c r="AH14" s="308"/>
    </row>
    <row r="15" spans="2:34" outlineLevel="1" x14ac:dyDescent="0.35">
      <c r="B15" s="1615"/>
      <c r="C15" s="306"/>
      <c r="D15" s="307"/>
      <c r="E15" s="307"/>
      <c r="F15" s="308"/>
      <c r="G15" s="309"/>
      <c r="H15" s="309"/>
      <c r="I15" s="1614"/>
      <c r="J15" s="977" t="e">
        <f t="shared" si="0"/>
        <v>#DIV/0!</v>
      </c>
      <c r="K15" s="1133"/>
      <c r="L15" s="1137"/>
      <c r="M15" s="1137"/>
      <c r="N15" s="1137"/>
      <c r="O15" s="1137"/>
      <c r="P15" s="306"/>
      <c r="Q15" s="1137"/>
      <c r="R15" s="1137"/>
      <c r="S15" s="1137"/>
      <c r="U15" s="607">
        <f t="shared" si="1"/>
        <v>0</v>
      </c>
      <c r="V15" s="308"/>
      <c r="W15" s="308"/>
      <c r="X15" s="312"/>
      <c r="Y15" s="312"/>
      <c r="Z15" s="312"/>
      <c r="AA15" s="607">
        <f t="shared" si="2"/>
        <v>0</v>
      </c>
      <c r="AB15" s="308"/>
      <c r="AC15" s="308"/>
      <c r="AD15" s="312"/>
      <c r="AG15" s="607">
        <f t="shared" si="3"/>
        <v>0</v>
      </c>
      <c r="AH15" s="308"/>
    </row>
    <row r="16" spans="2:34" outlineLevel="1" x14ac:dyDescent="0.35">
      <c r="B16" s="1615"/>
      <c r="C16" s="306"/>
      <c r="D16" s="307"/>
      <c r="E16" s="307"/>
      <c r="F16" s="308"/>
      <c r="G16" s="309"/>
      <c r="H16" s="309"/>
      <c r="I16" s="1614"/>
      <c r="J16" s="977" t="e">
        <f t="shared" si="0"/>
        <v>#DIV/0!</v>
      </c>
      <c r="K16" s="1133"/>
      <c r="L16" s="1137"/>
      <c r="M16" s="1137"/>
      <c r="N16" s="1137"/>
      <c r="O16" s="1137"/>
      <c r="P16" s="306"/>
      <c r="Q16" s="1137"/>
      <c r="R16" s="1137"/>
      <c r="S16" s="1137"/>
      <c r="U16" s="607">
        <f t="shared" si="1"/>
        <v>0</v>
      </c>
      <c r="V16" s="308"/>
      <c r="W16" s="308"/>
      <c r="X16" s="312"/>
      <c r="Y16" s="312"/>
      <c r="Z16" s="312"/>
      <c r="AA16" s="607">
        <f t="shared" si="2"/>
        <v>0</v>
      </c>
      <c r="AB16" s="308"/>
      <c r="AC16" s="308"/>
      <c r="AD16" s="312"/>
      <c r="AG16" s="607">
        <f t="shared" si="3"/>
        <v>0</v>
      </c>
      <c r="AH16" s="308"/>
    </row>
    <row r="17" spans="2:34" outlineLevel="1" x14ac:dyDescent="0.35">
      <c r="B17" s="1615"/>
      <c r="C17" s="306"/>
      <c r="D17" s="307"/>
      <c r="E17" s="307"/>
      <c r="F17" s="308"/>
      <c r="G17" s="309"/>
      <c r="H17" s="309"/>
      <c r="I17" s="1614"/>
      <c r="J17" s="977" t="e">
        <f t="shared" si="0"/>
        <v>#DIV/0!</v>
      </c>
      <c r="K17" s="1133"/>
      <c r="L17" s="1137"/>
      <c r="M17" s="1137"/>
      <c r="N17" s="1137"/>
      <c r="O17" s="1137"/>
      <c r="P17" s="306"/>
      <c r="Q17" s="1137"/>
      <c r="R17" s="1137"/>
      <c r="S17" s="1137"/>
      <c r="U17" s="607">
        <f t="shared" si="1"/>
        <v>0</v>
      </c>
      <c r="V17" s="308"/>
      <c r="W17" s="308"/>
      <c r="X17" s="312"/>
      <c r="Y17" s="312"/>
      <c r="Z17" s="312"/>
      <c r="AA17" s="607">
        <f t="shared" si="2"/>
        <v>0</v>
      </c>
      <c r="AB17" s="308"/>
      <c r="AC17" s="308"/>
      <c r="AD17" s="312"/>
      <c r="AG17" s="607">
        <f t="shared" si="3"/>
        <v>0</v>
      </c>
      <c r="AH17" s="308"/>
    </row>
    <row r="18" spans="2:34" outlineLevel="1" x14ac:dyDescent="0.35">
      <c r="B18" s="1615"/>
      <c r="C18" s="306"/>
      <c r="D18" s="307"/>
      <c r="E18" s="307"/>
      <c r="F18" s="308"/>
      <c r="G18" s="309"/>
      <c r="H18" s="309"/>
      <c r="I18" s="1614"/>
      <c r="J18" s="977" t="e">
        <f t="shared" si="0"/>
        <v>#DIV/0!</v>
      </c>
      <c r="K18" s="1133"/>
      <c r="L18" s="1137"/>
      <c r="M18" s="1137"/>
      <c r="N18" s="1137"/>
      <c r="O18" s="1137"/>
      <c r="P18" s="306"/>
      <c r="Q18" s="1137"/>
      <c r="R18" s="1137"/>
      <c r="S18" s="1137"/>
      <c r="U18" s="607">
        <f t="shared" si="1"/>
        <v>0</v>
      </c>
      <c r="V18" s="308"/>
      <c r="W18" s="308"/>
      <c r="X18" s="403">
        <v>0</v>
      </c>
      <c r="Y18" s="320">
        <v>1</v>
      </c>
      <c r="Z18" s="312"/>
      <c r="AA18" s="607">
        <f t="shared" si="2"/>
        <v>0</v>
      </c>
      <c r="AB18" s="308"/>
      <c r="AC18" s="308"/>
      <c r="AD18" s="403">
        <v>0</v>
      </c>
      <c r="AE18" s="1151">
        <f>Qualitätsprüfung!G984</f>
        <v>0.5</v>
      </c>
      <c r="AG18" s="607">
        <f t="shared" si="3"/>
        <v>0</v>
      </c>
      <c r="AH18" s="308"/>
    </row>
    <row r="19" spans="2:34" ht="15" outlineLevel="1" thickBot="1" x14ac:dyDescent="0.4">
      <c r="B19" s="1615"/>
      <c r="C19" s="306"/>
      <c r="D19" s="308"/>
      <c r="E19" s="308"/>
      <c r="F19" s="308"/>
      <c r="G19" s="309"/>
      <c r="H19" s="309"/>
      <c r="I19" s="1614"/>
      <c r="J19" s="977" t="e">
        <f t="shared" si="0"/>
        <v>#DIV/0!</v>
      </c>
      <c r="K19" s="1133"/>
      <c r="L19" s="1137"/>
      <c r="M19" s="1137"/>
      <c r="N19" s="1137"/>
      <c r="O19" s="1137"/>
      <c r="P19" s="306"/>
      <c r="Q19" s="1137"/>
      <c r="R19" s="1137"/>
      <c r="S19" s="1137"/>
      <c r="U19" s="607">
        <f t="shared" si="1"/>
        <v>0</v>
      </c>
      <c r="V19" s="308"/>
      <c r="W19" s="308"/>
      <c r="X19" s="359">
        <v>0</v>
      </c>
      <c r="Y19" s="524">
        <v>0.3</v>
      </c>
      <c r="Z19" s="312"/>
      <c r="AA19" s="607">
        <f t="shared" si="2"/>
        <v>0</v>
      </c>
      <c r="AB19" s="308"/>
      <c r="AC19" s="308"/>
      <c r="AD19" s="359">
        <v>0</v>
      </c>
      <c r="AE19" s="524">
        <v>0.1</v>
      </c>
      <c r="AG19" s="607">
        <f t="shared" si="3"/>
        <v>0</v>
      </c>
      <c r="AH19" s="308"/>
    </row>
    <row r="20" spans="2:34" ht="15" outlineLevel="1" thickBot="1" x14ac:dyDescent="0.4">
      <c r="B20" s="981" t="s">
        <v>11</v>
      </c>
      <c r="C20" s="982"/>
      <c r="D20" s="982">
        <f>SUM(D5:D19)</f>
        <v>0</v>
      </c>
      <c r="E20" s="982">
        <f>SUM(E5:E19)</f>
        <v>0</v>
      </c>
      <c r="F20" s="982">
        <f>SUM(F5:F19)</f>
        <v>0</v>
      </c>
      <c r="G20" s="982">
        <f>SUM(G5:G19)</f>
        <v>0</v>
      </c>
      <c r="H20" s="982">
        <f>SUM(H5:H19)</f>
        <v>0</v>
      </c>
      <c r="I20" s="302"/>
      <c r="J20" s="314">
        <f>IFERROR(SUM(J5:J19),0)</f>
        <v>0</v>
      </c>
      <c r="K20" s="313"/>
      <c r="L20" s="319"/>
      <c r="M20" s="319"/>
      <c r="N20" s="319"/>
      <c r="O20" s="319"/>
      <c r="P20" s="319"/>
      <c r="Q20" s="319"/>
      <c r="R20" s="319"/>
      <c r="S20" s="319"/>
      <c r="U20" s="292" t="s">
        <v>11</v>
      </c>
      <c r="V20" s="313">
        <f>SUM(V5:V19)</f>
        <v>0</v>
      </c>
      <c r="W20" s="313">
        <f>SUM(W5:W19)</f>
        <v>0</v>
      </c>
      <c r="X20" s="523" t="e">
        <f>W20/V20</f>
        <v>#DIV/0!</v>
      </c>
      <c r="Y20" s="314">
        <f>IFERROR(IF(X20&gt;0.3,1,(TREND(X18:Y18,X19:Y19,X20,1))),0)</f>
        <v>0</v>
      </c>
      <c r="AA20" s="292" t="s">
        <v>11</v>
      </c>
      <c r="AB20" s="313">
        <f>SUM(AB5:AB19)</f>
        <v>0</v>
      </c>
      <c r="AC20" s="313">
        <f>SUM(AC5:AC19)</f>
        <v>0</v>
      </c>
      <c r="AD20" s="523" t="e">
        <f>AC20/AB20</f>
        <v>#DIV/0!</v>
      </c>
      <c r="AE20" s="314">
        <f>IFERROR(IF(AD20&gt;0.1,AE18,(TREND(AD18:AE18,AD19:AE19,AD20,1))),0)</f>
        <v>0</v>
      </c>
      <c r="AG20" s="292" t="s">
        <v>11</v>
      </c>
      <c r="AH20" s="313">
        <f>SUM(AH5:AH19)</f>
        <v>0</v>
      </c>
    </row>
    <row r="21" spans="2:34" x14ac:dyDescent="0.35">
      <c r="B21" s="315"/>
      <c r="C21" s="316"/>
      <c r="D21" s="316"/>
      <c r="E21" s="316"/>
      <c r="F21" s="316"/>
      <c r="G21" s="316"/>
      <c r="H21" s="316"/>
      <c r="I21" s="315"/>
      <c r="J21" s="293" t="s">
        <v>5132</v>
      </c>
      <c r="K21" s="316"/>
      <c r="L21" s="1134"/>
      <c r="M21" s="1134"/>
      <c r="R21" s="293"/>
      <c r="S21" s="293"/>
      <c r="Y21" s="293" t="s">
        <v>5134</v>
      </c>
      <c r="Z21" s="317"/>
      <c r="AA21" s="317"/>
      <c r="AE21" s="293" t="s">
        <v>5135</v>
      </c>
      <c r="AH21" s="293" t="s">
        <v>5136</v>
      </c>
    </row>
    <row r="22" spans="2:34" ht="29.5" thickBot="1" x14ac:dyDescent="0.4">
      <c r="B22" s="1283" t="s">
        <v>5032</v>
      </c>
      <c r="C22" s="1284" t="s">
        <v>5031</v>
      </c>
      <c r="D22" s="301" t="s">
        <v>4652</v>
      </c>
      <c r="E22" s="301" t="s">
        <v>4651</v>
      </c>
      <c r="F22" s="980" t="s">
        <v>4653</v>
      </c>
      <c r="G22" s="301" t="s">
        <v>4432</v>
      </c>
      <c r="H22" s="980" t="s">
        <v>5033</v>
      </c>
      <c r="I22" s="316"/>
      <c r="J22" s="1134"/>
      <c r="K22" s="1134"/>
      <c r="L22" s="315"/>
      <c r="M22" s="293"/>
      <c r="N22" s="293"/>
      <c r="O22" s="293"/>
      <c r="P22" s="293"/>
      <c r="Q22" s="293"/>
      <c r="R22" s="293"/>
      <c r="S22" s="293"/>
      <c r="Y22" s="293"/>
      <c r="Z22" s="317"/>
      <c r="AA22" s="317"/>
      <c r="AE22" s="293"/>
      <c r="AH22" s="293"/>
    </row>
    <row r="23" spans="2:34" ht="15" thickTop="1" x14ac:dyDescent="0.35">
      <c r="B23" s="582"/>
      <c r="C23" s="1286" t="s">
        <v>4344</v>
      </c>
      <c r="D23" s="1248">
        <f t="shared" ref="D23:H26" si="4">SUMIFS(D$5:D$19,$C$5:$C$19,$C23)</f>
        <v>0</v>
      </c>
      <c r="E23" s="1287">
        <f>SUMIFS(E$5:E$19,$C$5:$C$19,$C23)</f>
        <v>0</v>
      </c>
      <c r="F23" s="1288">
        <f t="shared" si="4"/>
        <v>0</v>
      </c>
      <c r="G23" s="1289">
        <f t="shared" si="4"/>
        <v>0</v>
      </c>
      <c r="H23" s="1288">
        <f t="shared" si="4"/>
        <v>0</v>
      </c>
      <c r="I23" s="316"/>
      <c r="J23" s="1134"/>
      <c r="K23" s="1134"/>
      <c r="L23" s="315"/>
      <c r="M23" s="293"/>
      <c r="N23" s="293"/>
      <c r="O23" s="293"/>
      <c r="P23" s="293"/>
      <c r="Q23" s="293"/>
      <c r="R23" s="293"/>
      <c r="S23" s="293"/>
      <c r="Y23" s="293"/>
      <c r="Z23" s="317"/>
      <c r="AA23" s="317"/>
      <c r="AE23" s="293"/>
      <c r="AH23" s="293"/>
    </row>
    <row r="24" spans="2:34" x14ac:dyDescent="0.35">
      <c r="B24" s="582"/>
      <c r="C24" s="1286" t="s">
        <v>4345</v>
      </c>
      <c r="D24" s="1248">
        <f t="shared" si="4"/>
        <v>0</v>
      </c>
      <c r="E24" s="1287">
        <f>SUMIFS(E$5:E$19,$C$5:$C$19,$C24)</f>
        <v>0</v>
      </c>
      <c r="F24" s="1290">
        <f t="shared" si="4"/>
        <v>0</v>
      </c>
      <c r="G24" s="1289">
        <f t="shared" si="4"/>
        <v>0</v>
      </c>
      <c r="H24" s="1290">
        <f t="shared" si="4"/>
        <v>0</v>
      </c>
      <c r="I24" s="316"/>
      <c r="J24" s="1134"/>
      <c r="K24" s="1134"/>
      <c r="L24" s="315"/>
      <c r="M24" s="293"/>
      <c r="N24" s="293"/>
      <c r="O24" s="293"/>
      <c r="P24" s="293"/>
      <c r="Q24" s="293"/>
      <c r="R24" s="293"/>
      <c r="S24" s="293"/>
      <c r="Y24" s="293"/>
      <c r="Z24" s="317"/>
      <c r="AA24" s="317"/>
      <c r="AE24" s="293"/>
      <c r="AH24" s="293"/>
    </row>
    <row r="25" spans="2:34" x14ac:dyDescent="0.35">
      <c r="B25" s="582"/>
      <c r="C25" s="1286" t="s">
        <v>5043</v>
      </c>
      <c r="D25" s="1248">
        <f t="shared" si="4"/>
        <v>0</v>
      </c>
      <c r="E25" s="1287">
        <f>SUMIFS(E$5:E$19,$C$5:$C$19,$C25)</f>
        <v>0</v>
      </c>
      <c r="F25" s="1290">
        <f t="shared" si="4"/>
        <v>0</v>
      </c>
      <c r="G25" s="1289">
        <f t="shared" si="4"/>
        <v>0</v>
      </c>
      <c r="H25" s="1290">
        <f t="shared" si="4"/>
        <v>0</v>
      </c>
      <c r="I25" s="316"/>
      <c r="J25" s="1134"/>
      <c r="K25" s="1134"/>
      <c r="L25" s="315"/>
      <c r="M25" s="293"/>
      <c r="N25" s="293"/>
      <c r="O25" s="293"/>
      <c r="P25" s="293"/>
      <c r="Q25" s="293"/>
      <c r="R25" s="293"/>
      <c r="S25" s="293"/>
      <c r="Y25" s="293"/>
      <c r="Z25" s="317"/>
      <c r="AA25" s="317"/>
      <c r="AE25" s="293"/>
      <c r="AH25" s="293"/>
    </row>
    <row r="26" spans="2:34" ht="15" thickBot="1" x14ac:dyDescent="0.4">
      <c r="B26" s="582"/>
      <c r="C26" s="1286" t="s">
        <v>5044</v>
      </c>
      <c r="D26" s="1248">
        <f t="shared" si="4"/>
        <v>0</v>
      </c>
      <c r="E26" s="1287">
        <f>SUMIFS(E$5:E$19,$C$5:$C$19,$C26)</f>
        <v>0</v>
      </c>
      <c r="F26" s="1291">
        <f t="shared" si="4"/>
        <v>0</v>
      </c>
      <c r="G26" s="1289">
        <f t="shared" si="4"/>
        <v>0</v>
      </c>
      <c r="H26" s="1291">
        <f t="shared" si="4"/>
        <v>0</v>
      </c>
      <c r="I26" s="316"/>
      <c r="J26" s="1134"/>
      <c r="K26" s="1134"/>
      <c r="L26" s="315"/>
      <c r="M26" s="293"/>
      <c r="N26" s="293"/>
      <c r="O26" s="293"/>
      <c r="P26" s="293"/>
      <c r="Q26" s="293"/>
      <c r="R26" s="293"/>
      <c r="S26" s="293"/>
      <c r="Y26" s="293"/>
      <c r="Z26" s="317"/>
      <c r="AA26" s="317"/>
      <c r="AE26" s="293"/>
      <c r="AH26" s="293"/>
    </row>
    <row r="27" spans="2:34" ht="15" thickTop="1" x14ac:dyDescent="0.35">
      <c r="B27" s="550"/>
      <c r="C27" s="1292" t="s">
        <v>5287</v>
      </c>
      <c r="D27" s="361">
        <f>SUM(D23:D26)-D20</f>
        <v>0</v>
      </c>
      <c r="E27" s="361">
        <f>SUM(E23:E26)-E20</f>
        <v>0</v>
      </c>
      <c r="F27" s="361">
        <f>SUM(F23:F26)-F20</f>
        <v>0</v>
      </c>
      <c r="G27" s="361">
        <f>SUM(G23:G26)-G20</f>
        <v>0</v>
      </c>
      <c r="H27" s="361">
        <f>SUM(H23:H26)-H20</f>
        <v>0</v>
      </c>
      <c r="I27" s="316"/>
      <c r="J27" s="1134"/>
      <c r="K27" s="1134"/>
      <c r="L27" s="315"/>
      <c r="M27" s="293"/>
      <c r="N27" s="293"/>
      <c r="O27" s="293"/>
      <c r="P27" s="293"/>
      <c r="Q27" s="293"/>
      <c r="R27" s="293"/>
      <c r="S27" s="293"/>
      <c r="Y27" s="293"/>
      <c r="Z27" s="317"/>
      <c r="AA27" s="317"/>
      <c r="AE27" s="293"/>
      <c r="AH27" s="293"/>
    </row>
    <row r="28" spans="2:34" x14ac:dyDescent="0.35">
      <c r="B28" s="315"/>
      <c r="C28" s="316"/>
      <c r="D28" s="316"/>
      <c r="E28" s="316"/>
      <c r="F28" s="316"/>
      <c r="G28" s="316"/>
      <c r="H28" s="316"/>
      <c r="I28" s="316"/>
      <c r="J28" s="1134"/>
      <c r="K28" s="1134"/>
      <c r="L28" s="315"/>
      <c r="M28" s="293"/>
      <c r="N28" s="293"/>
      <c r="O28" s="293"/>
      <c r="P28" s="293"/>
      <c r="Q28" s="293"/>
      <c r="R28" s="293"/>
      <c r="S28" s="293"/>
      <c r="Y28" s="293"/>
      <c r="Z28" s="317"/>
      <c r="AA28" s="317"/>
      <c r="AE28" s="293"/>
      <c r="AH28" s="293"/>
    </row>
    <row r="29" spans="2:34" x14ac:dyDescent="0.35">
      <c r="B29" s="1003" t="s">
        <v>5198</v>
      </c>
      <c r="C29" s="945"/>
      <c r="D29" s="945"/>
      <c r="E29" s="945"/>
      <c r="F29" s="945"/>
      <c r="G29" s="945"/>
      <c r="H29" s="945"/>
      <c r="I29" s="945"/>
      <c r="J29" s="1135"/>
      <c r="K29" s="1134"/>
      <c r="L29" s="315"/>
      <c r="M29" s="115"/>
      <c r="N29" s="115"/>
      <c r="O29" s="115"/>
      <c r="P29" s="115"/>
      <c r="Q29" s="115"/>
      <c r="R29" s="115"/>
      <c r="S29" s="115"/>
      <c r="V29" s="208"/>
    </row>
    <row r="30" spans="2:34" hidden="1" outlineLevel="1" x14ac:dyDescent="0.35">
      <c r="B30" s="315"/>
      <c r="C30" s="316"/>
      <c r="D30" s="316"/>
      <c r="E30" s="316"/>
      <c r="F30" s="316"/>
      <c r="G30" s="316"/>
      <c r="H30" s="316"/>
      <c r="I30" s="316"/>
      <c r="J30" s="1134"/>
      <c r="K30" s="1134"/>
      <c r="L30" s="315"/>
      <c r="M30" s="115"/>
      <c r="N30" s="115"/>
      <c r="O30" s="115"/>
      <c r="P30" s="115"/>
      <c r="Q30" s="115"/>
      <c r="R30" s="115"/>
      <c r="S30" s="115"/>
      <c r="V30" s="208"/>
    </row>
    <row r="31" spans="2:34" hidden="1" outlineLevel="2" x14ac:dyDescent="0.35">
      <c r="B31" s="1501" t="s">
        <v>6051</v>
      </c>
      <c r="C31" s="1502" t="s">
        <v>6053</v>
      </c>
      <c r="D31" s="1503" t="s">
        <v>6054</v>
      </c>
      <c r="E31" s="1505" t="s">
        <v>6052</v>
      </c>
      <c r="F31" s="1504" t="s">
        <v>6070</v>
      </c>
      <c r="G31" s="658"/>
      <c r="H31" s="1521"/>
      <c r="I31" s="658"/>
      <c r="J31" s="1521"/>
      <c r="K31" s="1521"/>
      <c r="L31" s="602"/>
      <c r="M31" s="601"/>
      <c r="N31" s="601"/>
      <c r="O31" s="601"/>
      <c r="P31" s="601"/>
      <c r="Q31" s="601"/>
      <c r="R31" s="601"/>
      <c r="S31" s="601"/>
    </row>
    <row r="32" spans="2:34" s="19" customFormat="1" ht="29" hidden="1" outlineLevel="2" x14ac:dyDescent="0.35">
      <c r="B32" s="1506" t="s">
        <v>4925</v>
      </c>
      <c r="C32" s="1525" t="s">
        <v>6076</v>
      </c>
      <c r="D32" s="1507" t="s">
        <v>6060</v>
      </c>
      <c r="E32" s="1508">
        <v>75</v>
      </c>
      <c r="F32" s="1508">
        <f>Qualität_Ergebnis_HF!G106*'RH Gebäude'!E32</f>
        <v>0</v>
      </c>
      <c r="G32" s="1500"/>
      <c r="H32" s="1500"/>
      <c r="I32" s="1500"/>
      <c r="J32" s="1520"/>
      <c r="K32" s="1520"/>
      <c r="L32" s="922"/>
      <c r="M32" s="1522"/>
      <c r="N32" s="1522"/>
      <c r="O32" s="1522"/>
      <c r="P32" s="1522"/>
      <c r="Q32" s="1522"/>
      <c r="R32" s="1522"/>
      <c r="S32" s="1522"/>
    </row>
    <row r="33" spans="2:19" s="19" customFormat="1" ht="29" hidden="1" outlineLevel="2" x14ac:dyDescent="0.35">
      <c r="B33" s="1506" t="s">
        <v>4926</v>
      </c>
      <c r="C33" s="1525" t="s">
        <v>6077</v>
      </c>
      <c r="D33" s="1507" t="s">
        <v>6061</v>
      </c>
      <c r="E33" s="1508">
        <v>75</v>
      </c>
      <c r="F33" s="1508">
        <f>(Qualität_Ergebnis_HF!G144*25+Qualität_Ergebnis_HF!G140*25+Qualität_Ergebnis_HF!G145*30)</f>
        <v>0</v>
      </c>
      <c r="G33" s="1500"/>
      <c r="H33" s="1528"/>
      <c r="I33" s="1500"/>
      <c r="J33" s="1520"/>
      <c r="K33" s="1520"/>
      <c r="L33" s="922"/>
      <c r="M33" s="1522"/>
      <c r="N33" s="1522"/>
      <c r="O33" s="1522"/>
      <c r="P33" s="1522"/>
      <c r="Q33" s="1522"/>
      <c r="R33" s="1522"/>
      <c r="S33" s="1522"/>
    </row>
    <row r="34" spans="2:19" s="19" customFormat="1" ht="29" hidden="1" outlineLevel="2" x14ac:dyDescent="0.35">
      <c r="B34" s="1506" t="s">
        <v>4927</v>
      </c>
      <c r="C34" s="1525" t="s">
        <v>4734</v>
      </c>
      <c r="D34" s="1507" t="s">
        <v>6063</v>
      </c>
      <c r="E34" s="1508">
        <v>50</v>
      </c>
      <c r="F34" s="1508">
        <f>Qualität_Ergebnis_HF!G91*'RH Gebäude'!E34</f>
        <v>0</v>
      </c>
      <c r="G34" s="1500"/>
      <c r="H34" s="1500"/>
      <c r="I34" s="1500"/>
      <c r="J34" s="1520"/>
      <c r="K34" s="1520"/>
      <c r="L34" s="922"/>
      <c r="M34" s="1522"/>
      <c r="N34" s="1522"/>
      <c r="O34" s="1522"/>
      <c r="P34" s="1522"/>
      <c r="Q34" s="1522"/>
      <c r="R34" s="1522"/>
      <c r="S34" s="1522"/>
    </row>
    <row r="35" spans="2:19" s="19" customFormat="1" ht="15" hidden="1" outlineLevel="2" thickBot="1" x14ac:dyDescent="0.4">
      <c r="B35" s="1512" t="s">
        <v>4928</v>
      </c>
      <c r="C35" s="1513" t="s">
        <v>4929</v>
      </c>
      <c r="D35" s="1514" t="s">
        <v>4701</v>
      </c>
      <c r="E35" s="1517">
        <v>30</v>
      </c>
      <c r="F35" s="1517"/>
      <c r="G35" s="1500"/>
      <c r="H35" s="1500"/>
      <c r="I35" s="1500"/>
      <c r="J35" s="1520"/>
      <c r="K35" s="1520"/>
      <c r="L35" s="922"/>
      <c r="M35" s="1522"/>
      <c r="N35" s="1522"/>
      <c r="O35" s="1522"/>
      <c r="P35" s="1522"/>
      <c r="Q35" s="1522"/>
      <c r="R35" s="1522"/>
      <c r="S35" s="1522"/>
    </row>
    <row r="36" spans="2:19" s="19" customFormat="1" ht="29" hidden="1" outlineLevel="2" x14ac:dyDescent="0.35">
      <c r="B36" s="1510" t="s">
        <v>4930</v>
      </c>
      <c r="C36" s="1527" t="s">
        <v>6078</v>
      </c>
      <c r="D36" s="1518" t="s">
        <v>6064</v>
      </c>
      <c r="E36" s="1516">
        <v>450</v>
      </c>
      <c r="F36" s="1516">
        <f>Qualität_Ergebnis_HF!G118*E36</f>
        <v>0</v>
      </c>
      <c r="G36" s="1500"/>
      <c r="H36" s="1500"/>
      <c r="I36" s="1500"/>
      <c r="J36" s="1520"/>
      <c r="K36" s="1520"/>
      <c r="L36" s="922"/>
      <c r="M36" s="1522"/>
      <c r="N36" s="1522"/>
      <c r="O36" s="1522"/>
      <c r="P36" s="1522"/>
      <c r="Q36" s="1522"/>
      <c r="R36" s="1522"/>
      <c r="S36" s="1522"/>
    </row>
    <row r="37" spans="2:19" s="19" customFormat="1" ht="29" hidden="1" outlineLevel="2" x14ac:dyDescent="0.35">
      <c r="B37" s="1506" t="s">
        <v>4931</v>
      </c>
      <c r="C37" s="1525" t="s">
        <v>4942</v>
      </c>
      <c r="D37" s="1507" t="s">
        <v>6064</v>
      </c>
      <c r="E37" s="1508">
        <v>150</v>
      </c>
      <c r="F37" s="1508">
        <f>Qualität_Ergebnis_HF!G122*'RH Gebäude'!E37</f>
        <v>0</v>
      </c>
      <c r="G37" s="1500"/>
      <c r="H37" s="1500"/>
      <c r="I37" s="1500"/>
      <c r="J37" s="1520"/>
      <c r="K37" s="1520"/>
      <c r="L37" s="922"/>
      <c r="M37" s="1522"/>
      <c r="N37" s="1522"/>
      <c r="O37" s="1522"/>
      <c r="P37" s="1522"/>
      <c r="Q37" s="1522"/>
      <c r="R37" s="1522"/>
      <c r="S37" s="1522"/>
    </row>
    <row r="38" spans="2:19" s="19" customFormat="1" ht="29" hidden="1" outlineLevel="2" x14ac:dyDescent="0.35">
      <c r="B38" s="1721" t="s">
        <v>4932</v>
      </c>
      <c r="C38" s="1535" t="s">
        <v>6071</v>
      </c>
      <c r="D38" s="1536" t="s">
        <v>6065</v>
      </c>
      <c r="E38" s="1530">
        <v>50</v>
      </c>
      <c r="F38" s="1531">
        <f>Qualität_Ergebnis_HF!G69*'RH Gebäude'!E38</f>
        <v>0</v>
      </c>
      <c r="G38" s="1500"/>
      <c r="H38" s="1500"/>
      <c r="I38" s="1500"/>
      <c r="J38" s="1520"/>
      <c r="K38" s="1520"/>
      <c r="L38" s="922"/>
      <c r="M38" s="1522"/>
      <c r="N38" s="1522"/>
      <c r="O38" s="1522"/>
      <c r="P38" s="1522"/>
      <c r="Q38" s="1522"/>
      <c r="R38" s="1522"/>
      <c r="S38" s="1522"/>
    </row>
    <row r="39" spans="2:19" s="19" customFormat="1" ht="29" hidden="1" outlineLevel="2" x14ac:dyDescent="0.35">
      <c r="B39" s="1722"/>
      <c r="C39" s="1535" t="s">
        <v>6079</v>
      </c>
      <c r="D39" s="1536" t="s">
        <v>6062</v>
      </c>
      <c r="E39" s="1530">
        <v>40</v>
      </c>
      <c r="F39" s="1531">
        <f>Qualität_Ergebnis_HF!G62*'RH Gebäude'!E39</f>
        <v>0</v>
      </c>
      <c r="G39" s="1500"/>
      <c r="H39" s="1500"/>
      <c r="I39" s="1500"/>
      <c r="J39" s="1520"/>
      <c r="K39" s="1520"/>
      <c r="L39" s="922"/>
      <c r="M39" s="1522"/>
      <c r="N39" s="1522"/>
      <c r="O39" s="1522"/>
      <c r="P39" s="1522"/>
      <c r="Q39" s="1522"/>
      <c r="R39" s="1522"/>
      <c r="S39" s="1522"/>
    </row>
    <row r="40" spans="2:19" s="19" customFormat="1" ht="29" hidden="1" outlineLevel="2" x14ac:dyDescent="0.35">
      <c r="B40" s="1722"/>
      <c r="C40" s="1535" t="s">
        <v>6080</v>
      </c>
      <c r="D40" s="1532" t="s">
        <v>2047</v>
      </c>
      <c r="E40" s="1530">
        <v>20</v>
      </c>
      <c r="F40" s="1531">
        <f>VLOOKUP(D40,$H$40:$I$41,2,0)</f>
        <v>20</v>
      </c>
      <c r="G40" s="1500"/>
      <c r="H40" s="1521" t="s">
        <v>2047</v>
      </c>
      <c r="I40" s="1524">
        <v>20</v>
      </c>
      <c r="J40" s="1528"/>
      <c r="K40" s="1520"/>
      <c r="L40" s="922"/>
      <c r="M40" s="1522"/>
      <c r="N40" s="1522"/>
      <c r="O40" s="1522"/>
      <c r="P40" s="1522"/>
      <c r="Q40" s="1522"/>
      <c r="R40" s="1522"/>
      <c r="S40" s="1522"/>
    </row>
    <row r="41" spans="2:19" s="19" customFormat="1" ht="17.25" hidden="1" customHeight="1" outlineLevel="2" thickBot="1" x14ac:dyDescent="0.4">
      <c r="B41" s="1723"/>
      <c r="C41" s="1537" t="s">
        <v>6073</v>
      </c>
      <c r="D41" s="1538" t="s">
        <v>6072</v>
      </c>
      <c r="E41" s="1533">
        <v>20</v>
      </c>
      <c r="F41" s="1534">
        <f>Qualität_Ergebnis_HF!G110*'RH Gebäude'!E41</f>
        <v>0</v>
      </c>
      <c r="G41" s="1500"/>
      <c r="H41" s="1523" t="s">
        <v>2048</v>
      </c>
      <c r="I41" s="1524">
        <v>0</v>
      </c>
      <c r="J41" s="1528"/>
      <c r="K41" s="1520"/>
      <c r="L41" s="922"/>
      <c r="M41" s="1522"/>
      <c r="N41" s="1522"/>
      <c r="O41" s="1522"/>
      <c r="P41" s="1522"/>
      <c r="Q41" s="1522"/>
      <c r="R41" s="1522"/>
      <c r="S41" s="1522"/>
    </row>
    <row r="42" spans="2:19" s="19" customFormat="1" ht="29" hidden="1" outlineLevel="2" x14ac:dyDescent="0.35">
      <c r="B42" s="1719" t="s">
        <v>5196</v>
      </c>
      <c r="C42" s="1527" t="s">
        <v>6081</v>
      </c>
      <c r="D42" s="1529" t="s">
        <v>2047</v>
      </c>
      <c r="E42" s="1510"/>
      <c r="F42" s="1568">
        <f>VLOOKUP(D42,$H$42:$J$43,2,0)</f>
        <v>0</v>
      </c>
      <c r="G42" s="1500"/>
      <c r="H42" s="1521" t="s">
        <v>2047</v>
      </c>
      <c r="I42" s="1524">
        <v>0</v>
      </c>
      <c r="J42" s="1528"/>
      <c r="K42" s="1520"/>
      <c r="L42" s="922"/>
      <c r="M42" s="1522"/>
      <c r="N42" s="1522"/>
      <c r="O42" s="1522"/>
      <c r="P42" s="1522"/>
      <c r="Q42" s="1522"/>
      <c r="R42" s="1522"/>
      <c r="S42" s="1522"/>
    </row>
    <row r="43" spans="2:19" s="19" customFormat="1" ht="29" hidden="1" outlineLevel="2" x14ac:dyDescent="0.35">
      <c r="B43" s="1720"/>
      <c r="C43" s="1527" t="s">
        <v>6082</v>
      </c>
      <c r="D43" s="1529" t="s">
        <v>2047</v>
      </c>
      <c r="E43" s="1510"/>
      <c r="F43" s="1568">
        <f>VLOOKUP(D43,$H$42:$J$43,2,0)</f>
        <v>0</v>
      </c>
      <c r="G43" s="1500"/>
      <c r="H43" s="1523" t="s">
        <v>2048</v>
      </c>
      <c r="I43" s="1524">
        <v>-1000</v>
      </c>
      <c r="J43" s="1528"/>
      <c r="K43" s="1520"/>
      <c r="L43" s="922"/>
      <c r="M43" s="1522"/>
      <c r="N43" s="1522"/>
      <c r="O43" s="1522"/>
      <c r="P43" s="1522"/>
      <c r="Q43" s="1522"/>
      <c r="R43" s="1522"/>
      <c r="S43" s="1522"/>
    </row>
    <row r="44" spans="2:19" s="19" customFormat="1" ht="29" hidden="1" outlineLevel="2" x14ac:dyDescent="0.35">
      <c r="B44" s="1717" t="s">
        <v>4933</v>
      </c>
      <c r="C44" s="1525" t="s">
        <v>6058</v>
      </c>
      <c r="D44" s="1529" t="s">
        <v>2047</v>
      </c>
      <c r="E44" s="1508">
        <v>50</v>
      </c>
      <c r="F44" s="1568">
        <f>VLOOKUP(D44,$H$44:$J$45,2,0)</f>
        <v>50</v>
      </c>
      <c r="G44" s="1500"/>
      <c r="H44" s="1523" t="s">
        <v>2047</v>
      </c>
      <c r="I44" s="1524">
        <v>50</v>
      </c>
      <c r="J44" s="1528">
        <v>10</v>
      </c>
      <c r="K44" s="1520"/>
      <c r="L44" s="922"/>
      <c r="M44" s="1522"/>
      <c r="N44" s="1522"/>
      <c r="O44" s="1522"/>
      <c r="P44" s="1522"/>
      <c r="Q44" s="1522"/>
      <c r="R44" s="1522"/>
      <c r="S44" s="1522"/>
    </row>
    <row r="45" spans="2:19" s="19" customFormat="1" ht="43.5" hidden="1" outlineLevel="2" x14ac:dyDescent="0.35">
      <c r="B45" s="1718"/>
      <c r="C45" s="1525" t="s">
        <v>6059</v>
      </c>
      <c r="D45" s="1529" t="s">
        <v>2047</v>
      </c>
      <c r="E45" s="1508">
        <v>10</v>
      </c>
      <c r="F45" s="1568">
        <f>VLOOKUP(D45,$H$44:$J$45,3,0)</f>
        <v>10</v>
      </c>
      <c r="G45" s="1500"/>
      <c r="H45" s="1523" t="s">
        <v>2048</v>
      </c>
      <c r="I45" s="1524">
        <v>0</v>
      </c>
      <c r="J45" s="1528">
        <v>0</v>
      </c>
      <c r="K45" s="1520"/>
      <c r="L45" s="922"/>
      <c r="M45" s="1522"/>
      <c r="N45" s="1522"/>
      <c r="O45" s="1522"/>
      <c r="P45" s="1522"/>
      <c r="Q45" s="1522"/>
      <c r="R45" s="1522"/>
      <c r="S45" s="1522"/>
    </row>
    <row r="46" spans="2:19" s="19" customFormat="1" ht="60" hidden="1" customHeight="1" outlineLevel="2" x14ac:dyDescent="0.35">
      <c r="B46" s="1717" t="s">
        <v>4934</v>
      </c>
      <c r="C46" s="1525" t="s">
        <v>6056</v>
      </c>
      <c r="D46" s="1529" t="s">
        <v>2047</v>
      </c>
      <c r="E46" s="1508">
        <v>50</v>
      </c>
      <c r="F46" s="1568">
        <f>VLOOKUP(D46,$H$46:$J$47,2,0)</f>
        <v>50</v>
      </c>
      <c r="G46" s="1500"/>
      <c r="H46" s="1523" t="s">
        <v>2047</v>
      </c>
      <c r="I46" s="1524">
        <v>50</v>
      </c>
      <c r="J46" s="1528">
        <v>20</v>
      </c>
      <c r="K46" s="1520"/>
      <c r="L46" s="922"/>
      <c r="M46" s="1522"/>
      <c r="N46" s="1522"/>
      <c r="O46" s="1522"/>
      <c r="P46" s="1522"/>
      <c r="Q46" s="1522"/>
      <c r="R46" s="1522"/>
      <c r="S46" s="1522"/>
    </row>
    <row r="47" spans="2:19" s="19" customFormat="1" ht="29" hidden="1" outlineLevel="2" x14ac:dyDescent="0.35">
      <c r="B47" s="1718"/>
      <c r="C47" s="1526" t="s">
        <v>6057</v>
      </c>
      <c r="D47" s="1529" t="s">
        <v>2047</v>
      </c>
      <c r="E47" s="1508">
        <v>20</v>
      </c>
      <c r="F47" s="1568">
        <f>VLOOKUP(D47,$H$46:$J$47,3,0)</f>
        <v>20</v>
      </c>
      <c r="G47" s="1500"/>
      <c r="H47" s="1523" t="s">
        <v>2048</v>
      </c>
      <c r="I47" s="1524">
        <v>0</v>
      </c>
      <c r="J47" s="1528">
        <v>0</v>
      </c>
      <c r="K47" s="1520"/>
      <c r="L47" s="922"/>
      <c r="M47" s="1522"/>
      <c r="N47" s="1522"/>
      <c r="O47" s="1522"/>
      <c r="P47" s="1522"/>
      <c r="Q47" s="1522"/>
      <c r="R47" s="1522"/>
      <c r="S47" s="1522"/>
    </row>
    <row r="48" spans="2:19" s="19" customFormat="1" ht="58.5" hidden="1" outlineLevel="2" thickBot="1" x14ac:dyDescent="0.4">
      <c r="B48" s="1509" t="s">
        <v>4935</v>
      </c>
      <c r="C48" s="1570" t="s">
        <v>6083</v>
      </c>
      <c r="D48" s="1511" t="s">
        <v>6074</v>
      </c>
      <c r="E48" s="1519">
        <v>100</v>
      </c>
      <c r="F48" s="1569" t="e">
        <f>IF('THG_Ergebnis 1'!G23&gt;0,0,E48)</f>
        <v>#DIV/0!</v>
      </c>
      <c r="G48" s="1500"/>
      <c r="H48" s="1523"/>
      <c r="I48" s="1524"/>
      <c r="J48" s="1528"/>
      <c r="K48" s="1520"/>
      <c r="L48" s="922"/>
      <c r="M48" s="1522"/>
      <c r="N48" s="1522"/>
      <c r="O48" s="1522"/>
      <c r="P48" s="1522"/>
      <c r="Q48" s="1522"/>
      <c r="R48" s="1522"/>
      <c r="S48" s="1522"/>
    </row>
    <row r="49" spans="1:19" s="19" customFormat="1" ht="29" hidden="1" outlineLevel="2" x14ac:dyDescent="0.35">
      <c r="B49" s="1506" t="s">
        <v>4936</v>
      </c>
      <c r="C49" s="1525" t="s">
        <v>6084</v>
      </c>
      <c r="D49" s="1529" t="s">
        <v>2047</v>
      </c>
      <c r="E49" s="1516">
        <v>50</v>
      </c>
      <c r="F49" s="1515">
        <f>VLOOKUP(D49,$H$49:$K$50,2,0)</f>
        <v>50</v>
      </c>
      <c r="G49" s="1500"/>
      <c r="H49" s="1523" t="s">
        <v>2047</v>
      </c>
      <c r="I49" s="1524">
        <v>50</v>
      </c>
      <c r="J49" s="1524">
        <v>110</v>
      </c>
      <c r="K49" s="1528">
        <v>30</v>
      </c>
      <c r="L49" s="922"/>
      <c r="M49" s="1522"/>
      <c r="N49" s="1522"/>
      <c r="O49" s="1522"/>
      <c r="P49" s="1522"/>
      <c r="Q49" s="1522"/>
      <c r="R49" s="1522"/>
      <c r="S49" s="1522"/>
    </row>
    <row r="50" spans="1:19" s="19" customFormat="1" ht="58" hidden="1" outlineLevel="2" x14ac:dyDescent="0.35">
      <c r="B50" s="1506" t="s">
        <v>4937</v>
      </c>
      <c r="C50" s="1525" t="s">
        <v>6085</v>
      </c>
      <c r="D50" s="1529" t="s">
        <v>2047</v>
      </c>
      <c r="E50" s="1508">
        <v>110</v>
      </c>
      <c r="F50" s="1515">
        <f>VLOOKUP(D50,$H$49:$K$50,3,0)</f>
        <v>110</v>
      </c>
      <c r="G50" s="1500"/>
      <c r="H50" s="1523" t="s">
        <v>2048</v>
      </c>
      <c r="I50" s="1524">
        <v>0</v>
      </c>
      <c r="J50" s="1524">
        <v>0</v>
      </c>
      <c r="K50" s="1528">
        <v>0</v>
      </c>
      <c r="L50" s="922"/>
      <c r="M50" s="1522"/>
      <c r="N50" s="1522"/>
      <c r="O50" s="1522"/>
      <c r="P50" s="1522"/>
      <c r="Q50" s="1522"/>
      <c r="R50" s="1522"/>
      <c r="S50" s="1522"/>
    </row>
    <row r="51" spans="1:19" s="19" customFormat="1" hidden="1" outlineLevel="2" x14ac:dyDescent="0.35">
      <c r="B51" s="1506" t="s">
        <v>4938</v>
      </c>
      <c r="C51" s="1525" t="s">
        <v>6075</v>
      </c>
      <c r="D51" s="1529" t="s">
        <v>2047</v>
      </c>
      <c r="E51" s="1508">
        <v>30</v>
      </c>
      <c r="F51" s="1515">
        <f>VLOOKUP(D51,$H$49:$K$50,4,0)</f>
        <v>30</v>
      </c>
      <c r="G51" s="1500"/>
      <c r="H51" s="1521"/>
      <c r="I51" s="1500"/>
      <c r="J51" s="1520"/>
      <c r="K51" s="1520"/>
      <c r="L51" s="922"/>
      <c r="M51" s="1522"/>
      <c r="N51" s="1522"/>
      <c r="O51" s="1522"/>
      <c r="P51" s="1522"/>
      <c r="Q51" s="1522"/>
      <c r="R51" s="1522"/>
      <c r="S51" s="1522"/>
    </row>
    <row r="52" spans="1:19" s="19" customFormat="1" hidden="1" outlineLevel="2" x14ac:dyDescent="0.35">
      <c r="B52" s="1539"/>
      <c r="C52" s="1528"/>
      <c r="D52" s="1567"/>
      <c r="E52" s="1524"/>
      <c r="F52" s="1540"/>
      <c r="G52" s="1500"/>
      <c r="H52" s="1521"/>
      <c r="I52" s="1500"/>
      <c r="J52" s="1520"/>
      <c r="K52" s="1520"/>
      <c r="L52" s="922"/>
      <c r="M52" s="1522"/>
      <c r="N52" s="1522"/>
      <c r="O52" s="1522"/>
      <c r="P52" s="1522"/>
      <c r="Q52" s="1522"/>
      <c r="R52" s="1522"/>
      <c r="S52" s="1522"/>
    </row>
    <row r="53" spans="1:19" s="19" customFormat="1" hidden="1" outlineLevel="2" x14ac:dyDescent="0.35">
      <c r="B53" s="1501" t="s">
        <v>6051</v>
      </c>
      <c r="C53" s="1502" t="s">
        <v>6053</v>
      </c>
      <c r="D53" s="1503" t="s">
        <v>6055</v>
      </c>
      <c r="E53" s="1505" t="s">
        <v>6052</v>
      </c>
      <c r="F53" s="1504" t="s">
        <v>9</v>
      </c>
      <c r="G53" s="1500"/>
      <c r="H53" s="1521"/>
      <c r="I53" s="1500"/>
      <c r="J53" s="1520"/>
      <c r="K53" s="1520"/>
      <c r="L53" s="922"/>
      <c r="M53" s="1522"/>
      <c r="N53" s="1522"/>
      <c r="O53" s="1522"/>
      <c r="P53" s="1522"/>
      <c r="Q53" s="1522"/>
      <c r="R53" s="1522"/>
      <c r="S53" s="1522"/>
    </row>
    <row r="54" spans="1:19" s="19" customFormat="1" hidden="1" outlineLevel="2" x14ac:dyDescent="0.35">
      <c r="B54" s="1553" t="s">
        <v>6066</v>
      </c>
      <c r="C54" s="1554"/>
      <c r="D54" s="1555"/>
      <c r="E54" s="1556">
        <v>150</v>
      </c>
      <c r="F54" s="1556">
        <f>SUM(F32:F35)</f>
        <v>0</v>
      </c>
      <c r="G54" s="1500"/>
      <c r="H54" s="1521"/>
      <c r="I54" s="1500"/>
      <c r="J54" s="1520"/>
      <c r="K54" s="1520"/>
      <c r="L54" s="922"/>
      <c r="M54" s="1522"/>
      <c r="N54" s="1522"/>
      <c r="O54" s="1522"/>
      <c r="P54" s="1522"/>
      <c r="Q54" s="1522"/>
      <c r="R54" s="1522"/>
      <c r="S54" s="1522"/>
    </row>
    <row r="55" spans="1:19" s="19" customFormat="1" hidden="1" outlineLevel="2" x14ac:dyDescent="0.35">
      <c r="B55" s="1541" t="s">
        <v>6067</v>
      </c>
      <c r="C55" s="1542"/>
      <c r="D55" s="1543"/>
      <c r="E55" s="1544">
        <v>550</v>
      </c>
      <c r="F55" s="1544">
        <f>SUM(F36:F41)</f>
        <v>20</v>
      </c>
      <c r="G55" s="1500"/>
      <c r="H55" s="1521"/>
      <c r="I55" s="1500"/>
      <c r="J55" s="1520"/>
      <c r="K55" s="1520"/>
      <c r="L55" s="922"/>
      <c r="M55" s="1522"/>
      <c r="N55" s="1522"/>
      <c r="O55" s="1522"/>
      <c r="P55" s="1522"/>
      <c r="Q55" s="1522"/>
      <c r="R55" s="1522"/>
      <c r="S55" s="1522"/>
    </row>
    <row r="56" spans="1:19" s="19" customFormat="1" ht="29" hidden="1" outlineLevel="2" x14ac:dyDescent="0.35">
      <c r="B56" s="1545" t="s">
        <v>6068</v>
      </c>
      <c r="C56" s="1546"/>
      <c r="D56" s="1547"/>
      <c r="E56" s="1548">
        <v>150</v>
      </c>
      <c r="F56" s="1548" t="e">
        <f>SUM(F42:F48)</f>
        <v>#DIV/0!</v>
      </c>
      <c r="G56" s="1500"/>
      <c r="H56" s="1521"/>
      <c r="I56" s="1500"/>
      <c r="J56" s="1520"/>
      <c r="K56" s="1520"/>
      <c r="L56" s="922"/>
      <c r="M56" s="1522"/>
      <c r="N56" s="1522"/>
      <c r="O56" s="1522"/>
      <c r="P56" s="1522"/>
      <c r="Q56" s="1522"/>
      <c r="R56" s="1522"/>
      <c r="S56" s="1522"/>
    </row>
    <row r="57" spans="1:19" s="19" customFormat="1" hidden="1" outlineLevel="2" x14ac:dyDescent="0.35">
      <c r="B57" s="1549" t="s">
        <v>6069</v>
      </c>
      <c r="C57" s="1550"/>
      <c r="D57" s="1551"/>
      <c r="E57" s="1552">
        <v>150</v>
      </c>
      <c r="F57" s="1552">
        <f>SUM(F49:F51)</f>
        <v>190</v>
      </c>
      <c r="G57" s="1500"/>
      <c r="H57" s="1521"/>
      <c r="I57" s="1500"/>
      <c r="J57" s="1520"/>
      <c r="K57" s="1520"/>
      <c r="L57" s="922"/>
      <c r="M57" s="1522"/>
      <c r="N57" s="1522"/>
      <c r="O57" s="1522"/>
      <c r="P57" s="1522"/>
      <c r="Q57" s="1522"/>
      <c r="R57" s="1522"/>
      <c r="S57" s="1522"/>
    </row>
    <row r="58" spans="1:19" s="1557" customFormat="1" ht="21" hidden="1" outlineLevel="2" x14ac:dyDescent="0.5">
      <c r="B58" s="1558" t="s">
        <v>2085</v>
      </c>
      <c r="C58" s="1559"/>
      <c r="D58" s="1560"/>
      <c r="E58" s="1561">
        <f>SUM(E54:E57)</f>
        <v>1000</v>
      </c>
      <c r="F58" s="1561" t="e">
        <f>SUM(F54:F57)</f>
        <v>#DIV/0!</v>
      </c>
      <c r="G58" s="1562"/>
      <c r="H58" s="1563"/>
      <c r="I58" s="1562"/>
      <c r="J58" s="1564"/>
      <c r="K58" s="1564"/>
      <c r="L58" s="1565"/>
      <c r="M58" s="1566"/>
      <c r="N58" s="1566"/>
      <c r="O58" s="1566"/>
      <c r="P58" s="1566"/>
      <c r="Q58" s="1566"/>
      <c r="R58" s="1566"/>
      <c r="S58" s="1566"/>
    </row>
    <row r="59" spans="1:19" collapsed="1" x14ac:dyDescent="0.35">
      <c r="B59" s="315"/>
      <c r="C59" s="316"/>
      <c r="D59" s="316"/>
      <c r="E59" s="316"/>
      <c r="F59" s="316"/>
      <c r="G59" s="316"/>
      <c r="H59" s="316"/>
      <c r="I59" s="316"/>
      <c r="J59" s="1134"/>
      <c r="K59" s="1134"/>
      <c r="L59" s="315"/>
      <c r="M59" s="115"/>
      <c r="N59" s="115"/>
      <c r="O59" s="115"/>
      <c r="P59" s="115"/>
      <c r="Q59" s="115"/>
      <c r="R59" s="115"/>
      <c r="S59" s="115"/>
    </row>
    <row r="60" spans="1:19" x14ac:dyDescent="0.35">
      <c r="B60" s="242" t="s">
        <v>4849</v>
      </c>
      <c r="C60" s="624"/>
      <c r="D60" s="625"/>
      <c r="E60" s="621"/>
      <c r="F60" s="621"/>
      <c r="G60" s="621"/>
      <c r="H60" s="621"/>
      <c r="I60" s="621"/>
      <c r="J60" s="624"/>
      <c r="L60" s="298"/>
      <c r="M60" s="298"/>
      <c r="N60" s="298"/>
      <c r="O60" s="298"/>
      <c r="P60" s="298"/>
      <c r="Q60" s="298"/>
      <c r="R60" s="298"/>
      <c r="S60" s="298"/>
    </row>
    <row r="61" spans="1:19" outlineLevel="1" x14ac:dyDescent="0.35"/>
    <row r="62" spans="1:19" outlineLevel="1" x14ac:dyDescent="0.35">
      <c r="B62" s="292" t="s">
        <v>4363</v>
      </c>
      <c r="C62" s="303" t="s">
        <v>4364</v>
      </c>
      <c r="D62" s="303" t="s">
        <v>4582</v>
      </c>
      <c r="E62" s="303" t="s">
        <v>4433</v>
      </c>
      <c r="F62" s="302" t="s">
        <v>4361</v>
      </c>
      <c r="G62" s="303" t="s">
        <v>4362</v>
      </c>
      <c r="H62" s="320">
        <v>1</v>
      </c>
      <c r="I62" s="321">
        <v>0</v>
      </c>
    </row>
    <row r="63" spans="1:19" outlineLevel="1" x14ac:dyDescent="0.35">
      <c r="A63" s="357" t="s">
        <v>4344</v>
      </c>
      <c r="B63" s="582" t="s">
        <v>5197</v>
      </c>
      <c r="C63" s="323">
        <f>SUMIFS($H$5:$H$19,$C$5:$C$19,$A63)</f>
        <v>0</v>
      </c>
      <c r="D63" s="324">
        <f>IF(C63&gt;0,(E63/C63),0)</f>
        <v>0</v>
      </c>
      <c r="E63" s="323">
        <f>SUMIFS($E$5:$E$19,$C$5:$C$19,$A63)</f>
        <v>0</v>
      </c>
      <c r="F63" s="325">
        <f>IF(TREND($H$62:$I$62,H63:I63,D63,1)&lt;0,0,(IF(TREND($H$62:$I$62,H63:I63,D63,1)&gt;1,1,(TREND($H$62:$I$62,H63:I63,D63,1)))))</f>
        <v>1</v>
      </c>
      <c r="G63" s="310">
        <f>IF(E63&gt;0,(F63*E63/$E$67),0)</f>
        <v>0</v>
      </c>
      <c r="H63" s="293">
        <v>30</v>
      </c>
      <c r="I63" s="293">
        <v>40</v>
      </c>
    </row>
    <row r="64" spans="1:19" outlineLevel="1" x14ac:dyDescent="0.35">
      <c r="A64" s="357" t="s">
        <v>4345</v>
      </c>
      <c r="B64" s="582" t="s">
        <v>5200</v>
      </c>
      <c r="C64" s="323">
        <f>SUMIFS($H$5:$H$19,$C$5:$C$19,$A64)</f>
        <v>0</v>
      </c>
      <c r="D64" s="324">
        <f>IF(C64&gt;0,(E64/C64),0)</f>
        <v>0</v>
      </c>
      <c r="E64" s="323">
        <f>SUMIFS($E$5:$E$19,$C$5:$C$19,$A64)</f>
        <v>0</v>
      </c>
      <c r="F64" s="325">
        <f>IF(TREND($H$62:$I$62,H64:I64,D64,1)&lt;0,0,(IF(TREND($H$62:$I$62,H64:I64,D64,1)&gt;1,1,(TREND($H$62:$I$62,H64:I64,D64,1)))))</f>
        <v>1</v>
      </c>
      <c r="G64" s="310">
        <f>IF(E64&gt;0,(F64*E64/$E$67),0)</f>
        <v>0</v>
      </c>
      <c r="H64" s="293">
        <v>17</v>
      </c>
      <c r="I64" s="293">
        <v>23</v>
      </c>
    </row>
    <row r="65" spans="1:10" outlineLevel="1" x14ac:dyDescent="0.35">
      <c r="A65" s="357" t="s">
        <v>5043</v>
      </c>
      <c r="B65" s="582" t="s">
        <v>5506</v>
      </c>
      <c r="C65" s="323">
        <f t="shared" ref="C65:C66" si="5">SUMIFS($H$5:$H$19,$C$5:$C$19,$A65)</f>
        <v>0</v>
      </c>
      <c r="D65" s="324">
        <f t="shared" ref="D65:D66" si="6">IF(C65&gt;0,(E65/C65),0)</f>
        <v>0</v>
      </c>
      <c r="E65" s="323">
        <f t="shared" ref="E65:E66" si="7">SUMIFS($E$5:$E$19,$C$5:$C$19,$A65)</f>
        <v>0</v>
      </c>
      <c r="F65" s="325">
        <f>IF(TREND($H$62:$I$62,H65:I65,D65,1)&lt;0,0,(IF(TREND($H$62:$I$62,H65:I65,D65,1)&gt;1,1,(TREND($H$62:$I$62,H65:I65,D65,1)))))</f>
        <v>1</v>
      </c>
      <c r="G65" s="310">
        <f t="shared" ref="G65:G66" si="8">IF(E65&gt;0,(F65*E65/$E$67),0)</f>
        <v>0</v>
      </c>
      <c r="H65" s="293">
        <v>10</v>
      </c>
      <c r="I65" s="293">
        <v>14</v>
      </c>
    </row>
    <row r="66" spans="1:10" ht="15" outlineLevel="1" thickBot="1" x14ac:dyDescent="0.4">
      <c r="A66" s="357" t="s">
        <v>5044</v>
      </c>
      <c r="B66" s="582" t="s">
        <v>5507</v>
      </c>
      <c r="C66" s="323">
        <f t="shared" si="5"/>
        <v>0</v>
      </c>
      <c r="D66" s="324">
        <f t="shared" si="6"/>
        <v>0</v>
      </c>
      <c r="E66" s="323">
        <f t="shared" si="7"/>
        <v>0</v>
      </c>
      <c r="F66" s="325">
        <f>IF(TREND($H$62:$I$62,H66:I66,D66,1)&lt;0,0,(IF(TREND($H$62:$I$62,H66:I66,D66,1)&gt;1,1,(TREND($H$62:$I$62,H66:I66,D66,1)))))</f>
        <v>1</v>
      </c>
      <c r="G66" s="310">
        <f t="shared" si="8"/>
        <v>0</v>
      </c>
      <c r="H66" s="293">
        <v>24</v>
      </c>
      <c r="I66" s="293">
        <v>34</v>
      </c>
    </row>
    <row r="67" spans="1:10" ht="15" outlineLevel="1" thickBot="1" x14ac:dyDescent="0.4">
      <c r="B67" s="292" t="s">
        <v>11</v>
      </c>
      <c r="C67" s="313">
        <f>SUM(C63:C66)</f>
        <v>0</v>
      </c>
      <c r="D67" s="303"/>
      <c r="E67" s="313">
        <f>SUM(E63:E66)</f>
        <v>0</v>
      </c>
      <c r="F67" s="302"/>
      <c r="G67" s="314">
        <f>SUM(G63:G66)</f>
        <v>0</v>
      </c>
    </row>
    <row r="68" spans="1:10" x14ac:dyDescent="0.35">
      <c r="G68" s="642" t="s">
        <v>5133</v>
      </c>
    </row>
    <row r="69" spans="1:10" x14ac:dyDescent="0.35">
      <c r="B69" s="326"/>
    </row>
    <row r="71" spans="1:10" x14ac:dyDescent="0.35">
      <c r="J71" s="1136"/>
    </row>
    <row r="72" spans="1:10" x14ac:dyDescent="0.35">
      <c r="J72" s="1136"/>
    </row>
    <row r="73" spans="1:10" x14ac:dyDescent="0.35">
      <c r="J73" s="1136"/>
    </row>
    <row r="74" spans="1:10" x14ac:dyDescent="0.35">
      <c r="J74" s="1136"/>
    </row>
    <row r="75" spans="1:10" x14ac:dyDescent="0.35">
      <c r="J75" s="1136"/>
    </row>
    <row r="76" spans="1:10" x14ac:dyDescent="0.35">
      <c r="J76" s="1136"/>
    </row>
    <row r="77" spans="1:10" x14ac:dyDescent="0.35">
      <c r="J77" s="1136"/>
    </row>
    <row r="78" spans="1:10" x14ac:dyDescent="0.35">
      <c r="J78" s="1136"/>
    </row>
    <row r="79" spans="1:10" x14ac:dyDescent="0.35">
      <c r="J79" s="1136"/>
    </row>
    <row r="80" spans="1:10" x14ac:dyDescent="0.35">
      <c r="J80" s="1136"/>
    </row>
    <row r="81" spans="10:10" x14ac:dyDescent="0.35">
      <c r="J81" s="1136"/>
    </row>
    <row r="82" spans="10:10" x14ac:dyDescent="0.35">
      <c r="J82" s="1136"/>
    </row>
  </sheetData>
  <mergeCells count="4">
    <mergeCell ref="B46:B47"/>
    <mergeCell ref="B44:B45"/>
    <mergeCell ref="B42:B43"/>
    <mergeCell ref="B38:B41"/>
  </mergeCells>
  <dataValidations count="3">
    <dataValidation type="list" allowBlank="1" showInputMessage="1" showErrorMessage="1" sqref="D40 D49:D51 D42:D47">
      <formula1>$H$40:$H$41</formula1>
    </dataValidation>
    <dataValidation type="list" allowBlank="1" showInputMessage="1" showErrorMessage="1" sqref="C5:C19">
      <formula1>Gebäudekategorie</formula1>
    </dataValidation>
    <dataValidation type="list" allowBlank="1" showInputMessage="1" showErrorMessage="1" sqref="P5:P19">
      <formula1>Rechtsform</formula1>
    </dataValidation>
  </dataValidations>
  <hyperlinks>
    <hyperlink ref="B29" r:id="rId1"/>
  </hyperlinks>
  <pageMargins left="0.7" right="0.7" top="0.78740157499999996" bottom="0.78740157499999996"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59FF40"/>
  </sheetPr>
  <dimension ref="B1:H68"/>
  <sheetViews>
    <sheetView zoomScaleNormal="100" workbookViewId="0"/>
  </sheetViews>
  <sheetFormatPr baseColWidth="10" defaultColWidth="11" defaultRowHeight="14.5" outlineLevelRow="1" outlineLevelCol="1" x14ac:dyDescent="0.35"/>
  <cols>
    <col min="1" max="1" width="3.75" style="1" customWidth="1"/>
    <col min="2" max="2" width="76.25" style="19" customWidth="1"/>
    <col min="3" max="3" width="14.75" style="1" bestFit="1" customWidth="1"/>
    <col min="4" max="4" width="21.5" style="1" customWidth="1"/>
    <col min="5" max="5" width="5.75" style="293" hidden="1" customWidth="1" outlineLevel="1"/>
    <col min="6" max="6" width="4.83203125" style="1" hidden="1" customWidth="1" outlineLevel="1"/>
    <col min="7" max="7" width="5.25" style="1" hidden="1" customWidth="1" outlineLevel="1"/>
    <col min="8" max="8" width="11" style="1" collapsed="1"/>
    <col min="9" max="16384" width="11" style="1"/>
  </cols>
  <sheetData>
    <row r="1" spans="2:7" ht="15" customHeight="1" x14ac:dyDescent="0.35">
      <c r="C1" s="296"/>
    </row>
    <row r="2" spans="2:7" ht="15" customHeight="1" x14ac:dyDescent="0.35">
      <c r="B2" s="617" t="s">
        <v>4871</v>
      </c>
      <c r="C2" s="618"/>
      <c r="D2" s="618"/>
    </row>
    <row r="3" spans="2:7" ht="15" customHeight="1" outlineLevel="1" x14ac:dyDescent="0.35"/>
    <row r="4" spans="2:7" s="19" customFormat="1" outlineLevel="1" x14ac:dyDescent="0.35">
      <c r="B4" s="521" t="s">
        <v>4714</v>
      </c>
      <c r="C4" s="522" t="s">
        <v>4715</v>
      </c>
      <c r="D4" s="521" t="s">
        <v>4583</v>
      </c>
      <c r="E4" s="532" t="s">
        <v>4873</v>
      </c>
      <c r="F4" s="487">
        <v>0</v>
      </c>
      <c r="G4" s="487">
        <v>1</v>
      </c>
    </row>
    <row r="5" spans="2:7" s="19" customFormat="1" outlineLevel="1" x14ac:dyDescent="0.35">
      <c r="B5" s="647" t="s">
        <v>5184</v>
      </c>
      <c r="C5" s="503">
        <f>Eckdaten!C21</f>
        <v>0</v>
      </c>
      <c r="D5" s="488"/>
      <c r="E5" s="499"/>
      <c r="F5" s="489">
        <v>0.4</v>
      </c>
      <c r="G5" s="489">
        <v>0.8</v>
      </c>
    </row>
    <row r="6" spans="2:7" s="19" customFormat="1" outlineLevel="1" x14ac:dyDescent="0.35">
      <c r="B6" s="1730" t="s">
        <v>4874</v>
      </c>
      <c r="C6" s="1731"/>
      <c r="D6" s="1732"/>
      <c r="E6" s="499"/>
      <c r="F6" s="489"/>
      <c r="G6" s="489"/>
    </row>
    <row r="7" spans="2:7" s="19" customFormat="1" outlineLevel="1" x14ac:dyDescent="0.35">
      <c r="B7" s="490" t="s">
        <v>4875</v>
      </c>
      <c r="C7" s="495"/>
      <c r="D7" s="497"/>
      <c r="E7" s="537">
        <v>0.4</v>
      </c>
      <c r="F7" s="501"/>
      <c r="G7" s="502"/>
    </row>
    <row r="8" spans="2:7" s="6" customFormat="1" ht="15" customHeight="1" outlineLevel="1" x14ac:dyDescent="0.35">
      <c r="B8" s="533" t="s">
        <v>4876</v>
      </c>
      <c r="C8" s="534"/>
      <c r="D8" s="360"/>
      <c r="E8" s="538">
        <v>0.2</v>
      </c>
      <c r="F8" s="501"/>
      <c r="G8" s="535"/>
    </row>
    <row r="9" spans="2:7" s="19" customFormat="1" outlineLevel="1" x14ac:dyDescent="0.35">
      <c r="B9" s="491" t="s">
        <v>4877</v>
      </c>
      <c r="C9" s="496"/>
      <c r="D9" s="498"/>
      <c r="E9" s="539">
        <v>0</v>
      </c>
      <c r="F9" s="501"/>
      <c r="G9" s="502"/>
    </row>
    <row r="10" spans="2:7" s="19" customFormat="1" outlineLevel="1" x14ac:dyDescent="0.35">
      <c r="B10" s="1730" t="s">
        <v>4878</v>
      </c>
      <c r="C10" s="1731"/>
      <c r="D10" s="1732"/>
      <c r="E10" s="539"/>
      <c r="F10" s="501"/>
      <c r="G10" s="502"/>
    </row>
    <row r="11" spans="2:7" s="19" customFormat="1" ht="15" customHeight="1" outlineLevel="1" x14ac:dyDescent="0.35">
      <c r="B11" s="490" t="s">
        <v>4892</v>
      </c>
      <c r="C11" s="495"/>
      <c r="D11" s="497"/>
      <c r="E11" s="539">
        <v>1</v>
      </c>
      <c r="F11" s="501"/>
      <c r="G11" s="502"/>
    </row>
    <row r="12" spans="2:7" s="19" customFormat="1" ht="15" customHeight="1" outlineLevel="1" thickBot="1" x14ac:dyDescent="0.4">
      <c r="B12" s="541" t="s">
        <v>4893</v>
      </c>
      <c r="C12" s="495"/>
      <c r="D12" s="497"/>
      <c r="E12" s="537">
        <v>1.1000000000000001</v>
      </c>
      <c r="F12" s="501"/>
      <c r="G12" s="502"/>
    </row>
    <row r="13" spans="2:7" s="19" customFormat="1" ht="15" customHeight="1" outlineLevel="1" x14ac:dyDescent="0.35">
      <c r="B13" s="540" t="s">
        <v>4894</v>
      </c>
      <c r="C13" s="495"/>
      <c r="D13" s="497"/>
      <c r="E13" s="537">
        <v>0.9</v>
      </c>
      <c r="F13" s="501"/>
      <c r="G13" s="502"/>
    </row>
    <row r="14" spans="2:7" s="19" customFormat="1" ht="15" customHeight="1" outlineLevel="1" thickBot="1" x14ac:dyDescent="0.4">
      <c r="B14" s="541" t="s">
        <v>4895</v>
      </c>
      <c r="C14" s="495"/>
      <c r="D14" s="497"/>
      <c r="E14" s="537">
        <v>1</v>
      </c>
      <c r="F14" s="501"/>
      <c r="G14" s="502"/>
    </row>
    <row r="15" spans="2:7" s="19" customFormat="1" ht="15" customHeight="1" outlineLevel="1" x14ac:dyDescent="0.35">
      <c r="B15" s="542" t="s">
        <v>4896</v>
      </c>
      <c r="C15" s="495"/>
      <c r="D15" s="497"/>
      <c r="E15" s="539">
        <v>0.7</v>
      </c>
      <c r="F15" s="501"/>
      <c r="G15" s="502"/>
    </row>
    <row r="16" spans="2:7" s="19" customFormat="1" ht="15" customHeight="1" outlineLevel="1" x14ac:dyDescent="0.35">
      <c r="B16" s="536" t="s">
        <v>4897</v>
      </c>
      <c r="C16" s="495"/>
      <c r="D16" s="497"/>
      <c r="E16" s="539">
        <v>0.8</v>
      </c>
      <c r="F16" s="501"/>
      <c r="G16" s="502"/>
    </row>
    <row r="17" spans="2:7" s="19" customFormat="1" outlineLevel="1" x14ac:dyDescent="0.35">
      <c r="B17" s="1730" t="s">
        <v>4879</v>
      </c>
      <c r="C17" s="1731"/>
      <c r="D17" s="1732"/>
      <c r="E17" s="539"/>
      <c r="F17" s="501"/>
      <c r="G17" s="502"/>
    </row>
    <row r="18" spans="2:7" s="19" customFormat="1" outlineLevel="1" x14ac:dyDescent="0.35">
      <c r="B18" s="943" t="s">
        <v>5193</v>
      </c>
      <c r="C18" s="495"/>
      <c r="D18" s="497"/>
      <c r="E18" s="539">
        <v>1.1000000000000001</v>
      </c>
      <c r="F18" s="501"/>
      <c r="G18" s="502"/>
    </row>
    <row r="19" spans="2:7" s="19" customFormat="1" outlineLevel="1" x14ac:dyDescent="0.35">
      <c r="B19" s="1730" t="s">
        <v>4733</v>
      </c>
      <c r="C19" s="1731"/>
      <c r="D19" s="1732"/>
      <c r="E19" s="539"/>
      <c r="F19" s="501"/>
      <c r="G19" s="502"/>
    </row>
    <row r="20" spans="2:7" s="19" customFormat="1" outlineLevel="1" x14ac:dyDescent="0.35">
      <c r="B20" s="492" t="s">
        <v>4881</v>
      </c>
      <c r="C20" s="495"/>
      <c r="D20" s="497"/>
      <c r="E20" s="539">
        <v>1</v>
      </c>
      <c r="F20" s="501"/>
      <c r="G20" s="502"/>
    </row>
    <row r="21" spans="2:7" s="19" customFormat="1" outlineLevel="1" x14ac:dyDescent="0.35">
      <c r="B21" s="492" t="s">
        <v>4882</v>
      </c>
      <c r="C21" s="495"/>
      <c r="D21" s="497"/>
      <c r="E21" s="539">
        <v>1.1000000000000001</v>
      </c>
      <c r="F21" s="501"/>
      <c r="G21" s="502"/>
    </row>
    <row r="22" spans="2:7" s="19" customFormat="1" outlineLevel="1" x14ac:dyDescent="0.35">
      <c r="B22" s="1730" t="s">
        <v>4732</v>
      </c>
      <c r="C22" s="1731"/>
      <c r="D22" s="1732"/>
      <c r="E22" s="539"/>
      <c r="F22" s="501"/>
      <c r="G22" s="502"/>
    </row>
    <row r="23" spans="2:7" s="19" customFormat="1" outlineLevel="1" x14ac:dyDescent="0.35">
      <c r="B23" s="492" t="s">
        <v>4883</v>
      </c>
      <c r="C23" s="495"/>
      <c r="D23" s="497"/>
      <c r="E23" s="539">
        <v>0.7</v>
      </c>
      <c r="F23" s="501"/>
      <c r="G23" s="502"/>
    </row>
    <row r="24" spans="2:7" s="19" customFormat="1" outlineLevel="1" x14ac:dyDescent="0.35">
      <c r="B24" s="943" t="s">
        <v>5192</v>
      </c>
      <c r="C24" s="495"/>
      <c r="D24" s="497"/>
      <c r="E24" s="539">
        <v>0.6</v>
      </c>
      <c r="F24" s="501"/>
      <c r="G24" s="502"/>
    </row>
    <row r="25" spans="2:7" s="19" customFormat="1" outlineLevel="1" x14ac:dyDescent="0.35">
      <c r="B25" s="492" t="s">
        <v>4884</v>
      </c>
      <c r="C25" s="495"/>
      <c r="D25" s="497"/>
      <c r="E25" s="539">
        <v>0.8</v>
      </c>
      <c r="F25" s="501"/>
      <c r="G25" s="502"/>
    </row>
    <row r="26" spans="2:7" s="19" customFormat="1" outlineLevel="1" x14ac:dyDescent="0.35">
      <c r="B26" s="1730" t="s">
        <v>4885</v>
      </c>
      <c r="C26" s="1731"/>
      <c r="D26" s="1732"/>
      <c r="E26" s="539"/>
      <c r="F26" s="501"/>
      <c r="G26" s="502"/>
    </row>
    <row r="27" spans="2:7" s="19" customFormat="1" ht="29" outlineLevel="1" x14ac:dyDescent="0.35">
      <c r="B27" s="492" t="s">
        <v>4886</v>
      </c>
      <c r="C27" s="495"/>
      <c r="D27" s="497"/>
      <c r="E27" s="539">
        <v>0.5</v>
      </c>
      <c r="F27" s="501"/>
      <c r="G27" s="502"/>
    </row>
    <row r="28" spans="2:7" s="19" customFormat="1" outlineLevel="1" x14ac:dyDescent="0.35">
      <c r="B28" s="492" t="s">
        <v>4887</v>
      </c>
      <c r="C28" s="495"/>
      <c r="D28" s="497"/>
      <c r="E28" s="539">
        <v>0.7</v>
      </c>
      <c r="F28" s="501"/>
      <c r="G28" s="502"/>
    </row>
    <row r="29" spans="2:7" s="19" customFormat="1" outlineLevel="1" x14ac:dyDescent="0.35">
      <c r="B29" s="492" t="s">
        <v>4888</v>
      </c>
      <c r="C29" s="495"/>
      <c r="D29" s="497"/>
      <c r="E29" s="539">
        <v>0.9</v>
      </c>
      <c r="F29" s="501"/>
      <c r="G29" s="502"/>
    </row>
    <row r="30" spans="2:7" s="19" customFormat="1" outlineLevel="1" x14ac:dyDescent="0.35">
      <c r="B30" s="1730" t="s">
        <v>4890</v>
      </c>
      <c r="C30" s="1731"/>
      <c r="D30" s="1732"/>
      <c r="E30" s="539"/>
      <c r="F30" s="501"/>
      <c r="G30" s="502"/>
    </row>
    <row r="31" spans="2:7" s="19" customFormat="1" outlineLevel="1" x14ac:dyDescent="0.35">
      <c r="B31" s="492" t="s">
        <v>4889</v>
      </c>
      <c r="C31" s="495"/>
      <c r="D31" s="497"/>
      <c r="E31" s="539">
        <v>1.1000000000000001</v>
      </c>
      <c r="F31" s="501"/>
      <c r="G31" s="502"/>
    </row>
    <row r="32" spans="2:7" s="19" customFormat="1" outlineLevel="1" x14ac:dyDescent="0.35">
      <c r="B32" s="492" t="s">
        <v>4891</v>
      </c>
      <c r="C32" s="495"/>
      <c r="D32" s="497"/>
      <c r="E32" s="539">
        <v>1.1000000000000001</v>
      </c>
      <c r="F32" s="501"/>
      <c r="G32" s="502"/>
    </row>
    <row r="33" spans="2:7" s="19" customFormat="1" outlineLevel="1" x14ac:dyDescent="0.35">
      <c r="B33" s="492" t="s">
        <v>4898</v>
      </c>
      <c r="C33" s="495"/>
      <c r="D33" s="497"/>
      <c r="E33" s="539">
        <v>1.2</v>
      </c>
      <c r="F33" s="501"/>
      <c r="G33" s="502"/>
    </row>
    <row r="34" spans="2:7" s="19" customFormat="1" outlineLevel="1" x14ac:dyDescent="0.35">
      <c r="B34" s="1733" t="s">
        <v>4880</v>
      </c>
      <c r="C34" s="1734"/>
      <c r="D34" s="1735"/>
      <c r="E34" s="539"/>
      <c r="F34" s="501"/>
      <c r="G34" s="502"/>
    </row>
    <row r="35" spans="2:7" s="19" customFormat="1" outlineLevel="1" x14ac:dyDescent="0.35">
      <c r="B35" s="943" t="s">
        <v>5368</v>
      </c>
      <c r="C35" s="495"/>
      <c r="D35" s="497"/>
      <c r="E35" s="539">
        <v>1</v>
      </c>
      <c r="F35" s="501"/>
      <c r="G35" s="502"/>
    </row>
    <row r="36" spans="2:7" s="19" customFormat="1" outlineLevel="1" x14ac:dyDescent="0.35">
      <c r="B36" s="943" t="s">
        <v>5369</v>
      </c>
      <c r="C36" s="495"/>
      <c r="D36" s="497"/>
      <c r="E36" s="539">
        <v>1</v>
      </c>
      <c r="F36" s="501"/>
      <c r="G36" s="502"/>
    </row>
    <row r="37" spans="2:7" s="19" customFormat="1" outlineLevel="1" x14ac:dyDescent="0.35">
      <c r="B37" s="943" t="s">
        <v>5370</v>
      </c>
      <c r="C37" s="495"/>
      <c r="D37" s="497"/>
      <c r="E37" s="539">
        <v>1</v>
      </c>
      <c r="F37" s="501"/>
      <c r="G37" s="502"/>
    </row>
    <row r="38" spans="2:7" s="19" customFormat="1" ht="15" outlineLevel="1" thickBot="1" x14ac:dyDescent="0.4">
      <c r="B38" s="493" t="s">
        <v>4734</v>
      </c>
      <c r="C38" s="494" t="e">
        <f>(C7*E7+C8*E8+C9*E9+C11*E11+C12*E12+C13*E13+C14*E14+C15*E15+C16*E16+C18*E18+C35*E35+C36*E36+C37*E37+C20*E20+C21*E21+C23*E23+C24*E24*C25*E25+C27*E27+C28*E28+C29*E29+C31*E31+C32*E32+C33*E33)/C5</f>
        <v>#DIV/0!</v>
      </c>
      <c r="D38" s="488"/>
      <c r="E38" s="539"/>
      <c r="F38" s="500"/>
      <c r="G38" s="500"/>
    </row>
    <row r="39" spans="2:7" s="19" customFormat="1" ht="15" outlineLevel="1" thickBot="1" x14ac:dyDescent="0.4">
      <c r="B39" s="485"/>
      <c r="C39" s="297">
        <f>IF(ISNUMBER(C38),(IF(C38&lt;0.4,0%,(IF(C38&gt;0.8,100%,(TREND($F$4:$G$4,$F$5:$G$5,C38,1)))))),0%)</f>
        <v>0</v>
      </c>
      <c r="D39" s="753" t="s">
        <v>5138</v>
      </c>
      <c r="E39" s="486"/>
    </row>
    <row r="40" spans="2:7" s="19" customFormat="1" x14ac:dyDescent="0.35">
      <c r="B40" s="485"/>
      <c r="C40" s="529"/>
      <c r="D40" s="1"/>
      <c r="E40" s="486"/>
    </row>
    <row r="41" spans="2:7" x14ac:dyDescent="0.35">
      <c r="B41" s="617" t="s">
        <v>5191</v>
      </c>
      <c r="C41" s="618"/>
      <c r="D41" s="618"/>
    </row>
    <row r="42" spans="2:7" outlineLevel="1" x14ac:dyDescent="0.35"/>
    <row r="43" spans="2:7" s="2" customFormat="1" ht="29" outlineLevel="1" x14ac:dyDescent="0.35">
      <c r="B43" s="299" t="s">
        <v>4444</v>
      </c>
      <c r="C43" s="530" t="s">
        <v>4870</v>
      </c>
      <c r="D43" s="337" t="s">
        <v>4583</v>
      </c>
      <c r="E43" s="531">
        <v>0.1</v>
      </c>
      <c r="F43" s="531">
        <v>0.02</v>
      </c>
    </row>
    <row r="44" spans="2:7" outlineLevel="1" x14ac:dyDescent="0.35">
      <c r="B44" s="1727" t="s">
        <v>4717</v>
      </c>
      <c r="C44" s="1728"/>
      <c r="D44" s="1729"/>
      <c r="E44" s="293">
        <v>500</v>
      </c>
      <c r="F44" s="293">
        <v>1000</v>
      </c>
    </row>
    <row r="45" spans="2:7" outlineLevel="1" x14ac:dyDescent="0.35">
      <c r="B45" s="533" t="s">
        <v>4857</v>
      </c>
      <c r="C45" s="604"/>
      <c r="D45" s="647"/>
      <c r="E45" s="295" t="str">
        <f t="shared" ref="E45:E67" si="0">IF(ISNUMBER(C45),(IF(C45&lt;=500,10%,(IF(C45&gt;1000,0%,(TREND($E$43:$F$43,$E$44:$F$44,C45,1)))))),"")</f>
        <v/>
      </c>
    </row>
    <row r="46" spans="2:7" outlineLevel="1" x14ac:dyDescent="0.35">
      <c r="B46" s="605" t="s">
        <v>4951</v>
      </c>
      <c r="C46" s="606"/>
      <c r="D46" s="1014"/>
      <c r="E46" s="295" t="str">
        <f t="shared" si="0"/>
        <v/>
      </c>
    </row>
    <row r="47" spans="2:7" outlineLevel="1" x14ac:dyDescent="0.35">
      <c r="B47" s="605" t="s">
        <v>5020</v>
      </c>
      <c r="C47" s="606"/>
      <c r="D47" s="1014"/>
      <c r="E47" s="295" t="str">
        <f t="shared" si="0"/>
        <v/>
      </c>
    </row>
    <row r="48" spans="2:7" outlineLevel="1" x14ac:dyDescent="0.35">
      <c r="B48" s="605" t="s">
        <v>4858</v>
      </c>
      <c r="C48" s="606"/>
      <c r="D48" s="1014"/>
      <c r="E48" s="295" t="str">
        <f t="shared" si="0"/>
        <v/>
      </c>
    </row>
    <row r="49" spans="2:6" outlineLevel="1" x14ac:dyDescent="0.35">
      <c r="B49" s="605" t="s">
        <v>4487</v>
      </c>
      <c r="C49" s="606"/>
      <c r="D49" s="1014"/>
      <c r="E49" s="295" t="str">
        <f t="shared" si="0"/>
        <v/>
      </c>
      <c r="F49" s="583"/>
    </row>
    <row r="50" spans="2:6" outlineLevel="1" x14ac:dyDescent="0.35">
      <c r="B50" s="1724" t="s">
        <v>4716</v>
      </c>
      <c r="C50" s="1725"/>
      <c r="D50" s="1726"/>
      <c r="E50" s="295" t="str">
        <f t="shared" si="0"/>
        <v/>
      </c>
    </row>
    <row r="51" spans="2:6" outlineLevel="1" x14ac:dyDescent="0.35">
      <c r="B51" s="605" t="s">
        <v>5021</v>
      </c>
      <c r="C51" s="606"/>
      <c r="D51" s="1014"/>
      <c r="E51" s="295" t="str">
        <f t="shared" si="0"/>
        <v/>
      </c>
    </row>
    <row r="52" spans="2:6" outlineLevel="1" x14ac:dyDescent="0.35">
      <c r="B52" s="605" t="s">
        <v>5022</v>
      </c>
      <c r="C52" s="606"/>
      <c r="D52" s="1014"/>
      <c r="E52" s="295" t="str">
        <f t="shared" si="0"/>
        <v/>
      </c>
    </row>
    <row r="53" spans="2:6" outlineLevel="1" x14ac:dyDescent="0.35">
      <c r="B53" s="605" t="s">
        <v>4859</v>
      </c>
      <c r="C53" s="606"/>
      <c r="D53" s="1014"/>
      <c r="E53" s="295" t="str">
        <f t="shared" si="0"/>
        <v/>
      </c>
    </row>
    <row r="54" spans="2:6" ht="29" outlineLevel="1" x14ac:dyDescent="0.35">
      <c r="B54" s="605" t="s">
        <v>5023</v>
      </c>
      <c r="C54" s="606"/>
      <c r="D54" s="1014"/>
      <c r="E54" s="295" t="str">
        <f t="shared" si="0"/>
        <v/>
      </c>
    </row>
    <row r="55" spans="2:6" outlineLevel="1" x14ac:dyDescent="0.35">
      <c r="B55" s="605" t="s">
        <v>4487</v>
      </c>
      <c r="C55" s="606"/>
      <c r="D55" s="1014"/>
      <c r="E55" s="295" t="str">
        <f t="shared" si="0"/>
        <v/>
      </c>
    </row>
    <row r="56" spans="2:6" outlineLevel="1" x14ac:dyDescent="0.35">
      <c r="B56" s="1727" t="s">
        <v>4718</v>
      </c>
      <c r="C56" s="1728"/>
      <c r="D56" s="1729"/>
      <c r="E56" s="295" t="str">
        <f t="shared" si="0"/>
        <v/>
      </c>
    </row>
    <row r="57" spans="2:6" outlineLevel="1" x14ac:dyDescent="0.35">
      <c r="B57" s="533" t="s">
        <v>4860</v>
      </c>
      <c r="C57" s="294"/>
      <c r="D57" s="1015"/>
      <c r="E57" s="295" t="str">
        <f t="shared" si="0"/>
        <v/>
      </c>
    </row>
    <row r="58" spans="2:6" ht="29" outlineLevel="1" x14ac:dyDescent="0.35">
      <c r="B58" s="533" t="s">
        <v>4861</v>
      </c>
      <c r="C58" s="294"/>
      <c r="D58" s="1015"/>
      <c r="E58" s="295" t="str">
        <f t="shared" si="0"/>
        <v/>
      </c>
    </row>
    <row r="59" spans="2:6" ht="29" outlineLevel="1" x14ac:dyDescent="0.35">
      <c r="B59" s="533" t="s">
        <v>4862</v>
      </c>
      <c r="C59" s="294"/>
      <c r="D59" s="1015"/>
      <c r="E59" s="295" t="str">
        <f t="shared" si="0"/>
        <v/>
      </c>
    </row>
    <row r="60" spans="2:6" ht="29" outlineLevel="1" x14ac:dyDescent="0.35">
      <c r="B60" s="533" t="s">
        <v>4863</v>
      </c>
      <c r="C60" s="294"/>
      <c r="D60" s="1015"/>
      <c r="E60" s="295" t="str">
        <f t="shared" si="0"/>
        <v/>
      </c>
    </row>
    <row r="61" spans="2:6" outlineLevel="1" x14ac:dyDescent="0.35">
      <c r="B61" s="533" t="s">
        <v>4487</v>
      </c>
      <c r="C61" s="294"/>
      <c r="D61" s="1015"/>
      <c r="E61" s="295" t="str">
        <f t="shared" si="0"/>
        <v/>
      </c>
    </row>
    <row r="62" spans="2:6" outlineLevel="1" x14ac:dyDescent="0.35">
      <c r="B62" s="1727" t="s">
        <v>4864</v>
      </c>
      <c r="C62" s="1728"/>
      <c r="D62" s="1729"/>
      <c r="E62" s="295" t="str">
        <f t="shared" si="0"/>
        <v/>
      </c>
    </row>
    <row r="63" spans="2:6" outlineLevel="1" x14ac:dyDescent="0.35">
      <c r="B63" s="533" t="s">
        <v>4865</v>
      </c>
      <c r="C63" s="294"/>
      <c r="D63" s="1015"/>
      <c r="E63" s="295" t="str">
        <f t="shared" si="0"/>
        <v/>
      </c>
    </row>
    <row r="64" spans="2:6" outlineLevel="1" x14ac:dyDescent="0.35">
      <c r="B64" s="533" t="s">
        <v>4866</v>
      </c>
      <c r="C64" s="294"/>
      <c r="D64" s="1015"/>
      <c r="E64" s="295" t="str">
        <f t="shared" si="0"/>
        <v/>
      </c>
    </row>
    <row r="65" spans="2:5" outlineLevel="1" x14ac:dyDescent="0.35">
      <c r="B65" s="533" t="s">
        <v>4867</v>
      </c>
      <c r="C65" s="294"/>
      <c r="D65" s="1015"/>
      <c r="E65" s="295" t="str">
        <f t="shared" si="0"/>
        <v/>
      </c>
    </row>
    <row r="66" spans="2:5" outlineLevel="1" x14ac:dyDescent="0.35">
      <c r="B66" s="533" t="s">
        <v>4868</v>
      </c>
      <c r="C66" s="294"/>
      <c r="D66" s="1015"/>
      <c r="E66" s="295" t="str">
        <f t="shared" si="0"/>
        <v/>
      </c>
    </row>
    <row r="67" spans="2:5" ht="15" outlineLevel="1" thickBot="1" x14ac:dyDescent="0.4">
      <c r="B67" s="533" t="s">
        <v>4487</v>
      </c>
      <c r="C67" s="294"/>
      <c r="D67" s="646"/>
      <c r="E67" s="295" t="str">
        <f t="shared" si="0"/>
        <v/>
      </c>
    </row>
    <row r="68" spans="2:5" ht="29.5" outlineLevel="1" thickBot="1" x14ac:dyDescent="0.4">
      <c r="B68" s="944" t="s">
        <v>4474</v>
      </c>
      <c r="C68" s="297">
        <f>IF(SUM(E45:E67)&gt;100%,100%,SUM(E45:E67))</f>
        <v>0</v>
      </c>
      <c r="D68" s="753" t="s">
        <v>5137</v>
      </c>
    </row>
  </sheetData>
  <mergeCells count="12">
    <mergeCell ref="B50:D50"/>
    <mergeCell ref="B44:D44"/>
    <mergeCell ref="B56:D56"/>
    <mergeCell ref="B62:D62"/>
    <mergeCell ref="B6:D6"/>
    <mergeCell ref="B30:D30"/>
    <mergeCell ref="B34:D34"/>
    <mergeCell ref="B10:D10"/>
    <mergeCell ref="B17:D17"/>
    <mergeCell ref="B19:D19"/>
    <mergeCell ref="B22:D22"/>
    <mergeCell ref="B26:D26"/>
  </mergeCells>
  <pageMargins left="0.7" right="0.7" top="0.78740157499999996" bottom="0.78740157499999996"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00CC"/>
  </sheetPr>
  <dimension ref="A1:BN482"/>
  <sheetViews>
    <sheetView zoomScaleNormal="100" workbookViewId="0"/>
  </sheetViews>
  <sheetFormatPr baseColWidth="10" defaultColWidth="11" defaultRowHeight="14.5" outlineLevelRow="1" x14ac:dyDescent="0.35"/>
  <cols>
    <col min="1" max="1" width="3.75" style="1" customWidth="1"/>
    <col min="2" max="2" width="47.5" style="1" customWidth="1"/>
    <col min="3" max="6" width="30.58203125" style="1" customWidth="1"/>
    <col min="7" max="7" width="30.58203125" style="38" customWidth="1"/>
    <col min="8" max="8" width="9.33203125" style="38" bestFit="1" customWidth="1"/>
    <col min="9" max="9" width="10.08203125" style="1" bestFit="1" customWidth="1"/>
    <col min="10" max="10" width="12.58203125" style="1" bestFit="1" customWidth="1"/>
    <col min="11" max="11" width="18.58203125" style="1" customWidth="1"/>
    <col min="12" max="24" width="5.58203125" style="1" customWidth="1"/>
    <col min="25" max="66" width="11" style="1"/>
    <col min="67" max="16384" width="11" style="9"/>
  </cols>
  <sheetData>
    <row r="1" spans="1:66" s="1" customFormat="1" x14ac:dyDescent="0.35">
      <c r="G1" s="38"/>
      <c r="H1" s="38"/>
    </row>
    <row r="2" spans="1:66" s="32" customFormat="1" ht="18.5" x14ac:dyDescent="0.45">
      <c r="B2" s="725" t="s">
        <v>5070</v>
      </c>
      <c r="C2" s="725"/>
      <c r="D2" s="725"/>
      <c r="E2" s="725"/>
      <c r="F2" s="725"/>
      <c r="G2" s="726"/>
      <c r="H2" s="726"/>
      <c r="I2" s="725"/>
      <c r="J2" s="725"/>
      <c r="K2" s="725"/>
      <c r="L2" s="725"/>
      <c r="N2" s="32" t="s">
        <v>4344</v>
      </c>
      <c r="AD2" s="32" t="s">
        <v>5313</v>
      </c>
    </row>
    <row r="3" spans="1:66" s="32" customFormat="1" ht="18.5" x14ac:dyDescent="0.45">
      <c r="B3" s="739" t="s">
        <v>5306</v>
      </c>
      <c r="C3" s="739"/>
      <c r="D3" s="739"/>
      <c r="E3" s="739"/>
      <c r="F3" s="739"/>
      <c r="G3" s="740"/>
      <c r="H3" s="740"/>
      <c r="I3" s="739"/>
      <c r="J3" s="739"/>
      <c r="K3" s="739"/>
      <c r="L3" s="739"/>
    </row>
    <row r="4" spans="1:66" s="39" customFormat="1" ht="20.149999999999999" customHeight="1" outlineLevel="1" x14ac:dyDescent="0.35">
      <c r="G4" s="18"/>
      <c r="H4" s="18"/>
    </row>
    <row r="5" spans="1:66" ht="29" outlineLevel="1" x14ac:dyDescent="0.35">
      <c r="A5" s="9"/>
      <c r="B5" s="299" t="s">
        <v>5032</v>
      </c>
      <c r="C5" s="301" t="s">
        <v>5074</v>
      </c>
      <c r="D5" s="301" t="s">
        <v>5080</v>
      </c>
      <c r="E5" s="301" t="s">
        <v>5100</v>
      </c>
      <c r="F5" s="301" t="s">
        <v>5290</v>
      </c>
      <c r="X5" s="9"/>
      <c r="BN5" s="9"/>
    </row>
    <row r="6" spans="1:66" s="3" customFormat="1" outlineLevel="1" x14ac:dyDescent="0.35">
      <c r="A6" s="2"/>
      <c r="B6" s="954">
        <f>'RH Gebäude'!B5</f>
        <v>0</v>
      </c>
      <c r="C6" s="685"/>
      <c r="D6" s="685"/>
      <c r="E6" s="685"/>
      <c r="F6" s="706">
        <f>SUM(C6:E6)</f>
        <v>0</v>
      </c>
      <c r="G6" s="2"/>
      <c r="H6" s="30"/>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row>
    <row r="7" spans="1:66" s="3" customFormat="1" outlineLevel="1" x14ac:dyDescent="0.35">
      <c r="A7" s="2"/>
      <c r="B7" s="954">
        <f>'RH Gebäude'!B6</f>
        <v>0</v>
      </c>
      <c r="C7" s="685"/>
      <c r="D7" s="685"/>
      <c r="E7" s="685"/>
      <c r="F7" s="706">
        <f t="shared" ref="F7:F21" si="0">SUM(C7:E7)</f>
        <v>0</v>
      </c>
      <c r="G7" s="2"/>
      <c r="H7" s="30"/>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row>
    <row r="8" spans="1:66" s="3" customFormat="1" outlineLevel="1" x14ac:dyDescent="0.35">
      <c r="A8" s="2"/>
      <c r="B8" s="954">
        <f>'RH Gebäude'!B7</f>
        <v>0</v>
      </c>
      <c r="C8" s="685"/>
      <c r="D8" s="685"/>
      <c r="E8" s="685"/>
      <c r="F8" s="706">
        <f t="shared" si="0"/>
        <v>0</v>
      </c>
      <c r="G8" s="2"/>
      <c r="H8" s="30"/>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row>
    <row r="9" spans="1:66" s="3" customFormat="1" outlineLevel="1" x14ac:dyDescent="0.35">
      <c r="A9" s="2"/>
      <c r="B9" s="954">
        <f>'RH Gebäude'!B8</f>
        <v>0</v>
      </c>
      <c r="C9" s="685"/>
      <c r="D9" s="685"/>
      <c r="E9" s="685"/>
      <c r="F9" s="706">
        <f t="shared" si="0"/>
        <v>0</v>
      </c>
      <c r="G9" s="2"/>
      <c r="H9" s="30"/>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row>
    <row r="10" spans="1:66" s="3" customFormat="1" outlineLevel="1" x14ac:dyDescent="0.35">
      <c r="A10" s="2"/>
      <c r="B10" s="954">
        <f>'RH Gebäude'!B9</f>
        <v>0</v>
      </c>
      <c r="C10" s="685"/>
      <c r="D10" s="685"/>
      <c r="E10" s="685"/>
      <c r="F10" s="706">
        <f t="shared" si="0"/>
        <v>0</v>
      </c>
      <c r="G10" s="2"/>
      <c r="H10" s="30"/>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row>
    <row r="11" spans="1:66" s="3" customFormat="1" outlineLevel="1" x14ac:dyDescent="0.35">
      <c r="A11" s="2"/>
      <c r="B11" s="954">
        <f>'RH Gebäude'!B10</f>
        <v>0</v>
      </c>
      <c r="C11" s="685"/>
      <c r="D11" s="685"/>
      <c r="E11" s="685"/>
      <c r="F11" s="706">
        <f t="shared" si="0"/>
        <v>0</v>
      </c>
      <c r="G11" s="2"/>
      <c r="H11" s="30"/>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row>
    <row r="12" spans="1:66" s="3" customFormat="1" outlineLevel="1" x14ac:dyDescent="0.35">
      <c r="A12" s="2"/>
      <c r="B12" s="954">
        <f>'RH Gebäude'!B11</f>
        <v>0</v>
      </c>
      <c r="C12" s="685"/>
      <c r="D12" s="685"/>
      <c r="E12" s="685"/>
      <c r="F12" s="706">
        <f t="shared" si="0"/>
        <v>0</v>
      </c>
      <c r="G12" s="2"/>
      <c r="H12" s="30"/>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row>
    <row r="13" spans="1:66" s="3" customFormat="1" outlineLevel="1" x14ac:dyDescent="0.35">
      <c r="A13" s="2"/>
      <c r="B13" s="954">
        <f>'RH Gebäude'!B12</f>
        <v>0</v>
      </c>
      <c r="C13" s="685"/>
      <c r="D13" s="685"/>
      <c r="E13" s="685"/>
      <c r="F13" s="706">
        <f t="shared" si="0"/>
        <v>0</v>
      </c>
      <c r="G13" s="2"/>
      <c r="H13" s="30"/>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row>
    <row r="14" spans="1:66" s="3" customFormat="1" outlineLevel="1" x14ac:dyDescent="0.35">
      <c r="A14" s="2"/>
      <c r="B14" s="954">
        <f>'RH Gebäude'!B13</f>
        <v>0</v>
      </c>
      <c r="C14" s="685"/>
      <c r="D14" s="685"/>
      <c r="E14" s="685"/>
      <c r="F14" s="706">
        <f t="shared" si="0"/>
        <v>0</v>
      </c>
      <c r="G14" s="2"/>
      <c r="H14" s="30"/>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row>
    <row r="15" spans="1:66" s="3" customFormat="1" outlineLevel="1" x14ac:dyDescent="0.35">
      <c r="A15" s="2"/>
      <c r="B15" s="954">
        <f>'RH Gebäude'!B14</f>
        <v>0</v>
      </c>
      <c r="C15" s="685"/>
      <c r="D15" s="685"/>
      <c r="E15" s="685"/>
      <c r="F15" s="706">
        <f t="shared" si="0"/>
        <v>0</v>
      </c>
      <c r="G15" s="2"/>
      <c r="H15" s="30"/>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row>
    <row r="16" spans="1:66" s="3" customFormat="1" outlineLevel="1" x14ac:dyDescent="0.35">
      <c r="A16" s="2"/>
      <c r="B16" s="954">
        <f>'RH Gebäude'!B15</f>
        <v>0</v>
      </c>
      <c r="C16" s="685"/>
      <c r="D16" s="685"/>
      <c r="E16" s="685"/>
      <c r="F16" s="706">
        <f t="shared" si="0"/>
        <v>0</v>
      </c>
      <c r="G16" s="2"/>
      <c r="H16" s="30"/>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row>
    <row r="17" spans="1:66" s="3" customFormat="1" outlineLevel="1" x14ac:dyDescent="0.35">
      <c r="A17" s="2"/>
      <c r="B17" s="954">
        <f>'RH Gebäude'!B16</f>
        <v>0</v>
      </c>
      <c r="C17" s="685"/>
      <c r="D17" s="685"/>
      <c r="E17" s="685"/>
      <c r="F17" s="706">
        <f t="shared" si="0"/>
        <v>0</v>
      </c>
      <c r="G17" s="2"/>
      <c r="H17" s="30"/>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row>
    <row r="18" spans="1:66" s="3" customFormat="1" outlineLevel="1" x14ac:dyDescent="0.35">
      <c r="A18" s="2"/>
      <c r="B18" s="954">
        <f>'RH Gebäude'!B17</f>
        <v>0</v>
      </c>
      <c r="C18" s="685"/>
      <c r="D18" s="685"/>
      <c r="E18" s="685"/>
      <c r="F18" s="706">
        <f t="shared" si="0"/>
        <v>0</v>
      </c>
      <c r="G18" s="2"/>
      <c r="H18" s="30"/>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row>
    <row r="19" spans="1:66" s="3" customFormat="1" outlineLevel="1" x14ac:dyDescent="0.35">
      <c r="A19" s="2"/>
      <c r="B19" s="954">
        <f>'RH Gebäude'!B18</f>
        <v>0</v>
      </c>
      <c r="C19" s="685"/>
      <c r="D19" s="685"/>
      <c r="E19" s="685"/>
      <c r="F19" s="706">
        <f t="shared" si="0"/>
        <v>0</v>
      </c>
      <c r="G19" s="2"/>
      <c r="H19" s="30"/>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row>
    <row r="20" spans="1:66" s="3" customFormat="1" outlineLevel="1" x14ac:dyDescent="0.35">
      <c r="A20" s="2"/>
      <c r="B20" s="954">
        <f>'RH Gebäude'!B19</f>
        <v>0</v>
      </c>
      <c r="C20" s="685"/>
      <c r="D20" s="685"/>
      <c r="E20" s="685"/>
      <c r="F20" s="706">
        <f t="shared" si="0"/>
        <v>0</v>
      </c>
      <c r="G20" s="2"/>
      <c r="H20" s="30"/>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row>
    <row r="21" spans="1:66" s="3" customFormat="1" ht="15" outlineLevel="1" thickBot="1" x14ac:dyDescent="0.4">
      <c r="A21" s="2"/>
      <c r="B21" s="988" t="s">
        <v>2085</v>
      </c>
      <c r="C21" s="998">
        <f>SUM(C6:C20)</f>
        <v>0</v>
      </c>
      <c r="D21" s="998">
        <f>SUM(D6:D20)</f>
        <v>0</v>
      </c>
      <c r="E21" s="998">
        <f>SUM(E6:E20)</f>
        <v>0</v>
      </c>
      <c r="F21" s="706">
        <f t="shared" si="0"/>
        <v>0</v>
      </c>
      <c r="G21" s="2"/>
      <c r="H21" s="30"/>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row>
    <row r="22" spans="1:66" s="3" customFormat="1" ht="15.5" outlineLevel="1" thickTop="1" thickBot="1" x14ac:dyDescent="0.4">
      <c r="A22" s="2"/>
      <c r="B22" s="997" t="s">
        <v>5303</v>
      </c>
      <c r="C22" s="999">
        <f>IFERROR(C21/$F$21,0)</f>
        <v>0</v>
      </c>
      <c r="D22" s="1000">
        <f t="shared" ref="D22:E22" si="1">IFERROR(D21/$F$21,0)</f>
        <v>0</v>
      </c>
      <c r="E22" s="1001">
        <f t="shared" si="1"/>
        <v>0</v>
      </c>
      <c r="F22" s="2"/>
      <c r="G22" s="30"/>
      <c r="H22" s="30"/>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row>
    <row r="23" spans="1:66" s="3" customFormat="1" ht="15" outlineLevel="1" thickTop="1" x14ac:dyDescent="0.35">
      <c r="A23" s="2"/>
      <c r="B23" s="2"/>
      <c r="C23" s="2"/>
      <c r="D23" s="2"/>
      <c r="E23" s="2"/>
      <c r="F23" s="2"/>
      <c r="G23" s="30"/>
      <c r="H23" s="30"/>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row>
    <row r="24" spans="1:66" s="3" customFormat="1" ht="29" outlineLevel="1" x14ac:dyDescent="0.35">
      <c r="A24" s="2"/>
      <c r="B24" s="727" t="s">
        <v>5071</v>
      </c>
      <c r="C24" s="727" t="s">
        <v>4735</v>
      </c>
      <c r="D24" s="984" t="s">
        <v>5288</v>
      </c>
      <c r="E24" s="301" t="s">
        <v>5290</v>
      </c>
      <c r="F24" s="2"/>
      <c r="G24" s="30"/>
      <c r="H24" s="30"/>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row>
    <row r="25" spans="1:66" s="3" customFormat="1" outlineLevel="1" x14ac:dyDescent="0.35">
      <c r="A25" s="2"/>
      <c r="B25" s="647" t="s">
        <v>5072</v>
      </c>
      <c r="C25" s="634"/>
      <c r="D25" s="716"/>
      <c r="E25" s="333">
        <f>D25*$F$21</f>
        <v>0</v>
      </c>
      <c r="F25" s="2"/>
      <c r="G25" s="30"/>
      <c r="H25" s="30"/>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row>
    <row r="26" spans="1:66" s="3" customFormat="1" outlineLevel="1" x14ac:dyDescent="0.35">
      <c r="B26" s="647" t="s">
        <v>5073</v>
      </c>
      <c r="C26" s="634"/>
      <c r="D26" s="716"/>
      <c r="E26" s="333">
        <f>D26*$F$21</f>
        <v>0</v>
      </c>
      <c r="F26" s="2"/>
      <c r="G26" s="30"/>
      <c r="H26" s="30"/>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row>
    <row r="27" spans="1:66" s="547" customFormat="1" outlineLevel="1" x14ac:dyDescent="0.35">
      <c r="A27" s="39"/>
      <c r="B27" s="647" t="s">
        <v>5076</v>
      </c>
      <c r="C27" s="634"/>
      <c r="D27" s="716"/>
      <c r="E27" s="333">
        <f>D27*$F$21</f>
        <v>0</v>
      </c>
      <c r="F27" s="39"/>
      <c r="G27" s="456"/>
      <c r="H27" s="18"/>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3" customFormat="1" outlineLevel="1" x14ac:dyDescent="0.35">
      <c r="A28" s="2"/>
      <c r="B28" s="730" t="s">
        <v>2085</v>
      </c>
      <c r="C28" s="337"/>
      <c r="D28" s="585">
        <f>SUM(D25:D27)</f>
        <v>0</v>
      </c>
      <c r="E28" s="413">
        <f>SUM(E25:E27)</f>
        <v>0</v>
      </c>
      <c r="F28" s="2"/>
      <c r="G28" s="30"/>
      <c r="H28" s="30"/>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row>
    <row r="29" spans="1:66" s="3" customFormat="1" outlineLevel="1" x14ac:dyDescent="0.35">
      <c r="A29" s="2"/>
      <c r="B29" s="364"/>
      <c r="C29" s="2"/>
      <c r="D29" s="983" t="s">
        <v>5287</v>
      </c>
      <c r="E29" s="528">
        <f>F21-E28</f>
        <v>0</v>
      </c>
      <c r="F29" s="2"/>
      <c r="G29" s="30"/>
      <c r="H29" s="30"/>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row>
    <row r="30" spans="1:66" s="3" customFormat="1" outlineLevel="1" x14ac:dyDescent="0.35">
      <c r="A30" s="2"/>
      <c r="B30" s="337" t="s">
        <v>5291</v>
      </c>
      <c r="C30" s="351" t="s">
        <v>4463</v>
      </c>
      <c r="D30" s="351" t="s">
        <v>5083</v>
      </c>
      <c r="E30" s="351" t="s">
        <v>4707</v>
      </c>
      <c r="F30" s="351" t="s">
        <v>5084</v>
      </c>
      <c r="G30" s="2"/>
      <c r="H30" s="708" t="s">
        <v>5302</v>
      </c>
      <c r="I30" s="351" t="s">
        <v>5300</v>
      </c>
      <c r="J30" s="351" t="s">
        <v>5083</v>
      </c>
      <c r="K30" s="351" t="s">
        <v>5301</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row>
    <row r="31" spans="1:66" s="3" customFormat="1" ht="29" outlineLevel="1" x14ac:dyDescent="0.35">
      <c r="A31" s="2"/>
      <c r="B31" s="1005" t="s">
        <v>5309</v>
      </c>
      <c r="C31" s="733">
        <v>3.5</v>
      </c>
      <c r="D31" s="733">
        <v>3</v>
      </c>
      <c r="E31" s="733">
        <v>2.5</v>
      </c>
      <c r="F31" s="733">
        <v>1</v>
      </c>
      <c r="G31" s="2"/>
      <c r="H31" s="695" t="s">
        <v>5298</v>
      </c>
      <c r="I31" s="684">
        <v>4.0999999999999996</v>
      </c>
      <c r="J31" s="684">
        <v>3.9</v>
      </c>
      <c r="K31" s="684">
        <v>3.3</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row>
    <row r="32" spans="1:66" s="3" customFormat="1" ht="29" outlineLevel="1" x14ac:dyDescent="0.35">
      <c r="A32" s="2"/>
      <c r="B32" s="1005" t="s">
        <v>5081</v>
      </c>
      <c r="C32" s="734"/>
      <c r="D32" s="734"/>
      <c r="E32" s="734"/>
      <c r="F32" s="734"/>
      <c r="G32" s="2"/>
      <c r="H32" s="695" t="s">
        <v>5299</v>
      </c>
      <c r="I32" s="684">
        <v>2.2000000000000002</v>
      </c>
      <c r="J32" s="684">
        <v>2</v>
      </c>
      <c r="K32" s="684">
        <v>1.8</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row>
    <row r="33" spans="1:66" s="3" customFormat="1" outlineLevel="1" x14ac:dyDescent="0.35">
      <c r="A33" s="2"/>
      <c r="B33" s="651" t="s">
        <v>5078</v>
      </c>
      <c r="C33" s="735"/>
      <c r="D33" s="735"/>
      <c r="E33" s="735"/>
      <c r="F33" s="735"/>
      <c r="G33" s="2"/>
      <c r="H33" s="30"/>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row>
    <row r="34" spans="1:66" s="3" customFormat="1" ht="29" outlineLevel="1" x14ac:dyDescent="0.35">
      <c r="A34" s="2"/>
      <c r="B34" s="651" t="s">
        <v>5244</v>
      </c>
      <c r="C34" s="735"/>
      <c r="D34" s="735"/>
      <c r="E34" s="735"/>
      <c r="F34" s="735"/>
      <c r="G34" s="2"/>
      <c r="H34" s="30"/>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row>
    <row r="35" spans="1:66" s="3" customFormat="1" outlineLevel="1" x14ac:dyDescent="0.35">
      <c r="A35" s="2"/>
      <c r="B35" s="651" t="s">
        <v>5075</v>
      </c>
      <c r="C35" s="736" t="s">
        <v>2048</v>
      </c>
      <c r="D35" s="736" t="s">
        <v>2048</v>
      </c>
      <c r="E35" s="736" t="s">
        <v>2048</v>
      </c>
      <c r="F35" s="736" t="s">
        <v>2048</v>
      </c>
      <c r="G35" s="2"/>
      <c r="H35" s="30"/>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row>
    <row r="36" spans="1:66" s="3" customFormat="1" outlineLevel="1" x14ac:dyDescent="0.35">
      <c r="A36" s="2"/>
      <c r="B36" s="715"/>
      <c r="C36" s="717"/>
      <c r="D36" s="2"/>
      <c r="E36" s="2"/>
      <c r="F36" s="30"/>
      <c r="H36" s="1148">
        <f>Qualitätsprüfung!G1206</f>
        <v>1</v>
      </c>
      <c r="I36" s="527">
        <v>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6" s="3" customFormat="1" ht="29.5" outlineLevel="1" thickBot="1" x14ac:dyDescent="0.4">
      <c r="A37" s="2"/>
      <c r="B37" s="511" t="s">
        <v>4735</v>
      </c>
      <c r="C37" s="980" t="s">
        <v>5286</v>
      </c>
      <c r="D37" s="301" t="s">
        <v>5289</v>
      </c>
      <c r="E37" s="510" t="s">
        <v>4700</v>
      </c>
      <c r="F37" s="737" t="s">
        <v>4372</v>
      </c>
      <c r="G37" s="609" t="s">
        <v>4372</v>
      </c>
      <c r="H37" s="609" t="s">
        <v>5115</v>
      </c>
      <c r="I37" s="609" t="s">
        <v>5238</v>
      </c>
      <c r="J37" s="508" t="s">
        <v>39</v>
      </c>
      <c r="K37" s="512" t="s">
        <v>4583</v>
      </c>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row>
    <row r="38" spans="1:66" s="3" customFormat="1" ht="15" outlineLevel="1" thickTop="1" x14ac:dyDescent="0.35">
      <c r="A38" s="2"/>
      <c r="B38" s="990" t="s">
        <v>4702</v>
      </c>
      <c r="C38" s="993">
        <f>SUMIFS($E$25:$E$27,$C$25:$C$27,B38)</f>
        <v>0</v>
      </c>
      <c r="D38" s="992" t="e">
        <f>C38/$C$51</f>
        <v>#DIV/0!</v>
      </c>
      <c r="E38" s="741" t="s">
        <v>5086</v>
      </c>
      <c r="F38" s="294"/>
      <c r="G38" s="338">
        <f>F38</f>
        <v>0</v>
      </c>
      <c r="H38" s="338">
        <v>50</v>
      </c>
      <c r="I38" s="338">
        <v>100</v>
      </c>
      <c r="J38" s="649" t="str">
        <f>IF(G38&gt;0,(TREND($H$36:$I$36,H38:I38,G38,1)*D38),"")</f>
        <v/>
      </c>
      <c r="K38" s="21"/>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row>
    <row r="39" spans="1:66" s="3" customFormat="1" outlineLevel="1" x14ac:dyDescent="0.35">
      <c r="A39" s="2"/>
      <c r="B39" s="990" t="s">
        <v>4703</v>
      </c>
      <c r="C39" s="994">
        <f t="shared" ref="C39:C50" si="2">SUMIFS($E$25:$E$27,$C$25:$C$27,B39)</f>
        <v>0</v>
      </c>
      <c r="D39" s="992" t="e">
        <f t="shared" ref="D39:D50" si="3">C39/$C$51</f>
        <v>#DIV/0!</v>
      </c>
      <c r="E39" s="742" t="s">
        <v>5087</v>
      </c>
      <c r="F39" s="344"/>
      <c r="G39" s="719">
        <f t="shared" ref="G39:G40" si="4">F39</f>
        <v>0</v>
      </c>
      <c r="H39" s="719">
        <v>450</v>
      </c>
      <c r="I39" s="719">
        <v>350</v>
      </c>
      <c r="J39" s="649" t="str">
        <f t="shared" ref="J39:J50" si="5">IF(G39&gt;0,(TREND($H$36:$I$36,H39:I39,G39,1)*D39),"")</f>
        <v/>
      </c>
      <c r="K39" s="21"/>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row>
    <row r="40" spans="1:66" s="3" customFormat="1" outlineLevel="1" x14ac:dyDescent="0.35">
      <c r="A40" s="2"/>
      <c r="B40" s="990" t="s">
        <v>4462</v>
      </c>
      <c r="C40" s="994">
        <f t="shared" si="2"/>
        <v>0</v>
      </c>
      <c r="D40" s="992" t="e">
        <f t="shared" si="3"/>
        <v>#DIV/0!</v>
      </c>
      <c r="E40" s="741" t="s">
        <v>5088</v>
      </c>
      <c r="F40" s="294"/>
      <c r="G40" s="719">
        <f t="shared" si="4"/>
        <v>0</v>
      </c>
      <c r="H40" s="719">
        <v>30</v>
      </c>
      <c r="I40" s="719">
        <v>15</v>
      </c>
      <c r="J40" s="649" t="str">
        <f t="shared" si="5"/>
        <v/>
      </c>
      <c r="K40" s="21"/>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row>
    <row r="41" spans="1:66" s="3" customFormat="1" ht="29" outlineLevel="1" x14ac:dyDescent="0.35">
      <c r="A41" s="2"/>
      <c r="B41" s="990" t="s">
        <v>4704</v>
      </c>
      <c r="C41" s="994">
        <f>SUMIFS($E$25:$E$27,$C$25:$C$27,B41)-(SUMIFS($E$25:$E$27,$C$25:$C$27,B41)/$C$31)</f>
        <v>0</v>
      </c>
      <c r="D41" s="992" t="e">
        <f t="shared" si="3"/>
        <v>#DIV/0!</v>
      </c>
      <c r="E41" s="709" t="s">
        <v>4943</v>
      </c>
      <c r="F41" s="736" t="s">
        <v>2048</v>
      </c>
      <c r="G41" s="338">
        <f>IF(F41="Ja",1,0)</f>
        <v>0</v>
      </c>
      <c r="H41" s="338">
        <v>1</v>
      </c>
      <c r="I41" s="338">
        <v>0</v>
      </c>
      <c r="J41" s="649" t="str">
        <f t="shared" si="5"/>
        <v/>
      </c>
      <c r="K41" s="21"/>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row>
    <row r="42" spans="1:66" s="3" customFormat="1" ht="29" outlineLevel="1" x14ac:dyDescent="0.35">
      <c r="A42" s="2"/>
      <c r="B42" s="991" t="s">
        <v>4705</v>
      </c>
      <c r="C42" s="994">
        <f>SUMIFS($E$25:$E$27,$C$25:$C$27,B41)/$C$31</f>
        <v>0</v>
      </c>
      <c r="D42" s="992" t="e">
        <f t="shared" si="3"/>
        <v>#DIV/0!</v>
      </c>
      <c r="E42" s="738" t="s">
        <v>5091</v>
      </c>
      <c r="F42" s="985" t="s">
        <v>5090</v>
      </c>
      <c r="G42" s="581">
        <f>IF(AND($C$33=1,$C$35="ja"),1,(($C$33*$C$34*0.7)+($C$33*(1-$C$34)*0.3)))</f>
        <v>0</v>
      </c>
      <c r="H42" s="581">
        <v>1</v>
      </c>
      <c r="I42" s="581">
        <v>0</v>
      </c>
      <c r="J42" s="649" t="str">
        <f t="shared" si="5"/>
        <v/>
      </c>
      <c r="K42" s="21"/>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row>
    <row r="43" spans="1:66" s="3" customFormat="1" ht="29" outlineLevel="1" x14ac:dyDescent="0.35">
      <c r="A43" s="2"/>
      <c r="B43" s="990" t="s">
        <v>4706</v>
      </c>
      <c r="C43" s="994">
        <f>SUMIFS($E$25:$E$27,$C$25:$C$27,B43)-(SUMIFS($E$25:$E$27,$C$25:$C$27,B43)/$D$31)</f>
        <v>0</v>
      </c>
      <c r="D43" s="992" t="e">
        <f t="shared" si="3"/>
        <v>#DIV/0!</v>
      </c>
      <c r="E43" s="743" t="s">
        <v>4944</v>
      </c>
      <c r="F43" s="736" t="s">
        <v>2048</v>
      </c>
      <c r="G43" s="338">
        <f>IF(F43="Ja",1,0)</f>
        <v>0</v>
      </c>
      <c r="H43" s="338">
        <v>1</v>
      </c>
      <c r="I43" s="338">
        <v>0</v>
      </c>
      <c r="J43" s="649" t="str">
        <f t="shared" si="5"/>
        <v/>
      </c>
      <c r="K43" s="21"/>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row>
    <row r="44" spans="1:66" s="3" customFormat="1" ht="29" outlineLevel="1" x14ac:dyDescent="0.35">
      <c r="A44" s="2"/>
      <c r="B44" s="991" t="s">
        <v>4705</v>
      </c>
      <c r="C44" s="994">
        <f>SUMIFS($E$25:$E$27,$C$25:$C$27,B43)/$D$31</f>
        <v>0</v>
      </c>
      <c r="D44" s="992" t="e">
        <f t="shared" si="3"/>
        <v>#DIV/0!</v>
      </c>
      <c r="E44" s="738" t="s">
        <v>5091</v>
      </c>
      <c r="F44" s="985" t="s">
        <v>5090</v>
      </c>
      <c r="G44" s="581">
        <f>IF(AND($D$33=1,$D$35="ja"),1,(($D$33*$D$34*0.7)+($D$33*(1-$D$34)*0.3)))</f>
        <v>0</v>
      </c>
      <c r="H44" s="581">
        <v>1</v>
      </c>
      <c r="I44" s="581">
        <v>0</v>
      </c>
      <c r="J44" s="649" t="str">
        <f t="shared" si="5"/>
        <v/>
      </c>
      <c r="K44" s="21"/>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row>
    <row r="45" spans="1:66" s="3" customFormat="1" outlineLevel="1" x14ac:dyDescent="0.35">
      <c r="A45" s="2"/>
      <c r="B45" s="990" t="s">
        <v>4707</v>
      </c>
      <c r="C45" s="994">
        <f>SUMIFS($E$25:$E$27,$C$25:$C$27,B45)-(SUMIFS($E$25:$E$27,$C$25:$C$27,B45)/$E$31)</f>
        <v>0</v>
      </c>
      <c r="D45" s="992" t="e">
        <f t="shared" si="3"/>
        <v>#DIV/0!</v>
      </c>
      <c r="E45" s="743" t="s">
        <v>4708</v>
      </c>
      <c r="F45" s="736" t="s">
        <v>2048</v>
      </c>
      <c r="G45" s="338">
        <f>IF(F45="Ja",1,0)</f>
        <v>0</v>
      </c>
      <c r="H45" s="338">
        <v>1</v>
      </c>
      <c r="I45" s="338">
        <v>0</v>
      </c>
      <c r="J45" s="649" t="str">
        <f t="shared" si="5"/>
        <v/>
      </c>
      <c r="K45" s="21"/>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row>
    <row r="46" spans="1:66" s="3" customFormat="1" ht="29" outlineLevel="1" x14ac:dyDescent="0.35">
      <c r="A46" s="2"/>
      <c r="B46" s="991" t="s">
        <v>4705</v>
      </c>
      <c r="C46" s="994">
        <f>SUMIFS($E$25:$E$27,$C$25:$C$27,B45)/$E$31</f>
        <v>0</v>
      </c>
      <c r="D46" s="992" t="e">
        <f t="shared" si="3"/>
        <v>#DIV/0!</v>
      </c>
      <c r="E46" s="738" t="s">
        <v>5091</v>
      </c>
      <c r="F46" s="985" t="s">
        <v>5090</v>
      </c>
      <c r="G46" s="581">
        <f>IF(AND($E$33=1,$E$35="ja"),1,(($E$33*$E$34*0.7)+($E$33*(1-$E$34)*0.3)))</f>
        <v>0</v>
      </c>
      <c r="H46" s="581">
        <v>1</v>
      </c>
      <c r="I46" s="581">
        <v>0</v>
      </c>
      <c r="J46" s="649" t="str">
        <f t="shared" si="5"/>
        <v/>
      </c>
      <c r="K46" s="21"/>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row>
    <row r="47" spans="1:66" s="3" customFormat="1" ht="43.5" outlineLevel="1" x14ac:dyDescent="0.35">
      <c r="A47" s="2"/>
      <c r="B47" s="990" t="s">
        <v>4709</v>
      </c>
      <c r="C47" s="994">
        <f t="shared" si="2"/>
        <v>0</v>
      </c>
      <c r="D47" s="992" t="e">
        <f t="shared" si="3"/>
        <v>#DIV/0!</v>
      </c>
      <c r="E47" s="738" t="s">
        <v>5235</v>
      </c>
      <c r="F47" s="736" t="s">
        <v>2048</v>
      </c>
      <c r="G47" s="338">
        <f>IF(F47="Ja",1,0)</f>
        <v>0</v>
      </c>
      <c r="H47" s="338">
        <v>1</v>
      </c>
      <c r="I47" s="338">
        <v>0</v>
      </c>
      <c r="J47" s="649" t="str">
        <f t="shared" si="5"/>
        <v/>
      </c>
      <c r="K47" s="21"/>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row>
    <row r="48" spans="1:66" s="3" customFormat="1" outlineLevel="1" x14ac:dyDescent="0.35">
      <c r="A48" s="2"/>
      <c r="B48" s="990" t="s">
        <v>4710</v>
      </c>
      <c r="C48" s="994">
        <f t="shared" si="2"/>
        <v>0</v>
      </c>
      <c r="D48" s="992" t="e">
        <f t="shared" si="3"/>
        <v>#DIV/0!</v>
      </c>
      <c r="E48" s="744" t="s">
        <v>4701</v>
      </c>
      <c r="F48" s="985" t="s">
        <v>4701</v>
      </c>
      <c r="G48" s="720">
        <v>0</v>
      </c>
      <c r="H48" s="720" t="s">
        <v>4711</v>
      </c>
      <c r="I48" s="720" t="s">
        <v>4701</v>
      </c>
      <c r="J48" s="649" t="str">
        <f t="shared" si="5"/>
        <v/>
      </c>
      <c r="K48" s="21"/>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row>
    <row r="49" spans="1:65" s="3" customFormat="1" ht="29" outlineLevel="1" x14ac:dyDescent="0.35">
      <c r="A49" s="2"/>
      <c r="B49" s="990" t="s">
        <v>4712</v>
      </c>
      <c r="C49" s="994">
        <f t="shared" si="2"/>
        <v>0</v>
      </c>
      <c r="D49" s="992" t="e">
        <f t="shared" si="3"/>
        <v>#DIV/0!</v>
      </c>
      <c r="E49" s="738" t="s">
        <v>5091</v>
      </c>
      <c r="F49" s="985" t="s">
        <v>5090</v>
      </c>
      <c r="G49" s="581">
        <f>IF(AND($F$33=1,$F$35="ja"),1,(($F$33*$F$34*0.7)+($F$33*(1-$F$34)*0.3)))</f>
        <v>0</v>
      </c>
      <c r="H49" s="581">
        <v>1</v>
      </c>
      <c r="I49" s="581">
        <v>0</v>
      </c>
      <c r="J49" s="649" t="str">
        <f t="shared" si="5"/>
        <v/>
      </c>
      <c r="K49" s="21"/>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row>
    <row r="50" spans="1:65" s="3" customFormat="1" ht="29.5" outlineLevel="1" thickBot="1" x14ac:dyDescent="0.4">
      <c r="A50" s="2"/>
      <c r="B50" s="990" t="s">
        <v>5082</v>
      </c>
      <c r="C50" s="996">
        <f t="shared" si="2"/>
        <v>0</v>
      </c>
      <c r="D50" s="992" t="e">
        <f t="shared" si="3"/>
        <v>#DIV/0!</v>
      </c>
      <c r="E50" s="741" t="s">
        <v>5085</v>
      </c>
      <c r="F50" s="736" t="s">
        <v>2048</v>
      </c>
      <c r="G50" s="338">
        <f>IF(F50="Ja",1,0)</f>
        <v>0</v>
      </c>
      <c r="H50" s="338">
        <v>1</v>
      </c>
      <c r="I50" s="338">
        <v>0</v>
      </c>
      <c r="J50" s="649" t="str">
        <f t="shared" si="5"/>
        <v/>
      </c>
      <c r="K50" s="21"/>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row>
    <row r="51" spans="1:65" s="3" customFormat="1" ht="15" outlineLevel="1" thickTop="1" x14ac:dyDescent="0.35">
      <c r="A51" s="2"/>
      <c r="B51" s="731" t="s">
        <v>2085</v>
      </c>
      <c r="C51" s="995">
        <f>SUM(C38:C50)</f>
        <v>0</v>
      </c>
      <c r="D51" s="732" t="e">
        <f>SUM(D38:D50)</f>
        <v>#DIV/0!</v>
      </c>
      <c r="E51" s="705"/>
      <c r="F51" s="986"/>
      <c r="G51" s="504"/>
      <c r="H51" s="504"/>
      <c r="I51" s="504"/>
      <c r="J51" s="339">
        <f>SUM(J38:J50)</f>
        <v>0</v>
      </c>
      <c r="K51" s="708"/>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row>
    <row r="52" spans="1:65" s="2" customFormat="1" x14ac:dyDescent="0.35">
      <c r="B52" s="718"/>
      <c r="C52" s="507"/>
      <c r="D52" s="723"/>
      <c r="E52" s="714"/>
      <c r="F52" s="710"/>
      <c r="G52" s="354"/>
      <c r="H52" s="354"/>
      <c r="I52" s="25"/>
    </row>
    <row r="53" spans="1:65" s="2" customFormat="1" ht="18.5" x14ac:dyDescent="0.45">
      <c r="B53" s="739" t="s">
        <v>5307</v>
      </c>
      <c r="C53" s="739"/>
      <c r="D53" s="739"/>
      <c r="E53" s="739"/>
      <c r="F53" s="739"/>
      <c r="G53" s="740"/>
      <c r="H53" s="740"/>
      <c r="I53" s="739"/>
      <c r="J53" s="739"/>
      <c r="K53" s="739"/>
      <c r="L53" s="739"/>
    </row>
    <row r="54" spans="1:65" s="2" customFormat="1" ht="18.5" outlineLevel="1" x14ac:dyDescent="0.45">
      <c r="B54" s="32"/>
      <c r="C54" s="32"/>
      <c r="D54" s="32"/>
      <c r="E54" s="32"/>
      <c r="F54" s="32"/>
      <c r="G54" s="707"/>
      <c r="H54" s="707"/>
      <c r="I54" s="32"/>
      <c r="J54" s="32"/>
      <c r="K54" s="32"/>
      <c r="L54" s="32"/>
    </row>
    <row r="55" spans="1:65" s="2" customFormat="1" ht="29" outlineLevel="1" x14ac:dyDescent="0.35">
      <c r="B55" s="299" t="s">
        <v>5032</v>
      </c>
      <c r="C55" s="301" t="s">
        <v>5315</v>
      </c>
      <c r="D55" s="723"/>
      <c r="E55" s="714"/>
      <c r="F55" s="710"/>
      <c r="G55" s="345"/>
      <c r="H55" s="354"/>
      <c r="I55" s="711"/>
      <c r="J55" s="25"/>
    </row>
    <row r="56" spans="1:65" s="2" customFormat="1" outlineLevel="1" x14ac:dyDescent="0.35">
      <c r="B56" s="954">
        <f t="shared" ref="B56:B70" si="6">B6</f>
        <v>0</v>
      </c>
      <c r="C56" s="685"/>
      <c r="D56" s="723"/>
      <c r="E56" s="714"/>
      <c r="F56" s="710"/>
      <c r="G56" s="345"/>
      <c r="H56" s="354"/>
      <c r="I56" s="711"/>
      <c r="J56" s="25"/>
    </row>
    <row r="57" spans="1:65" s="2" customFormat="1" outlineLevel="1" x14ac:dyDescent="0.35">
      <c r="B57" s="954">
        <f t="shared" si="6"/>
        <v>0</v>
      </c>
      <c r="C57" s="685"/>
      <c r="D57" s="723"/>
      <c r="E57" s="714"/>
      <c r="F57" s="710"/>
      <c r="G57" s="345"/>
      <c r="H57" s="354"/>
      <c r="I57" s="711"/>
      <c r="J57" s="25"/>
    </row>
    <row r="58" spans="1:65" s="2" customFormat="1" outlineLevel="1" x14ac:dyDescent="0.35">
      <c r="B58" s="954">
        <f t="shared" si="6"/>
        <v>0</v>
      </c>
      <c r="C58" s="685"/>
      <c r="D58" s="723"/>
      <c r="E58" s="714"/>
      <c r="F58" s="710"/>
      <c r="G58" s="345"/>
      <c r="H58" s="354"/>
      <c r="I58" s="711"/>
      <c r="J58" s="25"/>
    </row>
    <row r="59" spans="1:65" s="2" customFormat="1" outlineLevel="1" x14ac:dyDescent="0.35">
      <c r="B59" s="954">
        <f t="shared" si="6"/>
        <v>0</v>
      </c>
      <c r="C59" s="685"/>
      <c r="D59" s="723"/>
      <c r="E59" s="714"/>
      <c r="F59" s="710"/>
      <c r="G59" s="345"/>
      <c r="H59" s="354"/>
      <c r="I59" s="711"/>
      <c r="J59" s="25"/>
    </row>
    <row r="60" spans="1:65" s="2" customFormat="1" outlineLevel="1" x14ac:dyDescent="0.35">
      <c r="B60" s="954">
        <f t="shared" si="6"/>
        <v>0</v>
      </c>
      <c r="C60" s="685"/>
      <c r="D60" s="723"/>
      <c r="E60" s="714"/>
      <c r="F60" s="710"/>
      <c r="G60" s="345"/>
      <c r="H60" s="354"/>
      <c r="I60" s="711"/>
      <c r="J60" s="25"/>
    </row>
    <row r="61" spans="1:65" s="2" customFormat="1" outlineLevel="1" x14ac:dyDescent="0.35">
      <c r="B61" s="954">
        <f t="shared" si="6"/>
        <v>0</v>
      </c>
      <c r="C61" s="685"/>
      <c r="D61" s="723"/>
      <c r="E61" s="714"/>
      <c r="F61" s="710"/>
      <c r="G61" s="345"/>
      <c r="H61" s="354"/>
      <c r="I61" s="711"/>
      <c r="J61" s="25"/>
    </row>
    <row r="62" spans="1:65" s="2" customFormat="1" outlineLevel="1" x14ac:dyDescent="0.35">
      <c r="B62" s="954">
        <f t="shared" si="6"/>
        <v>0</v>
      </c>
      <c r="C62" s="685"/>
      <c r="D62" s="723"/>
      <c r="E62" s="714"/>
      <c r="F62" s="710"/>
      <c r="G62" s="345"/>
      <c r="H62" s="354"/>
      <c r="I62" s="711"/>
      <c r="J62" s="25"/>
    </row>
    <row r="63" spans="1:65" s="2" customFormat="1" outlineLevel="1" x14ac:dyDescent="0.35">
      <c r="B63" s="954">
        <f t="shared" si="6"/>
        <v>0</v>
      </c>
      <c r="C63" s="685"/>
      <c r="D63" s="723"/>
      <c r="E63" s="714"/>
      <c r="F63" s="710"/>
      <c r="G63" s="345"/>
      <c r="H63" s="354"/>
      <c r="I63" s="711"/>
      <c r="J63" s="25"/>
    </row>
    <row r="64" spans="1:65" s="2" customFormat="1" outlineLevel="1" x14ac:dyDescent="0.35">
      <c r="B64" s="954">
        <f t="shared" si="6"/>
        <v>0</v>
      </c>
      <c r="C64" s="685"/>
      <c r="D64" s="723"/>
      <c r="E64" s="714"/>
      <c r="F64" s="710"/>
      <c r="G64" s="345"/>
      <c r="H64" s="354"/>
      <c r="I64" s="711"/>
      <c r="J64" s="25"/>
    </row>
    <row r="65" spans="2:10" s="2" customFormat="1" outlineLevel="1" x14ac:dyDescent="0.35">
      <c r="B65" s="954">
        <f t="shared" si="6"/>
        <v>0</v>
      </c>
      <c r="C65" s="685"/>
      <c r="D65" s="723"/>
      <c r="E65" s="714"/>
      <c r="F65" s="710"/>
      <c r="G65" s="345"/>
      <c r="H65" s="354"/>
      <c r="I65" s="711"/>
      <c r="J65" s="25"/>
    </row>
    <row r="66" spans="2:10" s="2" customFormat="1" outlineLevel="1" x14ac:dyDescent="0.35">
      <c r="B66" s="954">
        <f t="shared" si="6"/>
        <v>0</v>
      </c>
      <c r="C66" s="685"/>
      <c r="D66" s="723"/>
      <c r="E66" s="714"/>
      <c r="F66" s="710"/>
      <c r="G66" s="345"/>
      <c r="H66" s="354"/>
      <c r="I66" s="711"/>
      <c r="J66" s="25"/>
    </row>
    <row r="67" spans="2:10" s="2" customFormat="1" outlineLevel="1" x14ac:dyDescent="0.35">
      <c r="B67" s="954">
        <f t="shared" si="6"/>
        <v>0</v>
      </c>
      <c r="C67" s="685"/>
      <c r="D67" s="723"/>
      <c r="E67" s="714"/>
      <c r="F67" s="710"/>
      <c r="G67" s="345"/>
      <c r="H67" s="354"/>
      <c r="I67" s="711"/>
      <c r="J67" s="25"/>
    </row>
    <row r="68" spans="2:10" s="2" customFormat="1" outlineLevel="1" x14ac:dyDescent="0.35">
      <c r="B68" s="954">
        <f t="shared" si="6"/>
        <v>0</v>
      </c>
      <c r="C68" s="685"/>
      <c r="D68" s="723"/>
      <c r="E68" s="714"/>
      <c r="F68" s="710"/>
      <c r="G68" s="345"/>
      <c r="H68" s="354"/>
      <c r="I68" s="711"/>
      <c r="J68" s="25"/>
    </row>
    <row r="69" spans="2:10" s="2" customFormat="1" outlineLevel="1" x14ac:dyDescent="0.35">
      <c r="B69" s="954">
        <f t="shared" si="6"/>
        <v>0</v>
      </c>
      <c r="C69" s="685"/>
      <c r="D69" s="723"/>
      <c r="E69" s="714"/>
      <c r="F69" s="710"/>
      <c r="G69" s="345"/>
      <c r="H69" s="354"/>
      <c r="I69" s="711"/>
      <c r="J69" s="25"/>
    </row>
    <row r="70" spans="2:10" s="2" customFormat="1" outlineLevel="1" x14ac:dyDescent="0.35">
      <c r="B70" s="954">
        <f t="shared" si="6"/>
        <v>0</v>
      </c>
      <c r="C70" s="685"/>
      <c r="D70" s="723"/>
      <c r="E70" s="714"/>
      <c r="F70" s="710"/>
      <c r="G70" s="345"/>
      <c r="H70" s="354"/>
      <c r="I70" s="711"/>
      <c r="J70" s="25"/>
    </row>
    <row r="71" spans="2:10" s="2" customFormat="1" outlineLevel="1" x14ac:dyDescent="0.35">
      <c r="B71" s="729" t="s">
        <v>2085</v>
      </c>
      <c r="C71" s="706">
        <f>SUM(C56:C70)</f>
        <v>0</v>
      </c>
      <c r="D71" s="723"/>
      <c r="E71" s="714"/>
      <c r="F71" s="710"/>
      <c r="G71" s="345"/>
      <c r="H71" s="354"/>
      <c r="I71" s="711"/>
      <c r="J71" s="25"/>
    </row>
    <row r="72" spans="2:10" s="2" customFormat="1" outlineLevel="1" x14ac:dyDescent="0.35">
      <c r="B72" s="718"/>
      <c r="C72" s="507"/>
      <c r="D72" s="723"/>
      <c r="E72" s="714"/>
      <c r="F72" s="710"/>
      <c r="G72" s="345"/>
      <c r="H72" s="354"/>
      <c r="I72" s="711"/>
      <c r="J72" s="25"/>
    </row>
    <row r="73" spans="2:10" s="2" customFormat="1" ht="29" outlineLevel="1" x14ac:dyDescent="0.35">
      <c r="B73" s="727" t="s">
        <v>5092</v>
      </c>
      <c r="C73" s="727" t="s">
        <v>4735</v>
      </c>
      <c r="D73" s="984" t="s">
        <v>5316</v>
      </c>
      <c r="E73" s="301" t="s">
        <v>5315</v>
      </c>
      <c r="F73" s="710"/>
      <c r="G73" s="345"/>
      <c r="H73" s="354"/>
      <c r="I73" s="711"/>
      <c r="J73" s="25"/>
    </row>
    <row r="74" spans="2:10" s="2" customFormat="1" outlineLevel="1" x14ac:dyDescent="0.35">
      <c r="B74" s="647" t="s">
        <v>5093</v>
      </c>
      <c r="C74" s="634"/>
      <c r="D74" s="716"/>
      <c r="E74" s="333">
        <f>D74*$C$71</f>
        <v>0</v>
      </c>
      <c r="F74" s="710"/>
      <c r="G74" s="345"/>
      <c r="H74" s="354"/>
      <c r="I74" s="711"/>
      <c r="J74" s="25"/>
    </row>
    <row r="75" spans="2:10" s="2" customFormat="1" outlineLevel="1" x14ac:dyDescent="0.35">
      <c r="B75" s="647" t="s">
        <v>5094</v>
      </c>
      <c r="C75" s="634"/>
      <c r="D75" s="716"/>
      <c r="E75" s="333">
        <f t="shared" ref="E75:E76" si="7">D75*$C$71</f>
        <v>0</v>
      </c>
      <c r="F75" s="710"/>
      <c r="G75" s="345"/>
      <c r="H75" s="354"/>
      <c r="I75" s="711"/>
      <c r="J75" s="25"/>
    </row>
    <row r="76" spans="2:10" s="2" customFormat="1" outlineLevel="1" x14ac:dyDescent="0.35">
      <c r="B76" s="647" t="s">
        <v>5095</v>
      </c>
      <c r="C76" s="634"/>
      <c r="D76" s="716"/>
      <c r="E76" s="333">
        <f t="shared" si="7"/>
        <v>0</v>
      </c>
      <c r="F76" s="710"/>
      <c r="G76" s="345"/>
      <c r="H76" s="354"/>
      <c r="I76" s="711"/>
      <c r="J76" s="25"/>
    </row>
    <row r="77" spans="2:10" s="2" customFormat="1" outlineLevel="1" x14ac:dyDescent="0.35">
      <c r="B77" s="730" t="s">
        <v>2085</v>
      </c>
      <c r="C77" s="337"/>
      <c r="D77" s="585">
        <f>SUM(D74:D76)</f>
        <v>0</v>
      </c>
      <c r="E77" s="413">
        <f>SUM(E74:E76)</f>
        <v>0</v>
      </c>
      <c r="F77" s="710"/>
      <c r="G77" s="345"/>
      <c r="H77" s="354"/>
      <c r="I77" s="711"/>
      <c r="J77" s="25"/>
    </row>
    <row r="78" spans="2:10" s="2" customFormat="1" outlineLevel="1" x14ac:dyDescent="0.35">
      <c r="B78" s="718"/>
      <c r="C78" s="507"/>
      <c r="D78" s="987" t="s">
        <v>5287</v>
      </c>
      <c r="E78" s="355">
        <f>C71-E77</f>
        <v>0</v>
      </c>
      <c r="F78" s="710"/>
      <c r="G78" s="345"/>
      <c r="H78" s="354"/>
      <c r="I78" s="711"/>
      <c r="J78" s="25"/>
    </row>
    <row r="79" spans="2:10" s="2" customFormat="1" outlineLevel="1" x14ac:dyDescent="0.35">
      <c r="B79" s="337" t="s">
        <v>5292</v>
      </c>
      <c r="C79" s="351" t="s">
        <v>5097</v>
      </c>
      <c r="D79" s="351" t="s">
        <v>5099</v>
      </c>
      <c r="E79" s="351" t="s">
        <v>5096</v>
      </c>
      <c r="F79" s="710"/>
      <c r="G79" s="345"/>
      <c r="H79" s="354"/>
      <c r="I79" s="711"/>
      <c r="J79" s="25"/>
    </row>
    <row r="80" spans="2:10" s="2" customFormat="1" outlineLevel="1" x14ac:dyDescent="0.35">
      <c r="B80" s="645" t="s">
        <v>5077</v>
      </c>
      <c r="C80" s="733">
        <v>0</v>
      </c>
      <c r="D80" s="733">
        <v>10</v>
      </c>
      <c r="E80" s="733">
        <v>2</v>
      </c>
      <c r="F80" s="710"/>
      <c r="G80" s="345"/>
      <c r="H80" s="354"/>
      <c r="I80" s="711"/>
      <c r="J80" s="25"/>
    </row>
    <row r="81" spans="1:66" s="2" customFormat="1" ht="29" outlineLevel="1" x14ac:dyDescent="0.35">
      <c r="B81" s="1005" t="s">
        <v>5081</v>
      </c>
      <c r="C81" s="745"/>
      <c r="D81" s="734"/>
      <c r="E81" s="734"/>
      <c r="F81" s="710"/>
      <c r="G81" s="345"/>
      <c r="H81" s="354"/>
      <c r="I81" s="711"/>
      <c r="J81" s="25"/>
    </row>
    <row r="82" spans="1:66" s="2" customFormat="1" outlineLevel="1" x14ac:dyDescent="0.35">
      <c r="B82" s="651" t="s">
        <v>5078</v>
      </c>
      <c r="C82" s="649"/>
      <c r="D82" s="735"/>
      <c r="E82" s="735"/>
      <c r="F82" s="710"/>
      <c r="G82" s="345"/>
      <c r="H82" s="354"/>
      <c r="I82" s="711"/>
      <c r="J82" s="25"/>
    </row>
    <row r="83" spans="1:66" s="2" customFormat="1" ht="29" outlineLevel="1" x14ac:dyDescent="0.35">
      <c r="B83" s="651" t="s">
        <v>5244</v>
      </c>
      <c r="C83" s="649"/>
      <c r="D83" s="735"/>
      <c r="E83" s="735"/>
      <c r="F83" s="710"/>
      <c r="G83" s="345"/>
      <c r="H83" s="354"/>
      <c r="I83" s="711"/>
      <c r="J83" s="25"/>
    </row>
    <row r="84" spans="1:66" s="3" customFormat="1" outlineLevel="1" x14ac:dyDescent="0.35">
      <c r="A84" s="2"/>
      <c r="B84" s="651" t="s">
        <v>5075</v>
      </c>
      <c r="C84" s="745"/>
      <c r="D84" s="736" t="s">
        <v>2048</v>
      </c>
      <c r="E84" s="736" t="s">
        <v>2048</v>
      </c>
      <c r="F84" s="2"/>
      <c r="G84" s="30"/>
      <c r="H84" s="30"/>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row>
    <row r="85" spans="1:66" s="3" customFormat="1" outlineLevel="1" x14ac:dyDescent="0.35">
      <c r="A85" s="2"/>
      <c r="B85" s="715"/>
      <c r="C85" s="717"/>
      <c r="D85" s="2"/>
      <c r="E85" s="2"/>
      <c r="F85" s="30"/>
      <c r="H85" s="527">
        <f>H36</f>
        <v>1</v>
      </c>
      <c r="I85" s="527">
        <v>0</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row>
    <row r="86" spans="1:66" s="3" customFormat="1" ht="29.5" outlineLevel="1" thickBot="1" x14ac:dyDescent="0.4">
      <c r="A86" s="2"/>
      <c r="B86" s="511" t="s">
        <v>4735</v>
      </c>
      <c r="C86" s="980" t="s">
        <v>5317</v>
      </c>
      <c r="D86" s="301" t="s">
        <v>5289</v>
      </c>
      <c r="E86" s="510" t="s">
        <v>4700</v>
      </c>
      <c r="F86" s="737" t="s">
        <v>4372</v>
      </c>
      <c r="G86" s="609" t="s">
        <v>4372</v>
      </c>
      <c r="H86" s="609" t="s">
        <v>5115</v>
      </c>
      <c r="I86" s="609" t="s">
        <v>5089</v>
      </c>
      <c r="J86" s="508" t="s">
        <v>39</v>
      </c>
      <c r="K86" s="512" t="s">
        <v>4583</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row>
    <row r="87" spans="1:66" s="3" customFormat="1" ht="29.5" outlineLevel="1" thickTop="1" x14ac:dyDescent="0.35">
      <c r="A87" s="2"/>
      <c r="B87" s="990" t="s">
        <v>5097</v>
      </c>
      <c r="C87" s="993">
        <f>SUMIFS($E$74:$E$76,$C$74:$C$76,B87)</f>
        <v>0</v>
      </c>
      <c r="D87" s="992" t="e">
        <f>C87/$C$92</f>
        <v>#DIV/0!</v>
      </c>
      <c r="E87" s="742" t="s">
        <v>5239</v>
      </c>
      <c r="F87" s="736" t="s">
        <v>2048</v>
      </c>
      <c r="G87" s="720">
        <f>IF(F87="Ja",1,0)</f>
        <v>0</v>
      </c>
      <c r="H87" s="720">
        <v>1</v>
      </c>
      <c r="I87" s="720">
        <v>0</v>
      </c>
      <c r="J87" s="649" t="str">
        <f>IF(G87&gt;0,(TREND($H$85:$I$85,H87:I87,G87,1)*D87),"")</f>
        <v/>
      </c>
      <c r="K87" s="21"/>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row r="88" spans="1:66" s="3" customFormat="1" ht="29" outlineLevel="1" x14ac:dyDescent="0.35">
      <c r="A88" s="2"/>
      <c r="B88" s="990" t="s">
        <v>5098</v>
      </c>
      <c r="C88" s="994">
        <f>SUMIFS($E$74:$E$76,$C$74:$C$76,B88)-(SUMIFS($E$74:$E$76,$C$74:$C$76,B88)/$D$80)</f>
        <v>0</v>
      </c>
      <c r="D88" s="992" t="e">
        <f t="shared" ref="D88:D91" si="8">C88/$C$92</f>
        <v>#DIV/0!</v>
      </c>
      <c r="E88" s="742" t="s">
        <v>5242</v>
      </c>
      <c r="F88" s="736" t="s">
        <v>2048</v>
      </c>
      <c r="G88" s="720">
        <f>IF(F88="Ja",1,0)</f>
        <v>0</v>
      </c>
      <c r="H88" s="720">
        <v>1</v>
      </c>
      <c r="I88" s="720">
        <v>0</v>
      </c>
      <c r="J88" s="649" t="str">
        <f t="shared" ref="J88:J91" si="9">IF(G88&gt;0,(TREND($H$85:$I$85,H88:I88,G88,1)*D88),"")</f>
        <v/>
      </c>
      <c r="K88" s="21"/>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row>
    <row r="89" spans="1:66" s="3" customFormat="1" ht="29" outlineLevel="1" x14ac:dyDescent="0.35">
      <c r="A89" s="2"/>
      <c r="B89" s="991" t="s">
        <v>5240</v>
      </c>
      <c r="C89" s="994">
        <f>SUMIFS($E$74:$E$76,$C$74:$C$76,B88)/$D$80</f>
        <v>0</v>
      </c>
      <c r="D89" s="992" t="e">
        <f t="shared" si="8"/>
        <v>#DIV/0!</v>
      </c>
      <c r="E89" s="738" t="s">
        <v>5091</v>
      </c>
      <c r="F89" s="985" t="s">
        <v>5090</v>
      </c>
      <c r="G89" s="721">
        <f>IF(AND($D$82=1,$D$84="ja"),1,(($D$82*$D$83*0.7)+($D$82*(1-$D$83)*0.3)))</f>
        <v>0</v>
      </c>
      <c r="H89" s="721">
        <v>1</v>
      </c>
      <c r="I89" s="721">
        <v>0</v>
      </c>
      <c r="J89" s="649" t="str">
        <f t="shared" si="9"/>
        <v/>
      </c>
      <c r="K89" s="21"/>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row r="90" spans="1:66" s="3" customFormat="1" ht="43.5" outlineLevel="1" x14ac:dyDescent="0.35">
      <c r="A90" s="2"/>
      <c r="B90" s="990" t="s">
        <v>5096</v>
      </c>
      <c r="C90" s="994">
        <f>SUMIFS($E$74:$E$76,$C$74:$C$76,B90)-(SUMIFS($E$74:$E$76,$C$74:$C$76,B90)/$E$80)</f>
        <v>0</v>
      </c>
      <c r="D90" s="992" t="e">
        <f t="shared" si="8"/>
        <v>#DIV/0!</v>
      </c>
      <c r="E90" s="742" t="s">
        <v>5243</v>
      </c>
      <c r="F90" s="736" t="s">
        <v>2048</v>
      </c>
      <c r="G90" s="720">
        <f>IF(F90="Ja",1,0)</f>
        <v>0</v>
      </c>
      <c r="H90" s="720">
        <v>1</v>
      </c>
      <c r="I90" s="720">
        <v>0</v>
      </c>
      <c r="J90" s="649" t="str">
        <f t="shared" si="9"/>
        <v/>
      </c>
      <c r="K90" s="21"/>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row>
    <row r="91" spans="1:66" s="3" customFormat="1" ht="29.5" outlineLevel="1" thickBot="1" x14ac:dyDescent="0.4">
      <c r="A91" s="2"/>
      <c r="B91" s="991" t="s">
        <v>5241</v>
      </c>
      <c r="C91" s="996">
        <f>SUMIFS($E$74:$E$76,$C$74:$C$76,B90)/$E$80</f>
        <v>0</v>
      </c>
      <c r="D91" s="992" t="e">
        <f t="shared" si="8"/>
        <v>#DIV/0!</v>
      </c>
      <c r="E91" s="738" t="s">
        <v>5091</v>
      </c>
      <c r="F91" s="985" t="s">
        <v>5090</v>
      </c>
      <c r="G91" s="721">
        <f>IF(AND($E$82=1,$E$84="ja"),1,(($E$82*$E$83*0.7)+($E$82*(1-$E$83)*0.3)))</f>
        <v>0</v>
      </c>
      <c r="H91" s="721">
        <v>1</v>
      </c>
      <c r="I91" s="721">
        <v>0</v>
      </c>
      <c r="J91" s="649" t="str">
        <f t="shared" si="9"/>
        <v/>
      </c>
      <c r="K91" s="21"/>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row>
    <row r="92" spans="1:66" s="3" customFormat="1" ht="15" outlineLevel="1" thickTop="1" x14ac:dyDescent="0.35">
      <c r="A92" s="2"/>
      <c r="B92" s="731" t="s">
        <v>2085</v>
      </c>
      <c r="C92" s="995">
        <f>SUM(C87:C91)</f>
        <v>0</v>
      </c>
      <c r="D92" s="732" t="e">
        <f>SUM(D87:D91)</f>
        <v>#DIV/0!</v>
      </c>
      <c r="E92" s="705"/>
      <c r="F92" s="986"/>
      <c r="G92" s="746"/>
      <c r="H92" s="746"/>
      <c r="I92" s="746"/>
      <c r="J92" s="339">
        <f>SUM(J87:J91)</f>
        <v>0</v>
      </c>
      <c r="K92" s="708"/>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row>
    <row r="93" spans="1:66" s="3" customFormat="1" x14ac:dyDescent="0.35">
      <c r="A93" s="2"/>
      <c r="B93" s="2"/>
      <c r="C93" s="2"/>
      <c r="D93" s="2"/>
      <c r="E93" s="2"/>
      <c r="F93" s="2"/>
      <c r="G93" s="30"/>
      <c r="H93" s="30"/>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row>
    <row r="94" spans="1:66" s="3" customFormat="1" ht="18.5" x14ac:dyDescent="0.45">
      <c r="A94" s="2"/>
      <c r="B94" s="739" t="s">
        <v>5308</v>
      </c>
      <c r="C94" s="739"/>
      <c r="D94" s="739"/>
      <c r="E94" s="739"/>
      <c r="F94" s="739"/>
      <c r="G94" s="740"/>
      <c r="H94" s="740"/>
      <c r="I94" s="739"/>
      <c r="J94" s="739"/>
      <c r="K94" s="739"/>
      <c r="L94" s="739"/>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row>
    <row r="95" spans="1:66" s="3" customFormat="1" outlineLevel="1" x14ac:dyDescent="0.35">
      <c r="A95" s="2"/>
      <c r="B95" s="722"/>
      <c r="C95" s="724"/>
      <c r="D95" s="724"/>
      <c r="E95" s="712"/>
      <c r="F95" s="712"/>
      <c r="G95" s="30"/>
      <c r="H95" s="30"/>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row>
    <row r="96" spans="1:66" s="3" customFormat="1" outlineLevel="1" x14ac:dyDescent="0.35">
      <c r="A96" s="2"/>
      <c r="B96" s="748" t="s">
        <v>5293</v>
      </c>
      <c r="C96" s="749" t="s">
        <v>5294</v>
      </c>
      <c r="D96" s="749" t="s">
        <v>5295</v>
      </c>
      <c r="E96" s="749" t="s">
        <v>2085</v>
      </c>
      <c r="F96" s="712"/>
      <c r="G96" s="30"/>
      <c r="H96" s="30"/>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row>
    <row r="97" spans="1:66" s="3" customFormat="1" outlineLevel="1" x14ac:dyDescent="0.35">
      <c r="A97" s="2"/>
      <c r="B97" s="645" t="s">
        <v>5318</v>
      </c>
      <c r="C97" s="505">
        <f>F21</f>
        <v>0</v>
      </c>
      <c r="D97" s="505">
        <f>C71</f>
        <v>0</v>
      </c>
      <c r="E97" s="706">
        <f>C97+D97</f>
        <v>0</v>
      </c>
      <c r="F97" s="712"/>
      <c r="G97" s="30"/>
      <c r="H97" s="30"/>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row>
    <row r="98" spans="1:66" s="3" customFormat="1" outlineLevel="1" x14ac:dyDescent="0.35">
      <c r="A98" s="2"/>
      <c r="B98" s="645" t="s">
        <v>5117</v>
      </c>
      <c r="C98" s="505">
        <f>C38+C39+C40+C41+(C42*G42)+C43+(C44*G44)+C45+(C46*G46)+C47+(C49*G49)+C50</f>
        <v>0</v>
      </c>
      <c r="D98" s="505">
        <f>C87+C88+(C89*G89)+C90+(C91*G91)</f>
        <v>0</v>
      </c>
      <c r="E98" s="706">
        <f>C98+D98</f>
        <v>0</v>
      </c>
      <c r="F98" s="321">
        <v>0</v>
      </c>
      <c r="G98" s="1147">
        <f>Qualitätsprüfung!G1184</f>
        <v>1</v>
      </c>
      <c r="H98" s="30"/>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row>
    <row r="99" spans="1:66" s="3" customFormat="1" ht="15" outlineLevel="1" thickBot="1" x14ac:dyDescent="0.4">
      <c r="A99" s="2"/>
      <c r="B99" s="300" t="s">
        <v>5118</v>
      </c>
      <c r="C99" s="955" t="e">
        <f>C98/C97</f>
        <v>#DIV/0!</v>
      </c>
      <c r="D99" s="955" t="e">
        <f>D98/D97</f>
        <v>#DIV/0!</v>
      </c>
      <c r="E99" s="334">
        <f>IFERROR(E98/E97,0)</f>
        <v>0</v>
      </c>
      <c r="F99" s="359">
        <v>0.8</v>
      </c>
      <c r="G99" s="359">
        <v>1</v>
      </c>
      <c r="H99" s="30"/>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row>
    <row r="100" spans="1:66" s="3" customFormat="1" ht="15" outlineLevel="1" thickBot="1" x14ac:dyDescent="0.4">
      <c r="A100" s="2"/>
      <c r="B100" s="300" t="s">
        <v>5245</v>
      </c>
      <c r="C100" s="955"/>
      <c r="D100" s="956"/>
      <c r="E100" s="747">
        <f>IF(E99&gt;0,(TREND(F98:G98,F99:G99,E99,1)),0)</f>
        <v>0</v>
      </c>
      <c r="F100" s="636" t="s">
        <v>5128</v>
      </c>
      <c r="G100" s="293"/>
      <c r="H100" s="30"/>
      <c r="I100" s="636"/>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row>
    <row r="101" spans="1:66" s="3" customFormat="1" ht="15" outlineLevel="1" thickBot="1" x14ac:dyDescent="0.4">
      <c r="A101" s="2"/>
      <c r="B101" s="300" t="s">
        <v>5101</v>
      </c>
      <c r="C101" s="955">
        <f>J51</f>
        <v>0</v>
      </c>
      <c r="D101" s="956">
        <f>J92</f>
        <v>0</v>
      </c>
      <c r="E101" s="747">
        <f>IFERROR((C101*(C97/$E$97))+(D101*(D97/$E$97)),0)</f>
        <v>0</v>
      </c>
      <c r="F101" s="636" t="s">
        <v>5129</v>
      </c>
      <c r="G101" s="30"/>
      <c r="H101" s="30"/>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row>
    <row r="102" spans="1:66" s="3" customFormat="1" outlineLevel="1" x14ac:dyDescent="0.35">
      <c r="A102" s="2"/>
      <c r="B102" s="364"/>
      <c r="C102" s="957"/>
      <c r="D102" s="957"/>
      <c r="E102" s="712"/>
      <c r="G102" s="30"/>
      <c r="H102" s="30"/>
      <c r="I102" s="636"/>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row>
    <row r="103" spans="1:66" s="3" customFormat="1" x14ac:dyDescent="0.35">
      <c r="A103" s="2"/>
      <c r="B103" s="713"/>
      <c r="C103" s="717"/>
      <c r="D103" s="2"/>
      <c r="E103" s="2"/>
      <c r="F103" s="2"/>
      <c r="G103" s="30"/>
      <c r="H103" s="30"/>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row>
    <row r="104" spans="1:66" s="3" customFormat="1" ht="18.5" x14ac:dyDescent="0.45">
      <c r="A104" s="2"/>
      <c r="B104" s="725" t="s">
        <v>5578</v>
      </c>
      <c r="C104" s="725"/>
      <c r="D104" s="725"/>
      <c r="E104" s="725"/>
      <c r="F104" s="725"/>
      <c r="G104" s="726"/>
      <c r="H104" s="726"/>
      <c r="I104" s="725"/>
      <c r="J104" s="725"/>
      <c r="K104" s="725"/>
      <c r="L104" s="628"/>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row>
    <row r="105" spans="1:66" s="3" customFormat="1" ht="18.5" x14ac:dyDescent="0.45">
      <c r="A105" s="2"/>
      <c r="B105" s="739" t="s">
        <v>5654</v>
      </c>
      <c r="C105" s="739"/>
      <c r="D105" s="739"/>
      <c r="E105" s="739"/>
      <c r="F105" s="739"/>
      <c r="G105" s="740"/>
      <c r="H105" s="740"/>
      <c r="I105" s="739"/>
      <c r="J105" s="739"/>
      <c r="K105" s="739"/>
      <c r="L105" s="739"/>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row>
    <row r="106" spans="1:66" s="3" customFormat="1" outlineLevel="1" x14ac:dyDescent="0.35">
      <c r="A106" s="2"/>
      <c r="B106" s="2"/>
      <c r="C106" s="2"/>
      <c r="D106" s="2"/>
      <c r="E106" s="2"/>
      <c r="F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row>
    <row r="107" spans="1:66" s="3" customFormat="1" ht="29.5" outlineLevel="1" thickBot="1" x14ac:dyDescent="0.4">
      <c r="A107" s="2"/>
      <c r="B107" s="299" t="s">
        <v>5032</v>
      </c>
      <c r="C107" s="301" t="s">
        <v>5102</v>
      </c>
      <c r="D107" s="301" t="s">
        <v>5103</v>
      </c>
      <c r="E107" s="301" t="s">
        <v>5246</v>
      </c>
      <c r="F107" s="301" t="s">
        <v>5296</v>
      </c>
      <c r="G107" s="301" t="s">
        <v>5312</v>
      </c>
      <c r="H107" s="980" t="s">
        <v>5311</v>
      </c>
      <c r="I107" s="301" t="s">
        <v>5310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row>
    <row r="108" spans="1:66" s="3" customFormat="1" ht="15" outlineLevel="1" thickTop="1" x14ac:dyDescent="0.35">
      <c r="A108" s="2"/>
      <c r="B108" s="954">
        <f t="shared" ref="B108:B122" si="10">B6</f>
        <v>0</v>
      </c>
      <c r="C108" s="685"/>
      <c r="D108" s="685"/>
      <c r="E108" s="685"/>
      <c r="F108" s="706">
        <f t="shared" ref="F108:F123" si="11">SUM(C108:E108)</f>
        <v>0</v>
      </c>
      <c r="G108" s="1009"/>
      <c r="H108" s="1011"/>
      <c r="I108" s="1010"/>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row>
    <row r="109" spans="1:66" s="3" customFormat="1" outlineLevel="1" x14ac:dyDescent="0.35">
      <c r="A109" s="2"/>
      <c r="B109" s="954">
        <f t="shared" si="10"/>
        <v>0</v>
      </c>
      <c r="C109" s="685"/>
      <c r="D109" s="685"/>
      <c r="E109" s="685"/>
      <c r="F109" s="706">
        <f t="shared" si="11"/>
        <v>0</v>
      </c>
      <c r="G109" s="1009"/>
      <c r="H109" s="1012"/>
      <c r="I109" s="1010"/>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row>
    <row r="110" spans="1:66" s="3" customFormat="1" outlineLevel="1" x14ac:dyDescent="0.35">
      <c r="A110" s="2"/>
      <c r="B110" s="954">
        <f t="shared" si="10"/>
        <v>0</v>
      </c>
      <c r="C110" s="685"/>
      <c r="D110" s="685"/>
      <c r="E110" s="685"/>
      <c r="F110" s="706">
        <f t="shared" si="11"/>
        <v>0</v>
      </c>
      <c r="G110" s="1009"/>
      <c r="H110" s="1012"/>
      <c r="I110" s="1010"/>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row>
    <row r="111" spans="1:66" s="546" customFormat="1" outlineLevel="1" x14ac:dyDescent="0.35">
      <c r="A111" s="545"/>
      <c r="B111" s="954">
        <f t="shared" si="10"/>
        <v>0</v>
      </c>
      <c r="C111" s="685"/>
      <c r="D111" s="685"/>
      <c r="E111" s="685"/>
      <c r="F111" s="706">
        <f t="shared" si="11"/>
        <v>0</v>
      </c>
      <c r="G111" s="1009"/>
      <c r="H111" s="1012"/>
      <c r="I111" s="1010"/>
      <c r="J111" s="545"/>
      <c r="K111" s="545"/>
      <c r="L111" s="545"/>
      <c r="M111" s="545"/>
      <c r="N111" s="545"/>
      <c r="O111" s="545"/>
      <c r="P111" s="545"/>
      <c r="Q111" s="545"/>
      <c r="R111" s="545"/>
      <c r="S111" s="545"/>
      <c r="T111" s="545"/>
      <c r="U111" s="545"/>
      <c r="V111" s="545"/>
      <c r="W111" s="545"/>
      <c r="X111" s="545"/>
      <c r="Y111" s="545"/>
      <c r="Z111" s="545"/>
      <c r="AA111" s="545"/>
      <c r="AB111" s="545"/>
      <c r="AC111" s="545"/>
      <c r="AD111" s="545"/>
      <c r="AE111" s="545"/>
      <c r="AF111" s="545"/>
      <c r="AG111" s="545"/>
      <c r="AH111" s="545"/>
      <c r="AI111" s="545"/>
      <c r="AJ111" s="545"/>
      <c r="AK111" s="545"/>
      <c r="AL111" s="545"/>
      <c r="AM111" s="545"/>
      <c r="AN111" s="545"/>
      <c r="AO111" s="545"/>
      <c r="AP111" s="545"/>
      <c r="AQ111" s="545"/>
      <c r="AR111" s="545"/>
      <c r="AS111" s="545"/>
      <c r="AT111" s="545"/>
      <c r="AU111" s="545"/>
      <c r="AV111" s="545"/>
      <c r="AW111" s="545"/>
      <c r="AX111" s="545"/>
      <c r="AY111" s="545"/>
      <c r="AZ111" s="545"/>
      <c r="BA111" s="545"/>
      <c r="BB111" s="545"/>
      <c r="BC111" s="545"/>
      <c r="BD111" s="545"/>
      <c r="BE111" s="545"/>
      <c r="BF111" s="545"/>
      <c r="BG111" s="545"/>
      <c r="BH111" s="545"/>
      <c r="BI111" s="545"/>
      <c r="BJ111" s="545"/>
      <c r="BK111" s="545"/>
      <c r="BL111" s="545"/>
      <c r="BM111" s="545"/>
      <c r="BN111" s="545"/>
    </row>
    <row r="112" spans="1:66" s="3" customFormat="1" outlineLevel="1" x14ac:dyDescent="0.35">
      <c r="A112" s="2"/>
      <c r="B112" s="954">
        <f t="shared" si="10"/>
        <v>0</v>
      </c>
      <c r="C112" s="685"/>
      <c r="D112" s="685"/>
      <c r="E112" s="685"/>
      <c r="F112" s="706">
        <f t="shared" si="11"/>
        <v>0</v>
      </c>
      <c r="G112" s="1009"/>
      <c r="H112" s="1012"/>
      <c r="I112" s="1010"/>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row>
    <row r="113" spans="2:10" s="2" customFormat="1" outlineLevel="1" x14ac:dyDescent="0.35">
      <c r="B113" s="954">
        <f t="shared" si="10"/>
        <v>0</v>
      </c>
      <c r="C113" s="685"/>
      <c r="D113" s="685"/>
      <c r="E113" s="685"/>
      <c r="F113" s="706">
        <f t="shared" si="11"/>
        <v>0</v>
      </c>
      <c r="G113" s="1009"/>
      <c r="H113" s="1012"/>
      <c r="I113" s="1010"/>
    </row>
    <row r="114" spans="2:10" s="2" customFormat="1" outlineLevel="1" x14ac:dyDescent="0.35">
      <c r="B114" s="954">
        <f t="shared" si="10"/>
        <v>0</v>
      </c>
      <c r="C114" s="685"/>
      <c r="D114" s="685"/>
      <c r="E114" s="685"/>
      <c r="F114" s="706">
        <f t="shared" si="11"/>
        <v>0</v>
      </c>
      <c r="G114" s="1009"/>
      <c r="H114" s="1012"/>
      <c r="I114" s="1010"/>
    </row>
    <row r="115" spans="2:10" s="2" customFormat="1" outlineLevel="1" x14ac:dyDescent="0.35">
      <c r="B115" s="954">
        <f t="shared" si="10"/>
        <v>0</v>
      </c>
      <c r="C115" s="685"/>
      <c r="D115" s="685"/>
      <c r="E115" s="685"/>
      <c r="F115" s="706">
        <f t="shared" si="11"/>
        <v>0</v>
      </c>
      <c r="G115" s="1009"/>
      <c r="H115" s="1012"/>
      <c r="I115" s="1010"/>
    </row>
    <row r="116" spans="2:10" s="2" customFormat="1" outlineLevel="1" x14ac:dyDescent="0.35">
      <c r="B116" s="954">
        <f t="shared" si="10"/>
        <v>0</v>
      </c>
      <c r="C116" s="685"/>
      <c r="D116" s="685"/>
      <c r="E116" s="685"/>
      <c r="F116" s="706">
        <f t="shared" si="11"/>
        <v>0</v>
      </c>
      <c r="G116" s="1009"/>
      <c r="H116" s="1012"/>
      <c r="I116" s="1010"/>
    </row>
    <row r="117" spans="2:10" s="2" customFormat="1" outlineLevel="1" x14ac:dyDescent="0.35">
      <c r="B117" s="954">
        <f t="shared" si="10"/>
        <v>0</v>
      </c>
      <c r="C117" s="685"/>
      <c r="D117" s="685"/>
      <c r="E117" s="685"/>
      <c r="F117" s="706">
        <f t="shared" si="11"/>
        <v>0</v>
      </c>
      <c r="G117" s="1009"/>
      <c r="H117" s="1012"/>
      <c r="I117" s="1010"/>
    </row>
    <row r="118" spans="2:10" s="2" customFormat="1" outlineLevel="1" x14ac:dyDescent="0.35">
      <c r="B118" s="954">
        <f t="shared" si="10"/>
        <v>0</v>
      </c>
      <c r="C118" s="685"/>
      <c r="D118" s="685"/>
      <c r="E118" s="685"/>
      <c r="F118" s="706">
        <f t="shared" si="11"/>
        <v>0</v>
      </c>
      <c r="G118" s="1009"/>
      <c r="H118" s="1012"/>
      <c r="I118" s="1010"/>
    </row>
    <row r="119" spans="2:10" s="2" customFormat="1" outlineLevel="1" x14ac:dyDescent="0.35">
      <c r="B119" s="954">
        <f t="shared" si="10"/>
        <v>0</v>
      </c>
      <c r="C119" s="685"/>
      <c r="D119" s="685"/>
      <c r="E119" s="685"/>
      <c r="F119" s="706">
        <f t="shared" si="11"/>
        <v>0</v>
      </c>
      <c r="G119" s="1009"/>
      <c r="H119" s="1012"/>
      <c r="I119" s="1010"/>
    </row>
    <row r="120" spans="2:10" s="2" customFormat="1" outlineLevel="1" x14ac:dyDescent="0.35">
      <c r="B120" s="954">
        <f t="shared" si="10"/>
        <v>0</v>
      </c>
      <c r="C120" s="685"/>
      <c r="D120" s="685"/>
      <c r="E120" s="685"/>
      <c r="F120" s="706">
        <f t="shared" si="11"/>
        <v>0</v>
      </c>
      <c r="G120" s="1009"/>
      <c r="H120" s="1012"/>
      <c r="I120" s="1010"/>
    </row>
    <row r="121" spans="2:10" s="2" customFormat="1" outlineLevel="1" x14ac:dyDescent="0.35">
      <c r="B121" s="954">
        <f t="shared" si="10"/>
        <v>0</v>
      </c>
      <c r="C121" s="685"/>
      <c r="D121" s="685"/>
      <c r="E121" s="685"/>
      <c r="F121" s="706">
        <f t="shared" si="11"/>
        <v>0</v>
      </c>
      <c r="G121" s="1009"/>
      <c r="H121" s="1012"/>
      <c r="I121" s="1010"/>
    </row>
    <row r="122" spans="2:10" s="2" customFormat="1" ht="15" outlineLevel="1" thickBot="1" x14ac:dyDescent="0.4">
      <c r="B122" s="954">
        <f t="shared" si="10"/>
        <v>0</v>
      </c>
      <c r="C122" s="685"/>
      <c r="D122" s="685"/>
      <c r="E122" s="685"/>
      <c r="F122" s="706">
        <f t="shared" si="11"/>
        <v>0</v>
      </c>
      <c r="G122" s="1009"/>
      <c r="H122" s="1013"/>
      <c r="I122" s="1010"/>
    </row>
    <row r="123" spans="2:10" s="2" customFormat="1" ht="15.5" outlineLevel="1" thickTop="1" thickBot="1" x14ac:dyDescent="0.4">
      <c r="B123" s="292" t="s">
        <v>2085</v>
      </c>
      <c r="C123" s="998">
        <f>SUM(C108:C122)</f>
        <v>0</v>
      </c>
      <c r="D123" s="998">
        <f>SUM(D108:D122)</f>
        <v>0</v>
      </c>
      <c r="E123" s="998">
        <f>SUM(E108:E122)</f>
        <v>0</v>
      </c>
      <c r="F123" s="706">
        <f t="shared" si="11"/>
        <v>0</v>
      </c>
      <c r="G123" s="706">
        <f>SUM(G108:G122)</f>
        <v>0</v>
      </c>
      <c r="H123" s="995">
        <f>SUM(H108:H122)</f>
        <v>0</v>
      </c>
      <c r="I123" s="706">
        <f>SUM(I108:I122)</f>
        <v>0</v>
      </c>
    </row>
    <row r="124" spans="2:10" s="2" customFormat="1" ht="15.5" outlineLevel="1" thickTop="1" thickBot="1" x14ac:dyDescent="0.4">
      <c r="B124" s="1002" t="s">
        <v>5304</v>
      </c>
      <c r="C124" s="999">
        <f>IFERROR(C123/$F$123,0)</f>
        <v>0</v>
      </c>
      <c r="D124" s="1000">
        <f>IFERROR(D123/$F$123,0)</f>
        <v>0</v>
      </c>
      <c r="E124" s="1001">
        <f>IFERROR(E123/$F$123,0)</f>
        <v>0</v>
      </c>
      <c r="F124" s="724"/>
      <c r="G124" s="724"/>
      <c r="H124" s="30"/>
    </row>
    <row r="125" spans="2:10" s="2" customFormat="1" ht="15" outlineLevel="1" thickTop="1" x14ac:dyDescent="0.35">
      <c r="G125" s="30"/>
      <c r="H125" s="30"/>
    </row>
    <row r="126" spans="2:10" s="2" customFormat="1" ht="29" outlineLevel="1" x14ac:dyDescent="0.35">
      <c r="B126" s="727" t="s">
        <v>5104</v>
      </c>
      <c r="C126" s="727" t="s">
        <v>4735</v>
      </c>
      <c r="D126" s="728" t="s">
        <v>5297</v>
      </c>
      <c r="E126" s="301" t="s">
        <v>5296</v>
      </c>
      <c r="F126" s="710"/>
      <c r="G126" s="345"/>
      <c r="H126" s="354"/>
      <c r="I126" s="711"/>
      <c r="J126" s="25"/>
    </row>
    <row r="127" spans="2:10" s="2" customFormat="1" outlineLevel="1" x14ac:dyDescent="0.35">
      <c r="B127" s="647" t="s">
        <v>5108</v>
      </c>
      <c r="C127" s="634"/>
      <c r="D127" s="716"/>
      <c r="E127" s="333">
        <f>D127*$C$123</f>
        <v>0</v>
      </c>
      <c r="F127" s="710"/>
      <c r="G127" s="345"/>
      <c r="H127" s="354"/>
      <c r="I127" s="711"/>
      <c r="J127" s="25"/>
    </row>
    <row r="128" spans="2:10" s="2" customFormat="1" outlineLevel="1" x14ac:dyDescent="0.35">
      <c r="B128" s="647" t="s">
        <v>5109</v>
      </c>
      <c r="C128" s="634"/>
      <c r="D128" s="716"/>
      <c r="E128" s="333">
        <f t="shared" ref="E128:E129" si="12">D128*$C$123</f>
        <v>0</v>
      </c>
      <c r="F128" s="710"/>
      <c r="G128" s="345"/>
      <c r="H128" s="354"/>
      <c r="I128" s="711"/>
      <c r="J128" s="25"/>
    </row>
    <row r="129" spans="2:11" s="2" customFormat="1" outlineLevel="1" x14ac:dyDescent="0.35">
      <c r="B129" s="647" t="s">
        <v>5110</v>
      </c>
      <c r="C129" s="634"/>
      <c r="D129" s="716"/>
      <c r="E129" s="333">
        <f t="shared" si="12"/>
        <v>0</v>
      </c>
      <c r="F129" s="710"/>
      <c r="G129" s="345"/>
      <c r="H129" s="354"/>
      <c r="I129" s="711"/>
      <c r="J129" s="25"/>
    </row>
    <row r="130" spans="2:11" s="2" customFormat="1" outlineLevel="1" x14ac:dyDescent="0.35">
      <c r="B130" s="730" t="s">
        <v>2085</v>
      </c>
      <c r="C130" s="337"/>
      <c r="D130" s="585">
        <f>SUM(D127:D129)</f>
        <v>0</v>
      </c>
      <c r="E130" s="413">
        <f>SUM(E127:E129)</f>
        <v>0</v>
      </c>
      <c r="F130" s="710"/>
      <c r="G130" s="345"/>
      <c r="H130" s="354"/>
      <c r="I130" s="711"/>
      <c r="J130" s="25"/>
    </row>
    <row r="131" spans="2:11" s="2" customFormat="1" outlineLevel="1" x14ac:dyDescent="0.35">
      <c r="B131" s="718"/>
      <c r="C131" s="507"/>
      <c r="D131" s="987" t="s">
        <v>5287</v>
      </c>
      <c r="E131" s="355">
        <f>F123-E130</f>
        <v>0</v>
      </c>
      <c r="F131" s="710"/>
      <c r="G131" s="345"/>
      <c r="H131" s="354"/>
      <c r="I131" s="711"/>
      <c r="J131" s="25"/>
    </row>
    <row r="132" spans="2:11" s="2" customFormat="1" outlineLevel="1" x14ac:dyDescent="0.35">
      <c r="B132" s="337" t="s">
        <v>5111</v>
      </c>
      <c r="C132" s="351" t="s">
        <v>5112</v>
      </c>
      <c r="D132" s="351" t="s">
        <v>5113</v>
      </c>
      <c r="E132" s="351" t="s">
        <v>5114</v>
      </c>
      <c r="F132" s="710"/>
      <c r="G132" s="345"/>
      <c r="H132" s="354"/>
      <c r="I132" s="711"/>
      <c r="J132" s="25"/>
    </row>
    <row r="133" spans="2:11" s="2" customFormat="1" ht="29" outlineLevel="1" x14ac:dyDescent="0.35">
      <c r="B133" s="1005" t="s">
        <v>5081</v>
      </c>
      <c r="C133" s="734"/>
      <c r="D133" s="734"/>
      <c r="E133" s="734"/>
      <c r="F133" s="710"/>
      <c r="G133" s="345"/>
      <c r="H133" s="354"/>
      <c r="I133" s="711"/>
      <c r="J133" s="25"/>
    </row>
    <row r="134" spans="2:11" s="2" customFormat="1" outlineLevel="1" x14ac:dyDescent="0.35">
      <c r="B134" s="651" t="s">
        <v>5078</v>
      </c>
      <c r="C134" s="735"/>
      <c r="D134" s="735"/>
      <c r="E134" s="735"/>
      <c r="F134" s="710"/>
      <c r="G134" s="345"/>
      <c r="H134" s="354"/>
      <c r="I134" s="711"/>
      <c r="J134" s="25"/>
    </row>
    <row r="135" spans="2:11" s="2" customFormat="1" outlineLevel="1" x14ac:dyDescent="0.35">
      <c r="B135" s="651" t="s">
        <v>5079</v>
      </c>
      <c r="C135" s="735"/>
      <c r="D135" s="735"/>
      <c r="E135" s="735"/>
      <c r="F135" s="710"/>
      <c r="G135" s="345"/>
      <c r="H135" s="354"/>
      <c r="I135" s="711"/>
      <c r="J135" s="25"/>
    </row>
    <row r="136" spans="2:11" s="2" customFormat="1" outlineLevel="1" x14ac:dyDescent="0.35">
      <c r="B136" s="651" t="s">
        <v>5075</v>
      </c>
      <c r="C136" s="736" t="s">
        <v>2048</v>
      </c>
      <c r="D136" s="736" t="s">
        <v>2048</v>
      </c>
      <c r="E136" s="736" t="s">
        <v>2048</v>
      </c>
      <c r="G136" s="30"/>
      <c r="H136" s="30"/>
    </row>
    <row r="137" spans="2:11" s="2" customFormat="1" outlineLevel="1" x14ac:dyDescent="0.35">
      <c r="B137" s="715"/>
      <c r="C137" s="717"/>
      <c r="F137" s="30"/>
      <c r="G137" s="3"/>
      <c r="H137" s="1148">
        <f>Qualitätsprüfung!G1276</f>
        <v>1</v>
      </c>
      <c r="I137" s="527">
        <v>0</v>
      </c>
      <c r="J137" s="3"/>
    </row>
    <row r="138" spans="2:11" s="2" customFormat="1" ht="29.5" outlineLevel="1" thickBot="1" x14ac:dyDescent="0.4">
      <c r="B138" s="511" t="s">
        <v>4735</v>
      </c>
      <c r="C138" s="980" t="s">
        <v>5285</v>
      </c>
      <c r="D138" s="301" t="s">
        <v>5289</v>
      </c>
      <c r="E138" s="510" t="s">
        <v>4700</v>
      </c>
      <c r="F138" s="737" t="s">
        <v>4372</v>
      </c>
      <c r="G138" s="609" t="s">
        <v>4372</v>
      </c>
      <c r="H138" s="609" t="s">
        <v>5115</v>
      </c>
      <c r="I138" s="609" t="s">
        <v>5089</v>
      </c>
      <c r="J138" s="508" t="s">
        <v>39</v>
      </c>
      <c r="K138" s="512" t="s">
        <v>4583</v>
      </c>
    </row>
    <row r="139" spans="2:11" s="2" customFormat="1" ht="15" outlineLevel="1" thickTop="1" x14ac:dyDescent="0.35">
      <c r="B139" s="990" t="s">
        <v>4947</v>
      </c>
      <c r="C139" s="993">
        <f>SUMIFS($E$127:$E$129,$C$127:$C$129,B139)</f>
        <v>0</v>
      </c>
      <c r="D139" s="992" t="e">
        <f>C139/$C$146</f>
        <v>#DIV/0!</v>
      </c>
      <c r="E139" s="709" t="s">
        <v>4465</v>
      </c>
      <c r="F139" s="703"/>
      <c r="G139" s="581">
        <f>F139</f>
        <v>0</v>
      </c>
      <c r="H139" s="721">
        <v>0.8</v>
      </c>
      <c r="I139" s="721">
        <v>0.3</v>
      </c>
      <c r="J139" s="649" t="str">
        <f>IF(G139&gt;0,(TREND($H$137:$I$137,H139:I139,G139,1)*D139),"")</f>
        <v/>
      </c>
      <c r="K139" s="21"/>
    </row>
    <row r="140" spans="2:11" s="2" customFormat="1" outlineLevel="1" x14ac:dyDescent="0.35">
      <c r="B140" s="990" t="s">
        <v>4948</v>
      </c>
      <c r="C140" s="994">
        <f t="shared" ref="C140:C145" si="13">SUMIFS($E$127:$E$129,$C$127:$C$129,B140)</f>
        <v>0</v>
      </c>
      <c r="D140" s="992" t="e">
        <f t="shared" ref="D140:D145" si="14">C140/$C$146</f>
        <v>#DIV/0!</v>
      </c>
      <c r="E140" s="709" t="s">
        <v>4713</v>
      </c>
      <c r="F140" s="734"/>
      <c r="G140" s="368">
        <f t="shared" ref="G140:G142" si="15">F140</f>
        <v>0</v>
      </c>
      <c r="H140" s="720">
        <v>5000</v>
      </c>
      <c r="I140" s="720">
        <v>4000</v>
      </c>
      <c r="J140" s="649" t="str">
        <f t="shared" ref="J140:J142" si="16">IF(G140&gt;0,(TREND($H$137:$I$137,H140:I140,G140,1)*D140),"")</f>
        <v/>
      </c>
      <c r="K140" s="21"/>
    </row>
    <row r="141" spans="2:11" s="2" customFormat="1" outlineLevel="1" x14ac:dyDescent="0.35">
      <c r="B141" s="990" t="s">
        <v>4949</v>
      </c>
      <c r="C141" s="994">
        <f t="shared" si="13"/>
        <v>0</v>
      </c>
      <c r="D141" s="992" t="e">
        <f t="shared" si="14"/>
        <v>#DIV/0!</v>
      </c>
      <c r="E141" s="709" t="s">
        <v>4713</v>
      </c>
      <c r="F141" s="734"/>
      <c r="G141" s="368">
        <f t="shared" si="15"/>
        <v>0</v>
      </c>
      <c r="H141" s="720">
        <v>1500</v>
      </c>
      <c r="I141" s="720">
        <v>1000</v>
      </c>
      <c r="J141" s="649" t="str">
        <f t="shared" si="16"/>
        <v/>
      </c>
      <c r="K141" s="21"/>
    </row>
    <row r="142" spans="2:11" s="2" customFormat="1" outlineLevel="1" x14ac:dyDescent="0.35">
      <c r="B142" s="990" t="s">
        <v>4950</v>
      </c>
      <c r="C142" s="994">
        <f t="shared" si="13"/>
        <v>0</v>
      </c>
      <c r="D142" s="992" t="e">
        <f t="shared" si="14"/>
        <v>#DIV/0!</v>
      </c>
      <c r="E142" s="709" t="s">
        <v>4713</v>
      </c>
      <c r="F142" s="734"/>
      <c r="G142" s="368">
        <f t="shared" si="15"/>
        <v>0</v>
      </c>
      <c r="H142" s="720">
        <v>5000</v>
      </c>
      <c r="I142" s="720">
        <v>4000</v>
      </c>
      <c r="J142" s="649" t="str">
        <f t="shared" si="16"/>
        <v/>
      </c>
      <c r="K142" s="21"/>
    </row>
    <row r="143" spans="2:11" s="2" customFormat="1" ht="29" outlineLevel="1" x14ac:dyDescent="0.35">
      <c r="B143" s="990" t="s">
        <v>5105</v>
      </c>
      <c r="C143" s="994">
        <f t="shared" si="13"/>
        <v>0</v>
      </c>
      <c r="D143" s="992" t="e">
        <f t="shared" si="14"/>
        <v>#DIV/0!</v>
      </c>
      <c r="E143" s="738" t="s">
        <v>5091</v>
      </c>
      <c r="F143" s="985" t="s">
        <v>5090</v>
      </c>
      <c r="G143" s="581">
        <f>IF(AND($C$134=1,$C$136="ja"),1,(($C$134*$C$135*0.7)+($C$134*(1-$C$135)*0.3)))</f>
        <v>0</v>
      </c>
      <c r="H143" s="720">
        <v>1</v>
      </c>
      <c r="I143" s="720">
        <v>0</v>
      </c>
      <c r="J143" s="649" t="str">
        <f>IF(G143&gt;0,(TREND($H$137:$I$137,H143:I143,G143,1)*D143),"")</f>
        <v/>
      </c>
      <c r="K143" s="21"/>
    </row>
    <row r="144" spans="2:11" s="2" customFormat="1" ht="29" outlineLevel="1" x14ac:dyDescent="0.35">
      <c r="B144" s="990" t="s">
        <v>5106</v>
      </c>
      <c r="C144" s="994">
        <f t="shared" si="13"/>
        <v>0</v>
      </c>
      <c r="D144" s="992" t="e">
        <f t="shared" si="14"/>
        <v>#DIV/0!</v>
      </c>
      <c r="E144" s="738" t="s">
        <v>5091</v>
      </c>
      <c r="F144" s="985" t="s">
        <v>5090</v>
      </c>
      <c r="G144" s="581">
        <f>IF(AND($D$134=1,$D$136="ja"),1,(($D$134*$D$135*0.7)+($D$134*(1-$D$135)*0.3)))</f>
        <v>0</v>
      </c>
      <c r="H144" s="720">
        <v>1</v>
      </c>
      <c r="I144" s="720">
        <v>0</v>
      </c>
      <c r="J144" s="649" t="str">
        <f>IF(G144&gt;0,(TREND($H$137:$I$137,H144:I144,G144,1)*D144),"")</f>
        <v/>
      </c>
      <c r="K144" s="21"/>
    </row>
    <row r="145" spans="2:11" s="2" customFormat="1" ht="29.5" outlineLevel="1" thickBot="1" x14ac:dyDescent="0.4">
      <c r="B145" s="990" t="s">
        <v>5107</v>
      </c>
      <c r="C145" s="996">
        <f t="shared" si="13"/>
        <v>0</v>
      </c>
      <c r="D145" s="992" t="e">
        <f t="shared" si="14"/>
        <v>#DIV/0!</v>
      </c>
      <c r="E145" s="738" t="s">
        <v>5091</v>
      </c>
      <c r="F145" s="985" t="s">
        <v>5090</v>
      </c>
      <c r="G145" s="581">
        <f>IF(AND($E$134=1,$E$136="ja"),1,(($E$134*$E$135*0.7)+($E$134*(1-$E$135)*0.3)))</f>
        <v>0</v>
      </c>
      <c r="H145" s="720">
        <v>1</v>
      </c>
      <c r="I145" s="720">
        <v>0</v>
      </c>
      <c r="J145" s="649" t="str">
        <f>IF(G145&gt;0,(TREND($H$137:$I$137,H145:I145,G145,1)*D145),"")</f>
        <v/>
      </c>
      <c r="K145" s="21"/>
    </row>
    <row r="146" spans="2:11" s="2" customFormat="1" ht="15" outlineLevel="1" thickTop="1" x14ac:dyDescent="0.35">
      <c r="B146" s="989" t="s">
        <v>2085</v>
      </c>
      <c r="C146" s="995">
        <f>SUM(C139:C145)</f>
        <v>0</v>
      </c>
      <c r="D146" s="732" t="e">
        <f>SUM(D139:D145)</f>
        <v>#DIV/0!</v>
      </c>
      <c r="E146" s="705"/>
      <c r="F146" s="986"/>
      <c r="G146" s="746"/>
      <c r="H146" s="746"/>
      <c r="I146" s="746"/>
      <c r="J146" s="339">
        <f>SUM(J139:J145)</f>
        <v>0</v>
      </c>
      <c r="K146" s="708"/>
    </row>
    <row r="147" spans="2:11" s="1" customFormat="1" x14ac:dyDescent="0.35">
      <c r="G147" s="38"/>
      <c r="H147" s="38"/>
    </row>
    <row r="148" spans="2:11" s="1" customFormat="1" ht="18.5" x14ac:dyDescent="0.45">
      <c r="B148" s="739" t="s">
        <v>5653</v>
      </c>
      <c r="G148" s="38"/>
      <c r="H148" s="38"/>
    </row>
    <row r="149" spans="2:11" s="1" customFormat="1" x14ac:dyDescent="0.35">
      <c r="H149" s="38"/>
    </row>
    <row r="150" spans="2:11" s="1" customFormat="1" outlineLevel="1" x14ac:dyDescent="0.35">
      <c r="B150" s="748" t="s">
        <v>5293</v>
      </c>
      <c r="C150" s="749" t="s">
        <v>5116</v>
      </c>
      <c r="H150" s="38"/>
    </row>
    <row r="151" spans="2:11" s="1" customFormat="1" outlineLevel="1" x14ac:dyDescent="0.35">
      <c r="B151" s="645" t="s">
        <v>5247</v>
      </c>
      <c r="C151" s="505">
        <f>F123</f>
        <v>0</v>
      </c>
      <c r="G151" s="38"/>
      <c r="H151" s="38"/>
    </row>
    <row r="152" spans="2:11" s="1" customFormat="1" outlineLevel="1" x14ac:dyDescent="0.35">
      <c r="B152" s="645" t="s">
        <v>5117</v>
      </c>
      <c r="C152" s="505">
        <f>C139+C140+C141+C142+(C143*G143)+(C144*G144)+(C145*G145)</f>
        <v>0</v>
      </c>
      <c r="G152" s="38"/>
      <c r="H152" s="38"/>
    </row>
    <row r="153" spans="2:11" s="1" customFormat="1" outlineLevel="1" x14ac:dyDescent="0.35">
      <c r="B153" s="752" t="s">
        <v>5118</v>
      </c>
      <c r="C153" s="509" t="e">
        <f>C152/C151</f>
        <v>#DIV/0!</v>
      </c>
      <c r="G153" s="38"/>
      <c r="H153" s="38"/>
    </row>
    <row r="154" spans="2:11" s="1" customFormat="1" outlineLevel="1" x14ac:dyDescent="0.35">
      <c r="B154" s="750" t="s">
        <v>5119</v>
      </c>
      <c r="C154" s="506">
        <f>H123</f>
        <v>0</v>
      </c>
      <c r="D154" s="321">
        <v>0</v>
      </c>
      <c r="E154" s="1147">
        <f>Qualitätsprüfung!G1254</f>
        <v>1</v>
      </c>
      <c r="G154" s="38"/>
      <c r="H154" s="38"/>
    </row>
    <row r="155" spans="2:11" s="1" customFormat="1" ht="15" outlineLevel="1" thickBot="1" x14ac:dyDescent="0.4">
      <c r="B155" s="750" t="s">
        <v>5120</v>
      </c>
      <c r="C155" s="751">
        <f>IFERROR(C154/'RH Gebäude'!AH20,0)</f>
        <v>0</v>
      </c>
      <c r="D155" s="293">
        <v>25</v>
      </c>
      <c r="E155" s="293">
        <v>100</v>
      </c>
      <c r="G155" s="38"/>
      <c r="H155" s="38"/>
    </row>
    <row r="156" spans="2:11" s="1" customFormat="1" ht="15" outlineLevel="1" thickBot="1" x14ac:dyDescent="0.4">
      <c r="B156" s="608" t="s">
        <v>5236</v>
      </c>
      <c r="C156" s="747">
        <f>IF(C155&gt;25,TREND(D154:E154,D155:E155,C155,1),0)</f>
        <v>0</v>
      </c>
      <c r="D156" s="357" t="s">
        <v>5130</v>
      </c>
      <c r="G156" s="38"/>
      <c r="H156" s="38"/>
    </row>
    <row r="157" spans="2:11" s="1" customFormat="1" outlineLevel="1" x14ac:dyDescent="0.35">
      <c r="B157" s="698" t="s">
        <v>5121</v>
      </c>
      <c r="C157" s="1016" t="e">
        <f>H123/'RH Gebäude'!D20</f>
        <v>#DIV/0!</v>
      </c>
      <c r="D157" s="293"/>
      <c r="E157" s="293"/>
      <c r="G157" s="38"/>
      <c r="H157" s="38"/>
    </row>
    <row r="158" spans="2:11" s="1" customFormat="1" ht="15" outlineLevel="1" thickBot="1" x14ac:dyDescent="0.4">
      <c r="B158" s="698" t="s">
        <v>5122</v>
      </c>
      <c r="C158" s="1017" t="e">
        <f>37/(Eckdaten!C23-0.085)+9</f>
        <v>#DIV/0!</v>
      </c>
      <c r="D158" s="293"/>
      <c r="E158" s="293"/>
      <c r="G158" s="38"/>
      <c r="H158" s="38"/>
    </row>
    <row r="159" spans="2:11" s="1" customFormat="1" ht="15" outlineLevel="1" thickBot="1" x14ac:dyDescent="0.4">
      <c r="B159" s="608" t="s">
        <v>5237</v>
      </c>
      <c r="C159" s="747">
        <f>J146</f>
        <v>0</v>
      </c>
      <c r="D159" s="357" t="s">
        <v>5131</v>
      </c>
      <c r="G159" s="38"/>
      <c r="H159" s="38"/>
    </row>
    <row r="160" spans="2:11" s="1" customFormat="1" x14ac:dyDescent="0.35">
      <c r="G160" s="38"/>
      <c r="H160" s="38"/>
    </row>
    <row r="161" spans="7:8" s="1" customFormat="1" x14ac:dyDescent="0.35">
      <c r="G161" s="38"/>
      <c r="H161" s="38"/>
    </row>
    <row r="162" spans="7:8" s="1" customFormat="1" x14ac:dyDescent="0.35">
      <c r="G162" s="38"/>
      <c r="H162" s="38"/>
    </row>
    <row r="163" spans="7:8" s="1" customFormat="1" x14ac:dyDescent="0.35">
      <c r="G163" s="38"/>
      <c r="H163" s="38"/>
    </row>
    <row r="164" spans="7:8" s="1" customFormat="1" x14ac:dyDescent="0.35">
      <c r="G164" s="38"/>
      <c r="H164" s="38"/>
    </row>
    <row r="165" spans="7:8" s="1" customFormat="1" x14ac:dyDescent="0.35">
      <c r="G165" s="38"/>
      <c r="H165" s="38"/>
    </row>
    <row r="166" spans="7:8" s="1" customFormat="1" x14ac:dyDescent="0.35">
      <c r="G166" s="38"/>
      <c r="H166" s="38"/>
    </row>
    <row r="167" spans="7:8" s="1" customFormat="1" x14ac:dyDescent="0.35">
      <c r="G167" s="38"/>
      <c r="H167" s="38"/>
    </row>
    <row r="168" spans="7:8" s="1" customFormat="1" x14ac:dyDescent="0.35">
      <c r="G168" s="38"/>
      <c r="H168" s="38"/>
    </row>
    <row r="169" spans="7:8" s="1" customFormat="1" x14ac:dyDescent="0.35">
      <c r="G169" s="38"/>
      <c r="H169" s="38"/>
    </row>
    <row r="170" spans="7:8" s="1" customFormat="1" x14ac:dyDescent="0.35">
      <c r="G170" s="38"/>
      <c r="H170" s="38"/>
    </row>
    <row r="171" spans="7:8" s="1" customFormat="1" x14ac:dyDescent="0.35">
      <c r="G171" s="38"/>
      <c r="H171" s="38"/>
    </row>
    <row r="172" spans="7:8" s="1" customFormat="1" x14ac:dyDescent="0.35">
      <c r="G172" s="38"/>
      <c r="H172" s="38"/>
    </row>
    <row r="173" spans="7:8" s="1" customFormat="1" x14ac:dyDescent="0.35">
      <c r="G173" s="38"/>
      <c r="H173" s="38"/>
    </row>
    <row r="174" spans="7:8" s="1" customFormat="1" x14ac:dyDescent="0.35">
      <c r="G174" s="38"/>
      <c r="H174" s="38"/>
    </row>
    <row r="175" spans="7:8" s="1" customFormat="1" x14ac:dyDescent="0.35">
      <c r="G175" s="38"/>
      <c r="H175" s="38"/>
    </row>
    <row r="176" spans="7:8" s="1" customFormat="1" x14ac:dyDescent="0.35">
      <c r="G176" s="38"/>
      <c r="H176" s="38"/>
    </row>
    <row r="177" spans="7:8" s="1" customFormat="1" x14ac:dyDescent="0.35">
      <c r="G177" s="38"/>
      <c r="H177" s="38"/>
    </row>
    <row r="178" spans="7:8" s="1" customFormat="1" x14ac:dyDescent="0.35">
      <c r="G178" s="38"/>
      <c r="H178" s="38"/>
    </row>
    <row r="179" spans="7:8" s="1" customFormat="1" x14ac:dyDescent="0.35">
      <c r="G179" s="38"/>
      <c r="H179" s="38"/>
    </row>
    <row r="180" spans="7:8" s="1" customFormat="1" x14ac:dyDescent="0.35">
      <c r="G180" s="38"/>
      <c r="H180" s="38"/>
    </row>
    <row r="181" spans="7:8" s="1" customFormat="1" x14ac:dyDescent="0.35">
      <c r="G181" s="38"/>
      <c r="H181" s="38"/>
    </row>
    <row r="182" spans="7:8" s="1" customFormat="1" x14ac:dyDescent="0.35">
      <c r="G182" s="38"/>
      <c r="H182" s="38"/>
    </row>
    <row r="183" spans="7:8" s="1" customFormat="1" x14ac:dyDescent="0.35">
      <c r="G183" s="38"/>
      <c r="H183" s="38"/>
    </row>
    <row r="184" spans="7:8" s="1" customFormat="1" x14ac:dyDescent="0.35">
      <c r="G184" s="38"/>
      <c r="H184" s="38"/>
    </row>
    <row r="185" spans="7:8" s="1" customFormat="1" x14ac:dyDescent="0.35">
      <c r="G185" s="38"/>
      <c r="H185" s="38"/>
    </row>
    <row r="186" spans="7:8" s="1" customFormat="1" x14ac:dyDescent="0.35">
      <c r="G186" s="38"/>
      <c r="H186" s="38"/>
    </row>
    <row r="187" spans="7:8" s="1" customFormat="1" x14ac:dyDescent="0.35">
      <c r="G187" s="38"/>
      <c r="H187" s="38"/>
    </row>
    <row r="188" spans="7:8" s="1" customFormat="1" x14ac:dyDescent="0.35">
      <c r="G188" s="38"/>
      <c r="H188" s="38"/>
    </row>
    <row r="189" spans="7:8" s="1" customFormat="1" x14ac:dyDescent="0.35">
      <c r="G189" s="38"/>
      <c r="H189" s="38"/>
    </row>
    <row r="190" spans="7:8" s="1" customFormat="1" x14ac:dyDescent="0.35">
      <c r="G190" s="38"/>
      <c r="H190" s="38"/>
    </row>
    <row r="191" spans="7:8" s="1" customFormat="1" x14ac:dyDescent="0.35">
      <c r="G191" s="38"/>
      <c r="H191" s="38"/>
    </row>
    <row r="192" spans="7:8" s="1" customFormat="1" x14ac:dyDescent="0.35">
      <c r="G192" s="38"/>
      <c r="H192" s="38"/>
    </row>
    <row r="193" spans="7:8" s="1" customFormat="1" x14ac:dyDescent="0.35">
      <c r="G193" s="38"/>
      <c r="H193" s="38"/>
    </row>
    <row r="194" spans="7:8" s="1" customFormat="1" x14ac:dyDescent="0.35">
      <c r="G194" s="38"/>
      <c r="H194" s="38"/>
    </row>
    <row r="195" spans="7:8" s="1" customFormat="1" x14ac:dyDescent="0.35">
      <c r="G195" s="38"/>
      <c r="H195" s="38"/>
    </row>
    <row r="196" spans="7:8" s="1" customFormat="1" x14ac:dyDescent="0.35">
      <c r="G196" s="38"/>
      <c r="H196" s="38"/>
    </row>
    <row r="197" spans="7:8" s="1" customFormat="1" x14ac:dyDescent="0.35">
      <c r="G197" s="38"/>
      <c r="H197" s="38"/>
    </row>
    <row r="198" spans="7:8" s="1" customFormat="1" x14ac:dyDescent="0.35">
      <c r="G198" s="38"/>
      <c r="H198" s="38"/>
    </row>
    <row r="199" spans="7:8" s="1" customFormat="1" x14ac:dyDescent="0.35">
      <c r="G199" s="38"/>
      <c r="H199" s="38"/>
    </row>
    <row r="200" spans="7:8" s="1" customFormat="1" x14ac:dyDescent="0.35">
      <c r="G200" s="38"/>
      <c r="H200" s="38"/>
    </row>
    <row r="201" spans="7:8" s="1" customFormat="1" x14ac:dyDescent="0.35">
      <c r="G201" s="38"/>
      <c r="H201" s="38"/>
    </row>
    <row r="202" spans="7:8" s="1" customFormat="1" x14ac:dyDescent="0.35">
      <c r="G202" s="38"/>
      <c r="H202" s="38"/>
    </row>
    <row r="203" spans="7:8" s="1" customFormat="1" x14ac:dyDescent="0.35">
      <c r="G203" s="38"/>
      <c r="H203" s="38"/>
    </row>
    <row r="204" spans="7:8" s="1" customFormat="1" x14ac:dyDescent="0.35">
      <c r="G204" s="38"/>
      <c r="H204" s="38"/>
    </row>
    <row r="205" spans="7:8" s="1" customFormat="1" x14ac:dyDescent="0.35">
      <c r="G205" s="38"/>
      <c r="H205" s="38"/>
    </row>
    <row r="206" spans="7:8" s="1" customFormat="1" x14ac:dyDescent="0.35">
      <c r="G206" s="38"/>
      <c r="H206" s="38"/>
    </row>
    <row r="207" spans="7:8" s="1" customFormat="1" x14ac:dyDescent="0.35">
      <c r="G207" s="38"/>
      <c r="H207" s="38"/>
    </row>
    <row r="208" spans="7:8" s="1" customFormat="1" x14ac:dyDescent="0.35">
      <c r="G208" s="38"/>
      <c r="H208" s="38"/>
    </row>
    <row r="209" spans="7:8" s="1" customFormat="1" x14ac:dyDescent="0.35">
      <c r="G209" s="38"/>
      <c r="H209" s="38"/>
    </row>
    <row r="210" spans="7:8" s="1" customFormat="1" x14ac:dyDescent="0.35">
      <c r="G210" s="38"/>
      <c r="H210" s="38"/>
    </row>
    <row r="211" spans="7:8" s="1" customFormat="1" x14ac:dyDescent="0.35">
      <c r="G211" s="38"/>
      <c r="H211" s="38"/>
    </row>
    <row r="212" spans="7:8" s="1" customFormat="1" x14ac:dyDescent="0.35">
      <c r="G212" s="38"/>
      <c r="H212" s="38"/>
    </row>
    <row r="213" spans="7:8" s="1" customFormat="1" x14ac:dyDescent="0.35">
      <c r="G213" s="38"/>
      <c r="H213" s="38"/>
    </row>
    <row r="214" spans="7:8" s="1" customFormat="1" x14ac:dyDescent="0.35">
      <c r="G214" s="38"/>
      <c r="H214" s="38"/>
    </row>
    <row r="215" spans="7:8" s="1" customFormat="1" x14ac:dyDescent="0.35">
      <c r="G215" s="38"/>
      <c r="H215" s="38"/>
    </row>
    <row r="216" spans="7:8" s="1" customFormat="1" x14ac:dyDescent="0.35">
      <c r="G216" s="38"/>
      <c r="H216" s="38"/>
    </row>
    <row r="217" spans="7:8" s="1" customFormat="1" x14ac:dyDescent="0.35">
      <c r="G217" s="38"/>
      <c r="H217" s="38"/>
    </row>
    <row r="218" spans="7:8" s="1" customFormat="1" x14ac:dyDescent="0.35">
      <c r="G218" s="38"/>
      <c r="H218" s="38"/>
    </row>
    <row r="219" spans="7:8" s="1" customFormat="1" x14ac:dyDescent="0.35">
      <c r="G219" s="38"/>
      <c r="H219" s="38"/>
    </row>
    <row r="220" spans="7:8" s="1" customFormat="1" x14ac:dyDescent="0.35">
      <c r="G220" s="38"/>
      <c r="H220" s="38"/>
    </row>
    <row r="221" spans="7:8" s="1" customFormat="1" x14ac:dyDescent="0.35">
      <c r="G221" s="38"/>
      <c r="H221" s="38"/>
    </row>
    <row r="222" spans="7:8" s="1" customFormat="1" x14ac:dyDescent="0.35">
      <c r="G222" s="38"/>
      <c r="H222" s="38"/>
    </row>
    <row r="223" spans="7:8" s="1" customFormat="1" x14ac:dyDescent="0.35">
      <c r="G223" s="38"/>
      <c r="H223" s="38"/>
    </row>
    <row r="224" spans="7:8" s="1" customFormat="1" x14ac:dyDescent="0.35">
      <c r="G224" s="38"/>
      <c r="H224" s="38"/>
    </row>
    <row r="225" spans="7:8" s="1" customFormat="1" x14ac:dyDescent="0.35">
      <c r="G225" s="38"/>
      <c r="H225" s="38"/>
    </row>
    <row r="226" spans="7:8" s="1" customFormat="1" x14ac:dyDescent="0.35">
      <c r="G226" s="38"/>
      <c r="H226" s="38"/>
    </row>
    <row r="227" spans="7:8" s="1" customFormat="1" x14ac:dyDescent="0.35">
      <c r="G227" s="38"/>
      <c r="H227" s="38"/>
    </row>
    <row r="228" spans="7:8" s="1" customFormat="1" x14ac:dyDescent="0.35">
      <c r="G228" s="38"/>
      <c r="H228" s="38"/>
    </row>
    <row r="229" spans="7:8" s="1" customFormat="1" x14ac:dyDescent="0.35">
      <c r="G229" s="38"/>
      <c r="H229" s="38"/>
    </row>
    <row r="230" spans="7:8" s="1" customFormat="1" x14ac:dyDescent="0.35">
      <c r="G230" s="38"/>
      <c r="H230" s="38"/>
    </row>
    <row r="231" spans="7:8" s="1" customFormat="1" x14ac:dyDescent="0.35">
      <c r="G231" s="38"/>
      <c r="H231" s="38"/>
    </row>
    <row r="232" spans="7:8" s="1" customFormat="1" x14ac:dyDescent="0.35">
      <c r="G232" s="38"/>
      <c r="H232" s="38"/>
    </row>
    <row r="233" spans="7:8" s="1" customFormat="1" x14ac:dyDescent="0.35">
      <c r="G233" s="38"/>
      <c r="H233" s="38"/>
    </row>
    <row r="234" spans="7:8" s="1" customFormat="1" x14ac:dyDescent="0.35">
      <c r="G234" s="38"/>
      <c r="H234" s="38"/>
    </row>
    <row r="235" spans="7:8" s="1" customFormat="1" x14ac:dyDescent="0.35">
      <c r="G235" s="38"/>
      <c r="H235" s="38"/>
    </row>
    <row r="236" spans="7:8" s="1" customFormat="1" x14ac:dyDescent="0.35">
      <c r="G236" s="38"/>
      <c r="H236" s="38"/>
    </row>
    <row r="237" spans="7:8" s="1" customFormat="1" x14ac:dyDescent="0.35">
      <c r="G237" s="38"/>
      <c r="H237" s="38"/>
    </row>
    <row r="238" spans="7:8" s="1" customFormat="1" x14ac:dyDescent="0.35">
      <c r="G238" s="38"/>
      <c r="H238" s="38"/>
    </row>
    <row r="239" spans="7:8" s="1" customFormat="1" x14ac:dyDescent="0.35">
      <c r="G239" s="38"/>
      <c r="H239" s="38"/>
    </row>
    <row r="240" spans="7:8" s="1" customFormat="1" x14ac:dyDescent="0.35">
      <c r="G240" s="38"/>
      <c r="H240" s="38"/>
    </row>
    <row r="241" spans="7:8" s="1" customFormat="1" x14ac:dyDescent="0.35">
      <c r="G241" s="38"/>
      <c r="H241" s="38"/>
    </row>
    <row r="242" spans="7:8" s="1" customFormat="1" x14ac:dyDescent="0.35">
      <c r="G242" s="38"/>
      <c r="H242" s="38"/>
    </row>
    <row r="243" spans="7:8" s="1" customFormat="1" x14ac:dyDescent="0.35">
      <c r="G243" s="38"/>
      <c r="H243" s="38"/>
    </row>
    <row r="244" spans="7:8" s="1" customFormat="1" x14ac:dyDescent="0.35">
      <c r="G244" s="38"/>
      <c r="H244" s="38"/>
    </row>
    <row r="245" spans="7:8" s="1" customFormat="1" x14ac:dyDescent="0.35">
      <c r="G245" s="38"/>
      <c r="H245" s="38"/>
    </row>
    <row r="246" spans="7:8" s="1" customFormat="1" x14ac:dyDescent="0.35">
      <c r="G246" s="38"/>
      <c r="H246" s="38"/>
    </row>
    <row r="247" spans="7:8" s="1" customFormat="1" x14ac:dyDescent="0.35">
      <c r="G247" s="38"/>
      <c r="H247" s="38"/>
    </row>
    <row r="248" spans="7:8" s="1" customFormat="1" x14ac:dyDescent="0.35">
      <c r="G248" s="38"/>
      <c r="H248" s="38"/>
    </row>
    <row r="249" spans="7:8" s="1" customFormat="1" x14ac:dyDescent="0.35">
      <c r="G249" s="38"/>
      <c r="H249" s="38"/>
    </row>
    <row r="250" spans="7:8" s="1" customFormat="1" x14ac:dyDescent="0.35">
      <c r="G250" s="38"/>
      <c r="H250" s="38"/>
    </row>
    <row r="251" spans="7:8" s="1" customFormat="1" x14ac:dyDescent="0.35">
      <c r="G251" s="38"/>
      <c r="H251" s="38"/>
    </row>
    <row r="252" spans="7:8" s="1" customFormat="1" x14ac:dyDescent="0.35">
      <c r="G252" s="38"/>
      <c r="H252" s="38"/>
    </row>
    <row r="253" spans="7:8" s="1" customFormat="1" x14ac:dyDescent="0.35">
      <c r="G253" s="38"/>
      <c r="H253" s="38"/>
    </row>
    <row r="254" spans="7:8" s="1" customFormat="1" x14ac:dyDescent="0.35">
      <c r="G254" s="38"/>
      <c r="H254" s="38"/>
    </row>
    <row r="255" spans="7:8" s="1" customFormat="1" x14ac:dyDescent="0.35">
      <c r="G255" s="38"/>
      <c r="H255" s="38"/>
    </row>
    <row r="256" spans="7:8" s="1" customFormat="1" x14ac:dyDescent="0.35">
      <c r="G256" s="38"/>
      <c r="H256" s="38"/>
    </row>
    <row r="257" spans="7:8" s="1" customFormat="1" x14ac:dyDescent="0.35">
      <c r="G257" s="38"/>
      <c r="H257" s="38"/>
    </row>
    <row r="258" spans="7:8" s="1" customFormat="1" x14ac:dyDescent="0.35">
      <c r="G258" s="38"/>
      <c r="H258" s="38"/>
    </row>
    <row r="259" spans="7:8" s="1" customFormat="1" x14ac:dyDescent="0.35">
      <c r="G259" s="38"/>
      <c r="H259" s="38"/>
    </row>
    <row r="260" spans="7:8" s="1" customFormat="1" x14ac:dyDescent="0.35">
      <c r="G260" s="38"/>
      <c r="H260" s="38"/>
    </row>
    <row r="261" spans="7:8" s="1" customFormat="1" x14ac:dyDescent="0.35">
      <c r="G261" s="38"/>
      <c r="H261" s="38"/>
    </row>
    <row r="262" spans="7:8" s="1" customFormat="1" x14ac:dyDescent="0.35">
      <c r="G262" s="38"/>
      <c r="H262" s="38"/>
    </row>
    <row r="263" spans="7:8" s="1" customFormat="1" x14ac:dyDescent="0.35">
      <c r="G263" s="38"/>
      <c r="H263" s="38"/>
    </row>
    <row r="264" spans="7:8" s="1" customFormat="1" x14ac:dyDescent="0.35">
      <c r="G264" s="38"/>
      <c r="H264" s="38"/>
    </row>
    <row r="265" spans="7:8" s="1" customFormat="1" x14ac:dyDescent="0.35">
      <c r="G265" s="38"/>
      <c r="H265" s="38"/>
    </row>
    <row r="266" spans="7:8" s="1" customFormat="1" x14ac:dyDescent="0.35">
      <c r="G266" s="38"/>
      <c r="H266" s="38"/>
    </row>
    <row r="267" spans="7:8" s="1" customFormat="1" x14ac:dyDescent="0.35">
      <c r="G267" s="38"/>
      <c r="H267" s="38"/>
    </row>
    <row r="268" spans="7:8" s="1" customFormat="1" x14ac:dyDescent="0.35">
      <c r="G268" s="38"/>
      <c r="H268" s="38"/>
    </row>
    <row r="269" spans="7:8" s="1" customFormat="1" x14ac:dyDescent="0.35">
      <c r="G269" s="38"/>
      <c r="H269" s="38"/>
    </row>
    <row r="270" spans="7:8" s="1" customFormat="1" x14ac:dyDescent="0.35">
      <c r="G270" s="38"/>
      <c r="H270" s="38"/>
    </row>
    <row r="271" spans="7:8" s="1" customFormat="1" x14ac:dyDescent="0.35">
      <c r="G271" s="38"/>
      <c r="H271" s="38"/>
    </row>
    <row r="272" spans="7:8" s="1" customFormat="1" x14ac:dyDescent="0.35">
      <c r="G272" s="38"/>
      <c r="H272" s="38"/>
    </row>
    <row r="273" spans="7:8" s="1" customFormat="1" x14ac:dyDescent="0.35">
      <c r="G273" s="38"/>
      <c r="H273" s="38"/>
    </row>
    <row r="274" spans="7:8" s="1" customFormat="1" x14ac:dyDescent="0.35">
      <c r="G274" s="38"/>
      <c r="H274" s="38"/>
    </row>
    <row r="275" spans="7:8" s="1" customFormat="1" x14ac:dyDescent="0.35">
      <c r="G275" s="38"/>
      <c r="H275" s="38"/>
    </row>
    <row r="276" spans="7:8" s="1" customFormat="1" x14ac:dyDescent="0.35">
      <c r="G276" s="38"/>
      <c r="H276" s="38"/>
    </row>
    <row r="277" spans="7:8" s="1" customFormat="1" x14ac:dyDescent="0.35">
      <c r="G277" s="38"/>
      <c r="H277" s="38"/>
    </row>
    <row r="278" spans="7:8" s="1" customFormat="1" x14ac:dyDescent="0.35">
      <c r="G278" s="38"/>
      <c r="H278" s="38"/>
    </row>
    <row r="279" spans="7:8" s="1" customFormat="1" x14ac:dyDescent="0.35">
      <c r="G279" s="38"/>
      <c r="H279" s="38"/>
    </row>
    <row r="280" spans="7:8" s="1" customFormat="1" x14ac:dyDescent="0.35">
      <c r="G280" s="38"/>
      <c r="H280" s="38"/>
    </row>
    <row r="281" spans="7:8" s="1" customFormat="1" x14ac:dyDescent="0.35">
      <c r="G281" s="38"/>
      <c r="H281" s="38"/>
    </row>
    <row r="282" spans="7:8" s="1" customFormat="1" x14ac:dyDescent="0.35">
      <c r="G282" s="38"/>
      <c r="H282" s="38"/>
    </row>
    <row r="283" spans="7:8" s="1" customFormat="1" x14ac:dyDescent="0.35">
      <c r="G283" s="38"/>
      <c r="H283" s="38"/>
    </row>
    <row r="284" spans="7:8" s="1" customFormat="1" x14ac:dyDescent="0.35">
      <c r="G284" s="38"/>
      <c r="H284" s="38"/>
    </row>
    <row r="285" spans="7:8" s="1" customFormat="1" x14ac:dyDescent="0.35">
      <c r="G285" s="38"/>
      <c r="H285" s="38"/>
    </row>
    <row r="286" spans="7:8" s="1" customFormat="1" x14ac:dyDescent="0.35">
      <c r="G286" s="38"/>
      <c r="H286" s="38"/>
    </row>
    <row r="287" spans="7:8" s="1" customFormat="1" x14ac:dyDescent="0.35">
      <c r="G287" s="38"/>
      <c r="H287" s="38"/>
    </row>
    <row r="288" spans="7:8" s="1" customFormat="1" x14ac:dyDescent="0.35">
      <c r="G288" s="38"/>
      <c r="H288" s="38"/>
    </row>
    <row r="289" spans="7:8" s="1" customFormat="1" x14ac:dyDescent="0.35">
      <c r="G289" s="38"/>
      <c r="H289" s="38"/>
    </row>
    <row r="290" spans="7:8" s="1" customFormat="1" x14ac:dyDescent="0.35">
      <c r="G290" s="38"/>
      <c r="H290" s="38"/>
    </row>
    <row r="291" spans="7:8" s="1" customFormat="1" x14ac:dyDescent="0.35">
      <c r="G291" s="38"/>
      <c r="H291" s="38"/>
    </row>
    <row r="292" spans="7:8" s="1" customFormat="1" x14ac:dyDescent="0.35">
      <c r="G292" s="38"/>
      <c r="H292" s="38"/>
    </row>
    <row r="293" spans="7:8" s="1" customFormat="1" x14ac:dyDescent="0.35">
      <c r="G293" s="38"/>
      <c r="H293" s="38"/>
    </row>
    <row r="294" spans="7:8" s="1" customFormat="1" x14ac:dyDescent="0.35">
      <c r="G294" s="38"/>
      <c r="H294" s="38"/>
    </row>
    <row r="295" spans="7:8" s="1" customFormat="1" x14ac:dyDescent="0.35">
      <c r="G295" s="38"/>
      <c r="H295" s="38"/>
    </row>
    <row r="296" spans="7:8" s="1" customFormat="1" x14ac:dyDescent="0.35">
      <c r="G296" s="38"/>
      <c r="H296" s="38"/>
    </row>
    <row r="297" spans="7:8" s="1" customFormat="1" x14ac:dyDescent="0.35">
      <c r="G297" s="38"/>
      <c r="H297" s="38"/>
    </row>
    <row r="298" spans="7:8" s="1" customFormat="1" x14ac:dyDescent="0.35">
      <c r="G298" s="38"/>
      <c r="H298" s="38"/>
    </row>
    <row r="299" spans="7:8" s="1" customFormat="1" x14ac:dyDescent="0.35">
      <c r="G299" s="38"/>
      <c r="H299" s="38"/>
    </row>
    <row r="300" spans="7:8" s="1" customFormat="1" x14ac:dyDescent="0.35">
      <c r="G300" s="38"/>
      <c r="H300" s="38"/>
    </row>
    <row r="301" spans="7:8" s="1" customFormat="1" x14ac:dyDescent="0.35">
      <c r="G301" s="38"/>
      <c r="H301" s="38"/>
    </row>
    <row r="302" spans="7:8" s="1" customFormat="1" x14ac:dyDescent="0.35">
      <c r="G302" s="38"/>
      <c r="H302" s="38"/>
    </row>
    <row r="303" spans="7:8" s="1" customFormat="1" x14ac:dyDescent="0.35">
      <c r="G303" s="38"/>
      <c r="H303" s="38"/>
    </row>
    <row r="304" spans="7:8" s="1" customFormat="1" x14ac:dyDescent="0.35">
      <c r="G304" s="38"/>
      <c r="H304" s="38"/>
    </row>
    <row r="305" spans="7:8" s="1" customFormat="1" x14ac:dyDescent="0.35">
      <c r="G305" s="38"/>
      <c r="H305" s="38"/>
    </row>
    <row r="306" spans="7:8" s="1" customFormat="1" x14ac:dyDescent="0.35">
      <c r="G306" s="38"/>
      <c r="H306" s="38"/>
    </row>
    <row r="307" spans="7:8" s="1" customFormat="1" x14ac:dyDescent="0.35">
      <c r="G307" s="38"/>
      <c r="H307" s="38"/>
    </row>
    <row r="308" spans="7:8" s="1" customFormat="1" x14ac:dyDescent="0.35">
      <c r="G308" s="38"/>
      <c r="H308" s="38"/>
    </row>
    <row r="309" spans="7:8" s="1" customFormat="1" x14ac:dyDescent="0.35">
      <c r="G309" s="38"/>
      <c r="H309" s="38"/>
    </row>
    <row r="310" spans="7:8" s="1" customFormat="1" x14ac:dyDescent="0.35">
      <c r="G310" s="38"/>
      <c r="H310" s="38"/>
    </row>
    <row r="311" spans="7:8" s="1" customFormat="1" x14ac:dyDescent="0.35">
      <c r="G311" s="38"/>
      <c r="H311" s="38"/>
    </row>
    <row r="312" spans="7:8" s="1" customFormat="1" x14ac:dyDescent="0.35">
      <c r="G312" s="38"/>
      <c r="H312" s="38"/>
    </row>
    <row r="313" spans="7:8" s="1" customFormat="1" x14ac:dyDescent="0.35">
      <c r="G313" s="38"/>
      <c r="H313" s="38"/>
    </row>
    <row r="314" spans="7:8" s="1" customFormat="1" x14ac:dyDescent="0.35">
      <c r="G314" s="38"/>
      <c r="H314" s="38"/>
    </row>
    <row r="315" spans="7:8" s="1" customFormat="1" x14ac:dyDescent="0.35">
      <c r="G315" s="38"/>
      <c r="H315" s="38"/>
    </row>
    <row r="316" spans="7:8" s="1" customFormat="1" x14ac:dyDescent="0.35">
      <c r="G316" s="38"/>
      <c r="H316" s="38"/>
    </row>
    <row r="317" spans="7:8" s="1" customFormat="1" x14ac:dyDescent="0.35">
      <c r="G317" s="38"/>
      <c r="H317" s="38"/>
    </row>
    <row r="318" spans="7:8" s="1" customFormat="1" x14ac:dyDescent="0.35">
      <c r="G318" s="38"/>
      <c r="H318" s="38"/>
    </row>
    <row r="319" spans="7:8" s="1" customFormat="1" x14ac:dyDescent="0.35">
      <c r="G319" s="38"/>
      <c r="H319" s="38"/>
    </row>
    <row r="320" spans="7:8" s="1" customFormat="1" x14ac:dyDescent="0.35">
      <c r="G320" s="38"/>
      <c r="H320" s="38"/>
    </row>
    <row r="321" spans="7:8" s="1" customFormat="1" x14ac:dyDescent="0.35">
      <c r="G321" s="38"/>
      <c r="H321" s="38"/>
    </row>
    <row r="322" spans="7:8" s="1" customFormat="1" x14ac:dyDescent="0.35">
      <c r="G322" s="38"/>
      <c r="H322" s="38"/>
    </row>
    <row r="323" spans="7:8" s="1" customFormat="1" x14ac:dyDescent="0.35">
      <c r="G323" s="38"/>
      <c r="H323" s="38"/>
    </row>
    <row r="324" spans="7:8" s="1" customFormat="1" x14ac:dyDescent="0.35">
      <c r="G324" s="38"/>
      <c r="H324" s="38"/>
    </row>
    <row r="325" spans="7:8" s="1" customFormat="1" x14ac:dyDescent="0.35">
      <c r="G325" s="38"/>
      <c r="H325" s="38"/>
    </row>
    <row r="326" spans="7:8" s="1" customFormat="1" x14ac:dyDescent="0.35">
      <c r="G326" s="38"/>
      <c r="H326" s="38"/>
    </row>
    <row r="327" spans="7:8" s="1" customFormat="1" x14ac:dyDescent="0.35">
      <c r="G327" s="38"/>
      <c r="H327" s="38"/>
    </row>
    <row r="328" spans="7:8" s="1" customFormat="1" x14ac:dyDescent="0.35">
      <c r="G328" s="38"/>
      <c r="H328" s="38"/>
    </row>
    <row r="329" spans="7:8" s="1" customFormat="1" x14ac:dyDescent="0.35">
      <c r="G329" s="38"/>
      <c r="H329" s="38"/>
    </row>
    <row r="330" spans="7:8" s="1" customFormat="1" x14ac:dyDescent="0.35">
      <c r="G330" s="38"/>
      <c r="H330" s="38"/>
    </row>
    <row r="331" spans="7:8" s="1" customFormat="1" x14ac:dyDescent="0.35">
      <c r="G331" s="38"/>
      <c r="H331" s="38"/>
    </row>
    <row r="332" spans="7:8" s="1" customFormat="1" x14ac:dyDescent="0.35">
      <c r="G332" s="38"/>
      <c r="H332" s="38"/>
    </row>
    <row r="333" spans="7:8" s="1" customFormat="1" x14ac:dyDescent="0.35">
      <c r="G333" s="38"/>
      <c r="H333" s="38"/>
    </row>
    <row r="334" spans="7:8" s="1" customFormat="1" x14ac:dyDescent="0.35">
      <c r="G334" s="38"/>
      <c r="H334" s="38"/>
    </row>
    <row r="335" spans="7:8" s="1" customFormat="1" x14ac:dyDescent="0.35">
      <c r="G335" s="38"/>
      <c r="H335" s="38"/>
    </row>
    <row r="336" spans="7:8" s="1" customFormat="1" x14ac:dyDescent="0.35">
      <c r="G336" s="38"/>
      <c r="H336" s="38"/>
    </row>
    <row r="337" spans="7:8" s="1" customFormat="1" x14ac:dyDescent="0.35">
      <c r="G337" s="38"/>
      <c r="H337" s="38"/>
    </row>
    <row r="338" spans="7:8" s="1" customFormat="1" x14ac:dyDescent="0.35">
      <c r="G338" s="38"/>
      <c r="H338" s="38"/>
    </row>
    <row r="339" spans="7:8" s="1" customFormat="1" x14ac:dyDescent="0.35">
      <c r="G339" s="38"/>
      <c r="H339" s="38"/>
    </row>
    <row r="340" spans="7:8" s="1" customFormat="1" x14ac:dyDescent="0.35">
      <c r="G340" s="38"/>
      <c r="H340" s="38"/>
    </row>
    <row r="341" spans="7:8" s="1" customFormat="1" x14ac:dyDescent="0.35">
      <c r="G341" s="38"/>
      <c r="H341" s="38"/>
    </row>
    <row r="342" spans="7:8" s="1" customFormat="1" x14ac:dyDescent="0.35">
      <c r="G342" s="38"/>
      <c r="H342" s="38"/>
    </row>
    <row r="343" spans="7:8" s="1" customFormat="1" x14ac:dyDescent="0.35">
      <c r="G343" s="38"/>
      <c r="H343" s="38"/>
    </row>
    <row r="344" spans="7:8" s="1" customFormat="1" x14ac:dyDescent="0.35">
      <c r="G344" s="38"/>
      <c r="H344" s="38"/>
    </row>
    <row r="345" spans="7:8" s="1" customFormat="1" x14ac:dyDescent="0.35">
      <c r="G345" s="38"/>
      <c r="H345" s="38"/>
    </row>
    <row r="346" spans="7:8" s="1" customFormat="1" x14ac:dyDescent="0.35">
      <c r="G346" s="38"/>
      <c r="H346" s="38"/>
    </row>
    <row r="347" spans="7:8" s="1" customFormat="1" x14ac:dyDescent="0.35">
      <c r="G347" s="38"/>
      <c r="H347" s="38"/>
    </row>
    <row r="348" spans="7:8" s="1" customFormat="1" x14ac:dyDescent="0.35">
      <c r="G348" s="38"/>
      <c r="H348" s="38"/>
    </row>
    <row r="349" spans="7:8" s="1" customFormat="1" x14ac:dyDescent="0.35">
      <c r="G349" s="38"/>
      <c r="H349" s="38"/>
    </row>
    <row r="350" spans="7:8" s="1" customFormat="1" x14ac:dyDescent="0.35">
      <c r="G350" s="38"/>
      <c r="H350" s="38"/>
    </row>
    <row r="351" spans="7:8" s="1" customFormat="1" x14ac:dyDescent="0.35">
      <c r="G351" s="38"/>
      <c r="H351" s="38"/>
    </row>
    <row r="352" spans="7:8" s="1" customFormat="1" x14ac:dyDescent="0.35">
      <c r="G352" s="38"/>
      <c r="H352" s="38"/>
    </row>
    <row r="353" spans="7:8" s="1" customFormat="1" x14ac:dyDescent="0.35">
      <c r="G353" s="38"/>
      <c r="H353" s="38"/>
    </row>
    <row r="354" spans="7:8" s="1" customFormat="1" x14ac:dyDescent="0.35">
      <c r="G354" s="38"/>
      <c r="H354" s="38"/>
    </row>
    <row r="355" spans="7:8" s="1" customFormat="1" x14ac:dyDescent="0.35">
      <c r="G355" s="38"/>
      <c r="H355" s="38"/>
    </row>
    <row r="356" spans="7:8" s="1" customFormat="1" x14ac:dyDescent="0.35">
      <c r="G356" s="38"/>
      <c r="H356" s="38"/>
    </row>
    <row r="357" spans="7:8" s="1" customFormat="1" x14ac:dyDescent="0.35">
      <c r="G357" s="38"/>
      <c r="H357" s="38"/>
    </row>
    <row r="358" spans="7:8" s="1" customFormat="1" x14ac:dyDescent="0.35">
      <c r="G358" s="38"/>
      <c r="H358" s="38"/>
    </row>
    <row r="359" spans="7:8" s="1" customFormat="1" x14ac:dyDescent="0.35">
      <c r="G359" s="38"/>
      <c r="H359" s="38"/>
    </row>
    <row r="360" spans="7:8" s="1" customFormat="1" x14ac:dyDescent="0.35">
      <c r="G360" s="38"/>
      <c r="H360" s="38"/>
    </row>
    <row r="361" spans="7:8" s="1" customFormat="1" x14ac:dyDescent="0.35">
      <c r="G361" s="38"/>
      <c r="H361" s="38"/>
    </row>
    <row r="362" spans="7:8" s="1" customFormat="1" x14ac:dyDescent="0.35">
      <c r="G362" s="38"/>
      <c r="H362" s="38"/>
    </row>
    <row r="363" spans="7:8" s="1" customFormat="1" x14ac:dyDescent="0.35">
      <c r="G363" s="38"/>
      <c r="H363" s="38"/>
    </row>
    <row r="364" spans="7:8" s="1" customFormat="1" x14ac:dyDescent="0.35">
      <c r="G364" s="38"/>
      <c r="H364" s="38"/>
    </row>
    <row r="365" spans="7:8" s="1" customFormat="1" x14ac:dyDescent="0.35">
      <c r="G365" s="38"/>
      <c r="H365" s="38"/>
    </row>
    <row r="366" spans="7:8" s="1" customFormat="1" x14ac:dyDescent="0.35">
      <c r="G366" s="38"/>
      <c r="H366" s="38"/>
    </row>
    <row r="367" spans="7:8" s="1" customFormat="1" x14ac:dyDescent="0.35">
      <c r="G367" s="38"/>
      <c r="H367" s="38"/>
    </row>
    <row r="368" spans="7:8" s="1" customFormat="1" x14ac:dyDescent="0.35">
      <c r="G368" s="38"/>
      <c r="H368" s="38"/>
    </row>
    <row r="369" spans="7:8" s="1" customFormat="1" x14ac:dyDescent="0.35">
      <c r="G369" s="38"/>
      <c r="H369" s="38"/>
    </row>
    <row r="370" spans="7:8" s="1" customFormat="1" x14ac:dyDescent="0.35">
      <c r="G370" s="38"/>
      <c r="H370" s="38"/>
    </row>
    <row r="371" spans="7:8" s="1" customFormat="1" x14ac:dyDescent="0.35">
      <c r="G371" s="38"/>
      <c r="H371" s="38"/>
    </row>
    <row r="372" spans="7:8" s="1" customFormat="1" x14ac:dyDescent="0.35">
      <c r="G372" s="38"/>
      <c r="H372" s="38"/>
    </row>
    <row r="373" spans="7:8" s="1" customFormat="1" x14ac:dyDescent="0.35">
      <c r="G373" s="38"/>
      <c r="H373" s="38"/>
    </row>
    <row r="374" spans="7:8" s="1" customFormat="1" x14ac:dyDescent="0.35">
      <c r="G374" s="38"/>
      <c r="H374" s="38"/>
    </row>
    <row r="375" spans="7:8" s="1" customFormat="1" x14ac:dyDescent="0.35">
      <c r="G375" s="38"/>
      <c r="H375" s="38"/>
    </row>
    <row r="376" spans="7:8" s="1" customFormat="1" x14ac:dyDescent="0.35">
      <c r="G376" s="38"/>
      <c r="H376" s="38"/>
    </row>
    <row r="377" spans="7:8" s="1" customFormat="1" x14ac:dyDescent="0.35">
      <c r="G377" s="38"/>
      <c r="H377" s="38"/>
    </row>
    <row r="378" spans="7:8" s="1" customFormat="1" x14ac:dyDescent="0.35">
      <c r="G378" s="38"/>
      <c r="H378" s="38"/>
    </row>
    <row r="379" spans="7:8" s="1" customFormat="1" x14ac:dyDescent="0.35">
      <c r="G379" s="38"/>
      <c r="H379" s="38"/>
    </row>
    <row r="380" spans="7:8" s="1" customFormat="1" x14ac:dyDescent="0.35">
      <c r="G380" s="38"/>
      <c r="H380" s="38"/>
    </row>
    <row r="381" spans="7:8" s="1" customFormat="1" x14ac:dyDescent="0.35">
      <c r="G381" s="38"/>
      <c r="H381" s="38"/>
    </row>
    <row r="382" spans="7:8" s="1" customFormat="1" x14ac:dyDescent="0.35">
      <c r="G382" s="38"/>
      <c r="H382" s="38"/>
    </row>
    <row r="383" spans="7:8" s="1" customFormat="1" x14ac:dyDescent="0.35">
      <c r="G383" s="38"/>
      <c r="H383" s="38"/>
    </row>
    <row r="384" spans="7:8" s="1" customFormat="1" x14ac:dyDescent="0.35">
      <c r="G384" s="38"/>
      <c r="H384" s="38"/>
    </row>
    <row r="385" spans="7:8" s="1" customFormat="1" x14ac:dyDescent="0.35">
      <c r="G385" s="38"/>
      <c r="H385" s="38"/>
    </row>
    <row r="386" spans="7:8" s="1" customFormat="1" x14ac:dyDescent="0.35">
      <c r="G386" s="38"/>
      <c r="H386" s="38"/>
    </row>
    <row r="387" spans="7:8" s="1" customFormat="1" x14ac:dyDescent="0.35">
      <c r="G387" s="38"/>
      <c r="H387" s="38"/>
    </row>
    <row r="388" spans="7:8" s="1" customFormat="1" x14ac:dyDescent="0.35">
      <c r="G388" s="38"/>
      <c r="H388" s="38"/>
    </row>
    <row r="389" spans="7:8" s="1" customFormat="1" x14ac:dyDescent="0.35">
      <c r="G389" s="38"/>
      <c r="H389" s="38"/>
    </row>
    <row r="390" spans="7:8" s="1" customFormat="1" x14ac:dyDescent="0.35">
      <c r="G390" s="38"/>
      <c r="H390" s="38"/>
    </row>
    <row r="391" spans="7:8" s="1" customFormat="1" x14ac:dyDescent="0.35">
      <c r="G391" s="38"/>
      <c r="H391" s="38"/>
    </row>
    <row r="392" spans="7:8" s="1" customFormat="1" x14ac:dyDescent="0.35">
      <c r="G392" s="38"/>
      <c r="H392" s="38"/>
    </row>
    <row r="393" spans="7:8" s="1" customFormat="1" x14ac:dyDescent="0.35">
      <c r="G393" s="38"/>
      <c r="H393" s="38"/>
    </row>
    <row r="394" spans="7:8" s="1" customFormat="1" x14ac:dyDescent="0.35">
      <c r="G394" s="38"/>
      <c r="H394" s="38"/>
    </row>
    <row r="395" spans="7:8" s="1" customFormat="1" x14ac:dyDescent="0.35">
      <c r="G395" s="38"/>
      <c r="H395" s="38"/>
    </row>
    <row r="396" spans="7:8" s="1" customFormat="1" x14ac:dyDescent="0.35">
      <c r="G396" s="38"/>
      <c r="H396" s="38"/>
    </row>
    <row r="397" spans="7:8" s="1" customFormat="1" x14ac:dyDescent="0.35">
      <c r="G397" s="38"/>
      <c r="H397" s="38"/>
    </row>
    <row r="398" spans="7:8" s="1" customFormat="1" x14ac:dyDescent="0.35">
      <c r="G398" s="38"/>
      <c r="H398" s="38"/>
    </row>
    <row r="399" spans="7:8" s="1" customFormat="1" x14ac:dyDescent="0.35">
      <c r="G399" s="38"/>
      <c r="H399" s="38"/>
    </row>
    <row r="400" spans="7:8" s="1" customFormat="1" x14ac:dyDescent="0.35">
      <c r="G400" s="38"/>
      <c r="H400" s="38"/>
    </row>
    <row r="401" spans="7:8" s="1" customFormat="1" x14ac:dyDescent="0.35">
      <c r="G401" s="38"/>
      <c r="H401" s="38"/>
    </row>
    <row r="402" spans="7:8" s="1" customFormat="1" x14ac:dyDescent="0.35">
      <c r="G402" s="38"/>
      <c r="H402" s="38"/>
    </row>
    <row r="403" spans="7:8" s="1" customFormat="1" x14ac:dyDescent="0.35">
      <c r="G403" s="38"/>
      <c r="H403" s="38"/>
    </row>
    <row r="404" spans="7:8" s="1" customFormat="1" x14ac:dyDescent="0.35">
      <c r="G404" s="38"/>
      <c r="H404" s="38"/>
    </row>
    <row r="405" spans="7:8" s="1" customFormat="1" x14ac:dyDescent="0.35">
      <c r="G405" s="38"/>
      <c r="H405" s="38"/>
    </row>
    <row r="406" spans="7:8" s="1" customFormat="1" x14ac:dyDescent="0.35">
      <c r="G406" s="38"/>
      <c r="H406" s="38"/>
    </row>
    <row r="407" spans="7:8" s="1" customFormat="1" x14ac:dyDescent="0.35">
      <c r="G407" s="38"/>
      <c r="H407" s="38"/>
    </row>
    <row r="408" spans="7:8" s="1" customFormat="1" x14ac:dyDescent="0.35">
      <c r="G408" s="38"/>
      <c r="H408" s="38"/>
    </row>
    <row r="409" spans="7:8" s="1" customFormat="1" x14ac:dyDescent="0.35">
      <c r="G409" s="38"/>
      <c r="H409" s="38"/>
    </row>
    <row r="410" spans="7:8" s="1" customFormat="1" x14ac:dyDescent="0.35">
      <c r="G410" s="38"/>
      <c r="H410" s="38"/>
    </row>
    <row r="411" spans="7:8" s="1" customFormat="1" x14ac:dyDescent="0.35">
      <c r="G411" s="38"/>
      <c r="H411" s="38"/>
    </row>
    <row r="412" spans="7:8" s="1" customFormat="1" x14ac:dyDescent="0.35">
      <c r="G412" s="38"/>
      <c r="H412" s="38"/>
    </row>
    <row r="413" spans="7:8" s="1" customFormat="1" x14ac:dyDescent="0.35">
      <c r="G413" s="38"/>
      <c r="H413" s="38"/>
    </row>
    <row r="414" spans="7:8" s="1" customFormat="1" x14ac:dyDescent="0.35">
      <c r="G414" s="38"/>
      <c r="H414" s="38"/>
    </row>
    <row r="415" spans="7:8" s="1" customFormat="1" x14ac:dyDescent="0.35">
      <c r="G415" s="38"/>
      <c r="H415" s="38"/>
    </row>
    <row r="416" spans="7:8" s="1" customFormat="1" x14ac:dyDescent="0.35">
      <c r="G416" s="38"/>
      <c r="H416" s="38"/>
    </row>
    <row r="417" spans="7:8" s="1" customFormat="1" x14ac:dyDescent="0.35">
      <c r="G417" s="38"/>
      <c r="H417" s="38"/>
    </row>
    <row r="418" spans="7:8" s="1" customFormat="1" x14ac:dyDescent="0.35">
      <c r="G418" s="38"/>
      <c r="H418" s="38"/>
    </row>
    <row r="419" spans="7:8" s="1" customFormat="1" x14ac:dyDescent="0.35">
      <c r="G419" s="38"/>
      <c r="H419" s="38"/>
    </row>
    <row r="420" spans="7:8" s="1" customFormat="1" x14ac:dyDescent="0.35">
      <c r="G420" s="38"/>
      <c r="H420" s="38"/>
    </row>
    <row r="421" spans="7:8" s="1" customFormat="1" x14ac:dyDescent="0.35">
      <c r="G421" s="38"/>
      <c r="H421" s="38"/>
    </row>
    <row r="422" spans="7:8" s="1" customFormat="1" x14ac:dyDescent="0.35">
      <c r="G422" s="38"/>
      <c r="H422" s="38"/>
    </row>
    <row r="423" spans="7:8" s="1" customFormat="1" x14ac:dyDescent="0.35">
      <c r="G423" s="38"/>
      <c r="H423" s="38"/>
    </row>
    <row r="424" spans="7:8" s="1" customFormat="1" x14ac:dyDescent="0.35">
      <c r="G424" s="38"/>
      <c r="H424" s="38"/>
    </row>
    <row r="425" spans="7:8" s="1" customFormat="1" x14ac:dyDescent="0.35">
      <c r="G425" s="38"/>
      <c r="H425" s="38"/>
    </row>
    <row r="426" spans="7:8" s="1" customFormat="1" x14ac:dyDescent="0.35">
      <c r="G426" s="38"/>
      <c r="H426" s="38"/>
    </row>
    <row r="427" spans="7:8" s="1" customFormat="1" x14ac:dyDescent="0.35">
      <c r="G427" s="38"/>
      <c r="H427" s="38"/>
    </row>
    <row r="428" spans="7:8" s="1" customFormat="1" x14ac:dyDescent="0.35">
      <c r="G428" s="38"/>
      <c r="H428" s="38"/>
    </row>
    <row r="429" spans="7:8" s="1" customFormat="1" x14ac:dyDescent="0.35">
      <c r="G429" s="38"/>
      <c r="H429" s="38"/>
    </row>
    <row r="430" spans="7:8" s="1" customFormat="1" x14ac:dyDescent="0.35">
      <c r="G430" s="38"/>
      <c r="H430" s="38"/>
    </row>
    <row r="431" spans="7:8" s="1" customFormat="1" x14ac:dyDescent="0.35">
      <c r="G431" s="38"/>
      <c r="H431" s="38"/>
    </row>
    <row r="432" spans="7:8" s="1" customFormat="1" x14ac:dyDescent="0.35">
      <c r="G432" s="38"/>
      <c r="H432" s="38"/>
    </row>
    <row r="433" spans="7:8" s="1" customFormat="1" x14ac:dyDescent="0.35">
      <c r="G433" s="38"/>
      <c r="H433" s="38"/>
    </row>
    <row r="434" spans="7:8" s="1" customFormat="1" x14ac:dyDescent="0.35">
      <c r="G434" s="38"/>
      <c r="H434" s="38"/>
    </row>
    <row r="435" spans="7:8" s="1" customFormat="1" x14ac:dyDescent="0.35">
      <c r="G435" s="38"/>
      <c r="H435" s="38"/>
    </row>
    <row r="436" spans="7:8" s="1" customFormat="1" x14ac:dyDescent="0.35">
      <c r="G436" s="38"/>
      <c r="H436" s="38"/>
    </row>
    <row r="437" spans="7:8" s="1" customFormat="1" x14ac:dyDescent="0.35">
      <c r="G437" s="38"/>
      <c r="H437" s="38"/>
    </row>
    <row r="438" spans="7:8" s="1" customFormat="1" x14ac:dyDescent="0.35">
      <c r="G438" s="38"/>
      <c r="H438" s="38"/>
    </row>
    <row r="439" spans="7:8" s="1" customFormat="1" x14ac:dyDescent="0.35">
      <c r="G439" s="38"/>
      <c r="H439" s="38"/>
    </row>
    <row r="440" spans="7:8" s="1" customFormat="1" x14ac:dyDescent="0.35">
      <c r="G440" s="38"/>
      <c r="H440" s="38"/>
    </row>
    <row r="441" spans="7:8" s="1" customFormat="1" x14ac:dyDescent="0.35">
      <c r="G441" s="38"/>
      <c r="H441" s="38"/>
    </row>
    <row r="442" spans="7:8" s="1" customFormat="1" x14ac:dyDescent="0.35">
      <c r="G442" s="38"/>
      <c r="H442" s="38"/>
    </row>
    <row r="443" spans="7:8" s="1" customFormat="1" x14ac:dyDescent="0.35">
      <c r="G443" s="38"/>
      <c r="H443" s="38"/>
    </row>
    <row r="444" spans="7:8" s="1" customFormat="1" x14ac:dyDescent="0.35">
      <c r="G444" s="38"/>
      <c r="H444" s="38"/>
    </row>
    <row r="445" spans="7:8" s="1" customFormat="1" x14ac:dyDescent="0.35">
      <c r="G445" s="38"/>
      <c r="H445" s="38"/>
    </row>
    <row r="446" spans="7:8" s="1" customFormat="1" x14ac:dyDescent="0.35">
      <c r="G446" s="38"/>
      <c r="H446" s="38"/>
    </row>
    <row r="447" spans="7:8" s="1" customFormat="1" x14ac:dyDescent="0.35">
      <c r="G447" s="38"/>
      <c r="H447" s="38"/>
    </row>
    <row r="448" spans="7:8" s="1" customFormat="1" x14ac:dyDescent="0.35">
      <c r="G448" s="38"/>
      <c r="H448" s="38"/>
    </row>
    <row r="449" spans="7:8" s="1" customFormat="1" x14ac:dyDescent="0.35">
      <c r="G449" s="38"/>
      <c r="H449" s="38"/>
    </row>
    <row r="450" spans="7:8" s="1" customFormat="1" x14ac:dyDescent="0.35">
      <c r="G450" s="38"/>
      <c r="H450" s="38"/>
    </row>
    <row r="451" spans="7:8" s="1" customFormat="1" x14ac:dyDescent="0.35">
      <c r="G451" s="38"/>
      <c r="H451" s="38"/>
    </row>
    <row r="452" spans="7:8" s="1" customFormat="1" x14ac:dyDescent="0.35">
      <c r="G452" s="38"/>
      <c r="H452" s="38"/>
    </row>
    <row r="453" spans="7:8" s="1" customFormat="1" x14ac:dyDescent="0.35">
      <c r="G453" s="38"/>
      <c r="H453" s="38"/>
    </row>
    <row r="454" spans="7:8" s="1" customFormat="1" x14ac:dyDescent="0.35">
      <c r="G454" s="38"/>
      <c r="H454" s="38"/>
    </row>
    <row r="455" spans="7:8" s="1" customFormat="1" x14ac:dyDescent="0.35">
      <c r="G455" s="38"/>
      <c r="H455" s="38"/>
    </row>
    <row r="456" spans="7:8" s="1" customFormat="1" x14ac:dyDescent="0.35">
      <c r="G456" s="38"/>
      <c r="H456" s="38"/>
    </row>
    <row r="457" spans="7:8" s="1" customFormat="1" x14ac:dyDescent="0.35">
      <c r="G457" s="38"/>
      <c r="H457" s="38"/>
    </row>
    <row r="458" spans="7:8" s="1" customFormat="1" x14ac:dyDescent="0.35">
      <c r="G458" s="38"/>
      <c r="H458" s="38"/>
    </row>
    <row r="459" spans="7:8" s="1" customFormat="1" x14ac:dyDescent="0.35">
      <c r="G459" s="38"/>
      <c r="H459" s="38"/>
    </row>
    <row r="460" spans="7:8" s="1" customFormat="1" x14ac:dyDescent="0.35">
      <c r="G460" s="38"/>
      <c r="H460" s="38"/>
    </row>
    <row r="461" spans="7:8" s="1" customFormat="1" x14ac:dyDescent="0.35">
      <c r="G461" s="38"/>
      <c r="H461" s="38"/>
    </row>
    <row r="462" spans="7:8" s="1" customFormat="1" x14ac:dyDescent="0.35">
      <c r="G462" s="38"/>
      <c r="H462" s="38"/>
    </row>
    <row r="463" spans="7:8" s="1" customFormat="1" x14ac:dyDescent="0.35">
      <c r="G463" s="38"/>
      <c r="H463" s="38"/>
    </row>
    <row r="464" spans="7:8" s="1" customFormat="1" x14ac:dyDescent="0.35">
      <c r="G464" s="38"/>
      <c r="H464" s="38"/>
    </row>
    <row r="465" spans="7:8" s="1" customFormat="1" x14ac:dyDescent="0.35">
      <c r="G465" s="38"/>
      <c r="H465" s="38"/>
    </row>
    <row r="466" spans="7:8" s="1" customFormat="1" x14ac:dyDescent="0.35">
      <c r="G466" s="38"/>
      <c r="H466" s="38"/>
    </row>
    <row r="467" spans="7:8" s="1" customFormat="1" x14ac:dyDescent="0.35">
      <c r="G467" s="38"/>
      <c r="H467" s="38"/>
    </row>
    <row r="468" spans="7:8" s="1" customFormat="1" x14ac:dyDescent="0.35">
      <c r="G468" s="38"/>
      <c r="H468" s="38"/>
    </row>
    <row r="469" spans="7:8" s="1" customFormat="1" x14ac:dyDescent="0.35">
      <c r="G469" s="38"/>
      <c r="H469" s="38"/>
    </row>
    <row r="470" spans="7:8" s="1" customFormat="1" x14ac:dyDescent="0.35">
      <c r="G470" s="38"/>
      <c r="H470" s="38"/>
    </row>
    <row r="471" spans="7:8" s="1" customFormat="1" x14ac:dyDescent="0.35">
      <c r="G471" s="38"/>
      <c r="H471" s="38"/>
    </row>
    <row r="472" spans="7:8" s="1" customFormat="1" x14ac:dyDescent="0.35">
      <c r="G472" s="38"/>
      <c r="H472" s="38"/>
    </row>
    <row r="473" spans="7:8" s="1" customFormat="1" x14ac:dyDescent="0.35">
      <c r="G473" s="38"/>
      <c r="H473" s="38"/>
    </row>
    <row r="474" spans="7:8" s="1" customFormat="1" x14ac:dyDescent="0.35">
      <c r="G474" s="38"/>
      <c r="H474" s="38"/>
    </row>
    <row r="475" spans="7:8" s="1" customFormat="1" x14ac:dyDescent="0.35">
      <c r="G475" s="38"/>
      <c r="H475" s="38"/>
    </row>
    <row r="476" spans="7:8" s="1" customFormat="1" x14ac:dyDescent="0.35">
      <c r="G476" s="38"/>
      <c r="H476" s="38"/>
    </row>
    <row r="477" spans="7:8" s="1" customFormat="1" x14ac:dyDescent="0.35">
      <c r="G477" s="38"/>
      <c r="H477" s="38"/>
    </row>
    <row r="478" spans="7:8" s="1" customFormat="1" x14ac:dyDescent="0.35">
      <c r="G478" s="38"/>
      <c r="H478" s="38"/>
    </row>
    <row r="479" spans="7:8" s="1" customFormat="1" x14ac:dyDescent="0.35">
      <c r="G479" s="38"/>
      <c r="H479" s="38"/>
    </row>
    <row r="480" spans="7:8" s="1" customFormat="1" x14ac:dyDescent="0.35">
      <c r="G480" s="38"/>
      <c r="H480" s="38"/>
    </row>
    <row r="481" spans="7:8" s="1" customFormat="1" x14ac:dyDescent="0.35">
      <c r="G481" s="38"/>
      <c r="H481" s="38"/>
    </row>
    <row r="482" spans="7:8" s="1" customFormat="1" x14ac:dyDescent="0.35">
      <c r="G482" s="38"/>
      <c r="H482" s="38"/>
    </row>
  </sheetData>
  <conditionalFormatting sqref="D38:D50">
    <cfRule type="colorScale" priority="3">
      <colorScale>
        <cfvo type="min"/>
        <cfvo type="percentile" val="50"/>
        <cfvo type="max"/>
        <color rgb="FF63BE7B"/>
        <color rgb="FFFFEB84"/>
        <color rgb="FFF8696B"/>
      </colorScale>
    </cfRule>
  </conditionalFormatting>
  <conditionalFormatting sqref="D87:D91">
    <cfRule type="colorScale" priority="2">
      <colorScale>
        <cfvo type="min"/>
        <cfvo type="percentile" val="50"/>
        <cfvo type="max"/>
        <color rgb="FF63BE7B"/>
        <color rgb="FFFFEB84"/>
        <color rgb="FFF8696B"/>
      </colorScale>
    </cfRule>
  </conditionalFormatting>
  <conditionalFormatting sqref="D139:D145">
    <cfRule type="colorScale" priority="1">
      <colorScale>
        <cfvo type="min"/>
        <cfvo type="percentile" val="50"/>
        <cfvo type="max"/>
        <color rgb="FF63BE7B"/>
        <color rgb="FFFFEB84"/>
        <color rgb="FFF8696B"/>
      </colorScale>
    </cfRule>
  </conditionalFormatting>
  <dataValidations count="4">
    <dataValidation type="list" allowBlank="1" showInputMessage="1" showErrorMessage="1" sqref="C25:C27">
      <formula1>Wärmebereitstellung</formula1>
    </dataValidation>
    <dataValidation type="list" allowBlank="1" showInputMessage="1" showErrorMessage="1" sqref="C35:F35 F41 F43 F45 F47 F50 D84:E84 F87:F88 F90 C136:E136">
      <formula1>jn</formula1>
    </dataValidation>
    <dataValidation type="list" allowBlank="1" showInputMessage="1" showErrorMessage="1" sqref="C74:C76">
      <formula1>Kältebereitstellung</formula1>
    </dataValidation>
    <dataValidation type="list" allowBlank="1" showInputMessage="1" showErrorMessage="1" sqref="C127:C129">
      <formula1>Strombereitstellung</formula1>
    </dataValidation>
  </dataValidations>
  <hyperlinks>
    <hyperlink ref="B32" r:id="rId1"/>
    <hyperlink ref="B81" r:id="rId2"/>
    <hyperlink ref="B133" r:id="rId3"/>
    <hyperlink ref="B31" r:id="rId4" display="JAZ [ ] | siehe auch https://www.energieinstitut.at/tools/machvier/"/>
  </hyperlinks>
  <pageMargins left="0.7" right="0.7" top="0.78740157499999996" bottom="0.78740157499999996" header="0.3" footer="0.3"/>
  <pageSetup paperSize="9" orientation="portrait" r:id="rId5"/>
  <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1F00CC"/>
  </sheetPr>
  <dimension ref="B2:T206"/>
  <sheetViews>
    <sheetView zoomScaleNormal="100" workbookViewId="0"/>
  </sheetViews>
  <sheetFormatPr baseColWidth="10" defaultColWidth="11" defaultRowHeight="14.5" outlineLevelRow="1" outlineLevelCol="1" x14ac:dyDescent="0.35"/>
  <cols>
    <col min="1" max="1" width="3.75" style="561" customWidth="1"/>
    <col min="2" max="2" width="42.5" style="674" customWidth="1"/>
    <col min="3" max="3" width="23.5" style="561" customWidth="1"/>
    <col min="4" max="4" width="27.33203125" style="561" bestFit="1" customWidth="1"/>
    <col min="5" max="5" width="4.83203125" style="295" customWidth="1" outlineLevel="1"/>
    <col min="6" max="6" width="5.75" style="295" customWidth="1" outlineLevel="1"/>
    <col min="7" max="7" width="17" style="295" customWidth="1" outlineLevel="1"/>
    <col min="8" max="8" width="3.5" style="561" customWidth="1" outlineLevel="1"/>
    <col min="9" max="9" width="64.83203125" style="561" customWidth="1" outlineLevel="1"/>
    <col min="10" max="10" width="7.5" style="561" customWidth="1" outlineLevel="1"/>
    <col min="11" max="11" width="11" style="693"/>
    <col min="12" max="12" width="15.58203125" style="561" bestFit="1" customWidth="1"/>
    <col min="13" max="13" width="16.25" style="682" bestFit="1" customWidth="1"/>
    <col min="14" max="14" width="7.25" style="682" bestFit="1" customWidth="1"/>
    <col min="15" max="15" width="7.08203125" style="682" customWidth="1"/>
    <col min="16" max="16" width="8.83203125" style="561" customWidth="1"/>
    <col min="17" max="17" width="4.08203125" style="561" customWidth="1"/>
    <col min="18" max="18" width="5.83203125" style="561" customWidth="1"/>
    <col min="19" max="19" width="7.08203125" style="561" customWidth="1"/>
    <col min="20" max="20" width="8.83203125" style="561" customWidth="1"/>
    <col min="21" max="24" width="11" style="561" customWidth="1"/>
    <col min="25" max="16384" width="11" style="561"/>
  </cols>
  <sheetData>
    <row r="2" spans="2:20" x14ac:dyDescent="0.35">
      <c r="B2" s="626" t="s">
        <v>5063</v>
      </c>
      <c r="C2" s="675"/>
      <c r="D2" s="676"/>
      <c r="E2" s="629"/>
      <c r="F2" s="629"/>
      <c r="G2" s="629"/>
      <c r="H2" s="676"/>
      <c r="I2" s="676"/>
      <c r="J2" s="676"/>
      <c r="K2" s="561"/>
      <c r="L2" s="347"/>
      <c r="M2" s="664"/>
      <c r="N2" s="346"/>
      <c r="O2" s="346"/>
      <c r="P2" s="346"/>
      <c r="Q2" s="677"/>
      <c r="R2" s="677"/>
      <c r="S2" s="677"/>
      <c r="T2" s="677"/>
    </row>
    <row r="3" spans="2:20" x14ac:dyDescent="0.35">
      <c r="B3" s="331" t="s">
        <v>5045</v>
      </c>
      <c r="C3" s="678"/>
      <c r="D3" s="679"/>
      <c r="E3" s="630"/>
      <c r="F3" s="630"/>
      <c r="G3" s="630"/>
      <c r="H3" s="679"/>
      <c r="I3" s="679"/>
      <c r="J3" s="679"/>
      <c r="K3" s="561"/>
      <c r="L3" s="347"/>
      <c r="M3" s="664"/>
      <c r="N3" s="346"/>
      <c r="O3" s="346"/>
      <c r="P3" s="346"/>
      <c r="Q3" s="677"/>
      <c r="R3" s="677"/>
      <c r="S3" s="677"/>
      <c r="T3" s="677"/>
    </row>
    <row r="4" spans="2:20" outlineLevel="1" x14ac:dyDescent="0.35">
      <c r="B4" s="348"/>
      <c r="C4" s="677"/>
      <c r="D4" s="669"/>
      <c r="E4" s="561"/>
      <c r="H4" s="680"/>
      <c r="J4" s="669"/>
      <c r="K4" s="561"/>
      <c r="L4" s="347"/>
      <c r="M4" s="664"/>
      <c r="N4" s="346"/>
      <c r="O4" s="346"/>
      <c r="P4" s="346"/>
      <c r="Q4" s="677"/>
      <c r="R4" s="677"/>
      <c r="S4" s="677"/>
      <c r="T4" s="677"/>
    </row>
    <row r="5" spans="2:20" outlineLevel="1" x14ac:dyDescent="0.35">
      <c r="B5" s="337" t="s">
        <v>4434</v>
      </c>
      <c r="C5" s="349" t="s">
        <v>4372</v>
      </c>
      <c r="D5" s="337" t="s">
        <v>4583</v>
      </c>
      <c r="E5" s="1148">
        <f>Qualitätsprüfung!G1323</f>
        <v>1</v>
      </c>
      <c r="F5" s="531">
        <v>0</v>
      </c>
      <c r="H5" s="664"/>
      <c r="I5" s="677"/>
      <c r="K5" s="561"/>
      <c r="L5" s="631"/>
      <c r="M5" s="353"/>
      <c r="N5" s="664"/>
      <c r="O5" s="664"/>
      <c r="P5" s="677"/>
      <c r="Q5" s="677"/>
      <c r="R5" s="677"/>
      <c r="S5" s="677"/>
      <c r="T5" s="677"/>
    </row>
    <row r="6" spans="2:20" ht="15" outlineLevel="1" thickBot="1" x14ac:dyDescent="0.4">
      <c r="B6" s="650" t="s">
        <v>5204</v>
      </c>
      <c r="C6" s="661">
        <v>237</v>
      </c>
      <c r="D6" s="652"/>
      <c r="E6" s="526">
        <v>89</v>
      </c>
      <c r="F6" s="526">
        <v>237</v>
      </c>
      <c r="G6" s="561"/>
      <c r="I6" s="677"/>
      <c r="K6" s="561"/>
      <c r="L6" s="631"/>
      <c r="M6" s="353"/>
      <c r="N6" s="664"/>
      <c r="O6" s="664"/>
      <c r="P6" s="677"/>
      <c r="Q6" s="677"/>
      <c r="R6" s="677"/>
      <c r="S6" s="677"/>
      <c r="T6" s="677"/>
    </row>
    <row r="7" spans="2:20" ht="15" outlineLevel="1" thickBot="1" x14ac:dyDescent="0.4">
      <c r="B7" s="561"/>
      <c r="C7" s="335">
        <f>IF(TREND($E$5:$F$5,E6:F6,C6,1)&lt;0,0,(IF(TREND($E$5:$F$5,E6:F6,C6,1)&gt;E5,E5,TREND($E$5:$F$5,E6:F6,C6,1))))</f>
        <v>0</v>
      </c>
      <c r="D7" s="357" t="s">
        <v>5125</v>
      </c>
      <c r="E7" s="561"/>
      <c r="F7" s="561"/>
      <c r="G7" s="561"/>
      <c r="H7" s="671"/>
      <c r="I7" s="677"/>
      <c r="J7" s="677"/>
      <c r="K7" s="561"/>
      <c r="L7" s="631"/>
      <c r="M7" s="353"/>
      <c r="N7" s="664"/>
      <c r="O7" s="664"/>
      <c r="P7" s="677"/>
      <c r="Q7" s="677"/>
      <c r="R7" s="677"/>
      <c r="S7" s="677"/>
      <c r="T7" s="677"/>
    </row>
    <row r="8" spans="2:20" outlineLevel="1" x14ac:dyDescent="0.35">
      <c r="B8" s="561"/>
      <c r="C8" s="340"/>
      <c r="D8" s="632"/>
      <c r="E8" s="561"/>
      <c r="F8" s="561"/>
      <c r="G8" s="561"/>
      <c r="H8" s="671"/>
      <c r="I8" s="677"/>
      <c r="J8" s="677"/>
      <c r="K8" s="561"/>
      <c r="L8" s="631"/>
      <c r="M8" s="353"/>
      <c r="N8" s="664"/>
      <c r="O8" s="664"/>
      <c r="P8" s="677"/>
      <c r="Q8" s="677"/>
      <c r="R8" s="677"/>
      <c r="S8" s="677"/>
      <c r="T8" s="677"/>
    </row>
    <row r="9" spans="2:20" x14ac:dyDescent="0.35">
      <c r="B9" s="331" t="s">
        <v>5046</v>
      </c>
      <c r="C9" s="341"/>
      <c r="D9" s="341"/>
      <c r="E9" s="341"/>
      <c r="F9" s="341"/>
      <c r="G9" s="341"/>
      <c r="H9" s="341"/>
      <c r="I9" s="341"/>
      <c r="J9" s="341"/>
      <c r="K9" s="561"/>
      <c r="L9" s="631"/>
      <c r="M9" s="353"/>
      <c r="N9" s="664"/>
      <c r="O9" s="664"/>
      <c r="P9" s="677"/>
      <c r="Q9" s="677"/>
      <c r="R9" s="677"/>
      <c r="S9" s="677"/>
      <c r="T9" s="677"/>
    </row>
    <row r="10" spans="2:20" outlineLevel="1" x14ac:dyDescent="0.35">
      <c r="C10" s="1108" t="s">
        <v>5605</v>
      </c>
      <c r="D10" s="669"/>
      <c r="E10" s="561"/>
      <c r="F10" s="561"/>
      <c r="G10" s="681"/>
      <c r="H10" s="682"/>
      <c r="K10" s="561"/>
      <c r="L10" s="677"/>
      <c r="M10" s="677"/>
      <c r="N10" s="669"/>
      <c r="O10" s="669"/>
      <c r="P10" s="664"/>
      <c r="Q10" s="677"/>
      <c r="R10" s="677"/>
      <c r="S10" s="677"/>
      <c r="T10" s="677"/>
    </row>
    <row r="11" spans="2:20" outlineLevel="1" x14ac:dyDescent="0.35">
      <c r="B11" s="299" t="s">
        <v>4585</v>
      </c>
      <c r="C11" s="351" t="s">
        <v>4435</v>
      </c>
      <c r="D11" s="337" t="s">
        <v>5201</v>
      </c>
      <c r="E11" s="1149">
        <f>Qualitätsprüfung!G1324</f>
        <v>1</v>
      </c>
      <c r="F11" s="527">
        <v>0</v>
      </c>
      <c r="G11" s="352" t="s">
        <v>4372</v>
      </c>
      <c r="H11" s="677"/>
      <c r="I11" s="677"/>
      <c r="J11" s="677"/>
      <c r="K11" s="561"/>
      <c r="L11" s="632"/>
      <c r="M11" s="632"/>
      <c r="N11" s="669"/>
      <c r="O11" s="669"/>
      <c r="P11" s="664"/>
      <c r="Q11" s="677"/>
      <c r="R11" s="677"/>
      <c r="S11" s="677"/>
      <c r="T11" s="677"/>
    </row>
    <row r="12" spans="2:20" outlineLevel="1" x14ac:dyDescent="0.35">
      <c r="B12" s="647" t="s">
        <v>4378</v>
      </c>
      <c r="C12" s="683"/>
      <c r="D12" s="652"/>
      <c r="E12" s="353">
        <v>6</v>
      </c>
      <c r="F12" s="353">
        <v>12</v>
      </c>
      <c r="G12" s="354" t="str">
        <f>IF(ISNUMBER(C12),TREND($E$11:$F$11,E12:F12,C12,1),"")</f>
        <v/>
      </c>
      <c r="H12" s="677"/>
      <c r="I12" s="677"/>
      <c r="J12" s="677"/>
      <c r="K12" s="561"/>
      <c r="L12" s="632"/>
      <c r="M12" s="632"/>
      <c r="N12" s="669"/>
      <c r="O12" s="669"/>
      <c r="P12" s="664"/>
      <c r="Q12" s="677"/>
      <c r="R12" s="677"/>
      <c r="S12" s="677"/>
      <c r="T12" s="677"/>
    </row>
    <row r="13" spans="2:20" outlineLevel="1" x14ac:dyDescent="0.35">
      <c r="B13" s="647" t="s">
        <v>4379</v>
      </c>
      <c r="C13" s="683"/>
      <c r="D13" s="652"/>
      <c r="E13" s="353">
        <v>6</v>
      </c>
      <c r="F13" s="353">
        <v>12</v>
      </c>
      <c r="G13" s="354" t="str">
        <f t="shared" ref="G13:G16" si="0">IF(ISNUMBER(C13),TREND($E$11:$F$11,E13:F13,C13,1),"")</f>
        <v/>
      </c>
      <c r="H13" s="677"/>
      <c r="I13" s="677"/>
      <c r="J13" s="677"/>
      <c r="K13" s="561"/>
      <c r="L13" s="632"/>
      <c r="M13" s="632"/>
      <c r="N13" s="669"/>
      <c r="O13" s="669"/>
      <c r="P13" s="664"/>
      <c r="Q13" s="677"/>
      <c r="R13" s="677"/>
      <c r="S13" s="677"/>
      <c r="T13" s="677"/>
    </row>
    <row r="14" spans="2:20" outlineLevel="1" x14ac:dyDescent="0.35">
      <c r="B14" s="647" t="s">
        <v>4391</v>
      </c>
      <c r="C14" s="683"/>
      <c r="D14" s="652"/>
      <c r="E14" s="353">
        <v>8</v>
      </c>
      <c r="F14" s="353">
        <v>15</v>
      </c>
      <c r="G14" s="354" t="str">
        <f t="shared" si="0"/>
        <v/>
      </c>
      <c r="H14" s="677"/>
      <c r="I14" s="677"/>
      <c r="J14" s="677"/>
      <c r="K14" s="561"/>
      <c r="L14" s="632"/>
      <c r="M14" s="632"/>
      <c r="N14" s="669"/>
      <c r="O14" s="669"/>
      <c r="P14" s="664"/>
      <c r="Q14" s="677"/>
      <c r="R14" s="677"/>
      <c r="S14" s="677"/>
      <c r="T14" s="677"/>
    </row>
    <row r="15" spans="2:20" ht="29" outlineLevel="1" x14ac:dyDescent="0.35">
      <c r="B15" s="647" t="s">
        <v>4377</v>
      </c>
      <c r="C15" s="683"/>
      <c r="D15" s="652"/>
      <c r="E15" s="353">
        <v>6</v>
      </c>
      <c r="F15" s="353">
        <v>12</v>
      </c>
      <c r="G15" s="354" t="str">
        <f t="shared" si="0"/>
        <v/>
      </c>
      <c r="H15" s="677"/>
      <c r="I15" s="677"/>
      <c r="J15" s="677"/>
      <c r="K15" s="561"/>
      <c r="L15" s="632"/>
      <c r="M15" s="632"/>
      <c r="N15" s="669"/>
      <c r="O15" s="669"/>
      <c r="P15" s="664"/>
      <c r="Q15" s="677"/>
      <c r="R15" s="677"/>
      <c r="S15" s="677"/>
      <c r="T15" s="677"/>
    </row>
    <row r="16" spans="2:20" outlineLevel="1" x14ac:dyDescent="0.35">
      <c r="B16" s="647" t="s">
        <v>4392</v>
      </c>
      <c r="C16" s="683"/>
      <c r="D16" s="652"/>
      <c r="E16" s="353">
        <v>7</v>
      </c>
      <c r="F16" s="353">
        <v>12</v>
      </c>
      <c r="G16" s="354" t="str">
        <f t="shared" si="0"/>
        <v/>
      </c>
      <c r="H16" s="677"/>
      <c r="I16" s="677"/>
      <c r="J16" s="677"/>
      <c r="K16" s="561"/>
      <c r="L16" s="632"/>
      <c r="M16" s="632"/>
      <c r="N16" s="669"/>
      <c r="O16" s="669"/>
      <c r="P16" s="664"/>
      <c r="Q16" s="677"/>
      <c r="R16" s="677"/>
      <c r="S16" s="677"/>
      <c r="T16" s="677"/>
    </row>
    <row r="17" spans="2:20" outlineLevel="1" x14ac:dyDescent="0.35">
      <c r="B17" s="677"/>
      <c r="C17" s="664"/>
      <c r="D17" s="632"/>
      <c r="E17" s="353"/>
      <c r="F17" s="353"/>
      <c r="G17" s="343" t="e">
        <f>AVERAGE(G12:G16)</f>
        <v>#DIV/0!</v>
      </c>
      <c r="H17" s="677"/>
      <c r="I17" s="677"/>
      <c r="J17" s="677"/>
      <c r="K17" s="561"/>
      <c r="L17" s="632"/>
      <c r="M17" s="632"/>
      <c r="N17" s="669"/>
      <c r="O17" s="669"/>
      <c r="P17" s="664"/>
      <c r="Q17" s="677"/>
      <c r="R17" s="677"/>
      <c r="S17" s="677"/>
      <c r="T17" s="677"/>
    </row>
    <row r="18" spans="2:20" outlineLevel="1" x14ac:dyDescent="0.35">
      <c r="B18" s="1004" t="s">
        <v>4586</v>
      </c>
      <c r="C18" s="351" t="s">
        <v>4435</v>
      </c>
      <c r="D18" s="337" t="s">
        <v>5201</v>
      </c>
      <c r="E18" s="531">
        <f>E11</f>
        <v>1</v>
      </c>
      <c r="F18" s="527">
        <v>0</v>
      </c>
      <c r="G18" s="352" t="s">
        <v>4372</v>
      </c>
      <c r="H18" s="677"/>
      <c r="I18" s="677"/>
      <c r="J18" s="677"/>
      <c r="K18" s="561"/>
      <c r="L18" s="632"/>
      <c r="M18" s="632"/>
      <c r="N18" s="669"/>
      <c r="O18" s="669"/>
      <c r="P18" s="664"/>
      <c r="Q18" s="677"/>
      <c r="R18" s="677"/>
      <c r="S18" s="677"/>
      <c r="T18" s="677"/>
    </row>
    <row r="19" spans="2:20" outlineLevel="1" x14ac:dyDescent="0.35">
      <c r="B19" s="647" t="s">
        <v>4390</v>
      </c>
      <c r="C19" s="684"/>
      <c r="D19" s="647"/>
      <c r="E19" s="353"/>
      <c r="F19" s="353"/>
      <c r="G19" s="354" t="str">
        <f>IF(ISNUMBER(C19),TREND(#REF!,E19:F19,C19,1),"")</f>
        <v/>
      </c>
      <c r="H19" s="677"/>
      <c r="I19" s="677"/>
      <c r="J19" s="677"/>
      <c r="K19" s="561"/>
      <c r="L19" s="632"/>
      <c r="M19" s="632"/>
      <c r="N19" s="669"/>
      <c r="O19" s="669"/>
      <c r="P19" s="664"/>
      <c r="Q19" s="677"/>
      <c r="R19" s="677"/>
      <c r="S19" s="677"/>
      <c r="T19" s="677"/>
    </row>
    <row r="20" spans="2:20" outlineLevel="1" x14ac:dyDescent="0.35">
      <c r="B20" s="651" t="s">
        <v>4380</v>
      </c>
      <c r="C20" s="685"/>
      <c r="D20" s="652"/>
      <c r="E20" s="355">
        <v>8360</v>
      </c>
      <c r="F20" s="355">
        <v>9900</v>
      </c>
      <c r="G20" s="354" t="str">
        <f>IF(ISNUMBER(C20),TREND($E$18:$F$18,E20:F20,C20,1),"")</f>
        <v/>
      </c>
      <c r="H20" s="677"/>
      <c r="I20" s="677"/>
      <c r="J20" s="677"/>
      <c r="K20" s="561"/>
      <c r="L20" s="632"/>
      <c r="M20" s="632"/>
      <c r="N20" s="669"/>
      <c r="O20" s="669"/>
      <c r="P20" s="664"/>
      <c r="Q20" s="677"/>
      <c r="R20" s="677"/>
      <c r="S20" s="677"/>
      <c r="T20" s="677"/>
    </row>
    <row r="21" spans="2:20" outlineLevel="1" x14ac:dyDescent="0.35">
      <c r="B21" s="651" t="s">
        <v>4381</v>
      </c>
      <c r="C21" s="685"/>
      <c r="D21" s="652"/>
      <c r="E21" s="355">
        <v>8580</v>
      </c>
      <c r="F21" s="355">
        <v>9900</v>
      </c>
      <c r="G21" s="354" t="str">
        <f>IF(ISNUMBER(C21),TREND($E$18:$F$18,E21:F21,C21,1),"")</f>
        <v/>
      </c>
      <c r="H21" s="677"/>
      <c r="I21" s="677"/>
      <c r="J21" s="677"/>
      <c r="K21" s="561"/>
      <c r="L21" s="632"/>
      <c r="M21" s="632"/>
      <c r="N21" s="669"/>
      <c r="O21" s="669"/>
      <c r="P21" s="664"/>
      <c r="Q21" s="677"/>
      <c r="R21" s="677"/>
      <c r="S21" s="677"/>
      <c r="T21" s="677"/>
    </row>
    <row r="22" spans="2:20" outlineLevel="1" x14ac:dyDescent="0.35">
      <c r="B22" s="651" t="s">
        <v>4382</v>
      </c>
      <c r="C22" s="685"/>
      <c r="D22" s="652"/>
      <c r="E22" s="355">
        <v>8800</v>
      </c>
      <c r="F22" s="355">
        <v>11000</v>
      </c>
      <c r="G22" s="354" t="str">
        <f>IF(ISNUMBER(C22),TREND($E$18:$F$18,E22:F22,C22,1),"")</f>
        <v/>
      </c>
      <c r="H22" s="677"/>
      <c r="I22" s="677"/>
      <c r="J22" s="677"/>
      <c r="K22" s="561"/>
      <c r="L22" s="632"/>
      <c r="M22" s="632"/>
      <c r="N22" s="669"/>
      <c r="O22" s="669"/>
      <c r="P22" s="664"/>
      <c r="Q22" s="677"/>
      <c r="R22" s="677"/>
      <c r="S22" s="677"/>
      <c r="T22" s="677"/>
    </row>
    <row r="23" spans="2:20" outlineLevel="1" x14ac:dyDescent="0.35">
      <c r="B23" s="651" t="s">
        <v>4383</v>
      </c>
      <c r="C23" s="685"/>
      <c r="D23" s="652"/>
      <c r="E23" s="355">
        <v>9900</v>
      </c>
      <c r="F23" s="355">
        <v>10120</v>
      </c>
      <c r="G23" s="354" t="str">
        <f>IF(ISNUMBER(C23),TREND($E$18:$F$18,E23:F23,C23,1),"")</f>
        <v/>
      </c>
      <c r="H23" s="677"/>
      <c r="I23" s="677"/>
      <c r="J23" s="677"/>
      <c r="K23" s="561"/>
      <c r="L23" s="632"/>
      <c r="M23" s="632"/>
      <c r="N23" s="669"/>
      <c r="O23" s="669"/>
      <c r="P23" s="664"/>
      <c r="Q23" s="677"/>
      <c r="R23" s="677"/>
      <c r="S23" s="677"/>
      <c r="T23" s="677"/>
    </row>
    <row r="24" spans="2:20" outlineLevel="1" x14ac:dyDescent="0.35">
      <c r="B24" s="647" t="s">
        <v>4376</v>
      </c>
      <c r="C24" s="684"/>
      <c r="D24" s="647"/>
      <c r="E24" s="353"/>
      <c r="F24" s="353"/>
      <c r="G24" s="354"/>
      <c r="H24" s="677"/>
      <c r="I24" s="677"/>
      <c r="J24" s="677"/>
      <c r="K24" s="561"/>
      <c r="L24" s="632"/>
      <c r="M24" s="632"/>
      <c r="N24" s="669"/>
      <c r="O24" s="669"/>
      <c r="P24" s="664"/>
      <c r="Q24" s="677"/>
      <c r="R24" s="677"/>
      <c r="S24" s="677"/>
      <c r="T24" s="677"/>
    </row>
    <row r="25" spans="2:20" outlineLevel="1" x14ac:dyDescent="0.35">
      <c r="B25" s="651" t="s">
        <v>4384</v>
      </c>
      <c r="C25" s="683"/>
      <c r="D25" s="653"/>
      <c r="E25" s="355">
        <v>1932</v>
      </c>
      <c r="F25" s="355">
        <v>3653</v>
      </c>
      <c r="G25" s="354" t="str">
        <f t="shared" ref="G25:G30" si="1">IF(ISNUMBER(C25),TREND($E$18:$F$18,E25:F25,C25,1),"")</f>
        <v/>
      </c>
      <c r="H25" s="677"/>
      <c r="I25" s="677"/>
      <c r="J25" s="677"/>
      <c r="K25" s="561"/>
      <c r="L25" s="632"/>
      <c r="M25" s="632"/>
      <c r="N25" s="669"/>
      <c r="O25" s="669"/>
      <c r="P25" s="347"/>
      <c r="Q25" s="664"/>
      <c r="R25" s="346"/>
      <c r="S25" s="346"/>
      <c r="T25" s="346"/>
    </row>
    <row r="26" spans="2:20" outlineLevel="1" x14ac:dyDescent="0.35">
      <c r="B26" s="651" t="s">
        <v>4385</v>
      </c>
      <c r="C26" s="685"/>
      <c r="D26" s="653"/>
      <c r="E26" s="355">
        <v>1932</v>
      </c>
      <c r="F26" s="355">
        <v>3653</v>
      </c>
      <c r="G26" s="354" t="str">
        <f t="shared" si="1"/>
        <v/>
      </c>
      <c r="H26" s="677"/>
      <c r="I26" s="677"/>
      <c r="J26" s="677"/>
      <c r="K26" s="561"/>
      <c r="L26" s="632"/>
      <c r="M26" s="353"/>
      <c r="N26" s="664"/>
      <c r="O26" s="664"/>
      <c r="P26" s="677"/>
      <c r="Q26" s="677"/>
      <c r="R26" s="669"/>
      <c r="S26" s="669"/>
      <c r="T26" s="664"/>
    </row>
    <row r="27" spans="2:20" outlineLevel="1" x14ac:dyDescent="0.35">
      <c r="B27" s="651" t="s">
        <v>4386</v>
      </c>
      <c r="C27" s="683"/>
      <c r="D27" s="653"/>
      <c r="E27" s="355">
        <v>2100</v>
      </c>
      <c r="F27" s="355">
        <v>3653</v>
      </c>
      <c r="G27" s="354" t="str">
        <f t="shared" si="1"/>
        <v/>
      </c>
      <c r="H27" s="677"/>
      <c r="I27" s="677"/>
      <c r="J27" s="677"/>
      <c r="K27" s="561"/>
      <c r="L27" s="632"/>
      <c r="M27" s="353"/>
      <c r="N27" s="664"/>
      <c r="O27" s="664"/>
      <c r="P27" s="677"/>
      <c r="Q27" s="677"/>
      <c r="R27" s="669"/>
      <c r="S27" s="669"/>
      <c r="T27" s="347"/>
    </row>
    <row r="28" spans="2:20" outlineLevel="1" x14ac:dyDescent="0.35">
      <c r="B28" s="651" t="s">
        <v>4387</v>
      </c>
      <c r="C28" s="683"/>
      <c r="D28" s="653"/>
      <c r="E28" s="355">
        <v>2240</v>
      </c>
      <c r="F28" s="355">
        <v>2800</v>
      </c>
      <c r="G28" s="354" t="str">
        <f t="shared" si="1"/>
        <v/>
      </c>
      <c r="H28" s="677"/>
      <c r="I28" s="677"/>
      <c r="J28" s="677"/>
      <c r="K28" s="561"/>
      <c r="L28" s="632"/>
      <c r="M28" s="353"/>
      <c r="N28" s="664"/>
      <c r="O28" s="664"/>
      <c r="P28" s="677"/>
      <c r="Q28" s="677"/>
      <c r="R28" s="677"/>
      <c r="S28" s="677"/>
      <c r="T28" s="677"/>
    </row>
    <row r="29" spans="2:20" outlineLevel="1" x14ac:dyDescent="0.35">
      <c r="B29" s="651" t="s">
        <v>4388</v>
      </c>
      <c r="C29" s="683"/>
      <c r="D29" s="653"/>
      <c r="E29" s="355">
        <v>2240</v>
      </c>
      <c r="F29" s="355">
        <v>2800</v>
      </c>
      <c r="G29" s="354" t="str">
        <f t="shared" si="1"/>
        <v/>
      </c>
      <c r="H29" s="677"/>
      <c r="I29" s="677"/>
      <c r="J29" s="677"/>
      <c r="K29" s="561"/>
      <c r="L29" s="352"/>
      <c r="M29" s="353"/>
      <c r="N29" s="664"/>
      <c r="O29" s="664"/>
      <c r="P29" s="677"/>
      <c r="Q29" s="677"/>
      <c r="R29" s="677"/>
      <c r="S29" s="677"/>
      <c r="T29" s="677"/>
    </row>
    <row r="30" spans="2:20" outlineLevel="1" x14ac:dyDescent="0.35">
      <c r="B30" s="651" t="s">
        <v>4389</v>
      </c>
      <c r="C30" s="683"/>
      <c r="D30" s="653"/>
      <c r="E30" s="355">
        <v>2240</v>
      </c>
      <c r="F30" s="355">
        <v>3460</v>
      </c>
      <c r="G30" s="354" t="str">
        <f t="shared" si="1"/>
        <v/>
      </c>
      <c r="H30" s="677"/>
      <c r="I30" s="677"/>
      <c r="J30" s="677"/>
      <c r="K30" s="561"/>
      <c r="L30" s="353"/>
      <c r="M30" s="353"/>
      <c r="N30" s="664"/>
      <c r="O30" s="664"/>
      <c r="P30" s="677"/>
      <c r="Q30" s="677"/>
      <c r="R30" s="677"/>
      <c r="S30" s="677"/>
      <c r="T30" s="677"/>
    </row>
    <row r="31" spans="2:20" outlineLevel="1" x14ac:dyDescent="0.35">
      <c r="B31" s="662"/>
      <c r="C31" s="662"/>
      <c r="D31" s="632"/>
      <c r="E31" s="664"/>
      <c r="F31" s="664"/>
      <c r="G31" s="343" t="e">
        <f>AVERAGE(G19:G30)</f>
        <v>#DIV/0!</v>
      </c>
      <c r="I31" s="677"/>
      <c r="J31" s="677"/>
      <c r="K31" s="561"/>
      <c r="L31" s="631"/>
      <c r="M31" s="353"/>
      <c r="N31" s="664"/>
      <c r="O31" s="664"/>
      <c r="P31" s="677"/>
      <c r="Q31" s="677"/>
      <c r="R31" s="677"/>
      <c r="S31" s="677"/>
      <c r="T31" s="677"/>
    </row>
    <row r="32" spans="2:20" outlineLevel="1" x14ac:dyDescent="0.35">
      <c r="B32" s="299" t="s">
        <v>4587</v>
      </c>
      <c r="C32" s="299" t="s">
        <v>4346</v>
      </c>
      <c r="D32" s="337" t="s">
        <v>4583</v>
      </c>
      <c r="E32" s="346"/>
      <c r="F32" s="346"/>
      <c r="G32" s="346"/>
      <c r="H32" s="346"/>
      <c r="I32" s="633"/>
      <c r="K32" s="561"/>
      <c r="L32" s="633"/>
      <c r="M32" s="545"/>
      <c r="N32" s="664"/>
      <c r="O32" s="664"/>
      <c r="P32" s="677"/>
      <c r="Q32" s="677"/>
      <c r="R32" s="677"/>
      <c r="S32" s="677"/>
      <c r="T32" s="677"/>
    </row>
    <row r="33" spans="2:20" outlineLevel="1" x14ac:dyDescent="0.35">
      <c r="B33" s="646" t="s">
        <v>4594</v>
      </c>
      <c r="C33" s="686" t="s">
        <v>4396</v>
      </c>
      <c r="D33" s="652"/>
      <c r="E33" s="561"/>
      <c r="F33" s="687"/>
      <c r="G33" s="366">
        <f>IF(C33="Sparsam",1,(IF(C33="Normal",0.5,0)))</f>
        <v>0</v>
      </c>
      <c r="H33" s="669"/>
      <c r="I33" s="633"/>
      <c r="K33" s="561"/>
      <c r="L33" s="633"/>
      <c r="M33" s="545"/>
      <c r="N33" s="664"/>
      <c r="O33" s="664"/>
      <c r="P33" s="677"/>
      <c r="Q33" s="677"/>
      <c r="R33" s="677"/>
      <c r="S33" s="677"/>
      <c r="T33" s="677"/>
    </row>
    <row r="34" spans="2:20" outlineLevel="1" x14ac:dyDescent="0.35">
      <c r="B34" s="677"/>
      <c r="C34" s="677"/>
      <c r="E34" s="677"/>
      <c r="F34" s="677"/>
      <c r="G34" s="343">
        <f>G33</f>
        <v>0</v>
      </c>
      <c r="H34" s="669"/>
      <c r="I34" s="633"/>
      <c r="K34" s="561"/>
      <c r="L34" s="635"/>
      <c r="M34" s="545"/>
      <c r="N34" s="664"/>
      <c r="O34" s="664"/>
      <c r="P34" s="677"/>
      <c r="Q34" s="677"/>
      <c r="R34" s="677"/>
      <c r="S34" s="677"/>
      <c r="T34" s="677"/>
    </row>
    <row r="35" spans="2:20" outlineLevel="1" x14ac:dyDescent="0.35">
      <c r="B35" s="662"/>
      <c r="C35" s="662"/>
      <c r="D35" s="632"/>
      <c r="E35" s="664"/>
      <c r="F35" s="664"/>
      <c r="G35" s="343" t="e">
        <f>G17*0.7+G31*0.15+G34*0.15</f>
        <v>#DIV/0!</v>
      </c>
      <c r="I35" s="677"/>
      <c r="J35" s="677"/>
      <c r="K35" s="561"/>
      <c r="L35" s="631"/>
      <c r="M35" s="353"/>
      <c r="N35" s="664"/>
      <c r="O35" s="664"/>
      <c r="P35" s="677"/>
      <c r="Q35" s="677"/>
      <c r="R35" s="677"/>
      <c r="S35" s="677"/>
      <c r="T35" s="677"/>
    </row>
    <row r="36" spans="2:20" outlineLevel="1" x14ac:dyDescent="0.35">
      <c r="B36" s="337" t="s">
        <v>4614</v>
      </c>
      <c r="C36" s="349" t="s">
        <v>4372</v>
      </c>
      <c r="D36" s="632"/>
      <c r="E36" s="527">
        <f>E11</f>
        <v>1</v>
      </c>
      <c r="F36" s="531">
        <v>0</v>
      </c>
      <c r="H36" s="664"/>
      <c r="I36" s="677"/>
      <c r="K36" s="561"/>
      <c r="L36" s="631"/>
      <c r="M36" s="353"/>
      <c r="N36" s="664"/>
      <c r="O36" s="664"/>
      <c r="P36" s="677"/>
      <c r="Q36" s="677"/>
      <c r="R36" s="677"/>
      <c r="S36" s="677"/>
      <c r="T36" s="677"/>
    </row>
    <row r="37" spans="2:20" ht="15" outlineLevel="1" thickBot="1" x14ac:dyDescent="0.4">
      <c r="B37" s="650" t="s">
        <v>5206</v>
      </c>
      <c r="C37" s="670">
        <f>IFERROR(TREND(E37:F37,E36:F36,G35,1),237)</f>
        <v>237</v>
      </c>
      <c r="D37" s="632"/>
      <c r="E37" s="526">
        <v>89</v>
      </c>
      <c r="F37" s="526">
        <v>237</v>
      </c>
      <c r="G37" s="561"/>
      <c r="I37" s="677"/>
      <c r="K37" s="561"/>
      <c r="L37" s="631"/>
      <c r="M37" s="353"/>
      <c r="N37" s="664"/>
      <c r="O37" s="664"/>
      <c r="P37" s="677"/>
      <c r="Q37" s="677"/>
      <c r="R37" s="677"/>
      <c r="S37" s="677"/>
      <c r="T37" s="677"/>
    </row>
    <row r="38" spans="2:20" ht="15" outlineLevel="1" thickBot="1" x14ac:dyDescent="0.4">
      <c r="B38" s="561"/>
      <c r="C38" s="335">
        <f>IF(TREND($E$36:$F$36,E37:F37,C37,1)&lt;0,0,(IF(TREND($E$36:$F$36,E37:F37,C37,1)&gt;E11,E11,TREND($E$36:$F$36,E37:F37,C37,1))))</f>
        <v>0</v>
      </c>
      <c r="D38" s="357" t="s">
        <v>5125</v>
      </c>
      <c r="E38" s="561"/>
      <c r="F38" s="561"/>
      <c r="G38" s="561"/>
      <c r="H38" s="671"/>
      <c r="I38" s="677"/>
      <c r="J38" s="677"/>
      <c r="K38" s="561"/>
      <c r="L38" s="631"/>
      <c r="M38" s="353"/>
      <c r="N38" s="664"/>
      <c r="O38" s="664"/>
      <c r="P38" s="677"/>
      <c r="Q38" s="677"/>
      <c r="R38" s="677"/>
      <c r="S38" s="677"/>
      <c r="T38" s="677"/>
    </row>
    <row r="39" spans="2:20" x14ac:dyDescent="0.35">
      <c r="B39" s="561"/>
      <c r="C39" s="336"/>
      <c r="D39" s="632"/>
      <c r="E39" s="561"/>
      <c r="F39" s="561"/>
      <c r="G39" s="561"/>
      <c r="H39" s="671"/>
      <c r="I39" s="677"/>
      <c r="J39" s="677"/>
      <c r="K39" s="561"/>
      <c r="L39" s="631"/>
      <c r="M39" s="353"/>
      <c r="N39" s="664"/>
      <c r="O39" s="664"/>
      <c r="P39" s="677"/>
      <c r="Q39" s="677"/>
      <c r="R39" s="677"/>
      <c r="S39" s="677"/>
      <c r="T39" s="677"/>
    </row>
    <row r="40" spans="2:20" x14ac:dyDescent="0.35">
      <c r="B40" s="626" t="s">
        <v>5062</v>
      </c>
      <c r="C40" s="675"/>
      <c r="D40" s="676"/>
      <c r="E40" s="629"/>
      <c r="F40" s="629"/>
      <c r="G40" s="629"/>
      <c r="H40" s="676"/>
      <c r="I40" s="676"/>
      <c r="J40" s="676"/>
      <c r="K40" s="561"/>
      <c r="L40" s="347"/>
      <c r="M40" s="664"/>
      <c r="N40" s="346"/>
      <c r="O40" s="346"/>
      <c r="P40" s="346"/>
      <c r="Q40" s="677"/>
      <c r="R40" s="677"/>
      <c r="S40" s="677"/>
      <c r="T40" s="677"/>
    </row>
    <row r="41" spans="2:20" x14ac:dyDescent="0.35">
      <c r="B41" s="331" t="s">
        <v>5047</v>
      </c>
      <c r="C41" s="678"/>
      <c r="D41" s="679"/>
      <c r="E41" s="630"/>
      <c r="F41" s="630"/>
      <c r="G41" s="630"/>
      <c r="H41" s="679"/>
      <c r="I41" s="679"/>
      <c r="J41" s="679"/>
      <c r="K41" s="561"/>
      <c r="L41" s="347"/>
      <c r="M41" s="664"/>
      <c r="N41" s="346"/>
      <c r="O41" s="346"/>
      <c r="P41" s="346"/>
      <c r="Q41" s="677"/>
      <c r="R41" s="677"/>
      <c r="S41" s="677"/>
      <c r="T41" s="677"/>
    </row>
    <row r="42" spans="2:20" outlineLevel="1" x14ac:dyDescent="0.35">
      <c r="B42" s="688"/>
      <c r="C42" s="358"/>
      <c r="D42" s="354"/>
      <c r="E42" s="561"/>
      <c r="F42" s="561"/>
      <c r="G42" s="561"/>
      <c r="J42" s="669"/>
      <c r="K42" s="561"/>
      <c r="L42" s="631"/>
      <c r="M42" s="353"/>
      <c r="N42" s="664"/>
      <c r="O42" s="664"/>
      <c r="P42" s="677"/>
      <c r="Q42" s="677"/>
      <c r="R42" s="677"/>
      <c r="S42" s="677"/>
      <c r="T42" s="677"/>
    </row>
    <row r="43" spans="2:20" outlineLevel="1" x14ac:dyDescent="0.35">
      <c r="B43" s="337" t="s">
        <v>4434</v>
      </c>
      <c r="C43" s="349" t="s">
        <v>4372</v>
      </c>
      <c r="D43" s="337" t="s">
        <v>4583</v>
      </c>
      <c r="E43" s="1148">
        <f>Qualitätsprüfung!G1345</f>
        <v>1</v>
      </c>
      <c r="F43" s="531">
        <v>0</v>
      </c>
      <c r="G43" s="561"/>
      <c r="J43" s="669"/>
      <c r="K43" s="561"/>
      <c r="L43" s="631"/>
      <c r="M43" s="353"/>
      <c r="N43" s="664"/>
      <c r="O43" s="664"/>
      <c r="P43" s="677"/>
      <c r="Q43" s="677"/>
      <c r="R43" s="677"/>
      <c r="S43" s="677"/>
      <c r="T43" s="677"/>
    </row>
    <row r="44" spans="2:20" outlineLevel="1" x14ac:dyDescent="0.35">
      <c r="B44" s="646" t="s">
        <v>4588</v>
      </c>
      <c r="C44" s="689" t="s">
        <v>2048</v>
      </c>
      <c r="D44" s="652"/>
      <c r="E44" s="527"/>
      <c r="F44" s="531"/>
      <c r="G44" s="561"/>
      <c r="I44" s="636"/>
      <c r="J44" s="631"/>
      <c r="K44" s="561"/>
      <c r="M44" s="353"/>
      <c r="N44" s="664"/>
      <c r="O44" s="664"/>
      <c r="P44" s="677"/>
      <c r="Q44" s="677"/>
      <c r="R44" s="677"/>
      <c r="S44" s="677"/>
      <c r="T44" s="677"/>
    </row>
    <row r="45" spans="2:20" ht="15" outlineLevel="1" thickBot="1" x14ac:dyDescent="0.4">
      <c r="B45" s="647" t="s">
        <v>5205</v>
      </c>
      <c r="C45" s="690">
        <v>10</v>
      </c>
      <c r="D45" s="652"/>
      <c r="E45" s="526">
        <f>IF(C44="nein",5,10)</f>
        <v>5</v>
      </c>
      <c r="F45" s="526">
        <f>IF(C44="nein",10,20)</f>
        <v>10</v>
      </c>
      <c r="G45" s="561"/>
      <c r="I45" s="636"/>
      <c r="J45" s="631"/>
      <c r="K45" s="561"/>
      <c r="M45" s="353"/>
      <c r="N45" s="664"/>
      <c r="O45" s="664"/>
      <c r="P45" s="677"/>
      <c r="Q45" s="677"/>
      <c r="R45" s="677"/>
      <c r="S45" s="677"/>
      <c r="T45" s="677"/>
    </row>
    <row r="46" spans="2:20" ht="15" outlineLevel="1" thickBot="1" x14ac:dyDescent="0.4">
      <c r="B46" s="561"/>
      <c r="C46" s="335">
        <f>IF(TREND($E$43:$F$43,E45:F45,C45,1)&lt;0,0,(IF(TREND($E$43:$F$43,E45:F45,C45,1)&gt;E43,E43,TREND($E$43:$F$43,E45:F45,C45,1))))</f>
        <v>0</v>
      </c>
      <c r="D46" s="357" t="s">
        <v>5126</v>
      </c>
      <c r="E46" s="561"/>
      <c r="F46" s="561"/>
      <c r="I46" s="354"/>
      <c r="J46" s="631"/>
      <c r="K46" s="561"/>
      <c r="M46" s="353"/>
      <c r="N46" s="664"/>
      <c r="O46" s="664"/>
      <c r="P46" s="677"/>
      <c r="Q46" s="677"/>
      <c r="R46" s="677"/>
      <c r="S46" s="677"/>
      <c r="T46" s="677"/>
    </row>
    <row r="47" spans="2:20" outlineLevel="1" x14ac:dyDescent="0.35">
      <c r="B47" s="561"/>
      <c r="C47" s="340"/>
      <c r="E47" s="561"/>
      <c r="F47" s="561"/>
      <c r="I47" s="354"/>
      <c r="J47" s="631"/>
      <c r="K47" s="561"/>
      <c r="M47" s="353"/>
      <c r="N47" s="664"/>
      <c r="O47" s="664"/>
      <c r="P47" s="677"/>
      <c r="Q47" s="677"/>
      <c r="R47" s="677"/>
      <c r="S47" s="677"/>
      <c r="T47" s="677"/>
    </row>
    <row r="48" spans="2:20" x14ac:dyDescent="0.35">
      <c r="B48" s="331" t="s">
        <v>5046</v>
      </c>
      <c r="C48" s="341"/>
      <c r="D48" s="341"/>
      <c r="E48" s="341"/>
      <c r="F48" s="341"/>
      <c r="G48" s="341"/>
      <c r="H48" s="341"/>
      <c r="I48" s="341"/>
      <c r="J48" s="341"/>
      <c r="K48" s="561"/>
      <c r="M48" s="353"/>
      <c r="N48" s="664"/>
      <c r="O48" s="664"/>
      <c r="P48" s="677"/>
      <c r="Q48" s="677"/>
      <c r="R48" s="677"/>
      <c r="S48" s="677"/>
      <c r="T48" s="677"/>
    </row>
    <row r="49" spans="2:20" outlineLevel="1" x14ac:dyDescent="0.35">
      <c r="B49" s="561"/>
      <c r="C49" s="340"/>
      <c r="E49" s="561"/>
      <c r="F49" s="561"/>
      <c r="I49" s="354"/>
      <c r="J49" s="631"/>
      <c r="K49" s="561"/>
      <c r="M49" s="353"/>
      <c r="N49" s="664"/>
      <c r="O49" s="664"/>
      <c r="P49" s="677"/>
      <c r="Q49" s="677"/>
      <c r="R49" s="677"/>
      <c r="S49" s="677"/>
      <c r="T49" s="677"/>
    </row>
    <row r="50" spans="2:20" outlineLevel="1" x14ac:dyDescent="0.35">
      <c r="B50" s="299" t="s">
        <v>4589</v>
      </c>
      <c r="C50" s="299" t="s">
        <v>4346</v>
      </c>
      <c r="D50" s="337" t="s">
        <v>4583</v>
      </c>
      <c r="E50" s="561"/>
      <c r="F50" s="561"/>
      <c r="G50" s="295" t="s">
        <v>4372</v>
      </c>
      <c r="I50" s="354"/>
      <c r="J50" s="631"/>
      <c r="K50" s="561"/>
      <c r="M50" s="353"/>
      <c r="N50" s="664"/>
      <c r="O50" s="664"/>
      <c r="P50" s="677"/>
      <c r="Q50" s="677"/>
      <c r="R50" s="677"/>
      <c r="S50" s="677"/>
      <c r="T50" s="677"/>
    </row>
    <row r="51" spans="2:20" outlineLevel="1" x14ac:dyDescent="0.35">
      <c r="B51" s="646" t="s">
        <v>5203</v>
      </c>
      <c r="C51" s="663" t="s">
        <v>4584</v>
      </c>
      <c r="D51" s="652"/>
      <c r="E51" s="561"/>
      <c r="F51" s="561"/>
      <c r="G51" s="295">
        <f>VLOOKUP(C51,$I$51:$J$53,2,0)</f>
        <v>0</v>
      </c>
      <c r="I51" s="637" t="s">
        <v>4980</v>
      </c>
      <c r="J51" s="638">
        <v>0.5</v>
      </c>
      <c r="K51" s="561"/>
      <c r="M51" s="353"/>
      <c r="N51" s="664"/>
      <c r="O51" s="664"/>
      <c r="P51" s="677"/>
      <c r="Q51" s="677"/>
      <c r="R51" s="677"/>
      <c r="S51" s="677"/>
      <c r="T51" s="677"/>
    </row>
    <row r="52" spans="2:20" ht="43.5" outlineLevel="1" x14ac:dyDescent="0.35">
      <c r="B52" s="646" t="s">
        <v>4590</v>
      </c>
      <c r="C52" s="663" t="s">
        <v>4593</v>
      </c>
      <c r="D52" s="652"/>
      <c r="E52" s="561"/>
      <c r="F52" s="561"/>
      <c r="G52" s="295">
        <f>VLOOKUP(C52,$I$54:$J$56,2,0)</f>
        <v>0</v>
      </c>
      <c r="I52" s="637" t="s">
        <v>4981</v>
      </c>
      <c r="J52" s="638">
        <v>0.25</v>
      </c>
      <c r="K52" s="561"/>
      <c r="M52" s="353"/>
      <c r="N52" s="664"/>
      <c r="O52" s="664"/>
      <c r="P52" s="677"/>
      <c r="Q52" s="677"/>
      <c r="R52" s="677"/>
      <c r="S52" s="677"/>
      <c r="T52" s="677"/>
    </row>
    <row r="53" spans="2:20" outlineLevel="1" x14ac:dyDescent="0.35">
      <c r="B53" s="646" t="s">
        <v>5202</v>
      </c>
      <c r="C53" s="663" t="s">
        <v>4357</v>
      </c>
      <c r="D53" s="652"/>
      <c r="E53" s="561"/>
      <c r="F53" s="561"/>
      <c r="G53" s="295">
        <f>VLOOKUP(C53,$I$57:$J$58,2,0)</f>
        <v>0</v>
      </c>
      <c r="I53" s="643" t="s">
        <v>4584</v>
      </c>
      <c r="J53" s="644">
        <v>0</v>
      </c>
      <c r="K53" s="561"/>
      <c r="M53" s="353"/>
      <c r="N53" s="664"/>
      <c r="O53" s="664"/>
      <c r="P53" s="677"/>
      <c r="Q53" s="677"/>
      <c r="R53" s="677"/>
      <c r="S53" s="677"/>
      <c r="T53" s="677"/>
    </row>
    <row r="54" spans="2:20" outlineLevel="1" x14ac:dyDescent="0.35">
      <c r="B54" s="561"/>
      <c r="C54" s="340"/>
      <c r="E54" s="561"/>
      <c r="F54" s="561"/>
      <c r="I54" s="636" t="s">
        <v>4591</v>
      </c>
      <c r="J54" s="638">
        <v>0.5</v>
      </c>
      <c r="K54" s="561"/>
      <c r="M54" s="353"/>
      <c r="N54" s="664"/>
      <c r="O54" s="664"/>
      <c r="P54" s="677"/>
      <c r="Q54" s="677"/>
      <c r="R54" s="677"/>
      <c r="S54" s="677"/>
      <c r="T54" s="677"/>
    </row>
    <row r="55" spans="2:20" outlineLevel="1" x14ac:dyDescent="0.35">
      <c r="B55" s="299" t="s">
        <v>4587</v>
      </c>
      <c r="C55" s="299" t="s">
        <v>4346</v>
      </c>
      <c r="D55" s="337" t="s">
        <v>4583</v>
      </c>
      <c r="E55" s="561"/>
      <c r="F55" s="561"/>
      <c r="I55" s="636" t="s">
        <v>4592</v>
      </c>
      <c r="J55" s="638">
        <v>0.25</v>
      </c>
      <c r="K55" s="561"/>
      <c r="M55" s="353"/>
      <c r="N55" s="664"/>
      <c r="O55" s="664"/>
      <c r="P55" s="677"/>
      <c r="Q55" s="677"/>
      <c r="R55" s="677"/>
      <c r="S55" s="677"/>
      <c r="T55" s="677"/>
    </row>
    <row r="56" spans="2:20" outlineLevel="1" x14ac:dyDescent="0.35">
      <c r="B56" s="646" t="s">
        <v>4594</v>
      </c>
      <c r="C56" s="686" t="s">
        <v>4396</v>
      </c>
      <c r="D56" s="652"/>
      <c r="E56" s="561"/>
      <c r="F56" s="561"/>
      <c r="G56" s="366">
        <f>IF(C56="Sparsam",1,(IF(C56="Normal",0.5,0)))</f>
        <v>0</v>
      </c>
      <c r="I56" s="643" t="s">
        <v>4593</v>
      </c>
      <c r="J56" s="644">
        <v>0</v>
      </c>
      <c r="K56" s="561"/>
      <c r="M56" s="353"/>
      <c r="N56" s="664"/>
      <c r="O56" s="664"/>
      <c r="P56" s="677"/>
      <c r="Q56" s="677"/>
      <c r="R56" s="677"/>
      <c r="S56" s="677"/>
      <c r="T56" s="677"/>
    </row>
    <row r="57" spans="2:20" outlineLevel="1" x14ac:dyDescent="0.35">
      <c r="B57" s="561"/>
      <c r="C57" s="340"/>
      <c r="E57" s="561"/>
      <c r="F57" s="561"/>
      <c r="I57" s="636" t="s">
        <v>4595</v>
      </c>
      <c r="J57" s="638">
        <v>1</v>
      </c>
      <c r="K57" s="561"/>
      <c r="M57" s="353"/>
      <c r="N57" s="664"/>
      <c r="O57" s="664"/>
      <c r="P57" s="677"/>
      <c r="Q57" s="677"/>
      <c r="R57" s="677"/>
      <c r="S57" s="677"/>
      <c r="T57" s="677"/>
    </row>
    <row r="58" spans="2:20" outlineLevel="1" x14ac:dyDescent="0.35">
      <c r="B58" s="561"/>
      <c r="C58" s="340"/>
      <c r="E58" s="561"/>
      <c r="F58" s="561"/>
      <c r="G58" s="561"/>
      <c r="I58" s="636" t="s">
        <v>4357</v>
      </c>
      <c r="J58" s="638">
        <v>0</v>
      </c>
      <c r="K58" s="561"/>
      <c r="M58" s="353"/>
      <c r="N58" s="664"/>
      <c r="O58" s="664"/>
      <c r="P58" s="677"/>
      <c r="Q58" s="677"/>
      <c r="R58" s="677"/>
      <c r="S58" s="677"/>
      <c r="T58" s="677"/>
    </row>
    <row r="59" spans="2:20" outlineLevel="1" x14ac:dyDescent="0.35">
      <c r="B59" s="337" t="s">
        <v>4614</v>
      </c>
      <c r="C59" s="349" t="s">
        <v>4372</v>
      </c>
      <c r="D59" s="354"/>
      <c r="E59" s="561"/>
      <c r="F59" s="561"/>
      <c r="G59" s="561"/>
      <c r="J59" s="669"/>
      <c r="K59" s="561"/>
      <c r="L59" s="631"/>
      <c r="M59" s="353"/>
      <c r="N59" s="664"/>
      <c r="O59" s="664"/>
      <c r="P59" s="677"/>
      <c r="Q59" s="677"/>
      <c r="R59" s="677"/>
      <c r="S59" s="677"/>
      <c r="T59" s="677"/>
    </row>
    <row r="60" spans="2:20" outlineLevel="1" x14ac:dyDescent="0.35">
      <c r="B60" s="646" t="s">
        <v>4588</v>
      </c>
      <c r="C60" s="689" t="s">
        <v>2048</v>
      </c>
      <c r="D60" s="354"/>
      <c r="E60" s="1148">
        <f>Qualitätsprüfung!G1346</f>
        <v>1</v>
      </c>
      <c r="F60" s="531">
        <v>0</v>
      </c>
      <c r="G60" s="343">
        <f>IF(C60="nein",((G51+G52)*0.7+G56*0.3),(G51+G52)*0.35+(G53*0.35)+G56*0.3)</f>
        <v>0</v>
      </c>
      <c r="J60" s="669"/>
      <c r="K60" s="561"/>
      <c r="L60" s="631"/>
      <c r="M60" s="353"/>
      <c r="N60" s="664"/>
      <c r="O60" s="664"/>
      <c r="P60" s="677"/>
      <c r="Q60" s="677"/>
      <c r="R60" s="677"/>
      <c r="S60" s="677"/>
      <c r="T60" s="677"/>
    </row>
    <row r="61" spans="2:20" ht="15" outlineLevel="1" thickBot="1" x14ac:dyDescent="0.4">
      <c r="B61" s="647" t="s">
        <v>5207</v>
      </c>
      <c r="C61" s="670">
        <f>TREND(E61:F61,E60:F60,G60,1)</f>
        <v>10</v>
      </c>
      <c r="D61" s="354"/>
      <c r="E61" s="526">
        <f>IF(C60="nein",5,10)</f>
        <v>5</v>
      </c>
      <c r="F61" s="526">
        <f>IF(C60="nein",10,20)</f>
        <v>10</v>
      </c>
      <c r="J61" s="669"/>
      <c r="K61" s="561"/>
      <c r="L61" s="631"/>
      <c r="M61" s="353"/>
      <c r="N61" s="664"/>
      <c r="O61" s="664"/>
      <c r="P61" s="677"/>
      <c r="Q61" s="677"/>
      <c r="R61" s="677"/>
      <c r="S61" s="677"/>
      <c r="T61" s="677"/>
    </row>
    <row r="62" spans="2:20" ht="15" outlineLevel="1" thickBot="1" x14ac:dyDescent="0.4">
      <c r="B62" s="561"/>
      <c r="C62" s="335">
        <f>IF(TREND($E$60:$F$60,E61:F61,C61,1)&lt;0,0,(IF(TREND($E$60:$F$60,E61:F61,C61,1)&gt;E60,E60,TREND($E$60:$F$60,E61:F61,C61,1))))</f>
        <v>0</v>
      </c>
      <c r="D62" s="357" t="s">
        <v>5126</v>
      </c>
      <c r="E62" s="561"/>
      <c r="F62" s="561"/>
      <c r="J62" s="669"/>
      <c r="K62" s="561"/>
      <c r="L62" s="631"/>
      <c r="M62" s="353"/>
      <c r="N62" s="664"/>
      <c r="O62" s="664"/>
      <c r="P62" s="677"/>
      <c r="Q62" s="677"/>
      <c r="R62" s="677"/>
      <c r="S62" s="677"/>
      <c r="T62" s="677"/>
    </row>
    <row r="63" spans="2:20" x14ac:dyDescent="0.35">
      <c r="B63" s="561"/>
      <c r="C63" s="340"/>
      <c r="D63" s="354"/>
      <c r="E63" s="561"/>
      <c r="F63" s="561"/>
      <c r="J63" s="669"/>
      <c r="K63" s="561"/>
      <c r="L63" s="631"/>
      <c r="M63" s="353"/>
      <c r="N63" s="664"/>
      <c r="O63" s="664"/>
      <c r="P63" s="677"/>
      <c r="Q63" s="677"/>
      <c r="R63" s="677"/>
      <c r="S63" s="677"/>
      <c r="T63" s="677"/>
    </row>
    <row r="64" spans="2:20" x14ac:dyDescent="0.35">
      <c r="B64" s="626" t="s">
        <v>5064</v>
      </c>
      <c r="C64" s="675"/>
      <c r="D64" s="676"/>
      <c r="E64" s="629"/>
      <c r="F64" s="629"/>
      <c r="G64" s="629"/>
      <c r="H64" s="676"/>
      <c r="I64" s="676"/>
      <c r="J64" s="676"/>
      <c r="K64" s="561"/>
      <c r="L64" s="347"/>
      <c r="M64" s="664"/>
      <c r="N64" s="346"/>
      <c r="O64" s="346"/>
      <c r="P64" s="346"/>
      <c r="Q64" s="677"/>
      <c r="R64" s="677"/>
      <c r="S64" s="677"/>
      <c r="T64" s="677"/>
    </row>
    <row r="65" spans="2:20" x14ac:dyDescent="0.35">
      <c r="B65" s="331" t="s">
        <v>5048</v>
      </c>
      <c r="C65" s="678"/>
      <c r="D65" s="679"/>
      <c r="E65" s="630"/>
      <c r="F65" s="630"/>
      <c r="G65" s="630"/>
      <c r="H65" s="679"/>
      <c r="I65" s="679"/>
      <c r="J65" s="679"/>
      <c r="K65" s="561"/>
      <c r="L65" s="347"/>
      <c r="M65" s="664"/>
      <c r="N65" s="346"/>
      <c r="O65" s="346"/>
      <c r="P65" s="346"/>
      <c r="Q65" s="677"/>
      <c r="R65" s="677"/>
      <c r="S65" s="677"/>
      <c r="T65" s="677"/>
    </row>
    <row r="66" spans="2:20" outlineLevel="1" x14ac:dyDescent="0.35">
      <c r="B66" s="688"/>
      <c r="C66" s="358"/>
      <c r="D66" s="669"/>
      <c r="E66" s="561"/>
      <c r="H66" s="680"/>
      <c r="J66" s="669"/>
      <c r="K66" s="561"/>
      <c r="L66" s="347"/>
      <c r="M66" s="664"/>
      <c r="N66" s="346"/>
      <c r="O66" s="346"/>
      <c r="P66" s="346"/>
      <c r="Q66" s="677"/>
      <c r="R66" s="677"/>
      <c r="S66" s="677"/>
      <c r="T66" s="677"/>
    </row>
    <row r="67" spans="2:20" outlineLevel="1" x14ac:dyDescent="0.35">
      <c r="B67" s="337" t="s">
        <v>4434</v>
      </c>
      <c r="C67" s="349" t="s">
        <v>4372</v>
      </c>
      <c r="D67" s="337" t="s">
        <v>4583</v>
      </c>
      <c r="E67" s="1148">
        <f>Qualitätsprüfung!G1367</f>
        <v>1</v>
      </c>
      <c r="F67" s="531">
        <v>0</v>
      </c>
      <c r="J67" s="669"/>
      <c r="K67" s="561"/>
      <c r="L67" s="631"/>
      <c r="M67" s="353"/>
      <c r="N67" s="664"/>
      <c r="O67" s="664"/>
      <c r="P67" s="677"/>
      <c r="Q67" s="677"/>
      <c r="R67" s="677"/>
      <c r="S67" s="677"/>
      <c r="T67" s="677"/>
    </row>
    <row r="68" spans="2:20" outlineLevel="1" x14ac:dyDescent="0.35">
      <c r="B68" s="645" t="s">
        <v>5050</v>
      </c>
      <c r="C68" s="691" t="s">
        <v>5059</v>
      </c>
      <c r="D68" s="652"/>
      <c r="E68" s="561"/>
      <c r="F68" s="561"/>
      <c r="G68" s="636" t="s">
        <v>5059</v>
      </c>
      <c r="H68" s="355">
        <v>0</v>
      </c>
      <c r="I68" s="355">
        <v>0</v>
      </c>
      <c r="J68" s="353"/>
      <c r="K68" s="561"/>
      <c r="P68" s="677"/>
      <c r="Q68" s="677"/>
      <c r="R68" s="677"/>
      <c r="S68" s="677"/>
      <c r="T68" s="677"/>
    </row>
    <row r="69" spans="2:20" outlineLevel="1" x14ac:dyDescent="0.35">
      <c r="B69" s="695" t="s">
        <v>5049</v>
      </c>
      <c r="C69" s="703">
        <v>0</v>
      </c>
      <c r="D69" s="654"/>
      <c r="E69" s="561"/>
      <c r="F69" s="561"/>
      <c r="G69" s="636" t="s">
        <v>4438</v>
      </c>
      <c r="H69" s="355">
        <f>36*0.8</f>
        <v>28.8</v>
      </c>
      <c r="I69" s="355">
        <f>36*1.2</f>
        <v>43.199999999999996</v>
      </c>
      <c r="J69" s="353" t="s">
        <v>4597</v>
      </c>
      <c r="K69" s="561"/>
      <c r="P69" s="677"/>
      <c r="Q69" s="677"/>
      <c r="R69" s="677"/>
      <c r="S69" s="677"/>
      <c r="T69" s="677"/>
    </row>
    <row r="70" spans="2:20" ht="15" outlineLevel="1" thickBot="1" x14ac:dyDescent="0.4">
      <c r="B70" s="696" t="s">
        <v>5051</v>
      </c>
      <c r="C70" s="692"/>
      <c r="D70" s="655"/>
      <c r="E70" s="639">
        <f>VLOOKUP(C68,$G$68:$I$76,2,0)</f>
        <v>0</v>
      </c>
      <c r="F70" s="639">
        <f>VLOOKUP(C68,$G$68:$I$76,3,0)</f>
        <v>0</v>
      </c>
      <c r="G70" s="636" t="s">
        <v>4436</v>
      </c>
      <c r="H70" s="640">
        <v>130</v>
      </c>
      <c r="I70" s="355">
        <v>143</v>
      </c>
      <c r="J70" s="353" t="s">
        <v>4598</v>
      </c>
      <c r="K70" s="561"/>
      <c r="P70" s="677"/>
      <c r="Q70" s="677"/>
      <c r="R70" s="677"/>
      <c r="S70" s="677"/>
      <c r="T70" s="677"/>
    </row>
    <row r="71" spans="2:20" outlineLevel="1" x14ac:dyDescent="0.35">
      <c r="B71" s="648" t="s">
        <v>5053</v>
      </c>
      <c r="C71" s="691" t="s">
        <v>5059</v>
      </c>
      <c r="D71" s="656"/>
      <c r="E71" s="545"/>
      <c r="G71" s="636" t="s">
        <v>4437</v>
      </c>
      <c r="H71" s="640">
        <f>150*0.8</f>
        <v>120</v>
      </c>
      <c r="I71" s="355">
        <f>150*1.2</f>
        <v>180</v>
      </c>
      <c r="J71" s="353" t="s">
        <v>4598</v>
      </c>
      <c r="K71" s="561"/>
      <c r="P71" s="677"/>
      <c r="Q71" s="677"/>
      <c r="R71" s="677"/>
      <c r="S71" s="677"/>
      <c r="T71" s="677"/>
    </row>
    <row r="72" spans="2:20" outlineLevel="1" x14ac:dyDescent="0.35">
      <c r="B72" s="695" t="s">
        <v>5054</v>
      </c>
      <c r="C72" s="703">
        <v>0</v>
      </c>
      <c r="D72" s="654"/>
      <c r="E72" s="545"/>
      <c r="G72" s="636" t="s">
        <v>4439</v>
      </c>
      <c r="H72" s="640">
        <v>100</v>
      </c>
      <c r="I72" s="355">
        <v>183</v>
      </c>
      <c r="J72" s="353" t="s">
        <v>4598</v>
      </c>
      <c r="K72" s="561"/>
      <c r="P72" s="677"/>
      <c r="Q72" s="677"/>
      <c r="R72" s="677"/>
      <c r="S72" s="677"/>
      <c r="T72" s="677"/>
    </row>
    <row r="73" spans="2:20" ht="15" outlineLevel="1" thickBot="1" x14ac:dyDescent="0.4">
      <c r="B73" s="696" t="s">
        <v>5052</v>
      </c>
      <c r="C73" s="692"/>
      <c r="D73" s="655"/>
      <c r="E73" s="639">
        <f>VLOOKUP(C71,$G$68:$I$76,2,0)</f>
        <v>0</v>
      </c>
      <c r="F73" s="639">
        <f>VLOOKUP(C71,$G$68:$I$76,3,0)</f>
        <v>0</v>
      </c>
      <c r="G73" s="545" t="s">
        <v>4440</v>
      </c>
      <c r="H73" s="528">
        <f>250*0.8</f>
        <v>200</v>
      </c>
      <c r="I73" s="528">
        <f>250*1.2</f>
        <v>300</v>
      </c>
      <c r="J73" s="353" t="s">
        <v>4598</v>
      </c>
      <c r="K73" s="561"/>
      <c r="P73" s="677"/>
      <c r="Q73" s="677"/>
      <c r="R73" s="677"/>
      <c r="S73" s="677"/>
      <c r="T73" s="677"/>
    </row>
    <row r="74" spans="2:20" outlineLevel="1" x14ac:dyDescent="0.35">
      <c r="B74" s="648" t="s">
        <v>5055</v>
      </c>
      <c r="C74" s="691" t="s">
        <v>5059</v>
      </c>
      <c r="D74" s="656"/>
      <c r="E74" s="561"/>
      <c r="F74" s="561"/>
      <c r="G74" s="545" t="s">
        <v>4441</v>
      </c>
      <c r="H74" s="641">
        <f>0.8*0.8</f>
        <v>0.64000000000000012</v>
      </c>
      <c r="I74" s="641">
        <f>0.8*1.2</f>
        <v>0.96</v>
      </c>
      <c r="J74" s="353" t="s">
        <v>4599</v>
      </c>
      <c r="K74" s="561"/>
      <c r="L74" s="640"/>
      <c r="M74" s="355"/>
      <c r="N74" s="353"/>
      <c r="O74" s="664"/>
      <c r="P74" s="677"/>
      <c r="Q74" s="677"/>
      <c r="R74" s="677"/>
      <c r="S74" s="677"/>
      <c r="T74" s="677"/>
    </row>
    <row r="75" spans="2:20" outlineLevel="1" x14ac:dyDescent="0.35">
      <c r="B75" s="695" t="s">
        <v>5056</v>
      </c>
      <c r="C75" s="703">
        <v>0</v>
      </c>
      <c r="D75" s="654"/>
      <c r="E75" s="561"/>
      <c r="F75" s="561"/>
      <c r="G75" s="1131" t="s">
        <v>5629</v>
      </c>
      <c r="H75" s="1131"/>
      <c r="I75" s="1131"/>
      <c r="J75" s="1132"/>
      <c r="K75" s="561"/>
      <c r="L75" s="640"/>
      <c r="M75" s="355"/>
      <c r="N75" s="664"/>
      <c r="O75" s="664"/>
      <c r="P75" s="677"/>
      <c r="Q75" s="677"/>
      <c r="R75" s="677"/>
      <c r="S75" s="677"/>
      <c r="T75" s="677"/>
    </row>
    <row r="76" spans="2:20" outlineLevel="1" x14ac:dyDescent="0.35">
      <c r="B76" s="645" t="s">
        <v>5057</v>
      </c>
      <c r="C76" s="683"/>
      <c r="D76" s="654"/>
      <c r="E76" s="639">
        <f>VLOOKUP(C74,$G$68:$I$76,2,0)</f>
        <v>0</v>
      </c>
      <c r="F76" s="639">
        <f>VLOOKUP(C74,$G$68:$I$76,3,0)</f>
        <v>0</v>
      </c>
      <c r="G76" s="1131" t="s">
        <v>5630</v>
      </c>
      <c r="H76" s="1131"/>
      <c r="I76" s="1131"/>
      <c r="J76" s="1132"/>
      <c r="K76" s="561"/>
      <c r="L76" s="640"/>
      <c r="M76" s="355"/>
      <c r="N76" s="664"/>
      <c r="O76" s="664"/>
      <c r="P76" s="677"/>
      <c r="Q76" s="677"/>
      <c r="R76" s="677"/>
      <c r="S76" s="677"/>
      <c r="T76" s="677"/>
    </row>
    <row r="77" spans="2:20" ht="15" outlineLevel="1" thickBot="1" x14ac:dyDescent="0.4">
      <c r="B77" s="697" t="s">
        <v>5058</v>
      </c>
      <c r="C77" s="946">
        <f>C70*C69+C73*C72+C76*C75</f>
        <v>0</v>
      </c>
      <c r="E77" s="525">
        <f>C69*E70+C72*E73+C75*E76</f>
        <v>0</v>
      </c>
      <c r="F77" s="525">
        <f>C69*F70+C72*F73+C75*F76</f>
        <v>0</v>
      </c>
      <c r="G77" s="561"/>
      <c r="J77" s="669"/>
      <c r="K77" s="561"/>
      <c r="L77" s="640"/>
      <c r="M77" s="355"/>
      <c r="N77" s="664"/>
      <c r="O77" s="664"/>
      <c r="P77" s="677"/>
      <c r="Q77" s="677"/>
      <c r="R77" s="677"/>
      <c r="S77" s="677"/>
      <c r="T77" s="677"/>
    </row>
    <row r="78" spans="2:20" ht="15" outlineLevel="1" thickBot="1" x14ac:dyDescent="0.4">
      <c r="B78" s="561"/>
      <c r="C78" s="335">
        <f>IF(C77&gt;0,IF(TREND($E$67:$F$67,E77:F77,C77,1)&lt;0,0,(IF(TREND($E$67:$F$67,E77:F77,C77,1)&gt;E67,E67,TREND($E$67:$F$67,E77:F77,C77,1)))),0)</f>
        <v>0</v>
      </c>
      <c r="D78" s="357" t="s">
        <v>5127</v>
      </c>
      <c r="E78" s="561"/>
      <c r="F78" s="561"/>
      <c r="G78" s="561"/>
      <c r="J78" s="669"/>
      <c r="K78" s="561"/>
      <c r="L78" s="640"/>
      <c r="M78" s="355"/>
      <c r="N78" s="664"/>
      <c r="O78" s="664"/>
      <c r="P78" s="677"/>
      <c r="Q78" s="677"/>
      <c r="R78" s="677"/>
      <c r="S78" s="677"/>
      <c r="T78" s="677"/>
    </row>
    <row r="79" spans="2:20" outlineLevel="1" x14ac:dyDescent="0.35">
      <c r="B79" s="561"/>
      <c r="E79" s="561"/>
      <c r="F79" s="561"/>
      <c r="J79" s="669"/>
      <c r="K79" s="561"/>
      <c r="L79" s="640"/>
      <c r="M79" s="355"/>
      <c r="N79" s="664"/>
      <c r="O79" s="664"/>
      <c r="P79" s="677"/>
      <c r="Q79" s="677"/>
      <c r="R79" s="677"/>
      <c r="S79" s="677"/>
      <c r="T79" s="677"/>
    </row>
    <row r="80" spans="2:20" outlineLevel="1" x14ac:dyDescent="0.35">
      <c r="B80" s="561"/>
      <c r="E80" s="561"/>
      <c r="F80" s="561"/>
      <c r="G80" s="561"/>
      <c r="J80" s="669"/>
      <c r="K80" s="561"/>
      <c r="L80" s="640"/>
      <c r="M80" s="355"/>
      <c r="N80" s="664"/>
      <c r="O80" s="664"/>
      <c r="P80" s="677"/>
      <c r="Q80" s="677"/>
      <c r="R80" s="677"/>
      <c r="S80" s="677"/>
      <c r="T80" s="677"/>
    </row>
    <row r="81" spans="2:20" x14ac:dyDescent="0.35">
      <c r="B81" s="331" t="s">
        <v>5046</v>
      </c>
      <c r="C81" s="678"/>
      <c r="D81" s="679"/>
      <c r="E81" s="630"/>
      <c r="F81" s="630"/>
      <c r="G81" s="630"/>
      <c r="H81" s="679"/>
      <c r="I81" s="679"/>
      <c r="J81" s="679"/>
      <c r="K81" s="561"/>
      <c r="L81" s="640"/>
      <c r="M81" s="355"/>
      <c r="N81" s="664"/>
      <c r="O81" s="664"/>
      <c r="P81" s="677"/>
      <c r="Q81" s="677"/>
      <c r="R81" s="677"/>
      <c r="S81" s="677"/>
      <c r="T81" s="677"/>
    </row>
    <row r="82" spans="2:20" outlineLevel="1" x14ac:dyDescent="0.35">
      <c r="B82" s="561"/>
      <c r="C82" s="340"/>
      <c r="E82" s="561"/>
      <c r="F82" s="561"/>
      <c r="G82" s="561"/>
      <c r="J82" s="669"/>
      <c r="K82" s="561"/>
      <c r="L82" s="640"/>
      <c r="M82" s="355"/>
      <c r="N82" s="664"/>
      <c r="O82" s="664"/>
      <c r="P82" s="677"/>
      <c r="Q82" s="677"/>
      <c r="R82" s="677"/>
      <c r="S82" s="677"/>
      <c r="T82" s="677"/>
    </row>
    <row r="83" spans="2:20" outlineLevel="1" x14ac:dyDescent="0.35">
      <c r="B83" s="299" t="s">
        <v>4589</v>
      </c>
      <c r="C83" s="299" t="s">
        <v>4346</v>
      </c>
      <c r="D83" s="337" t="s">
        <v>4583</v>
      </c>
      <c r="E83" s="526"/>
      <c r="F83" s="526"/>
      <c r="G83" s="295" t="s">
        <v>4372</v>
      </c>
      <c r="J83" s="669"/>
      <c r="K83" s="561"/>
      <c r="L83" s="640"/>
      <c r="M83" s="355"/>
      <c r="N83" s="664"/>
      <c r="O83" s="664"/>
      <c r="P83" s="677"/>
      <c r="Q83" s="677"/>
      <c r="R83" s="677"/>
      <c r="S83" s="677"/>
      <c r="T83" s="677"/>
    </row>
    <row r="84" spans="2:20" outlineLevel="1" x14ac:dyDescent="0.35">
      <c r="B84" s="646" t="s">
        <v>4596</v>
      </c>
      <c r="C84" s="686" t="s">
        <v>4357</v>
      </c>
      <c r="D84" s="652"/>
      <c r="E84" s="561"/>
      <c r="F84" s="561"/>
      <c r="G84" s="295">
        <f>VLOOKUP(C84,$I$84:$J$85,2,0)</f>
        <v>0</v>
      </c>
      <c r="I84" s="636" t="s">
        <v>4595</v>
      </c>
      <c r="J84" s="638">
        <v>1</v>
      </c>
      <c r="K84" s="561"/>
      <c r="L84" s="640"/>
      <c r="M84" s="355"/>
      <c r="N84" s="664"/>
      <c r="O84" s="664"/>
      <c r="P84" s="677"/>
      <c r="Q84" s="677"/>
      <c r="R84" s="677"/>
      <c r="S84" s="677"/>
      <c r="T84" s="677"/>
    </row>
    <row r="85" spans="2:20" outlineLevel="1" x14ac:dyDescent="0.35">
      <c r="B85" s="561"/>
      <c r="C85" s="340"/>
      <c r="D85" s="636"/>
      <c r="E85" s="561"/>
      <c r="F85" s="561"/>
      <c r="I85" s="636" t="s">
        <v>4357</v>
      </c>
      <c r="J85" s="638">
        <v>0</v>
      </c>
      <c r="K85" s="561"/>
      <c r="L85" s="640"/>
      <c r="M85" s="355"/>
      <c r="N85" s="664"/>
      <c r="O85" s="664"/>
      <c r="P85" s="677"/>
      <c r="Q85" s="677"/>
      <c r="R85" s="677"/>
      <c r="S85" s="677"/>
      <c r="T85" s="677"/>
    </row>
    <row r="86" spans="2:20" outlineLevel="1" x14ac:dyDescent="0.35">
      <c r="B86" s="299" t="s">
        <v>4587</v>
      </c>
      <c r="C86" s="299" t="s">
        <v>4346</v>
      </c>
      <c r="D86" s="337" t="s">
        <v>4583</v>
      </c>
      <c r="E86" s="561"/>
      <c r="F86" s="561"/>
      <c r="J86" s="669"/>
      <c r="K86" s="561"/>
      <c r="L86" s="640"/>
      <c r="M86" s="355"/>
      <c r="N86" s="664"/>
      <c r="O86" s="664"/>
      <c r="P86" s="677"/>
      <c r="Q86" s="677"/>
      <c r="R86" s="677"/>
      <c r="S86" s="677"/>
      <c r="T86" s="677"/>
    </row>
    <row r="87" spans="2:20" outlineLevel="1" x14ac:dyDescent="0.35">
      <c r="B87" s="646" t="s">
        <v>4594</v>
      </c>
      <c r="C87" s="686" t="s">
        <v>4396</v>
      </c>
      <c r="D87" s="652"/>
      <c r="E87" s="561"/>
      <c r="F87" s="561"/>
      <c r="G87" s="366">
        <f>IF(C87="Sparsam",1,(IF(C87="Normal",0.5,0)))</f>
        <v>0</v>
      </c>
      <c r="K87" s="561"/>
    </row>
    <row r="88" spans="2:20" outlineLevel="1" x14ac:dyDescent="0.35">
      <c r="B88" s="561"/>
      <c r="C88" s="340"/>
      <c r="D88" s="636"/>
      <c r="E88" s="561"/>
      <c r="F88" s="561"/>
      <c r="G88" s="561"/>
      <c r="K88" s="561"/>
    </row>
    <row r="89" spans="2:20" outlineLevel="1" x14ac:dyDescent="0.35">
      <c r="B89" s="561"/>
      <c r="C89" s="340"/>
      <c r="D89" s="636"/>
      <c r="E89" s="561"/>
      <c r="F89" s="561"/>
      <c r="G89" s="561"/>
      <c r="K89" s="561"/>
    </row>
    <row r="90" spans="2:20" outlineLevel="1" x14ac:dyDescent="0.35">
      <c r="B90" s="337" t="s">
        <v>4614</v>
      </c>
      <c r="C90" s="349" t="s">
        <v>4372</v>
      </c>
      <c r="D90" s="636"/>
      <c r="E90" s="1148">
        <f>Qualitätsprüfung!G1368</f>
        <v>1</v>
      </c>
      <c r="F90" s="531">
        <v>0</v>
      </c>
      <c r="G90" s="561"/>
      <c r="K90" s="561"/>
    </row>
    <row r="91" spans="2:20" outlineLevel="1" x14ac:dyDescent="0.35">
      <c r="B91" s="645" t="s">
        <v>5060</v>
      </c>
      <c r="C91" s="691" t="s">
        <v>5059</v>
      </c>
      <c r="D91" s="636"/>
      <c r="E91" s="561"/>
      <c r="F91" s="561"/>
      <c r="G91" s="343">
        <f>G84*0.7+G87*0.3</f>
        <v>0</v>
      </c>
      <c r="K91" s="561"/>
    </row>
    <row r="92" spans="2:20" ht="15" outlineLevel="1" thickBot="1" x14ac:dyDescent="0.4">
      <c r="B92" s="647" t="s">
        <v>5208</v>
      </c>
      <c r="C92" s="670">
        <f>TREND(E92:F92,E90:F90,G91,1)</f>
        <v>0</v>
      </c>
      <c r="D92" s="636"/>
      <c r="E92" s="639">
        <f>VLOOKUP(C91,$G$68:$I$76,2,0)</f>
        <v>0</v>
      </c>
      <c r="F92" s="639">
        <f>VLOOKUP(C91,$G$68:$I$76,3,0)</f>
        <v>0</v>
      </c>
      <c r="G92" s="669"/>
      <c r="K92" s="561"/>
    </row>
    <row r="93" spans="2:20" ht="15" outlineLevel="1" thickBot="1" x14ac:dyDescent="0.4">
      <c r="B93" s="561"/>
      <c r="C93" s="335">
        <f>IF(TREND($E$90:$F$90,E92:F92,C92,1)&lt;0,0,(IF(TREND($E$90:$F$90,E92:F92,C92,1)&gt;E90,E90,TREND($E$90:$F$90,E92:F92,C92,1))))</f>
        <v>0.5</v>
      </c>
      <c r="D93" s="357" t="s">
        <v>5127</v>
      </c>
      <c r="E93" s="561"/>
      <c r="F93" s="561"/>
      <c r="G93" s="561"/>
      <c r="K93" s="561"/>
    </row>
    <row r="94" spans="2:20" x14ac:dyDescent="0.35">
      <c r="G94" s="561"/>
      <c r="K94" s="561"/>
    </row>
    <row r="95" spans="2:20" x14ac:dyDescent="0.35">
      <c r="K95" s="561"/>
    </row>
    <row r="96" spans="2:20" x14ac:dyDescent="0.35">
      <c r="K96" s="561"/>
    </row>
    <row r="97" spans="11:11" x14ac:dyDescent="0.35">
      <c r="K97" s="561"/>
    </row>
    <row r="98" spans="11:11" x14ac:dyDescent="0.35">
      <c r="K98" s="561"/>
    </row>
    <row r="99" spans="11:11" x14ac:dyDescent="0.35">
      <c r="K99" s="561"/>
    </row>
    <row r="100" spans="11:11" x14ac:dyDescent="0.35">
      <c r="K100" s="561"/>
    </row>
    <row r="101" spans="11:11" x14ac:dyDescent="0.35">
      <c r="K101" s="561"/>
    </row>
    <row r="102" spans="11:11" x14ac:dyDescent="0.35">
      <c r="K102" s="561"/>
    </row>
    <row r="103" spans="11:11" x14ac:dyDescent="0.35">
      <c r="K103" s="561"/>
    </row>
    <row r="104" spans="11:11" x14ac:dyDescent="0.35">
      <c r="K104" s="561"/>
    </row>
    <row r="105" spans="11:11" x14ac:dyDescent="0.35">
      <c r="K105" s="561"/>
    </row>
    <row r="106" spans="11:11" x14ac:dyDescent="0.35">
      <c r="K106" s="561"/>
    </row>
    <row r="107" spans="11:11" x14ac:dyDescent="0.35">
      <c r="K107" s="561"/>
    </row>
    <row r="108" spans="11:11" x14ac:dyDescent="0.35">
      <c r="K108" s="561"/>
    </row>
    <row r="109" spans="11:11" x14ac:dyDescent="0.35">
      <c r="K109" s="561"/>
    </row>
    <row r="110" spans="11:11" x14ac:dyDescent="0.35">
      <c r="K110" s="561"/>
    </row>
    <row r="111" spans="11:11" x14ac:dyDescent="0.35">
      <c r="K111" s="561"/>
    </row>
    <row r="112" spans="11:11" x14ac:dyDescent="0.35">
      <c r="K112" s="561"/>
    </row>
    <row r="113" spans="11:11" x14ac:dyDescent="0.35">
      <c r="K113" s="561"/>
    </row>
    <row r="114" spans="11:11" x14ac:dyDescent="0.35">
      <c r="K114" s="561"/>
    </row>
    <row r="115" spans="11:11" x14ac:dyDescent="0.35">
      <c r="K115" s="561"/>
    </row>
    <row r="116" spans="11:11" x14ac:dyDescent="0.35">
      <c r="K116" s="561"/>
    </row>
    <row r="117" spans="11:11" x14ac:dyDescent="0.35">
      <c r="K117" s="561"/>
    </row>
    <row r="118" spans="11:11" x14ac:dyDescent="0.35">
      <c r="K118" s="561"/>
    </row>
    <row r="119" spans="11:11" x14ac:dyDescent="0.35">
      <c r="K119" s="561"/>
    </row>
    <row r="120" spans="11:11" x14ac:dyDescent="0.35">
      <c r="K120" s="561"/>
    </row>
    <row r="121" spans="11:11" x14ac:dyDescent="0.35">
      <c r="K121" s="561"/>
    </row>
    <row r="122" spans="11:11" x14ac:dyDescent="0.35">
      <c r="K122" s="561"/>
    </row>
    <row r="123" spans="11:11" x14ac:dyDescent="0.35">
      <c r="K123" s="561"/>
    </row>
    <row r="124" spans="11:11" x14ac:dyDescent="0.35">
      <c r="K124" s="561"/>
    </row>
    <row r="125" spans="11:11" x14ac:dyDescent="0.35">
      <c r="K125" s="561"/>
    </row>
    <row r="126" spans="11:11" x14ac:dyDescent="0.35">
      <c r="K126" s="561"/>
    </row>
    <row r="127" spans="11:11" x14ac:dyDescent="0.35">
      <c r="K127" s="561"/>
    </row>
    <row r="128" spans="11:11" x14ac:dyDescent="0.35">
      <c r="K128" s="561"/>
    </row>
    <row r="129" spans="11:11" x14ac:dyDescent="0.35">
      <c r="K129" s="561"/>
    </row>
    <row r="130" spans="11:11" x14ac:dyDescent="0.35">
      <c r="K130" s="561"/>
    </row>
    <row r="131" spans="11:11" x14ac:dyDescent="0.35">
      <c r="K131" s="561"/>
    </row>
    <row r="132" spans="11:11" x14ac:dyDescent="0.35">
      <c r="K132" s="561"/>
    </row>
    <row r="133" spans="11:11" x14ac:dyDescent="0.35">
      <c r="K133" s="561"/>
    </row>
    <row r="134" spans="11:11" x14ac:dyDescent="0.35">
      <c r="K134" s="561"/>
    </row>
    <row r="135" spans="11:11" x14ac:dyDescent="0.35">
      <c r="K135" s="561"/>
    </row>
    <row r="136" spans="11:11" x14ac:dyDescent="0.35">
      <c r="K136" s="561"/>
    </row>
    <row r="137" spans="11:11" x14ac:dyDescent="0.35">
      <c r="K137" s="561"/>
    </row>
    <row r="138" spans="11:11" x14ac:dyDescent="0.35">
      <c r="K138" s="561"/>
    </row>
    <row r="139" spans="11:11" x14ac:dyDescent="0.35">
      <c r="K139" s="561"/>
    </row>
    <row r="140" spans="11:11" x14ac:dyDescent="0.35">
      <c r="K140" s="561"/>
    </row>
    <row r="141" spans="11:11" x14ac:dyDescent="0.35">
      <c r="K141" s="561"/>
    </row>
    <row r="142" spans="11:11" x14ac:dyDescent="0.35">
      <c r="K142" s="561"/>
    </row>
    <row r="143" spans="11:11" x14ac:dyDescent="0.35">
      <c r="K143" s="561"/>
    </row>
    <row r="144" spans="11:11" x14ac:dyDescent="0.35">
      <c r="K144" s="561"/>
    </row>
    <row r="145" spans="11:11" x14ac:dyDescent="0.35">
      <c r="K145" s="561"/>
    </row>
    <row r="146" spans="11:11" x14ac:dyDescent="0.35">
      <c r="K146" s="561"/>
    </row>
    <row r="147" spans="11:11" x14ac:dyDescent="0.35">
      <c r="K147" s="561"/>
    </row>
    <row r="148" spans="11:11" x14ac:dyDescent="0.35">
      <c r="K148" s="561"/>
    </row>
    <row r="149" spans="11:11" x14ac:dyDescent="0.35">
      <c r="K149" s="561"/>
    </row>
    <row r="150" spans="11:11" x14ac:dyDescent="0.35">
      <c r="K150" s="561"/>
    </row>
    <row r="151" spans="11:11" x14ac:dyDescent="0.35">
      <c r="K151" s="561"/>
    </row>
    <row r="152" spans="11:11" x14ac:dyDescent="0.35">
      <c r="K152" s="561"/>
    </row>
    <row r="153" spans="11:11" x14ac:dyDescent="0.35">
      <c r="K153" s="561"/>
    </row>
    <row r="154" spans="11:11" x14ac:dyDescent="0.35">
      <c r="K154" s="561"/>
    </row>
    <row r="155" spans="11:11" x14ac:dyDescent="0.35">
      <c r="K155" s="561"/>
    </row>
    <row r="156" spans="11:11" x14ac:dyDescent="0.35">
      <c r="K156" s="561"/>
    </row>
    <row r="157" spans="11:11" x14ac:dyDescent="0.35">
      <c r="K157" s="561"/>
    </row>
    <row r="158" spans="11:11" x14ac:dyDescent="0.35">
      <c r="K158" s="561"/>
    </row>
    <row r="159" spans="11:11" x14ac:dyDescent="0.35">
      <c r="K159" s="561"/>
    </row>
    <row r="160" spans="11:11" x14ac:dyDescent="0.35">
      <c r="K160" s="561"/>
    </row>
    <row r="161" spans="11:11" x14ac:dyDescent="0.35">
      <c r="K161" s="561"/>
    </row>
    <row r="162" spans="11:11" x14ac:dyDescent="0.35">
      <c r="K162" s="561"/>
    </row>
    <row r="163" spans="11:11" x14ac:dyDescent="0.35">
      <c r="K163" s="561"/>
    </row>
    <row r="164" spans="11:11" x14ac:dyDescent="0.35">
      <c r="K164" s="561"/>
    </row>
    <row r="165" spans="11:11" x14ac:dyDescent="0.35">
      <c r="K165" s="561"/>
    </row>
    <row r="166" spans="11:11" x14ac:dyDescent="0.35">
      <c r="K166" s="561"/>
    </row>
    <row r="167" spans="11:11" x14ac:dyDescent="0.35">
      <c r="K167" s="561"/>
    </row>
    <row r="168" spans="11:11" x14ac:dyDescent="0.35">
      <c r="K168" s="561"/>
    </row>
    <row r="169" spans="11:11" x14ac:dyDescent="0.35">
      <c r="K169" s="561"/>
    </row>
    <row r="170" spans="11:11" x14ac:dyDescent="0.35">
      <c r="K170" s="561"/>
    </row>
    <row r="171" spans="11:11" x14ac:dyDescent="0.35">
      <c r="K171" s="561"/>
    </row>
    <row r="172" spans="11:11" x14ac:dyDescent="0.35">
      <c r="K172" s="561"/>
    </row>
    <row r="173" spans="11:11" x14ac:dyDescent="0.35">
      <c r="K173" s="561"/>
    </row>
    <row r="174" spans="11:11" x14ac:dyDescent="0.35">
      <c r="K174" s="561"/>
    </row>
    <row r="175" spans="11:11" x14ac:dyDescent="0.35">
      <c r="K175" s="561"/>
    </row>
    <row r="176" spans="11:11" x14ac:dyDescent="0.35">
      <c r="K176" s="561"/>
    </row>
    <row r="177" spans="11:11" x14ac:dyDescent="0.35">
      <c r="K177" s="561"/>
    </row>
    <row r="178" spans="11:11" x14ac:dyDescent="0.35">
      <c r="K178" s="561"/>
    </row>
    <row r="179" spans="11:11" x14ac:dyDescent="0.35">
      <c r="K179" s="561"/>
    </row>
    <row r="180" spans="11:11" x14ac:dyDescent="0.35">
      <c r="K180" s="561"/>
    </row>
    <row r="181" spans="11:11" x14ac:dyDescent="0.35">
      <c r="K181" s="561"/>
    </row>
    <row r="182" spans="11:11" x14ac:dyDescent="0.35">
      <c r="K182" s="561"/>
    </row>
    <row r="183" spans="11:11" x14ac:dyDescent="0.35">
      <c r="K183" s="561"/>
    </row>
    <row r="184" spans="11:11" x14ac:dyDescent="0.35">
      <c r="K184" s="561"/>
    </row>
    <row r="185" spans="11:11" x14ac:dyDescent="0.35">
      <c r="K185" s="561"/>
    </row>
    <row r="186" spans="11:11" x14ac:dyDescent="0.35">
      <c r="K186" s="561"/>
    </row>
    <row r="187" spans="11:11" x14ac:dyDescent="0.35">
      <c r="K187" s="561"/>
    </row>
    <row r="188" spans="11:11" x14ac:dyDescent="0.35">
      <c r="K188" s="561"/>
    </row>
    <row r="189" spans="11:11" x14ac:dyDescent="0.35">
      <c r="K189" s="561"/>
    </row>
    <row r="190" spans="11:11" x14ac:dyDescent="0.35">
      <c r="K190" s="561"/>
    </row>
    <row r="191" spans="11:11" x14ac:dyDescent="0.35">
      <c r="K191" s="561"/>
    </row>
    <row r="192" spans="11:11" x14ac:dyDescent="0.35">
      <c r="K192" s="561"/>
    </row>
    <row r="193" spans="11:11" x14ac:dyDescent="0.35">
      <c r="K193" s="561"/>
    </row>
    <row r="194" spans="11:11" x14ac:dyDescent="0.35">
      <c r="K194" s="561"/>
    </row>
    <row r="195" spans="11:11" x14ac:dyDescent="0.35">
      <c r="K195" s="561"/>
    </row>
    <row r="196" spans="11:11" x14ac:dyDescent="0.35">
      <c r="K196" s="561"/>
    </row>
    <row r="197" spans="11:11" x14ac:dyDescent="0.35">
      <c r="K197" s="561"/>
    </row>
    <row r="198" spans="11:11" x14ac:dyDescent="0.35">
      <c r="K198" s="561"/>
    </row>
    <row r="199" spans="11:11" x14ac:dyDescent="0.35">
      <c r="K199" s="561"/>
    </row>
    <row r="200" spans="11:11" x14ac:dyDescent="0.35">
      <c r="K200" s="561"/>
    </row>
    <row r="201" spans="11:11" x14ac:dyDescent="0.35">
      <c r="K201" s="561"/>
    </row>
    <row r="202" spans="11:11" x14ac:dyDescent="0.35">
      <c r="K202" s="561"/>
    </row>
    <row r="203" spans="11:11" x14ac:dyDescent="0.35">
      <c r="K203" s="561"/>
    </row>
    <row r="204" spans="11:11" x14ac:dyDescent="0.35">
      <c r="K204" s="561"/>
    </row>
    <row r="205" spans="11:11" x14ac:dyDescent="0.35">
      <c r="K205" s="561"/>
    </row>
    <row r="206" spans="11:11" x14ac:dyDescent="0.35">
      <c r="K206" s="561"/>
    </row>
  </sheetData>
  <dataValidations disablePrompts="1" count="10">
    <dataValidation type="list" allowBlank="1" showInputMessage="1" showErrorMessage="1" sqref="C53">
      <formula1>$I$57:$I$58</formula1>
    </dataValidation>
    <dataValidation type="list" allowBlank="1" showInputMessage="1" showErrorMessage="1" sqref="C52">
      <formula1>$I$54:$I$56</formula1>
    </dataValidation>
    <dataValidation type="list" allowBlank="1" showInputMessage="1" showErrorMessage="1" sqref="C51">
      <formula1>$I$51:$I$53</formula1>
    </dataValidation>
    <dataValidation type="list" allowBlank="1" showInputMessage="1" showErrorMessage="1" sqref="C91">
      <formula1>$G$68:$G$76</formula1>
    </dataValidation>
    <dataValidation type="list" allowBlank="1" showInputMessage="1" showErrorMessage="1" sqref="C84">
      <formula1>$I$84:$I$85</formula1>
    </dataValidation>
    <dataValidation type="list" allowBlank="1" showInputMessage="1" showErrorMessage="1" sqref="C68 C71 C74">
      <formula1>$G$68:$G$76</formula1>
    </dataValidation>
    <dataValidation type="list" allowBlank="1" showInputMessage="1" showErrorMessage="1" sqref="C44 C60">
      <formula1>jn</formula1>
    </dataValidation>
    <dataValidation type="list" allowBlank="1" showInputMessage="1" showErrorMessage="1" sqref="C56">
      <formula1>Bedarf</formula1>
    </dataValidation>
    <dataValidation type="list" allowBlank="1" showInputMessage="1" showErrorMessage="1" sqref="C87">
      <formula1>Bedarf</formula1>
    </dataValidation>
    <dataValidation type="list" allowBlank="1" showInputMessage="1" showErrorMessage="1" sqref="C33">
      <formula1>Bedarf</formula1>
    </dataValidation>
  </dataValidations>
  <hyperlinks>
    <hyperlink ref="B18" r:id="rId1" display="Energiemarketing: Vorschlag für Einbaugeräte "/>
    <hyperlink ref="C10" r:id="rId2"/>
  </hyperlinks>
  <pageMargins left="0.7" right="0.7" top="0.78740157499999996" bottom="0.78740157499999996" header="0.3" footer="0.3"/>
  <pageSetup paperSize="9" orientation="portrait"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00CC"/>
  </sheetPr>
  <dimension ref="B1:T163"/>
  <sheetViews>
    <sheetView zoomScaleNormal="100" workbookViewId="0"/>
  </sheetViews>
  <sheetFormatPr baseColWidth="10" defaultColWidth="11" defaultRowHeight="14.5" outlineLevelRow="2" outlineLevelCol="1" x14ac:dyDescent="0.35"/>
  <cols>
    <col min="1" max="1" width="3.75" style="550" customWidth="1"/>
    <col min="2" max="2" width="42.5" style="674" customWidth="1"/>
    <col min="3" max="3" width="18.75" style="561" bestFit="1" customWidth="1"/>
    <col min="4" max="4" width="27.33203125" style="550" bestFit="1" customWidth="1"/>
    <col min="5" max="5" width="5" style="332" hidden="1" customWidth="1" outlineLevel="1"/>
    <col min="6" max="6" width="3.83203125" style="332" hidden="1" customWidth="1" outlineLevel="1"/>
    <col min="7" max="7" width="3.25" style="332" hidden="1" customWidth="1" outlineLevel="1"/>
    <col min="8" max="8" width="32.25" style="550" hidden="1" customWidth="1" outlineLevel="1"/>
    <col min="9" max="9" width="16.25" style="550" hidden="1" customWidth="1" outlineLevel="1"/>
    <col min="10" max="10" width="16.5" style="550" hidden="1" customWidth="1" outlineLevel="1"/>
    <col min="11" max="11" width="7.33203125" style="591" hidden="1" customWidth="1" outlineLevel="1"/>
    <col min="12" max="12" width="15.58203125" style="550" bestFit="1" customWidth="1" collapsed="1"/>
    <col min="13" max="13" width="16.25" style="672" bestFit="1" customWidth="1"/>
    <col min="14" max="14" width="7.25" style="672" bestFit="1" customWidth="1"/>
    <col min="15" max="15" width="7.08203125" style="672" customWidth="1"/>
    <col min="16" max="16" width="8.83203125" style="550" customWidth="1"/>
    <col min="17" max="17" width="4.08203125" style="550" customWidth="1"/>
    <col min="18" max="18" width="5.83203125" style="550" customWidth="1"/>
    <col min="19" max="19" width="7.08203125" style="550" customWidth="1"/>
    <col min="20" max="20" width="8.83203125" style="550" customWidth="1"/>
    <col min="21" max="24" width="11" style="550" customWidth="1"/>
    <col min="25" max="16384" width="11" style="550"/>
  </cols>
  <sheetData>
    <row r="1" spans="2:20" x14ac:dyDescent="0.35">
      <c r="B1" s="550"/>
      <c r="C1" s="550"/>
      <c r="E1" s="357"/>
      <c r="J1" s="657"/>
      <c r="K1" s="550"/>
      <c r="M1" s="550"/>
      <c r="N1" s="550"/>
      <c r="O1" s="658"/>
      <c r="P1" s="602"/>
      <c r="Q1" s="602"/>
      <c r="R1" s="602"/>
      <c r="S1" s="602"/>
      <c r="T1" s="602"/>
    </row>
    <row r="2" spans="2:20" x14ac:dyDescent="0.35">
      <c r="B2" s="1736" t="s">
        <v>5066</v>
      </c>
      <c r="C2" s="1736"/>
      <c r="D2" s="659"/>
      <c r="E2" s="627"/>
      <c r="F2" s="627"/>
      <c r="G2" s="627"/>
      <c r="H2" s="659"/>
      <c r="I2" s="659"/>
      <c r="J2" s="659"/>
      <c r="K2" s="550"/>
      <c r="M2" s="550"/>
      <c r="N2" s="550"/>
      <c r="O2" s="658"/>
      <c r="P2" s="602"/>
      <c r="Q2" s="602"/>
      <c r="R2" s="602"/>
      <c r="S2" s="602"/>
      <c r="T2" s="602"/>
    </row>
    <row r="3" spans="2:20" x14ac:dyDescent="0.35">
      <c r="B3" s="610" t="s">
        <v>5061</v>
      </c>
      <c r="C3" s="610"/>
      <c r="D3" s="660"/>
      <c r="E3" s="330"/>
      <c r="F3" s="330"/>
      <c r="G3" s="330"/>
      <c r="H3" s="660"/>
      <c r="I3" s="660"/>
      <c r="J3" s="660"/>
      <c r="K3" s="550"/>
      <c r="M3" s="550"/>
      <c r="N3" s="550"/>
      <c r="O3" s="658"/>
      <c r="P3" s="602"/>
      <c r="Q3" s="602"/>
      <c r="R3" s="602"/>
      <c r="S3" s="602"/>
      <c r="T3" s="602"/>
    </row>
    <row r="4" spans="2:20" outlineLevel="1" x14ac:dyDescent="0.35">
      <c r="B4" s="364"/>
      <c r="C4" s="364"/>
      <c r="E4" s="550"/>
      <c r="F4" s="550"/>
      <c r="G4" s="550"/>
      <c r="J4" s="657"/>
      <c r="K4" s="550"/>
      <c r="M4" s="550"/>
      <c r="N4" s="550"/>
      <c r="O4" s="658"/>
      <c r="P4" s="602"/>
      <c r="Q4" s="602"/>
      <c r="R4" s="602"/>
      <c r="S4" s="602"/>
      <c r="T4" s="602"/>
    </row>
    <row r="5" spans="2:20" outlineLevel="1" x14ac:dyDescent="0.35">
      <c r="B5" s="292" t="s">
        <v>4434</v>
      </c>
      <c r="C5" s="351" t="s">
        <v>4359</v>
      </c>
      <c r="D5" s="337" t="s">
        <v>4583</v>
      </c>
      <c r="E5" s="1147">
        <f>Qualitätsprüfung!G1392</f>
        <v>1</v>
      </c>
      <c r="F5" s="342">
        <v>0</v>
      </c>
      <c r="J5" s="657"/>
      <c r="K5" s="550"/>
      <c r="M5" s="550"/>
      <c r="N5" s="550"/>
      <c r="O5" s="658"/>
      <c r="P5" s="602"/>
      <c r="Q5" s="602"/>
      <c r="R5" s="602"/>
      <c r="S5" s="602"/>
      <c r="T5" s="602"/>
    </row>
    <row r="6" spans="2:20" outlineLevel="1" x14ac:dyDescent="0.35">
      <c r="B6" s="647" t="s">
        <v>5611</v>
      </c>
      <c r="C6" s="1111">
        <v>770</v>
      </c>
      <c r="D6" s="1138"/>
      <c r="E6" s="321"/>
      <c r="F6" s="342"/>
      <c r="J6" s="657"/>
      <c r="K6" s="550"/>
      <c r="M6" s="550"/>
      <c r="N6" s="550"/>
      <c r="O6" s="658"/>
      <c r="P6" s="602"/>
      <c r="Q6" s="602"/>
      <c r="R6" s="602"/>
      <c r="S6" s="602"/>
      <c r="T6" s="602"/>
    </row>
    <row r="7" spans="2:20" outlineLevel="1" x14ac:dyDescent="0.35">
      <c r="B7" s="647" t="s">
        <v>5612</v>
      </c>
      <c r="C7" s="661">
        <v>1</v>
      </c>
      <c r="D7" s="1138"/>
      <c r="E7" s="321"/>
      <c r="F7" s="342"/>
      <c r="J7" s="657"/>
      <c r="K7" s="550"/>
      <c r="M7" s="550"/>
      <c r="N7" s="550"/>
      <c r="O7" s="658"/>
      <c r="P7" s="602"/>
      <c r="Q7" s="602"/>
      <c r="R7" s="602"/>
      <c r="S7" s="602"/>
      <c r="T7" s="602"/>
    </row>
    <row r="8" spans="2:20" outlineLevel="1" x14ac:dyDescent="0.35">
      <c r="B8" s="647" t="s">
        <v>5613</v>
      </c>
      <c r="C8" s="1112">
        <v>1</v>
      </c>
      <c r="D8" s="1138"/>
      <c r="E8" s="321"/>
      <c r="F8" s="342"/>
      <c r="J8" s="657"/>
      <c r="K8" s="550"/>
      <c r="M8" s="550"/>
      <c r="N8" s="550"/>
      <c r="O8" s="658"/>
      <c r="P8" s="602"/>
      <c r="Q8" s="602"/>
      <c r="R8" s="602"/>
      <c r="S8" s="602"/>
      <c r="T8" s="602"/>
    </row>
    <row r="9" spans="2:20" outlineLevel="1" x14ac:dyDescent="0.35">
      <c r="B9" s="647" t="s">
        <v>5614</v>
      </c>
      <c r="C9" s="661">
        <v>52</v>
      </c>
      <c r="D9" s="1138"/>
      <c r="E9" s="321"/>
      <c r="F9" s="342"/>
      <c r="J9" s="657"/>
      <c r="K9" s="550"/>
      <c r="M9" s="550"/>
      <c r="N9" s="550"/>
      <c r="O9" s="658"/>
      <c r="P9" s="602"/>
      <c r="Q9" s="602"/>
      <c r="R9" s="602"/>
      <c r="S9" s="602"/>
      <c r="T9" s="602"/>
    </row>
    <row r="10" spans="2:20" outlineLevel="1" x14ac:dyDescent="0.35">
      <c r="B10" s="647" t="s">
        <v>5615</v>
      </c>
      <c r="C10" s="1129">
        <v>9.8000000000000004E-2</v>
      </c>
      <c r="D10" s="1138"/>
      <c r="E10" s="321"/>
      <c r="F10" s="342"/>
      <c r="J10" s="657"/>
      <c r="K10" s="550"/>
      <c r="M10" s="550"/>
      <c r="N10" s="550"/>
      <c r="O10" s="658"/>
      <c r="P10" s="602"/>
      <c r="Q10" s="602"/>
      <c r="R10" s="602"/>
      <c r="S10" s="602"/>
      <c r="T10" s="602"/>
    </row>
    <row r="11" spans="2:20" outlineLevel="1" x14ac:dyDescent="0.35">
      <c r="B11" s="647" t="s">
        <v>5616</v>
      </c>
      <c r="C11" s="1111">
        <v>100</v>
      </c>
      <c r="D11" s="1138"/>
      <c r="E11" s="321"/>
      <c r="F11" s="342"/>
      <c r="J11" s="657"/>
      <c r="K11" s="550"/>
      <c r="M11" s="550"/>
      <c r="N11" s="550"/>
      <c r="O11" s="658"/>
      <c r="P11" s="602"/>
      <c r="Q11" s="602"/>
      <c r="R11" s="602"/>
      <c r="S11" s="602"/>
      <c r="T11" s="602"/>
    </row>
    <row r="12" spans="2:20" ht="15" outlineLevel="1" thickBot="1" x14ac:dyDescent="0.4">
      <c r="B12" s="647" t="s">
        <v>5210</v>
      </c>
      <c r="C12" s="1113">
        <f>(C6*C7*C8*C9)/C11</f>
        <v>400.4</v>
      </c>
      <c r="D12" s="652"/>
      <c r="E12" s="293">
        <v>83</v>
      </c>
      <c r="F12" s="293">
        <v>289</v>
      </c>
      <c r="J12" s="657"/>
      <c r="K12" s="550"/>
      <c r="M12" s="550"/>
      <c r="N12" s="550"/>
      <c r="O12" s="658"/>
      <c r="P12" s="602"/>
      <c r="Q12" s="602"/>
      <c r="R12" s="602"/>
      <c r="S12" s="602"/>
      <c r="T12" s="602"/>
    </row>
    <row r="13" spans="2:20" ht="15" outlineLevel="1" thickBot="1" x14ac:dyDescent="0.4">
      <c r="B13" s="662"/>
      <c r="C13" s="335">
        <f>IF(TREND($E$5:$F$5,E12:F12,C12,1)&lt;0,0,(IF(TREND($E$5:$F$5,E12:F12,C12,1)&gt;E5,E5,TREND($E$5:$F$5,E12:F12,C12,1))))</f>
        <v>0</v>
      </c>
      <c r="D13" s="357" t="s">
        <v>5123</v>
      </c>
      <c r="E13" s="601"/>
      <c r="F13" s="550"/>
      <c r="G13" s="550"/>
      <c r="J13" s="657"/>
      <c r="K13" s="550"/>
      <c r="M13" s="550"/>
      <c r="N13" s="550"/>
      <c r="O13" s="658"/>
      <c r="P13" s="602"/>
      <c r="Q13" s="602"/>
      <c r="R13" s="602"/>
      <c r="S13" s="602"/>
      <c r="T13" s="602"/>
    </row>
    <row r="14" spans="2:20" outlineLevel="1" x14ac:dyDescent="0.35">
      <c r="B14" s="662"/>
      <c r="C14" s="340"/>
      <c r="E14" s="601"/>
      <c r="F14" s="550"/>
      <c r="G14" s="550"/>
      <c r="J14" s="657"/>
      <c r="K14" s="550"/>
      <c r="M14" s="550"/>
      <c r="N14" s="550"/>
      <c r="O14" s="658"/>
      <c r="P14" s="602"/>
      <c r="Q14" s="602"/>
      <c r="R14" s="602"/>
      <c r="S14" s="602"/>
      <c r="T14" s="602"/>
    </row>
    <row r="15" spans="2:20" x14ac:dyDescent="0.35">
      <c r="B15" s="318" t="s">
        <v>5046</v>
      </c>
      <c r="C15" s="341"/>
      <c r="D15" s="341"/>
      <c r="E15" s="341"/>
      <c r="F15" s="341"/>
      <c r="G15" s="341"/>
      <c r="H15" s="341"/>
      <c r="I15" s="341"/>
      <c r="J15" s="341"/>
      <c r="K15" s="550"/>
      <c r="M15" s="550"/>
      <c r="N15" s="550"/>
      <c r="O15" s="658"/>
      <c r="P15" s="602"/>
      <c r="Q15" s="602"/>
      <c r="R15" s="602"/>
      <c r="S15" s="602"/>
      <c r="T15" s="602"/>
    </row>
    <row r="16" spans="2:20" outlineLevel="1" x14ac:dyDescent="0.35">
      <c r="B16" s="550"/>
      <c r="C16" s="550"/>
      <c r="E16" s="550"/>
      <c r="F16" s="550"/>
      <c r="G16" s="550"/>
      <c r="J16" s="657"/>
      <c r="K16" s="550"/>
      <c r="M16" s="550"/>
      <c r="N16" s="658"/>
      <c r="O16" s="658"/>
      <c r="P16" s="602"/>
      <c r="Q16" s="602"/>
      <c r="R16" s="602"/>
      <c r="S16" s="602"/>
      <c r="T16" s="602"/>
    </row>
    <row r="17" spans="2:20" ht="29" outlineLevel="1" x14ac:dyDescent="0.35">
      <c r="B17" s="299" t="s">
        <v>4398</v>
      </c>
      <c r="C17" s="299" t="s">
        <v>4346</v>
      </c>
      <c r="D17" s="337" t="s">
        <v>4583</v>
      </c>
      <c r="E17" s="352"/>
      <c r="F17" s="346"/>
      <c r="G17" s="346"/>
      <c r="J17" s="657"/>
      <c r="K17" s="550"/>
      <c r="M17" s="550"/>
      <c r="N17" s="658"/>
      <c r="O17" s="658"/>
      <c r="P17" s="602"/>
      <c r="Q17" s="602"/>
      <c r="R17" s="602"/>
      <c r="S17" s="602"/>
      <c r="T17" s="602"/>
    </row>
    <row r="18" spans="2:20" ht="43.5" outlineLevel="1" x14ac:dyDescent="0.35">
      <c r="B18" s="647" t="s">
        <v>4402</v>
      </c>
      <c r="C18" s="663" t="s">
        <v>2048</v>
      </c>
      <c r="D18" s="652"/>
      <c r="E18" s="550"/>
      <c r="F18" s="664"/>
      <c r="G18" s="354">
        <f>IF(C18="ja",100%,0%)</f>
        <v>0</v>
      </c>
      <c r="K18" s="550"/>
      <c r="L18" s="665"/>
      <c r="M18" s="666"/>
      <c r="N18" s="658"/>
      <c r="O18" s="658"/>
      <c r="P18" s="602"/>
      <c r="Q18" s="602"/>
      <c r="R18" s="602"/>
      <c r="S18" s="602"/>
      <c r="T18" s="602"/>
    </row>
    <row r="19" spans="2:20" ht="43.5" outlineLevel="1" x14ac:dyDescent="0.35">
      <c r="B19" s="647" t="s">
        <v>4983</v>
      </c>
      <c r="C19" s="663" t="s">
        <v>2048</v>
      </c>
      <c r="D19" s="652"/>
      <c r="E19" s="550"/>
      <c r="F19" s="664"/>
      <c r="G19" s="354">
        <f t="shared" ref="G19:G20" si="0">IF(C19="ja",100%,0%)</f>
        <v>0</v>
      </c>
      <c r="K19" s="550"/>
      <c r="L19" s="665"/>
      <c r="M19" s="666"/>
      <c r="N19" s="658"/>
      <c r="O19" s="658"/>
      <c r="P19" s="602"/>
      <c r="Q19" s="602"/>
      <c r="R19" s="602"/>
      <c r="S19" s="602"/>
      <c r="T19" s="602"/>
    </row>
    <row r="20" spans="2:20" ht="29" outlineLevel="1" x14ac:dyDescent="0.35">
      <c r="B20" s="647" t="s">
        <v>4401</v>
      </c>
      <c r="C20" s="663" t="s">
        <v>2048</v>
      </c>
      <c r="D20" s="652"/>
      <c r="E20" s="550"/>
      <c r="F20" s="664"/>
      <c r="G20" s="354">
        <f t="shared" si="0"/>
        <v>0</v>
      </c>
      <c r="K20" s="550"/>
      <c r="L20" s="665"/>
      <c r="M20" s="666"/>
      <c r="N20" s="658"/>
      <c r="O20" s="658"/>
      <c r="P20" s="602"/>
      <c r="Q20" s="602"/>
      <c r="R20" s="602"/>
      <c r="S20" s="602"/>
      <c r="T20" s="602"/>
    </row>
    <row r="21" spans="2:20" outlineLevel="1" x14ac:dyDescent="0.35">
      <c r="B21" s="662"/>
      <c r="C21" s="662"/>
      <c r="E21" s="550"/>
      <c r="F21" s="601"/>
      <c r="G21" s="343">
        <f>AVERAGE(G18:G20)</f>
        <v>0</v>
      </c>
      <c r="K21" s="550"/>
      <c r="L21" s="665"/>
      <c r="M21" s="666"/>
      <c r="N21" s="658"/>
      <c r="O21" s="658"/>
      <c r="P21" s="602"/>
      <c r="Q21" s="602"/>
      <c r="R21" s="602"/>
      <c r="S21" s="602"/>
      <c r="T21" s="602"/>
    </row>
    <row r="22" spans="2:20" outlineLevel="1" x14ac:dyDescent="0.35">
      <c r="B22" s="299" t="s">
        <v>4399</v>
      </c>
      <c r="C22" s="299" t="s">
        <v>4346</v>
      </c>
      <c r="D22" s="337" t="s">
        <v>4583</v>
      </c>
      <c r="E22" s="550"/>
      <c r="F22" s="115"/>
      <c r="G22" s="305"/>
      <c r="K22" s="550"/>
      <c r="L22" s="665"/>
      <c r="M22" s="666"/>
      <c r="N22" s="658"/>
      <c r="O22" s="658"/>
      <c r="P22" s="602"/>
      <c r="Q22" s="602"/>
      <c r="R22" s="602"/>
      <c r="S22" s="602"/>
      <c r="T22" s="602"/>
    </row>
    <row r="23" spans="2:20" ht="29" outlineLevel="1" x14ac:dyDescent="0.35">
      <c r="B23" s="647" t="s">
        <v>4400</v>
      </c>
      <c r="C23" s="663" t="s">
        <v>2048</v>
      </c>
      <c r="D23" s="652"/>
      <c r="E23" s="550"/>
      <c r="F23" s="601"/>
      <c r="G23" s="354">
        <f>IF(C23="ja",100%,0%)</f>
        <v>0</v>
      </c>
      <c r="K23" s="550"/>
      <c r="L23" s="665"/>
      <c r="M23" s="666"/>
      <c r="N23" s="658"/>
      <c r="O23" s="658"/>
      <c r="P23" s="602"/>
      <c r="Q23" s="602"/>
      <c r="R23" s="602"/>
      <c r="S23" s="602"/>
      <c r="T23" s="602"/>
    </row>
    <row r="24" spans="2:20" ht="29" outlineLevel="1" x14ac:dyDescent="0.35">
      <c r="B24" s="647" t="s">
        <v>4404</v>
      </c>
      <c r="C24" s="663" t="s">
        <v>2048</v>
      </c>
      <c r="D24" s="652"/>
      <c r="E24" s="550"/>
      <c r="F24" s="601"/>
      <c r="G24" s="354">
        <f t="shared" ref="G24:G25" si="1">IF(C24="ja",100%,0%)</f>
        <v>0</v>
      </c>
      <c r="K24" s="550"/>
      <c r="L24" s="665"/>
      <c r="M24" s="666"/>
      <c r="N24" s="658"/>
      <c r="O24" s="658"/>
      <c r="P24" s="602"/>
      <c r="Q24" s="602"/>
      <c r="R24" s="602"/>
      <c r="S24" s="602"/>
      <c r="T24" s="602"/>
    </row>
    <row r="25" spans="2:20" outlineLevel="1" x14ac:dyDescent="0.35">
      <c r="B25" s="647" t="s">
        <v>4405</v>
      </c>
      <c r="C25" s="663" t="s">
        <v>2048</v>
      </c>
      <c r="D25" s="652"/>
      <c r="E25" s="550"/>
      <c r="F25" s="601"/>
      <c r="G25" s="354">
        <f t="shared" si="1"/>
        <v>0</v>
      </c>
      <c r="K25" s="550"/>
      <c r="L25" s="665"/>
      <c r="M25" s="666"/>
      <c r="N25" s="658"/>
      <c r="O25" s="658"/>
      <c r="P25" s="602"/>
      <c r="Q25" s="602"/>
      <c r="R25" s="602"/>
      <c r="S25" s="602"/>
      <c r="T25" s="602"/>
    </row>
    <row r="26" spans="2:20" outlineLevel="1" x14ac:dyDescent="0.35">
      <c r="B26" s="662"/>
      <c r="C26" s="662"/>
      <c r="E26" s="550"/>
      <c r="F26" s="601"/>
      <c r="G26" s="343">
        <f>AVERAGE(G23:G25)</f>
        <v>0</v>
      </c>
      <c r="K26" s="550"/>
      <c r="L26" s="665"/>
      <c r="M26" s="666"/>
      <c r="N26" s="658"/>
      <c r="O26" s="658"/>
      <c r="P26" s="602"/>
      <c r="Q26" s="602"/>
      <c r="R26" s="602"/>
      <c r="S26" s="602"/>
      <c r="T26" s="602"/>
    </row>
    <row r="27" spans="2:20" outlineLevel="1" x14ac:dyDescent="0.35">
      <c r="B27" s="299" t="s">
        <v>4393</v>
      </c>
      <c r="C27" s="299" t="s">
        <v>4346</v>
      </c>
      <c r="D27" s="337" t="s">
        <v>4583</v>
      </c>
      <c r="E27" s="550"/>
      <c r="F27" s="346"/>
      <c r="G27" s="346"/>
      <c r="K27" s="550"/>
      <c r="L27" s="665"/>
      <c r="M27" s="666"/>
      <c r="N27" s="658"/>
      <c r="O27" s="658"/>
      <c r="P27" s="602"/>
      <c r="Q27" s="602"/>
      <c r="R27" s="602"/>
      <c r="S27" s="602"/>
      <c r="T27" s="602"/>
    </row>
    <row r="28" spans="2:20" outlineLevel="1" x14ac:dyDescent="0.35">
      <c r="B28" s="582" t="s">
        <v>4397</v>
      </c>
      <c r="C28" s="667" t="s">
        <v>4396</v>
      </c>
      <c r="D28" s="652"/>
      <c r="E28" s="550"/>
      <c r="F28" s="668"/>
      <c r="G28" s="311">
        <f>IF(C28="Sparsam",1,(IF(C28="Normal",0.5,0)))</f>
        <v>0</v>
      </c>
      <c r="H28" s="115"/>
      <c r="I28" s="357"/>
      <c r="K28" s="550"/>
      <c r="L28" s="665"/>
      <c r="M28" s="666"/>
      <c r="N28" s="658"/>
      <c r="O28" s="658"/>
      <c r="P28" s="602"/>
      <c r="Q28" s="602"/>
      <c r="R28" s="602"/>
      <c r="S28" s="602"/>
      <c r="T28" s="602"/>
    </row>
    <row r="29" spans="2:20" outlineLevel="1" x14ac:dyDescent="0.35">
      <c r="B29" s="647" t="s">
        <v>4403</v>
      </c>
      <c r="C29" s="663" t="s">
        <v>2048</v>
      </c>
      <c r="D29" s="652"/>
      <c r="E29" s="550"/>
      <c r="F29" s="601"/>
      <c r="G29" s="366">
        <f>IF(C29="Ja",0,1)</f>
        <v>1</v>
      </c>
      <c r="H29" s="657"/>
      <c r="I29" s="357"/>
      <c r="K29" s="550"/>
      <c r="L29" s="665"/>
      <c r="M29" s="666"/>
      <c r="N29" s="658"/>
      <c r="O29" s="658"/>
      <c r="P29" s="602"/>
      <c r="Q29" s="602"/>
      <c r="R29" s="602"/>
      <c r="S29" s="602"/>
      <c r="T29" s="602"/>
    </row>
    <row r="30" spans="2:20" outlineLevel="1" x14ac:dyDescent="0.35">
      <c r="B30" s="662"/>
      <c r="C30" s="662"/>
      <c r="E30" s="550"/>
      <c r="F30" s="601"/>
      <c r="G30" s="343">
        <f>AVERAGE(G28:G29)</f>
        <v>0.5</v>
      </c>
      <c r="H30" s="669"/>
      <c r="K30" s="550"/>
      <c r="L30" s="665"/>
      <c r="M30" s="666"/>
      <c r="N30" s="658"/>
      <c r="O30" s="658"/>
      <c r="P30" s="602"/>
      <c r="Q30" s="602"/>
      <c r="R30" s="602"/>
      <c r="S30" s="602"/>
      <c r="T30" s="602"/>
    </row>
    <row r="31" spans="2:20" outlineLevel="1" x14ac:dyDescent="0.35">
      <c r="B31" s="662"/>
      <c r="C31" s="662"/>
      <c r="E31" s="550"/>
      <c r="F31" s="601"/>
      <c r="G31" s="343">
        <f>G21*0.7+G26*0.15+G30*0.15</f>
        <v>7.4999999999999997E-2</v>
      </c>
      <c r="K31" s="550"/>
      <c r="L31" s="665"/>
      <c r="M31" s="666"/>
      <c r="N31" s="658"/>
      <c r="O31" s="658"/>
      <c r="P31" s="602"/>
      <c r="Q31" s="602"/>
      <c r="R31" s="602"/>
      <c r="S31" s="602"/>
      <c r="T31" s="602"/>
    </row>
    <row r="32" spans="2:20" outlineLevel="1" x14ac:dyDescent="0.35">
      <c r="B32" s="292" t="s">
        <v>4613</v>
      </c>
      <c r="C32" s="351" t="s">
        <v>4372</v>
      </c>
      <c r="E32" s="1147">
        <f>Qualitätsprüfung!G1393</f>
        <v>1</v>
      </c>
      <c r="F32" s="342">
        <v>0</v>
      </c>
      <c r="H32" s="601"/>
      <c r="K32" s="550"/>
      <c r="L32" s="665"/>
      <c r="M32" s="666"/>
      <c r="N32" s="658"/>
      <c r="O32" s="658"/>
      <c r="P32" s="602"/>
      <c r="Q32" s="602"/>
      <c r="R32" s="602"/>
      <c r="S32" s="602"/>
      <c r="T32" s="602"/>
    </row>
    <row r="33" spans="2:20" ht="15" outlineLevel="1" thickBot="1" x14ac:dyDescent="0.4">
      <c r="B33" s="647" t="s">
        <v>5211</v>
      </c>
      <c r="C33" s="670">
        <f>TREND(E33:F33,E32:F32,G31,1)</f>
        <v>273.55</v>
      </c>
      <c r="D33" s="668"/>
      <c r="E33" s="293">
        <v>83</v>
      </c>
      <c r="F33" s="293">
        <v>289</v>
      </c>
      <c r="G33" s="550"/>
      <c r="J33" s="668"/>
      <c r="K33" s="550"/>
      <c r="M33" s="550"/>
      <c r="N33" s="550"/>
      <c r="O33" s="658"/>
      <c r="P33" s="602"/>
      <c r="Q33" s="602"/>
      <c r="R33" s="602"/>
      <c r="S33" s="602"/>
      <c r="T33" s="602"/>
    </row>
    <row r="34" spans="2:20" ht="15" outlineLevel="1" thickBot="1" x14ac:dyDescent="0.4">
      <c r="B34" s="662"/>
      <c r="C34" s="335">
        <f>IF(TREND(E32:F32,E33:F33,C33,1)&lt;0,0,(IF(TREND(E32:F32,E33:F33,C33,1)&gt;E32,E32,TREND(E32:F32,E33:F33,C33,1))))</f>
        <v>7.4999999999999956E-2</v>
      </c>
      <c r="D34" s="357" t="s">
        <v>5123</v>
      </c>
      <c r="E34" s="601"/>
      <c r="F34" s="550"/>
      <c r="G34" s="550"/>
      <c r="J34" s="601"/>
      <c r="K34" s="550"/>
      <c r="L34" s="671"/>
      <c r="M34" s="550"/>
      <c r="N34" s="550"/>
      <c r="O34" s="658"/>
      <c r="P34" s="602"/>
      <c r="Q34" s="602"/>
      <c r="R34" s="602"/>
      <c r="S34" s="602"/>
      <c r="T34" s="602"/>
    </row>
    <row r="35" spans="2:20" x14ac:dyDescent="0.35">
      <c r="B35" s="662"/>
      <c r="C35" s="336"/>
      <c r="D35" s="601"/>
      <c r="E35" s="601"/>
      <c r="F35" s="550"/>
      <c r="G35" s="550"/>
      <c r="J35" s="601"/>
      <c r="K35" s="550"/>
      <c r="L35" s="671"/>
      <c r="M35" s="550"/>
      <c r="N35" s="550"/>
      <c r="O35" s="658"/>
      <c r="P35" s="602"/>
      <c r="Q35" s="602"/>
      <c r="R35" s="602"/>
      <c r="S35" s="602"/>
      <c r="T35" s="602"/>
    </row>
    <row r="36" spans="2:20" x14ac:dyDescent="0.35">
      <c r="B36" s="1736" t="s">
        <v>5065</v>
      </c>
      <c r="C36" s="1736"/>
      <c r="D36" s="659"/>
      <c r="E36" s="627"/>
      <c r="F36" s="627"/>
      <c r="G36" s="627"/>
      <c r="H36" s="659"/>
      <c r="I36" s="659"/>
      <c r="J36" s="659"/>
      <c r="K36" s="550"/>
      <c r="L36" s="362"/>
      <c r="M36" s="361"/>
      <c r="N36" s="550"/>
      <c r="O36" s="658"/>
      <c r="P36" s="602"/>
      <c r="Q36" s="602"/>
      <c r="R36" s="602"/>
      <c r="S36" s="602"/>
      <c r="T36" s="602"/>
    </row>
    <row r="37" spans="2:20" x14ac:dyDescent="0.35">
      <c r="B37" s="610" t="s">
        <v>5061</v>
      </c>
      <c r="C37" s="610"/>
      <c r="D37" s="660"/>
      <c r="E37" s="330"/>
      <c r="F37" s="330"/>
      <c r="G37" s="330"/>
      <c r="H37" s="660"/>
      <c r="I37" s="660"/>
      <c r="J37" s="660"/>
      <c r="K37" s="550"/>
      <c r="L37" s="362"/>
      <c r="M37" s="361"/>
      <c r="N37" s="550"/>
      <c r="O37" s="658"/>
      <c r="P37" s="602"/>
      <c r="Q37" s="602"/>
      <c r="R37" s="602"/>
      <c r="S37" s="602"/>
      <c r="T37" s="602"/>
    </row>
    <row r="38" spans="2:20" outlineLevel="1" x14ac:dyDescent="0.35">
      <c r="B38" s="364"/>
      <c r="C38" s="364"/>
      <c r="K38" s="550"/>
      <c r="L38" s="362"/>
      <c r="M38" s="361"/>
      <c r="N38" s="550"/>
      <c r="O38" s="658"/>
      <c r="P38" s="602"/>
      <c r="Q38" s="602"/>
      <c r="R38" s="602"/>
      <c r="S38" s="602"/>
      <c r="T38" s="602"/>
    </row>
    <row r="39" spans="2:20" outlineLevel="1" x14ac:dyDescent="0.35">
      <c r="B39" s="292" t="s">
        <v>4434</v>
      </c>
      <c r="C39" s="351" t="s">
        <v>4372</v>
      </c>
      <c r="D39" s="337" t="s">
        <v>4583</v>
      </c>
      <c r="E39" s="1147">
        <f>Qualitätsprüfung!G1414</f>
        <v>1</v>
      </c>
      <c r="F39" s="342">
        <v>0</v>
      </c>
      <c r="G39" s="550"/>
      <c r="H39" s="373" t="s">
        <v>4466</v>
      </c>
      <c r="I39" s="305" t="s">
        <v>4467</v>
      </c>
      <c r="J39" s="694" t="s">
        <v>4468</v>
      </c>
      <c r="K39" s="550"/>
      <c r="L39" s="362"/>
      <c r="M39" s="361"/>
      <c r="N39" s="550"/>
      <c r="O39" s="658"/>
      <c r="P39" s="602"/>
      <c r="Q39" s="602"/>
      <c r="R39" s="602"/>
      <c r="S39" s="602"/>
      <c r="T39" s="602"/>
    </row>
    <row r="40" spans="2:20" outlineLevel="1" x14ac:dyDescent="0.35">
      <c r="B40" s="292" t="s">
        <v>4469</v>
      </c>
      <c r="C40" s="684"/>
      <c r="D40" s="646"/>
      <c r="E40" s="524"/>
      <c r="G40" s="550"/>
      <c r="H40" s="356"/>
      <c r="I40" s="305"/>
      <c r="J40" s="694"/>
      <c r="K40" s="550"/>
      <c r="L40" s="362"/>
      <c r="M40" s="361"/>
      <c r="N40" s="550"/>
      <c r="O40" s="658"/>
      <c r="P40" s="602"/>
      <c r="Q40" s="602"/>
      <c r="R40" s="602"/>
      <c r="S40" s="602"/>
      <c r="T40" s="602"/>
    </row>
    <row r="41" spans="2:20" outlineLevel="1" x14ac:dyDescent="0.35">
      <c r="B41" s="651" t="s">
        <v>5617</v>
      </c>
      <c r="C41" s="1111">
        <v>770</v>
      </c>
      <c r="D41" s="646"/>
      <c r="E41" s="524"/>
      <c r="G41" s="550"/>
      <c r="H41" s="356"/>
      <c r="I41" s="305"/>
      <c r="J41" s="694"/>
      <c r="K41" s="550"/>
      <c r="L41" s="362"/>
      <c r="M41" s="361"/>
      <c r="N41" s="550"/>
      <c r="O41" s="658"/>
      <c r="P41" s="602"/>
      <c r="Q41" s="602"/>
      <c r="R41" s="602"/>
      <c r="S41" s="602"/>
      <c r="T41" s="602"/>
    </row>
    <row r="42" spans="2:20" outlineLevel="1" x14ac:dyDescent="0.35">
      <c r="B42" s="651" t="s">
        <v>5618</v>
      </c>
      <c r="C42" s="661">
        <v>1</v>
      </c>
      <c r="D42" s="646"/>
      <c r="E42" s="524"/>
      <c r="G42" s="550"/>
      <c r="H42" s="356"/>
      <c r="I42" s="305"/>
      <c r="J42" s="694"/>
      <c r="K42" s="550"/>
      <c r="L42" s="362"/>
      <c r="M42" s="361"/>
      <c r="N42" s="550"/>
      <c r="O42" s="658"/>
      <c r="P42" s="602"/>
      <c r="Q42" s="602"/>
      <c r="R42" s="602"/>
      <c r="S42" s="602"/>
      <c r="T42" s="602"/>
    </row>
    <row r="43" spans="2:20" outlineLevel="1" x14ac:dyDescent="0.35">
      <c r="B43" s="651" t="s">
        <v>5613</v>
      </c>
      <c r="C43" s="1112">
        <v>1</v>
      </c>
      <c r="D43" s="646"/>
      <c r="E43" s="524"/>
      <c r="G43" s="550"/>
      <c r="H43" s="356"/>
      <c r="I43" s="305"/>
      <c r="J43" s="694"/>
      <c r="K43" s="550"/>
      <c r="L43" s="362"/>
      <c r="M43" s="361"/>
      <c r="N43" s="550"/>
      <c r="O43" s="658"/>
      <c r="P43" s="602"/>
      <c r="Q43" s="602"/>
      <c r="R43" s="602"/>
      <c r="S43" s="602"/>
      <c r="T43" s="602"/>
    </row>
    <row r="44" spans="2:20" outlineLevel="1" x14ac:dyDescent="0.35">
      <c r="B44" s="651" t="s">
        <v>5614</v>
      </c>
      <c r="C44" s="661">
        <v>52</v>
      </c>
      <c r="D44" s="646"/>
      <c r="E44" s="524"/>
      <c r="G44" s="550"/>
      <c r="H44" s="356"/>
      <c r="I44" s="305"/>
      <c r="J44" s="694"/>
      <c r="K44" s="550"/>
      <c r="L44" s="362"/>
      <c r="M44" s="361"/>
      <c r="N44" s="550"/>
      <c r="O44" s="658"/>
      <c r="P44" s="602"/>
      <c r="Q44" s="602"/>
      <c r="R44" s="602"/>
      <c r="S44" s="602"/>
      <c r="T44" s="602"/>
    </row>
    <row r="45" spans="2:20" outlineLevel="1" x14ac:dyDescent="0.35">
      <c r="B45" s="651" t="s">
        <v>5615</v>
      </c>
      <c r="C45" s="1126">
        <v>6.3E-2</v>
      </c>
      <c r="D45" s="646"/>
      <c r="E45" s="524"/>
      <c r="G45" s="550"/>
      <c r="H45" s="356"/>
      <c r="I45" s="305"/>
      <c r="J45" s="694"/>
      <c r="K45" s="550"/>
      <c r="L45" s="362"/>
      <c r="M45" s="361"/>
      <c r="N45" s="550"/>
      <c r="O45" s="658"/>
      <c r="P45" s="602"/>
      <c r="Q45" s="602"/>
      <c r="R45" s="602"/>
      <c r="S45" s="602"/>
      <c r="T45" s="602"/>
    </row>
    <row r="46" spans="2:20" outlineLevel="1" x14ac:dyDescent="0.35">
      <c r="B46" s="651" t="s">
        <v>5616</v>
      </c>
      <c r="C46" s="1111">
        <v>400</v>
      </c>
      <c r="D46" s="646"/>
      <c r="E46" s="524"/>
      <c r="G46" s="550"/>
      <c r="H46" s="356"/>
      <c r="I46" s="305"/>
      <c r="J46" s="694"/>
      <c r="K46" s="550"/>
      <c r="L46" s="362"/>
      <c r="M46" s="361"/>
      <c r="N46" s="550"/>
      <c r="O46" s="658"/>
      <c r="P46" s="602"/>
      <c r="Q46" s="602"/>
      <c r="R46" s="602"/>
      <c r="S46" s="602"/>
      <c r="T46" s="602"/>
    </row>
    <row r="47" spans="2:20" outlineLevel="1" x14ac:dyDescent="0.35">
      <c r="B47" s="651" t="s">
        <v>4469</v>
      </c>
      <c r="C47" s="1113">
        <f>(C41*C42*C43*C44)/C46</f>
        <v>100.1</v>
      </c>
      <c r="D47" s="699" t="s">
        <v>5359</v>
      </c>
      <c r="E47" s="353">
        <f>IF(ISBLANK(D47),"",I47)</f>
        <v>56</v>
      </c>
      <c r="F47" s="353">
        <f>IF(ISBLANK(D47),"",J47)</f>
        <v>93</v>
      </c>
      <c r="G47" s="701"/>
      <c r="H47" s="356" t="s">
        <v>4469</v>
      </c>
      <c r="I47" s="350">
        <v>56</v>
      </c>
      <c r="J47" s="293">
        <v>93</v>
      </c>
      <c r="K47" s="550"/>
      <c r="L47" s="362"/>
      <c r="M47" s="361"/>
      <c r="N47" s="550"/>
      <c r="O47" s="658"/>
      <c r="P47" s="602"/>
      <c r="Q47" s="602"/>
      <c r="R47" s="602"/>
      <c r="S47" s="602"/>
      <c r="T47" s="602"/>
    </row>
    <row r="48" spans="2:20" outlineLevel="1" x14ac:dyDescent="0.35">
      <c r="B48" s="292" t="s">
        <v>4470</v>
      </c>
      <c r="C48" s="684"/>
      <c r="D48" s="646"/>
      <c r="E48" s="524"/>
      <c r="G48" s="550"/>
      <c r="H48" s="356"/>
      <c r="I48" s="305"/>
      <c r="J48" s="694"/>
      <c r="K48" s="550"/>
      <c r="L48" s="362"/>
      <c r="M48" s="361"/>
      <c r="N48" s="550"/>
      <c r="O48" s="658"/>
      <c r="P48" s="602"/>
      <c r="Q48" s="602"/>
      <c r="R48" s="602"/>
      <c r="S48" s="602"/>
      <c r="T48" s="602"/>
    </row>
    <row r="49" spans="2:20" outlineLevel="1" x14ac:dyDescent="0.35">
      <c r="B49" s="651" t="s">
        <v>5617</v>
      </c>
      <c r="C49" s="1111"/>
      <c r="D49" s="646"/>
      <c r="E49" s="524"/>
      <c r="G49" s="550"/>
      <c r="H49" s="356"/>
      <c r="I49" s="305"/>
      <c r="J49" s="694"/>
      <c r="K49" s="550"/>
      <c r="L49" s="362"/>
      <c r="M49" s="361"/>
      <c r="N49" s="550"/>
      <c r="O49" s="658"/>
      <c r="P49" s="602"/>
      <c r="Q49" s="602"/>
      <c r="R49" s="602"/>
      <c r="S49" s="602"/>
      <c r="T49" s="602"/>
    </row>
    <row r="50" spans="2:20" outlineLevel="1" x14ac:dyDescent="0.35">
      <c r="B50" s="651" t="s">
        <v>5618</v>
      </c>
      <c r="C50" s="661"/>
      <c r="D50" s="646"/>
      <c r="E50" s="524"/>
      <c r="G50" s="550"/>
      <c r="H50" s="356"/>
      <c r="I50" s="305"/>
      <c r="J50" s="694"/>
      <c r="K50" s="550"/>
      <c r="L50" s="362"/>
      <c r="M50" s="361"/>
      <c r="N50" s="550"/>
      <c r="O50" s="658"/>
      <c r="P50" s="602"/>
      <c r="Q50" s="602"/>
      <c r="R50" s="602"/>
      <c r="S50" s="602"/>
      <c r="T50" s="602"/>
    </row>
    <row r="51" spans="2:20" outlineLevel="1" x14ac:dyDescent="0.35">
      <c r="B51" s="651" t="s">
        <v>5613</v>
      </c>
      <c r="C51" s="1112"/>
      <c r="D51" s="646"/>
      <c r="E51" s="524"/>
      <c r="G51" s="550"/>
      <c r="H51" s="356"/>
      <c r="I51" s="305"/>
      <c r="J51" s="694"/>
      <c r="K51" s="550"/>
      <c r="L51" s="362"/>
      <c r="M51" s="361"/>
      <c r="N51" s="550"/>
      <c r="O51" s="658"/>
      <c r="P51" s="602"/>
      <c r="Q51" s="602"/>
      <c r="R51" s="602"/>
      <c r="S51" s="602"/>
      <c r="T51" s="602"/>
    </row>
    <row r="52" spans="2:20" outlineLevel="1" x14ac:dyDescent="0.35">
      <c r="B52" s="651" t="s">
        <v>5614</v>
      </c>
      <c r="C52" s="661"/>
      <c r="D52" s="646"/>
      <c r="E52" s="524"/>
      <c r="G52" s="550"/>
      <c r="H52" s="356"/>
      <c r="I52" s="305"/>
      <c r="J52" s="694"/>
      <c r="K52" s="550"/>
      <c r="L52" s="362"/>
      <c r="M52" s="361"/>
      <c r="N52" s="550"/>
      <c r="O52" s="658"/>
      <c r="P52" s="602"/>
      <c r="Q52" s="602"/>
      <c r="R52" s="602"/>
      <c r="S52" s="602"/>
      <c r="T52" s="602"/>
    </row>
    <row r="53" spans="2:20" outlineLevel="1" x14ac:dyDescent="0.35">
      <c r="B53" s="651" t="s">
        <v>5615</v>
      </c>
      <c r="C53" s="1127">
        <f>(0.302+0.276)/2</f>
        <v>0.28900000000000003</v>
      </c>
      <c r="D53" s="646"/>
      <c r="E53" s="524"/>
      <c r="G53" s="550"/>
      <c r="H53" s="356"/>
      <c r="I53" s="305"/>
      <c r="J53" s="694"/>
      <c r="K53" s="550"/>
      <c r="L53" s="362"/>
      <c r="M53" s="361"/>
      <c r="N53" s="550"/>
      <c r="O53" s="658"/>
      <c r="P53" s="602"/>
      <c r="Q53" s="602"/>
      <c r="R53" s="602"/>
      <c r="S53" s="602"/>
      <c r="T53" s="602"/>
    </row>
    <row r="54" spans="2:20" outlineLevel="1" x14ac:dyDescent="0.35">
      <c r="B54" s="651" t="s">
        <v>5616</v>
      </c>
      <c r="C54" s="1111">
        <v>1</v>
      </c>
      <c r="D54" s="646"/>
      <c r="E54" s="524"/>
      <c r="G54" s="550"/>
      <c r="H54" s="356"/>
      <c r="I54" s="305"/>
      <c r="J54" s="694"/>
      <c r="K54" s="550"/>
      <c r="L54" s="362"/>
      <c r="M54" s="361"/>
      <c r="N54" s="550"/>
      <c r="O54" s="658"/>
      <c r="P54" s="602"/>
      <c r="Q54" s="602"/>
      <c r="R54" s="602"/>
      <c r="S54" s="602"/>
      <c r="T54" s="602"/>
    </row>
    <row r="55" spans="2:20" outlineLevel="1" x14ac:dyDescent="0.35">
      <c r="B55" s="651" t="s">
        <v>4470</v>
      </c>
      <c r="C55" s="1113">
        <f>(C49*C50*C51*C52)/C54</f>
        <v>0</v>
      </c>
      <c r="D55" s="699"/>
      <c r="E55" s="353" t="str">
        <f>IF(ISBLANK(D55),"",I55)</f>
        <v/>
      </c>
      <c r="F55" s="353" t="str">
        <f>IF(ISBLANK(D55),"",J55)</f>
        <v/>
      </c>
      <c r="G55" s="701"/>
      <c r="H55" s="369" t="s">
        <v>4470</v>
      </c>
      <c r="I55" s="350">
        <v>19</v>
      </c>
      <c r="J55" s="293">
        <v>31</v>
      </c>
      <c r="K55" s="550"/>
      <c r="L55" s="362"/>
      <c r="M55" s="361"/>
      <c r="N55" s="550"/>
      <c r="O55" s="658"/>
      <c r="P55" s="602"/>
      <c r="Q55" s="602"/>
      <c r="R55" s="602"/>
      <c r="S55" s="602"/>
      <c r="T55" s="602"/>
    </row>
    <row r="56" spans="2:20" outlineLevel="1" x14ac:dyDescent="0.35">
      <c r="B56" s="292" t="s">
        <v>4472</v>
      </c>
      <c r="C56" s="684"/>
      <c r="D56" s="646"/>
      <c r="E56" s="524"/>
      <c r="G56" s="550"/>
      <c r="H56" s="356"/>
      <c r="I56" s="305"/>
      <c r="J56" s="694"/>
      <c r="K56" s="550"/>
      <c r="L56" s="362"/>
      <c r="M56" s="361"/>
      <c r="N56" s="550"/>
      <c r="O56" s="658"/>
      <c r="P56" s="602"/>
      <c r="Q56" s="602"/>
      <c r="R56" s="602"/>
      <c r="S56" s="602"/>
      <c r="T56" s="602"/>
    </row>
    <row r="57" spans="2:20" outlineLevel="1" x14ac:dyDescent="0.35">
      <c r="B57" s="651" t="s">
        <v>5617</v>
      </c>
      <c r="C57" s="1111"/>
      <c r="D57" s="646"/>
      <c r="E57" s="524"/>
      <c r="G57" s="550"/>
      <c r="H57" s="356"/>
      <c r="I57" s="305"/>
      <c r="J57" s="694"/>
      <c r="K57" s="550"/>
      <c r="L57" s="362"/>
      <c r="M57" s="361"/>
      <c r="N57" s="550"/>
      <c r="O57" s="658"/>
      <c r="P57" s="602"/>
      <c r="Q57" s="602"/>
      <c r="R57" s="602"/>
      <c r="S57" s="602"/>
      <c r="T57" s="602"/>
    </row>
    <row r="58" spans="2:20" outlineLevel="1" x14ac:dyDescent="0.35">
      <c r="B58" s="651" t="s">
        <v>5618</v>
      </c>
      <c r="C58" s="661"/>
      <c r="D58" s="646"/>
      <c r="E58" s="524"/>
      <c r="G58" s="550"/>
      <c r="H58" s="356"/>
      <c r="I58" s="305"/>
      <c r="J58" s="694"/>
      <c r="K58" s="550"/>
      <c r="L58" s="362"/>
      <c r="M58" s="361"/>
      <c r="N58" s="550"/>
      <c r="O58" s="658"/>
      <c r="P58" s="602"/>
      <c r="Q58" s="602"/>
      <c r="R58" s="602"/>
      <c r="S58" s="602"/>
      <c r="T58" s="602"/>
    </row>
    <row r="59" spans="2:20" outlineLevel="1" x14ac:dyDescent="0.35">
      <c r="B59" s="651" t="s">
        <v>5613</v>
      </c>
      <c r="C59" s="1112"/>
      <c r="D59" s="646"/>
      <c r="E59" s="524"/>
      <c r="G59" s="550"/>
      <c r="H59" s="356"/>
      <c r="I59" s="305"/>
      <c r="J59" s="694"/>
      <c r="K59" s="550"/>
      <c r="L59" s="362"/>
      <c r="M59" s="361"/>
      <c r="N59" s="550"/>
      <c r="O59" s="658"/>
      <c r="P59" s="602"/>
      <c r="Q59" s="602"/>
      <c r="R59" s="602"/>
      <c r="S59" s="602"/>
      <c r="T59" s="602"/>
    </row>
    <row r="60" spans="2:20" outlineLevel="1" x14ac:dyDescent="0.35">
      <c r="B60" s="651" t="s">
        <v>5614</v>
      </c>
      <c r="C60" s="661"/>
      <c r="D60" s="646"/>
      <c r="E60" s="524"/>
      <c r="G60" s="550"/>
      <c r="H60" s="356"/>
      <c r="I60" s="305"/>
      <c r="J60" s="694"/>
      <c r="K60" s="550"/>
      <c r="L60" s="362"/>
      <c r="M60" s="361"/>
      <c r="N60" s="550"/>
      <c r="O60" s="658"/>
      <c r="P60" s="602"/>
      <c r="Q60" s="602"/>
      <c r="R60" s="602"/>
      <c r="S60" s="602"/>
      <c r="T60" s="602"/>
    </row>
    <row r="61" spans="2:20" outlineLevel="1" x14ac:dyDescent="0.35">
      <c r="B61" s="651" t="s">
        <v>5615</v>
      </c>
      <c r="C61" s="1128">
        <v>2.5000000000000001E-2</v>
      </c>
      <c r="D61" s="646"/>
      <c r="E61" s="524"/>
      <c r="G61" s="550"/>
      <c r="H61" s="356"/>
      <c r="I61" s="305"/>
      <c r="J61" s="694"/>
      <c r="K61" s="550"/>
      <c r="L61" s="362"/>
      <c r="M61" s="361"/>
      <c r="N61" s="550"/>
      <c r="O61" s="658"/>
      <c r="P61" s="602"/>
      <c r="Q61" s="602"/>
      <c r="R61" s="602"/>
      <c r="S61" s="602"/>
      <c r="T61" s="602"/>
    </row>
    <row r="62" spans="2:20" outlineLevel="1" x14ac:dyDescent="0.35">
      <c r="B62" s="651" t="s">
        <v>5616</v>
      </c>
      <c r="C62" s="1111">
        <v>1</v>
      </c>
      <c r="D62" s="646"/>
      <c r="E62" s="524"/>
      <c r="G62" s="550"/>
      <c r="H62" s="356"/>
      <c r="I62" s="305"/>
      <c r="J62" s="694"/>
      <c r="K62" s="550"/>
      <c r="L62" s="362"/>
      <c r="M62" s="361"/>
      <c r="N62" s="550"/>
      <c r="O62" s="658"/>
      <c r="P62" s="602"/>
      <c r="Q62" s="602"/>
      <c r="R62" s="602"/>
      <c r="S62" s="602"/>
      <c r="T62" s="602"/>
    </row>
    <row r="63" spans="2:20" outlineLevel="1" x14ac:dyDescent="0.35">
      <c r="B63" s="651" t="s">
        <v>4472</v>
      </c>
      <c r="C63" s="1113">
        <f>(C57*C58*C59*C60)/C62</f>
        <v>0</v>
      </c>
      <c r="D63" s="699"/>
      <c r="E63" s="353" t="str">
        <f>IF(ISBLANK(D63),"",I63)</f>
        <v/>
      </c>
      <c r="F63" s="353" t="str">
        <f>IF(ISBLANK(D63),"",J63)</f>
        <v/>
      </c>
      <c r="G63" s="701"/>
      <c r="H63" s="372" t="s">
        <v>4472</v>
      </c>
      <c r="I63" s="293">
        <v>13</v>
      </c>
      <c r="J63" s="293">
        <v>22</v>
      </c>
      <c r="K63" s="550"/>
      <c r="L63" s="362"/>
      <c r="M63" s="361"/>
      <c r="N63" s="550"/>
      <c r="O63" s="658"/>
      <c r="P63" s="602"/>
      <c r="Q63" s="602"/>
      <c r="R63" s="602"/>
      <c r="S63" s="602"/>
      <c r="T63" s="602"/>
    </row>
    <row r="64" spans="2:20" outlineLevel="1" x14ac:dyDescent="0.35">
      <c r="B64" s="292" t="s">
        <v>4471</v>
      </c>
      <c r="C64" s="684"/>
      <c r="D64" s="646"/>
      <c r="E64" s="524"/>
      <c r="G64" s="550"/>
      <c r="H64" s="356"/>
      <c r="I64" s="305"/>
      <c r="J64" s="694"/>
      <c r="K64" s="550"/>
      <c r="L64" s="362"/>
      <c r="M64" s="361"/>
      <c r="N64" s="550"/>
      <c r="O64" s="658"/>
      <c r="P64" s="602"/>
      <c r="Q64" s="602"/>
      <c r="R64" s="602"/>
      <c r="S64" s="602"/>
      <c r="T64" s="602"/>
    </row>
    <row r="65" spans="2:20" outlineLevel="1" x14ac:dyDescent="0.35">
      <c r="B65" s="651" t="s">
        <v>5617</v>
      </c>
      <c r="C65" s="1111"/>
      <c r="D65" s="646"/>
      <c r="E65" s="524"/>
      <c r="G65" s="550"/>
      <c r="H65" s="356"/>
      <c r="I65" s="305"/>
      <c r="J65" s="694"/>
      <c r="K65" s="550"/>
      <c r="L65" s="362"/>
      <c r="M65" s="361"/>
      <c r="N65" s="550"/>
      <c r="O65" s="658"/>
      <c r="P65" s="602"/>
      <c r="Q65" s="602"/>
      <c r="R65" s="602"/>
      <c r="S65" s="602"/>
      <c r="T65" s="602"/>
    </row>
    <row r="66" spans="2:20" outlineLevel="1" x14ac:dyDescent="0.35">
      <c r="B66" s="651" t="s">
        <v>5618</v>
      </c>
      <c r="C66" s="661"/>
      <c r="D66" s="646"/>
      <c r="E66" s="524"/>
      <c r="G66" s="550"/>
      <c r="H66" s="356"/>
      <c r="I66" s="305"/>
      <c r="J66" s="694"/>
      <c r="K66" s="550"/>
      <c r="L66" s="362"/>
      <c r="M66" s="361"/>
      <c r="N66" s="550"/>
      <c r="O66" s="658"/>
      <c r="P66" s="602"/>
      <c r="Q66" s="602"/>
      <c r="R66" s="602"/>
      <c r="S66" s="602"/>
      <c r="T66" s="602"/>
    </row>
    <row r="67" spans="2:20" outlineLevel="1" x14ac:dyDescent="0.35">
      <c r="B67" s="651" t="s">
        <v>5613</v>
      </c>
      <c r="C67" s="1112"/>
      <c r="D67" s="646"/>
      <c r="E67" s="524"/>
      <c r="G67" s="550"/>
      <c r="H67" s="356"/>
      <c r="I67" s="305"/>
      <c r="J67" s="694"/>
      <c r="K67" s="550"/>
      <c r="L67" s="362"/>
      <c r="M67" s="361"/>
      <c r="N67" s="550"/>
      <c r="O67" s="658"/>
      <c r="P67" s="602"/>
      <c r="Q67" s="602"/>
      <c r="R67" s="602"/>
      <c r="S67" s="602"/>
      <c r="T67" s="602"/>
    </row>
    <row r="68" spans="2:20" outlineLevel="1" x14ac:dyDescent="0.35">
      <c r="B68" s="651" t="s">
        <v>5614</v>
      </c>
      <c r="C68" s="661"/>
      <c r="D68" s="646"/>
      <c r="E68" s="524"/>
      <c r="G68" s="550"/>
      <c r="H68" s="356"/>
      <c r="I68" s="305"/>
      <c r="J68" s="694"/>
      <c r="K68" s="550"/>
      <c r="L68" s="362"/>
      <c r="M68" s="361"/>
      <c r="N68" s="550"/>
      <c r="O68" s="658"/>
      <c r="P68" s="602"/>
      <c r="Q68" s="602"/>
      <c r="R68" s="602"/>
      <c r="S68" s="602"/>
      <c r="T68" s="602"/>
    </row>
    <row r="69" spans="2:20" outlineLevel="1" x14ac:dyDescent="0.35">
      <c r="B69" s="651" t="s">
        <v>5615</v>
      </c>
      <c r="C69" s="1125">
        <v>0.05</v>
      </c>
      <c r="D69" s="646"/>
      <c r="E69" s="524"/>
      <c r="G69" s="550"/>
      <c r="H69" s="356"/>
      <c r="I69" s="305"/>
      <c r="J69" s="694"/>
      <c r="K69" s="550"/>
      <c r="L69" s="362"/>
      <c r="M69" s="361"/>
      <c r="N69" s="550"/>
      <c r="O69" s="658"/>
      <c r="P69" s="602"/>
      <c r="Q69" s="602"/>
      <c r="R69" s="602"/>
      <c r="S69" s="602"/>
      <c r="T69" s="602"/>
    </row>
    <row r="70" spans="2:20" outlineLevel="1" x14ac:dyDescent="0.35">
      <c r="B70" s="651" t="s">
        <v>5616</v>
      </c>
      <c r="C70" s="1111">
        <v>1</v>
      </c>
      <c r="D70" s="646"/>
      <c r="E70" s="524"/>
      <c r="G70" s="550"/>
      <c r="H70" s="356"/>
      <c r="I70" s="305"/>
      <c r="J70" s="694"/>
      <c r="K70" s="550"/>
      <c r="L70" s="362"/>
      <c r="M70" s="361"/>
      <c r="N70" s="550"/>
      <c r="O70" s="658"/>
      <c r="P70" s="602"/>
      <c r="Q70" s="602"/>
      <c r="R70" s="602"/>
      <c r="S70" s="602"/>
      <c r="T70" s="602"/>
    </row>
    <row r="71" spans="2:20" outlineLevel="1" x14ac:dyDescent="0.35">
      <c r="B71" s="1114" t="s">
        <v>4471</v>
      </c>
      <c r="C71" s="1113">
        <f>(C65*C66*C67*C68)/C70</f>
        <v>0</v>
      </c>
      <c r="D71" s="699"/>
      <c r="E71" s="353" t="str">
        <f>IF(ISBLANK(D71),"",I71)</f>
        <v/>
      </c>
      <c r="F71" s="353" t="str">
        <f>IF(ISBLANK(D71),"",J71)</f>
        <v/>
      </c>
      <c r="G71" s="701"/>
      <c r="H71" s="356" t="s">
        <v>4471</v>
      </c>
      <c r="I71" s="370">
        <v>2</v>
      </c>
      <c r="J71" s="293">
        <v>4</v>
      </c>
      <c r="K71" s="550"/>
      <c r="L71" s="362"/>
      <c r="M71" s="361"/>
      <c r="N71" s="550"/>
      <c r="O71" s="658"/>
      <c r="P71" s="602"/>
      <c r="Q71" s="602"/>
      <c r="R71" s="602"/>
      <c r="S71" s="602"/>
      <c r="T71" s="602"/>
    </row>
    <row r="72" spans="2:20" outlineLevel="1" x14ac:dyDescent="0.35">
      <c r="B72" s="292" t="s">
        <v>4473</v>
      </c>
      <c r="C72" s="684"/>
      <c r="D72" s="646"/>
      <c r="E72" s="524"/>
      <c r="G72" s="550"/>
      <c r="H72" s="356"/>
      <c r="I72" s="305"/>
      <c r="J72" s="694"/>
      <c r="K72" s="550"/>
      <c r="L72" s="362"/>
      <c r="M72" s="361"/>
      <c r="N72" s="550"/>
      <c r="O72" s="658"/>
      <c r="P72" s="602"/>
      <c r="Q72" s="602"/>
      <c r="R72" s="602"/>
      <c r="S72" s="602"/>
      <c r="T72" s="602"/>
    </row>
    <row r="73" spans="2:20" outlineLevel="1" x14ac:dyDescent="0.35">
      <c r="B73" s="651" t="s">
        <v>5617</v>
      </c>
      <c r="C73" s="1111"/>
      <c r="D73" s="646"/>
      <c r="E73" s="524"/>
      <c r="G73" s="550"/>
      <c r="H73" s="356"/>
      <c r="I73" s="305"/>
      <c r="J73" s="694"/>
      <c r="K73" s="550"/>
      <c r="L73" s="362"/>
      <c r="M73" s="361"/>
      <c r="N73" s="550"/>
      <c r="O73" s="658"/>
      <c r="P73" s="602"/>
      <c r="Q73" s="602"/>
      <c r="R73" s="602"/>
      <c r="S73" s="602"/>
      <c r="T73" s="602"/>
    </row>
    <row r="74" spans="2:20" outlineLevel="1" x14ac:dyDescent="0.35">
      <c r="B74" s="651" t="s">
        <v>5618</v>
      </c>
      <c r="C74" s="661"/>
      <c r="D74" s="646"/>
      <c r="E74" s="524"/>
      <c r="G74" s="550"/>
      <c r="H74" s="356"/>
      <c r="I74" s="305"/>
      <c r="J74" s="694"/>
      <c r="K74" s="550"/>
      <c r="L74" s="362"/>
      <c r="M74" s="361"/>
      <c r="N74" s="550"/>
      <c r="O74" s="658"/>
      <c r="P74" s="602"/>
      <c r="Q74" s="602"/>
      <c r="R74" s="602"/>
      <c r="S74" s="602"/>
      <c r="T74" s="602"/>
    </row>
    <row r="75" spans="2:20" outlineLevel="1" x14ac:dyDescent="0.35">
      <c r="B75" s="651" t="s">
        <v>5613</v>
      </c>
      <c r="C75" s="1112"/>
      <c r="D75" s="646"/>
      <c r="E75" s="524"/>
      <c r="G75" s="550"/>
      <c r="H75" s="356"/>
      <c r="I75" s="305"/>
      <c r="J75" s="694"/>
      <c r="K75" s="550"/>
      <c r="L75" s="362"/>
      <c r="M75" s="361"/>
      <c r="N75" s="550"/>
      <c r="O75" s="658"/>
      <c r="P75" s="602"/>
      <c r="Q75" s="602"/>
      <c r="R75" s="602"/>
      <c r="S75" s="602"/>
      <c r="T75" s="602"/>
    </row>
    <row r="76" spans="2:20" outlineLevel="1" x14ac:dyDescent="0.35">
      <c r="B76" s="651" t="s">
        <v>5614</v>
      </c>
      <c r="C76" s="661"/>
      <c r="D76" s="646"/>
      <c r="E76" s="524"/>
      <c r="G76" s="550"/>
      <c r="H76" s="356"/>
      <c r="I76" s="305"/>
      <c r="J76" s="694"/>
      <c r="K76" s="550"/>
      <c r="L76" s="362"/>
      <c r="M76" s="361"/>
      <c r="N76" s="550"/>
      <c r="O76" s="658"/>
      <c r="P76" s="602"/>
      <c r="Q76" s="602"/>
      <c r="R76" s="602"/>
      <c r="S76" s="602"/>
      <c r="T76" s="602"/>
    </row>
    <row r="77" spans="2:20" outlineLevel="1" x14ac:dyDescent="0.35">
      <c r="B77" s="651" t="s">
        <v>5615</v>
      </c>
      <c r="C77" s="1124">
        <v>0.14099999999999999</v>
      </c>
      <c r="D77" s="646"/>
      <c r="E77" s="524"/>
      <c r="G77" s="550"/>
      <c r="H77" s="356"/>
      <c r="I77" s="305"/>
      <c r="J77" s="694"/>
      <c r="K77" s="550"/>
      <c r="L77" s="362"/>
      <c r="M77" s="361"/>
      <c r="N77" s="550"/>
      <c r="O77" s="658"/>
      <c r="P77" s="602"/>
      <c r="Q77" s="602"/>
      <c r="R77" s="602"/>
      <c r="S77" s="602"/>
      <c r="T77" s="602"/>
    </row>
    <row r="78" spans="2:20" outlineLevel="1" x14ac:dyDescent="0.35">
      <c r="B78" s="651" t="s">
        <v>5616</v>
      </c>
      <c r="C78" s="1111">
        <v>1</v>
      </c>
      <c r="D78" s="646"/>
      <c r="E78" s="524"/>
      <c r="G78" s="550"/>
      <c r="H78" s="356"/>
      <c r="I78" s="305"/>
      <c r="J78" s="694"/>
      <c r="K78" s="550"/>
      <c r="L78" s="362"/>
      <c r="M78" s="361"/>
      <c r="N78" s="550"/>
      <c r="O78" s="658"/>
      <c r="P78" s="602"/>
      <c r="Q78" s="602"/>
      <c r="R78" s="602"/>
      <c r="S78" s="602"/>
      <c r="T78" s="602"/>
    </row>
    <row r="79" spans="2:20" outlineLevel="1" x14ac:dyDescent="0.35">
      <c r="B79" s="651" t="s">
        <v>4473</v>
      </c>
      <c r="C79" s="1113">
        <f>(C73*C74*C75*C76)/C78</f>
        <v>0</v>
      </c>
      <c r="D79" s="699"/>
      <c r="E79" s="353" t="str">
        <f>IF(ISBLANK(D79),"",I79)</f>
        <v/>
      </c>
      <c r="F79" s="353" t="str">
        <f>IF(ISBLANK(D79),"",J79)</f>
        <v/>
      </c>
      <c r="G79" s="701"/>
      <c r="H79" s="372" t="s">
        <v>4473</v>
      </c>
      <c r="I79" s="293">
        <v>47</v>
      </c>
      <c r="J79" s="293">
        <v>49</v>
      </c>
      <c r="K79" s="550"/>
      <c r="L79" s="362"/>
      <c r="M79" s="361"/>
      <c r="N79" s="550"/>
      <c r="O79" s="658"/>
      <c r="P79" s="602"/>
      <c r="Q79" s="602"/>
      <c r="R79" s="602"/>
      <c r="S79" s="602"/>
      <c r="T79" s="602"/>
    </row>
    <row r="80" spans="2:20" ht="15" outlineLevel="1" thickBot="1" x14ac:dyDescent="0.4">
      <c r="B80" s="697" t="s">
        <v>5212</v>
      </c>
      <c r="C80" s="1123">
        <f>C47+C55+C71+C63+C79</f>
        <v>100.1</v>
      </c>
      <c r="D80" s="662"/>
      <c r="E80" s="700">
        <f>SUM(E47:E79)</f>
        <v>56</v>
      </c>
      <c r="F80" s="700">
        <f>SUM(F47:F79)</f>
        <v>93</v>
      </c>
      <c r="G80" s="550"/>
      <c r="I80" s="700">
        <f>SUM(I47:I79)</f>
        <v>137</v>
      </c>
      <c r="J80" s="700">
        <f>SUM(J47:J79)</f>
        <v>199</v>
      </c>
      <c r="K80" s="550"/>
      <c r="L80" s="362"/>
      <c r="M80" s="361"/>
      <c r="N80" s="550"/>
      <c r="O80" s="658"/>
      <c r="P80" s="602"/>
      <c r="Q80" s="602"/>
      <c r="R80" s="602"/>
      <c r="S80" s="602"/>
      <c r="T80" s="602"/>
    </row>
    <row r="81" spans="2:20" ht="15" outlineLevel="1" thickBot="1" x14ac:dyDescent="0.4">
      <c r="B81" s="662"/>
      <c r="C81" s="335">
        <f>IF(C80&gt;0,IF(TREND($E$39:$F$39,E80:F80,C80,1)&lt;0,0,(IF(TREND($E$39:$F$39,E80:F80,C80,1)&gt;E39,E39,TREND($E$39:$F$39,E80:F80,C80,1)))),0)</f>
        <v>0</v>
      </c>
      <c r="D81" s="357" t="s">
        <v>5124</v>
      </c>
      <c r="E81" s="601"/>
      <c r="F81" s="550"/>
      <c r="G81" s="550"/>
      <c r="J81" s="657"/>
      <c r="K81" s="550"/>
      <c r="L81" s="362"/>
      <c r="M81" s="361"/>
      <c r="N81" s="550"/>
      <c r="O81" s="658"/>
      <c r="P81" s="602"/>
      <c r="Q81" s="602"/>
      <c r="R81" s="602"/>
      <c r="S81" s="602"/>
      <c r="T81" s="602"/>
    </row>
    <row r="82" spans="2:20" outlineLevel="1" x14ac:dyDescent="0.35">
      <c r="B82" s="364"/>
      <c r="C82" s="364"/>
      <c r="E82" s="550"/>
      <c r="F82" s="550"/>
      <c r="G82" s="550"/>
      <c r="J82" s="657"/>
      <c r="K82" s="550"/>
      <c r="L82" s="362"/>
      <c r="M82" s="361"/>
      <c r="N82" s="550"/>
      <c r="O82" s="658"/>
      <c r="P82" s="602"/>
      <c r="Q82" s="602"/>
      <c r="R82" s="602"/>
      <c r="S82" s="602"/>
      <c r="T82" s="602"/>
    </row>
    <row r="83" spans="2:20" x14ac:dyDescent="0.35">
      <c r="B83" s="318" t="s">
        <v>5046</v>
      </c>
      <c r="C83" s="341"/>
      <c r="D83" s="341"/>
      <c r="E83" s="341"/>
      <c r="F83" s="341"/>
      <c r="G83" s="341"/>
      <c r="H83" s="341"/>
      <c r="I83" s="341"/>
      <c r="J83" s="341"/>
      <c r="K83" s="550"/>
      <c r="L83" s="362"/>
      <c r="M83" s="361"/>
      <c r="N83" s="550"/>
      <c r="O83" s="658"/>
      <c r="P83" s="602"/>
      <c r="Q83" s="602"/>
      <c r="R83" s="602"/>
      <c r="S83" s="602"/>
      <c r="T83" s="602"/>
    </row>
    <row r="84" spans="2:20" outlineLevel="1" x14ac:dyDescent="0.35">
      <c r="B84" s="550"/>
      <c r="C84" s="550"/>
      <c r="E84" s="550"/>
      <c r="F84" s="550"/>
      <c r="G84" s="550"/>
      <c r="J84" s="657"/>
      <c r="K84" s="550"/>
      <c r="L84" s="367"/>
      <c r="M84" s="363"/>
      <c r="N84" s="658"/>
      <c r="O84" s="658"/>
      <c r="P84" s="602"/>
      <c r="Q84" s="602"/>
      <c r="R84" s="602"/>
      <c r="S84" s="602"/>
      <c r="T84" s="602"/>
    </row>
    <row r="85" spans="2:20" ht="29" outlineLevel="2" x14ac:dyDescent="0.35">
      <c r="B85" s="299" t="s">
        <v>4398</v>
      </c>
      <c r="C85" s="299" t="s">
        <v>4346</v>
      </c>
      <c r="D85" s="337" t="s">
        <v>4583</v>
      </c>
      <c r="E85" s="352"/>
      <c r="F85" s="346"/>
      <c r="G85" s="346"/>
      <c r="J85" s="657"/>
      <c r="K85" s="550"/>
      <c r="L85" s="367"/>
      <c r="M85" s="363"/>
      <c r="N85" s="658"/>
      <c r="O85" s="658"/>
      <c r="P85" s="602"/>
      <c r="Q85" s="602"/>
      <c r="R85" s="602"/>
      <c r="S85" s="602"/>
      <c r="T85" s="602"/>
    </row>
    <row r="86" spans="2:20" ht="43.5" outlineLevel="2" x14ac:dyDescent="0.35">
      <c r="B86" s="647" t="s">
        <v>4402</v>
      </c>
      <c r="C86" s="663" t="s">
        <v>2048</v>
      </c>
      <c r="D86" s="652"/>
      <c r="E86" s="550"/>
      <c r="F86" s="664"/>
      <c r="G86" s="354">
        <f>IF(C86="ja",100%,0%)</f>
        <v>0</v>
      </c>
      <c r="K86" s="550"/>
      <c r="L86" s="665"/>
      <c r="M86" s="666"/>
      <c r="N86" s="658"/>
      <c r="O86" s="658"/>
      <c r="P86" s="602"/>
      <c r="Q86" s="602"/>
      <c r="R86" s="602"/>
      <c r="S86" s="602"/>
      <c r="T86" s="602"/>
    </row>
    <row r="87" spans="2:20" ht="43.5" outlineLevel="2" x14ac:dyDescent="0.35">
      <c r="B87" s="647" t="s">
        <v>4983</v>
      </c>
      <c r="C87" s="663" t="s">
        <v>2048</v>
      </c>
      <c r="D87" s="652"/>
      <c r="E87" s="550"/>
      <c r="F87" s="664"/>
      <c r="G87" s="354">
        <f>IF(C87="ja",100%,0%)</f>
        <v>0</v>
      </c>
      <c r="K87" s="550"/>
      <c r="L87" s="665"/>
      <c r="M87" s="666"/>
      <c r="N87" s="658"/>
      <c r="O87" s="658"/>
      <c r="P87" s="602"/>
      <c r="Q87" s="602"/>
      <c r="R87" s="602"/>
      <c r="S87" s="602"/>
      <c r="T87" s="602"/>
    </row>
    <row r="88" spans="2:20" ht="29" outlineLevel="2" x14ac:dyDescent="0.35">
      <c r="B88" s="647" t="s">
        <v>4401</v>
      </c>
      <c r="C88" s="663" t="s">
        <v>2048</v>
      </c>
      <c r="D88" s="652"/>
      <c r="E88" s="550"/>
      <c r="F88" s="664"/>
      <c r="G88" s="354">
        <f>IF(C88="ja",100%,0%)</f>
        <v>0</v>
      </c>
      <c r="K88" s="550"/>
      <c r="L88" s="665"/>
      <c r="M88" s="666"/>
      <c r="N88" s="658"/>
      <c r="O88" s="658"/>
      <c r="P88" s="602"/>
      <c r="Q88" s="602"/>
      <c r="R88" s="602"/>
      <c r="S88" s="602"/>
      <c r="T88" s="602"/>
    </row>
    <row r="89" spans="2:20" outlineLevel="2" x14ac:dyDescent="0.35">
      <c r="B89" s="662"/>
      <c r="C89" s="662"/>
      <c r="E89" s="550"/>
      <c r="F89" s="601"/>
      <c r="G89" s="343">
        <f>AVERAGE(G86:G88)</f>
        <v>0</v>
      </c>
      <c r="K89" s="550"/>
      <c r="L89" s="665"/>
      <c r="M89" s="666"/>
      <c r="N89" s="658"/>
      <c r="O89" s="658"/>
      <c r="P89" s="602"/>
      <c r="Q89" s="602"/>
      <c r="R89" s="602"/>
      <c r="S89" s="602"/>
      <c r="T89" s="602"/>
    </row>
    <row r="90" spans="2:20" outlineLevel="2" x14ac:dyDescent="0.35">
      <c r="B90" s="299" t="s">
        <v>4399</v>
      </c>
      <c r="C90" s="299" t="s">
        <v>4346</v>
      </c>
      <c r="D90" s="337" t="s">
        <v>4583</v>
      </c>
      <c r="E90" s="550"/>
      <c r="F90" s="115"/>
      <c r="G90" s="305"/>
      <c r="K90" s="550"/>
      <c r="L90" s="665"/>
      <c r="M90" s="666"/>
      <c r="N90" s="658"/>
      <c r="O90" s="658"/>
      <c r="P90" s="602"/>
      <c r="Q90" s="602"/>
      <c r="R90" s="602"/>
      <c r="S90" s="602"/>
      <c r="T90" s="602"/>
    </row>
    <row r="91" spans="2:20" ht="29" outlineLevel="2" x14ac:dyDescent="0.35">
      <c r="B91" s="647" t="s">
        <v>4400</v>
      </c>
      <c r="C91" s="663" t="s">
        <v>2048</v>
      </c>
      <c r="D91" s="652"/>
      <c r="E91" s="550"/>
      <c r="F91" s="601"/>
      <c r="G91" s="354">
        <f>IF(C91="ja",100%,0%)</f>
        <v>0</v>
      </c>
      <c r="K91" s="550"/>
      <c r="L91" s="665"/>
      <c r="M91" s="666"/>
      <c r="N91" s="658"/>
      <c r="O91" s="658"/>
      <c r="P91" s="602"/>
      <c r="Q91" s="602"/>
      <c r="R91" s="602"/>
      <c r="S91" s="602"/>
      <c r="T91" s="602"/>
    </row>
    <row r="92" spans="2:20" ht="29" outlineLevel="2" x14ac:dyDescent="0.35">
      <c r="B92" s="647" t="s">
        <v>4404</v>
      </c>
      <c r="C92" s="663" t="s">
        <v>2048</v>
      </c>
      <c r="D92" s="652"/>
      <c r="E92" s="550"/>
      <c r="F92" s="601"/>
      <c r="G92" s="354">
        <f>IF(C92="ja",100%,0%)</f>
        <v>0</v>
      </c>
      <c r="K92" s="550"/>
      <c r="L92" s="665"/>
      <c r="M92" s="666"/>
      <c r="N92" s="658"/>
      <c r="O92" s="658"/>
      <c r="P92" s="602"/>
      <c r="Q92" s="602"/>
      <c r="R92" s="602"/>
      <c r="S92" s="602"/>
      <c r="T92" s="602"/>
    </row>
    <row r="93" spans="2:20" outlineLevel="2" x14ac:dyDescent="0.35">
      <c r="B93" s="647" t="s">
        <v>4405</v>
      </c>
      <c r="C93" s="663" t="s">
        <v>2048</v>
      </c>
      <c r="D93" s="652"/>
      <c r="E93" s="550"/>
      <c r="F93" s="601"/>
      <c r="G93" s="354">
        <f>IF(C93="ja",100%,0%)</f>
        <v>0</v>
      </c>
      <c r="K93" s="550"/>
      <c r="L93" s="665"/>
      <c r="M93" s="666"/>
      <c r="N93" s="658"/>
      <c r="O93" s="658"/>
      <c r="P93" s="602"/>
      <c r="Q93" s="602"/>
      <c r="R93" s="602"/>
      <c r="S93" s="602"/>
      <c r="T93" s="602"/>
    </row>
    <row r="94" spans="2:20" outlineLevel="2" x14ac:dyDescent="0.35">
      <c r="B94" s="662"/>
      <c r="C94" s="662"/>
      <c r="E94" s="550"/>
      <c r="F94" s="601"/>
      <c r="G94" s="343">
        <f>AVERAGE(G91:G93)</f>
        <v>0</v>
      </c>
      <c r="K94" s="550"/>
      <c r="L94" s="665"/>
      <c r="M94" s="666"/>
      <c r="N94" s="658"/>
      <c r="O94" s="658"/>
      <c r="P94" s="602"/>
      <c r="Q94" s="602"/>
      <c r="R94" s="602"/>
      <c r="S94" s="602"/>
      <c r="T94" s="602"/>
    </row>
    <row r="95" spans="2:20" outlineLevel="2" x14ac:dyDescent="0.35">
      <c r="B95" s="299" t="s">
        <v>4393</v>
      </c>
      <c r="C95" s="299" t="s">
        <v>4346</v>
      </c>
      <c r="D95" s="337" t="s">
        <v>4583</v>
      </c>
      <c r="E95" s="550"/>
      <c r="F95" s="346"/>
      <c r="G95" s="346"/>
      <c r="K95" s="550"/>
      <c r="L95" s="665"/>
      <c r="M95" s="666"/>
      <c r="N95" s="658"/>
      <c r="O95" s="658"/>
      <c r="P95" s="602"/>
      <c r="Q95" s="602"/>
      <c r="R95" s="602"/>
      <c r="S95" s="602"/>
      <c r="T95" s="602"/>
    </row>
    <row r="96" spans="2:20" outlineLevel="2" x14ac:dyDescent="0.35">
      <c r="B96" s="582" t="s">
        <v>4397</v>
      </c>
      <c r="C96" s="667" t="s">
        <v>4396</v>
      </c>
      <c r="D96" s="652"/>
      <c r="E96" s="550"/>
      <c r="F96" s="668"/>
      <c r="G96" s="311">
        <f>IF(C96="Sparsam",1,(IF(C96="Normal",0.5,0)))</f>
        <v>0</v>
      </c>
      <c r="H96" s="115"/>
      <c r="K96" s="550"/>
      <c r="L96" s="665"/>
      <c r="M96" s="666"/>
      <c r="N96" s="658"/>
      <c r="O96" s="658"/>
      <c r="P96" s="602"/>
      <c r="Q96" s="602"/>
      <c r="R96" s="602"/>
      <c r="S96" s="602"/>
      <c r="T96" s="602"/>
    </row>
    <row r="97" spans="2:20" outlineLevel="2" x14ac:dyDescent="0.35">
      <c r="B97" s="647" t="s">
        <v>4403</v>
      </c>
      <c r="C97" s="663" t="s">
        <v>2048</v>
      </c>
      <c r="D97" s="652"/>
      <c r="E97" s="550"/>
      <c r="F97" s="601"/>
      <c r="G97" s="366">
        <f>IF(C97="Ja",0,1)</f>
        <v>1</v>
      </c>
      <c r="H97" s="657"/>
      <c r="K97" s="550"/>
      <c r="L97" s="665"/>
      <c r="M97" s="666"/>
      <c r="N97" s="658"/>
      <c r="O97" s="658"/>
      <c r="P97" s="602"/>
      <c r="Q97" s="602"/>
      <c r="R97" s="602"/>
      <c r="S97" s="602"/>
      <c r="T97" s="602"/>
    </row>
    <row r="98" spans="2:20" outlineLevel="2" x14ac:dyDescent="0.35">
      <c r="B98" s="662"/>
      <c r="C98" s="662"/>
      <c r="E98" s="550"/>
      <c r="F98" s="601"/>
      <c r="G98" s="343">
        <f>AVERAGE(G96:G97)</f>
        <v>0.5</v>
      </c>
      <c r="H98" s="669"/>
      <c r="K98" s="550"/>
      <c r="L98" s="665"/>
      <c r="M98" s="666"/>
      <c r="N98" s="658"/>
      <c r="O98" s="658"/>
      <c r="P98" s="602"/>
      <c r="Q98" s="602"/>
      <c r="R98" s="602"/>
      <c r="S98" s="602"/>
      <c r="T98" s="602"/>
    </row>
    <row r="99" spans="2:20" outlineLevel="2" x14ac:dyDescent="0.35">
      <c r="B99" s="662"/>
      <c r="C99" s="662"/>
      <c r="E99" s="550"/>
      <c r="F99" s="601"/>
      <c r="G99" s="343">
        <f>G89*0.7+G94*0.15+G98*0.15</f>
        <v>7.4999999999999997E-2</v>
      </c>
      <c r="K99" s="550"/>
      <c r="L99" s="665"/>
      <c r="M99" s="666"/>
      <c r="N99" s="658"/>
      <c r="O99" s="658"/>
      <c r="P99" s="602"/>
      <c r="Q99" s="602"/>
      <c r="R99" s="602"/>
      <c r="S99" s="602"/>
      <c r="T99" s="602"/>
    </row>
    <row r="100" spans="2:20" outlineLevel="2" x14ac:dyDescent="0.35">
      <c r="B100" s="292" t="s">
        <v>5067</v>
      </c>
      <c r="C100" s="351" t="s">
        <v>4372</v>
      </c>
      <c r="D100" s="702" t="s">
        <v>5068</v>
      </c>
      <c r="E100" s="1147">
        <f>Qualitätsprüfung!G1415</f>
        <v>1</v>
      </c>
      <c r="F100" s="342">
        <v>0</v>
      </c>
      <c r="G100" s="550"/>
      <c r="H100" s="373" t="s">
        <v>4466</v>
      </c>
      <c r="I100" s="305" t="s">
        <v>4467</v>
      </c>
      <c r="J100" s="694" t="s">
        <v>4468</v>
      </c>
      <c r="K100" s="694" t="s">
        <v>5069</v>
      </c>
      <c r="M100" s="550"/>
      <c r="N100" s="550"/>
      <c r="O100" s="658"/>
      <c r="P100" s="602"/>
      <c r="Q100" s="602"/>
      <c r="R100" s="602"/>
      <c r="S100" s="602"/>
      <c r="T100" s="602"/>
    </row>
    <row r="101" spans="2:20" s="1026" customFormat="1" outlineLevel="2" x14ac:dyDescent="0.35">
      <c r="B101" s="758" t="s">
        <v>4469</v>
      </c>
      <c r="C101" s="1116">
        <f t="shared" ref="C101:C105" si="2">IF(ISBLANK(D101),"",K101)</f>
        <v>90.224999999999994</v>
      </c>
      <c r="D101" s="1115" t="s">
        <v>5359</v>
      </c>
      <c r="E101" s="1117">
        <f>IF(ISBLANK(D101),"",I101)</f>
        <v>56</v>
      </c>
      <c r="F101" s="1117">
        <f>IF(ISBLANK(D101),"",J101)</f>
        <v>93</v>
      </c>
      <c r="H101" s="940" t="s">
        <v>4469</v>
      </c>
      <c r="I101" s="1117">
        <v>56</v>
      </c>
      <c r="J101" s="1118">
        <v>93</v>
      </c>
      <c r="K101" s="1119">
        <f>TREND(I101:J101,$E$100:$F$100,$G$99,1)</f>
        <v>90.224999999999994</v>
      </c>
      <c r="O101" s="1120"/>
      <c r="P101" s="1121"/>
      <c r="Q101" s="1121"/>
      <c r="R101" s="1121"/>
      <c r="S101" s="1121"/>
      <c r="T101" s="1121"/>
    </row>
    <row r="102" spans="2:20" s="1026" customFormat="1" outlineLevel="2" x14ac:dyDescent="0.35">
      <c r="B102" s="758" t="s">
        <v>4470</v>
      </c>
      <c r="C102" s="1116" t="str">
        <f t="shared" si="2"/>
        <v/>
      </c>
      <c r="D102" s="1115"/>
      <c r="E102" s="1117" t="str">
        <f t="shared" ref="E102:E105" si="3">IF(ISBLANK(D102),"",I102)</f>
        <v/>
      </c>
      <c r="F102" s="1117" t="str">
        <f t="shared" ref="F102:F105" si="4">IF(ISBLANK(D102),"",J102)</f>
        <v/>
      </c>
      <c r="H102" s="1122" t="s">
        <v>4470</v>
      </c>
      <c r="I102" s="1117">
        <v>19</v>
      </c>
      <c r="J102" s="1118">
        <v>31</v>
      </c>
      <c r="K102" s="1119">
        <f>TREND(I102:J102,$E$100:$F$100,$G$99,1)</f>
        <v>30.1</v>
      </c>
      <c r="O102" s="1120"/>
      <c r="P102" s="1121"/>
      <c r="Q102" s="1121"/>
      <c r="R102" s="1121"/>
      <c r="S102" s="1121"/>
      <c r="T102" s="1121"/>
    </row>
    <row r="103" spans="2:20" s="1026" customFormat="1" outlineLevel="2" x14ac:dyDescent="0.35">
      <c r="B103" s="758" t="s">
        <v>4472</v>
      </c>
      <c r="C103" s="1116" t="str">
        <f>IF(ISBLANK(D103),"",K103)</f>
        <v/>
      </c>
      <c r="D103" s="1115"/>
      <c r="E103" s="1117" t="str">
        <f>IF(ISBLANK(D103),"",I103)</f>
        <v/>
      </c>
      <c r="F103" s="1117" t="str">
        <f>IF(ISBLANK(D103),"",J103)</f>
        <v/>
      </c>
      <c r="H103" s="1041" t="s">
        <v>4472</v>
      </c>
      <c r="I103" s="1118">
        <v>13</v>
      </c>
      <c r="J103" s="1118">
        <v>22</v>
      </c>
      <c r="K103" s="1119">
        <f>TREND(I103:J103,$E$100:$F$100,$G$99,1)</f>
        <v>21.324999999999999</v>
      </c>
      <c r="O103" s="1120"/>
      <c r="P103" s="1121"/>
      <c r="Q103" s="1121"/>
      <c r="R103" s="1121"/>
      <c r="S103" s="1121"/>
      <c r="T103" s="1121"/>
    </row>
    <row r="104" spans="2:20" s="1026" customFormat="1" outlineLevel="2" x14ac:dyDescent="0.35">
      <c r="B104" s="704" t="s">
        <v>4471</v>
      </c>
      <c r="C104" s="1116" t="str">
        <f t="shared" si="2"/>
        <v/>
      </c>
      <c r="D104" s="1115"/>
      <c r="E104" s="1117" t="str">
        <f t="shared" si="3"/>
        <v/>
      </c>
      <c r="F104" s="1117" t="str">
        <f t="shared" si="4"/>
        <v/>
      </c>
      <c r="H104" s="940" t="s">
        <v>4471</v>
      </c>
      <c r="I104" s="1119">
        <v>2</v>
      </c>
      <c r="J104" s="1118">
        <v>4</v>
      </c>
      <c r="K104" s="1119">
        <f>TREND(I104:J104,$E$100:$F$100,$G$99,1)</f>
        <v>3.85</v>
      </c>
      <c r="O104" s="1120"/>
      <c r="P104" s="1121"/>
      <c r="Q104" s="1121"/>
      <c r="R104" s="1121"/>
      <c r="S104" s="1121"/>
      <c r="T104" s="1121"/>
    </row>
    <row r="105" spans="2:20" s="1026" customFormat="1" outlineLevel="2" x14ac:dyDescent="0.35">
      <c r="B105" s="758" t="s">
        <v>4473</v>
      </c>
      <c r="C105" s="1116" t="str">
        <f t="shared" si="2"/>
        <v/>
      </c>
      <c r="D105" s="1115"/>
      <c r="E105" s="1117" t="str">
        <f t="shared" si="3"/>
        <v/>
      </c>
      <c r="F105" s="1117" t="str">
        <f t="shared" si="4"/>
        <v/>
      </c>
      <c r="H105" s="1041" t="s">
        <v>4473</v>
      </c>
      <c r="I105" s="1118">
        <v>47</v>
      </c>
      <c r="J105" s="1118">
        <v>49</v>
      </c>
      <c r="K105" s="1119">
        <f>TREND(I105:J105,$E$100:$F$100,$G$99,1)</f>
        <v>48.85</v>
      </c>
      <c r="O105" s="1120"/>
      <c r="P105" s="1121"/>
      <c r="Q105" s="1121"/>
      <c r="R105" s="1121"/>
      <c r="S105" s="1121"/>
      <c r="T105" s="1121"/>
    </row>
    <row r="106" spans="2:20" ht="29.5" outlineLevel="2" thickBot="1" x14ac:dyDescent="0.4">
      <c r="B106" s="697" t="s">
        <v>5213</v>
      </c>
      <c r="C106" s="947">
        <f>SUM(C101:C105)</f>
        <v>90.224999999999994</v>
      </c>
      <c r="E106" s="694">
        <f>SUM(E101:E105)</f>
        <v>56</v>
      </c>
      <c r="F106" s="694">
        <f>SUM(F101:F105)</f>
        <v>93</v>
      </c>
      <c r="G106" s="550"/>
      <c r="H106" s="373" t="s">
        <v>5209</v>
      </c>
      <c r="I106" s="305">
        <f>SUM(I101:I105)</f>
        <v>137</v>
      </c>
      <c r="J106" s="305">
        <f>SUM(J101:J105)</f>
        <v>199</v>
      </c>
      <c r="K106" s="305">
        <f>SUM(K101:K105)</f>
        <v>194.34999999999997</v>
      </c>
      <c r="M106" s="550"/>
      <c r="N106" s="550"/>
      <c r="O106" s="658"/>
      <c r="P106" s="602"/>
      <c r="Q106" s="602"/>
      <c r="R106" s="602"/>
      <c r="S106" s="602"/>
      <c r="T106" s="602"/>
    </row>
    <row r="107" spans="2:20" ht="15" outlineLevel="2" thickBot="1" x14ac:dyDescent="0.4">
      <c r="B107" s="662"/>
      <c r="C107" s="335">
        <f>IF(C106&gt;0,IF(TREND($E$100:$F$100,E106:F106,C106,1)&lt;0,0,(IF(TREND($E$100:$F$100,E106:F106,C106,1)&gt;E100,E100,TREND($E$100:$F$100,E106:F106,C106,1)))),0)</f>
        <v>7.5000000000000178E-2</v>
      </c>
      <c r="D107" s="357" t="s">
        <v>5124</v>
      </c>
      <c r="E107" s="601"/>
      <c r="F107" s="550"/>
      <c r="G107" s="550"/>
      <c r="K107" s="550"/>
      <c r="O107" s="658"/>
      <c r="P107" s="602"/>
      <c r="Q107" s="602"/>
      <c r="R107" s="602"/>
      <c r="S107" s="602"/>
      <c r="T107" s="602"/>
    </row>
    <row r="108" spans="2:20" x14ac:dyDescent="0.35">
      <c r="B108" s="550"/>
      <c r="C108" s="550"/>
      <c r="F108" s="550"/>
      <c r="G108" s="550"/>
      <c r="K108" s="550"/>
      <c r="O108" s="658"/>
      <c r="P108" s="602"/>
      <c r="Q108" s="602"/>
      <c r="R108" s="602"/>
      <c r="S108" s="602"/>
      <c r="T108" s="602"/>
    </row>
    <row r="109" spans="2:20" x14ac:dyDescent="0.35">
      <c r="B109" s="550"/>
      <c r="C109" s="550"/>
      <c r="E109" s="550"/>
      <c r="F109" s="550"/>
      <c r="G109" s="550"/>
      <c r="K109" s="550"/>
      <c r="L109" s="329"/>
      <c r="M109" s="602"/>
      <c r="N109" s="673"/>
      <c r="O109" s="657"/>
      <c r="P109" s="601"/>
      <c r="Q109" s="601"/>
      <c r="R109" s="115"/>
      <c r="S109" s="115"/>
      <c r="T109" s="115"/>
    </row>
    <row r="110" spans="2:20" x14ac:dyDescent="0.35">
      <c r="B110" s="550"/>
      <c r="C110" s="550"/>
      <c r="E110" s="550"/>
      <c r="F110" s="550"/>
      <c r="G110" s="550"/>
      <c r="K110" s="550"/>
      <c r="L110" s="602"/>
      <c r="M110" s="602"/>
      <c r="N110" s="673"/>
      <c r="O110" s="657"/>
      <c r="P110" s="329"/>
      <c r="Q110" s="602"/>
      <c r="R110" s="673"/>
      <c r="S110" s="657"/>
      <c r="T110" s="601"/>
    </row>
    <row r="111" spans="2:20" x14ac:dyDescent="0.35">
      <c r="B111" s="550"/>
      <c r="C111" s="550"/>
      <c r="E111" s="550"/>
      <c r="F111" s="550"/>
      <c r="G111" s="550"/>
      <c r="K111" s="550"/>
      <c r="L111" s="602"/>
      <c r="M111" s="601"/>
      <c r="N111" s="601"/>
      <c r="O111" s="601"/>
      <c r="P111" s="602"/>
      <c r="Q111" s="602"/>
      <c r="R111" s="673"/>
      <c r="S111" s="657"/>
      <c r="T111" s="329"/>
    </row>
    <row r="112" spans="2:20" x14ac:dyDescent="0.35">
      <c r="B112" s="550"/>
      <c r="C112" s="550"/>
      <c r="E112" s="550"/>
      <c r="F112" s="550"/>
      <c r="G112" s="550"/>
      <c r="K112" s="550"/>
      <c r="L112" s="602"/>
      <c r="M112" s="601"/>
      <c r="N112" s="601"/>
      <c r="O112" s="601"/>
      <c r="P112" s="602"/>
      <c r="Q112" s="602"/>
      <c r="R112" s="602"/>
      <c r="S112" s="602"/>
      <c r="T112" s="602"/>
    </row>
    <row r="113" spans="2:20" x14ac:dyDescent="0.35">
      <c r="B113" s="550"/>
      <c r="C113" s="550"/>
      <c r="E113" s="550"/>
      <c r="F113" s="550"/>
      <c r="G113" s="550"/>
      <c r="K113" s="550"/>
      <c r="L113" s="602"/>
      <c r="M113" s="601"/>
      <c r="N113" s="601"/>
      <c r="O113" s="601"/>
      <c r="P113" s="602"/>
      <c r="Q113" s="602"/>
      <c r="R113" s="602"/>
      <c r="S113" s="602"/>
      <c r="T113" s="602"/>
    </row>
    <row r="114" spans="2:20" x14ac:dyDescent="0.35">
      <c r="B114" s="550"/>
      <c r="C114" s="550"/>
      <c r="E114" s="550"/>
      <c r="F114" s="550"/>
      <c r="G114" s="550"/>
      <c r="K114" s="550"/>
      <c r="L114" s="115"/>
      <c r="M114" s="601"/>
      <c r="N114" s="601"/>
      <c r="O114" s="601"/>
      <c r="P114" s="602"/>
      <c r="Q114" s="602"/>
      <c r="R114" s="602"/>
      <c r="S114" s="602"/>
      <c r="T114" s="602"/>
    </row>
    <row r="115" spans="2:20" x14ac:dyDescent="0.35">
      <c r="B115" s="550"/>
      <c r="C115" s="550"/>
      <c r="E115" s="550"/>
      <c r="F115" s="550"/>
      <c r="G115" s="550"/>
      <c r="K115" s="550"/>
      <c r="L115" s="601"/>
      <c r="M115" s="601"/>
      <c r="N115" s="115"/>
      <c r="O115" s="115"/>
      <c r="P115" s="115"/>
      <c r="Q115" s="602"/>
      <c r="R115" s="602"/>
      <c r="S115" s="602"/>
      <c r="T115" s="602"/>
    </row>
    <row r="116" spans="2:20" x14ac:dyDescent="0.35">
      <c r="B116" s="550"/>
      <c r="C116" s="550"/>
      <c r="E116" s="550"/>
      <c r="F116" s="550"/>
      <c r="G116" s="550"/>
      <c r="K116" s="550"/>
      <c r="L116" s="329"/>
      <c r="M116" s="602"/>
      <c r="N116" s="673"/>
      <c r="O116" s="657"/>
      <c r="P116" s="601"/>
      <c r="Q116" s="602"/>
      <c r="R116" s="602"/>
      <c r="S116" s="602"/>
      <c r="T116" s="602"/>
    </row>
    <row r="117" spans="2:20" x14ac:dyDescent="0.35">
      <c r="B117" s="550"/>
      <c r="C117" s="550"/>
      <c r="E117" s="550"/>
      <c r="F117" s="550"/>
      <c r="G117" s="550"/>
      <c r="K117" s="550"/>
      <c r="L117" s="602"/>
      <c r="M117" s="602"/>
      <c r="N117" s="673"/>
      <c r="O117" s="657"/>
      <c r="P117" s="329"/>
      <c r="Q117" s="602"/>
      <c r="R117" s="602"/>
      <c r="S117" s="602"/>
      <c r="T117" s="602"/>
    </row>
    <row r="118" spans="2:20" x14ac:dyDescent="0.35">
      <c r="B118" s="550"/>
      <c r="C118" s="550"/>
      <c r="E118" s="550"/>
      <c r="F118" s="550"/>
      <c r="G118" s="550"/>
      <c r="K118" s="550"/>
      <c r="L118" s="602"/>
      <c r="M118" s="601"/>
      <c r="N118" s="601"/>
      <c r="O118" s="601"/>
      <c r="P118" s="602"/>
      <c r="Q118" s="602"/>
      <c r="R118" s="602"/>
      <c r="S118" s="602"/>
      <c r="T118" s="602"/>
    </row>
    <row r="119" spans="2:20" x14ac:dyDescent="0.35">
      <c r="B119" s="550"/>
      <c r="C119" s="550"/>
      <c r="E119" s="550"/>
      <c r="F119" s="550"/>
      <c r="G119" s="550"/>
      <c r="K119" s="550"/>
      <c r="L119" s="602"/>
      <c r="M119" s="601"/>
      <c r="N119" s="601"/>
      <c r="O119" s="601"/>
      <c r="P119" s="602"/>
      <c r="Q119" s="602"/>
      <c r="R119" s="602"/>
      <c r="S119" s="602"/>
      <c r="T119" s="602"/>
    </row>
    <row r="120" spans="2:20" x14ac:dyDescent="0.35">
      <c r="B120" s="550"/>
      <c r="C120" s="550"/>
      <c r="E120" s="550"/>
      <c r="F120" s="550"/>
      <c r="G120" s="550"/>
      <c r="K120" s="550"/>
    </row>
    <row r="121" spans="2:20" x14ac:dyDescent="0.35">
      <c r="B121" s="550"/>
      <c r="C121" s="550"/>
      <c r="E121" s="550"/>
      <c r="F121" s="550"/>
      <c r="G121" s="550"/>
      <c r="K121" s="550"/>
    </row>
    <row r="122" spans="2:20" x14ac:dyDescent="0.35">
      <c r="B122" s="550"/>
      <c r="C122" s="550"/>
      <c r="E122" s="550"/>
      <c r="F122" s="550"/>
      <c r="G122" s="550"/>
      <c r="K122" s="550"/>
    </row>
    <row r="123" spans="2:20" x14ac:dyDescent="0.35">
      <c r="B123" s="550"/>
      <c r="C123" s="550"/>
      <c r="E123" s="550"/>
      <c r="F123" s="550"/>
      <c r="G123" s="550"/>
      <c r="K123" s="550"/>
    </row>
    <row r="124" spans="2:20" x14ac:dyDescent="0.35">
      <c r="B124" s="550"/>
      <c r="C124" s="550"/>
      <c r="E124" s="550"/>
      <c r="F124" s="550"/>
      <c r="G124" s="550"/>
      <c r="K124" s="550"/>
    </row>
    <row r="125" spans="2:20" x14ac:dyDescent="0.35">
      <c r="B125" s="550"/>
      <c r="C125" s="550"/>
      <c r="E125" s="550"/>
      <c r="F125" s="550"/>
      <c r="G125" s="550"/>
      <c r="K125" s="550"/>
    </row>
    <row r="126" spans="2:20" x14ac:dyDescent="0.35">
      <c r="B126" s="550"/>
      <c r="C126" s="550"/>
      <c r="E126" s="550"/>
      <c r="F126" s="550"/>
      <c r="G126" s="550"/>
      <c r="K126" s="550"/>
    </row>
    <row r="127" spans="2:20" x14ac:dyDescent="0.35">
      <c r="B127" s="550"/>
      <c r="C127" s="550"/>
      <c r="E127" s="550"/>
      <c r="F127" s="550"/>
      <c r="G127" s="550"/>
      <c r="K127" s="550"/>
    </row>
    <row r="128" spans="2:20" x14ac:dyDescent="0.35">
      <c r="B128" s="550"/>
      <c r="C128" s="550"/>
      <c r="E128" s="550"/>
      <c r="F128" s="550"/>
      <c r="G128" s="550"/>
      <c r="K128" s="550"/>
    </row>
    <row r="129" spans="2:11" x14ac:dyDescent="0.35">
      <c r="B129" s="550"/>
      <c r="C129" s="550"/>
      <c r="E129" s="550"/>
      <c r="F129" s="550"/>
      <c r="G129" s="550"/>
      <c r="K129" s="550"/>
    </row>
    <row r="130" spans="2:11" x14ac:dyDescent="0.35">
      <c r="B130" s="550"/>
      <c r="C130" s="550"/>
      <c r="E130" s="550"/>
      <c r="F130" s="550"/>
      <c r="G130" s="550"/>
      <c r="K130" s="550"/>
    </row>
    <row r="131" spans="2:11" x14ac:dyDescent="0.35">
      <c r="B131" s="550"/>
      <c r="C131" s="550"/>
      <c r="E131" s="550"/>
      <c r="F131" s="550"/>
      <c r="G131" s="550"/>
      <c r="K131" s="550"/>
    </row>
    <row r="132" spans="2:11" x14ac:dyDescent="0.35">
      <c r="B132" s="550"/>
      <c r="C132" s="550"/>
      <c r="E132" s="550"/>
      <c r="F132" s="550"/>
      <c r="G132" s="550"/>
      <c r="K132" s="550"/>
    </row>
    <row r="133" spans="2:11" x14ac:dyDescent="0.35">
      <c r="B133" s="550"/>
      <c r="C133" s="550"/>
      <c r="E133" s="550"/>
      <c r="F133" s="550"/>
      <c r="G133" s="550"/>
      <c r="K133" s="550"/>
    </row>
    <row r="134" spans="2:11" x14ac:dyDescent="0.35">
      <c r="B134" s="550"/>
      <c r="C134" s="550"/>
      <c r="E134" s="550"/>
      <c r="F134" s="550"/>
      <c r="G134" s="550"/>
      <c r="K134" s="550"/>
    </row>
    <row r="135" spans="2:11" x14ac:dyDescent="0.35">
      <c r="B135" s="550"/>
      <c r="C135" s="550"/>
      <c r="E135" s="550"/>
      <c r="F135" s="550"/>
      <c r="G135" s="550"/>
      <c r="K135" s="550"/>
    </row>
    <row r="136" spans="2:11" x14ac:dyDescent="0.35">
      <c r="B136" s="550"/>
      <c r="C136" s="550"/>
      <c r="E136" s="550"/>
      <c r="F136" s="550"/>
      <c r="G136" s="550"/>
      <c r="K136" s="550"/>
    </row>
    <row r="137" spans="2:11" x14ac:dyDescent="0.35">
      <c r="B137" s="550"/>
      <c r="C137" s="550"/>
      <c r="E137" s="550"/>
      <c r="F137" s="550"/>
      <c r="G137" s="550"/>
      <c r="K137" s="550"/>
    </row>
    <row r="138" spans="2:11" x14ac:dyDescent="0.35">
      <c r="C138" s="674"/>
      <c r="E138" s="672"/>
      <c r="F138" s="672"/>
      <c r="G138" s="550"/>
      <c r="K138" s="550"/>
    </row>
    <row r="139" spans="2:11" x14ac:dyDescent="0.35">
      <c r="B139" s="550"/>
      <c r="C139" s="550"/>
      <c r="E139" s="550"/>
      <c r="F139" s="550"/>
      <c r="G139" s="672"/>
      <c r="K139" s="550"/>
    </row>
    <row r="140" spans="2:11" x14ac:dyDescent="0.35">
      <c r="B140" s="550"/>
      <c r="C140" s="550"/>
      <c r="E140" s="550"/>
      <c r="F140" s="550"/>
      <c r="G140" s="550"/>
      <c r="H140" s="672"/>
      <c r="K140" s="550"/>
    </row>
    <row r="141" spans="2:11" x14ac:dyDescent="0.35">
      <c r="B141" s="550"/>
      <c r="C141" s="550"/>
      <c r="E141" s="550"/>
      <c r="F141" s="550"/>
      <c r="G141" s="550"/>
      <c r="K141" s="550"/>
    </row>
    <row r="142" spans="2:11" x14ac:dyDescent="0.35">
      <c r="B142" s="550"/>
      <c r="C142" s="550"/>
      <c r="E142" s="550"/>
      <c r="F142" s="550"/>
      <c r="G142" s="550"/>
      <c r="K142" s="550"/>
    </row>
    <row r="143" spans="2:11" x14ac:dyDescent="0.35">
      <c r="B143" s="550"/>
      <c r="C143" s="550"/>
      <c r="E143" s="550"/>
      <c r="F143" s="550"/>
      <c r="G143" s="550"/>
      <c r="K143" s="550"/>
    </row>
    <row r="144" spans="2:11" x14ac:dyDescent="0.35">
      <c r="B144" s="550"/>
      <c r="C144" s="550"/>
      <c r="E144" s="550"/>
      <c r="F144" s="550"/>
      <c r="G144" s="550"/>
      <c r="K144" s="550"/>
    </row>
    <row r="145" spans="2:11" x14ac:dyDescent="0.35">
      <c r="B145" s="550"/>
      <c r="C145" s="550"/>
      <c r="E145" s="550"/>
      <c r="F145" s="550"/>
      <c r="G145" s="550"/>
      <c r="K145" s="550"/>
    </row>
    <row r="146" spans="2:11" x14ac:dyDescent="0.35">
      <c r="B146" s="550"/>
      <c r="C146" s="550"/>
      <c r="E146" s="550"/>
      <c r="F146" s="550"/>
      <c r="G146" s="550"/>
      <c r="K146" s="550"/>
    </row>
    <row r="147" spans="2:11" x14ac:dyDescent="0.35">
      <c r="B147" s="550"/>
      <c r="C147" s="550"/>
      <c r="E147" s="550"/>
      <c r="F147" s="550"/>
      <c r="G147" s="550"/>
      <c r="K147" s="550"/>
    </row>
    <row r="148" spans="2:11" x14ac:dyDescent="0.35">
      <c r="B148" s="550"/>
      <c r="C148" s="550"/>
      <c r="E148" s="550"/>
      <c r="F148" s="550"/>
      <c r="G148" s="550"/>
      <c r="K148" s="550"/>
    </row>
    <row r="149" spans="2:11" x14ac:dyDescent="0.35">
      <c r="B149" s="550"/>
      <c r="C149" s="550"/>
      <c r="E149" s="550"/>
      <c r="F149" s="550"/>
      <c r="G149" s="550"/>
      <c r="K149" s="550"/>
    </row>
    <row r="150" spans="2:11" x14ac:dyDescent="0.35">
      <c r="B150" s="550"/>
      <c r="C150" s="550"/>
      <c r="E150" s="550"/>
      <c r="F150" s="550"/>
      <c r="G150" s="550"/>
      <c r="K150" s="550"/>
    </row>
    <row r="151" spans="2:11" x14ac:dyDescent="0.35">
      <c r="B151" s="550"/>
      <c r="C151" s="550"/>
      <c r="E151" s="550"/>
      <c r="F151" s="550"/>
      <c r="G151" s="550"/>
      <c r="K151" s="550"/>
    </row>
    <row r="152" spans="2:11" x14ac:dyDescent="0.35">
      <c r="B152" s="550"/>
      <c r="C152" s="550"/>
      <c r="E152" s="550"/>
      <c r="F152" s="550"/>
      <c r="G152" s="550"/>
      <c r="K152" s="550"/>
    </row>
    <row r="153" spans="2:11" x14ac:dyDescent="0.35">
      <c r="B153" s="550"/>
      <c r="C153" s="550"/>
      <c r="E153" s="550"/>
      <c r="F153" s="550"/>
      <c r="G153" s="550"/>
      <c r="K153" s="550"/>
    </row>
    <row r="154" spans="2:11" x14ac:dyDescent="0.35">
      <c r="B154" s="550"/>
      <c r="C154" s="550"/>
      <c r="E154" s="550"/>
      <c r="F154" s="550"/>
      <c r="G154" s="550"/>
      <c r="K154" s="550"/>
    </row>
    <row r="155" spans="2:11" x14ac:dyDescent="0.35">
      <c r="B155" s="550"/>
      <c r="C155" s="550"/>
      <c r="E155" s="550"/>
      <c r="F155" s="550"/>
      <c r="G155" s="550"/>
      <c r="K155" s="550"/>
    </row>
    <row r="156" spans="2:11" x14ac:dyDescent="0.35">
      <c r="B156" s="550"/>
      <c r="C156" s="550"/>
      <c r="E156" s="550"/>
      <c r="F156" s="550"/>
      <c r="G156" s="550"/>
      <c r="K156" s="550"/>
    </row>
    <row r="157" spans="2:11" x14ac:dyDescent="0.35">
      <c r="B157" s="550"/>
      <c r="C157" s="550"/>
      <c r="E157" s="550"/>
      <c r="F157" s="550"/>
      <c r="G157" s="550"/>
      <c r="K157" s="550"/>
    </row>
    <row r="158" spans="2:11" x14ac:dyDescent="0.35">
      <c r="B158" s="550"/>
      <c r="C158" s="550"/>
      <c r="E158" s="550"/>
      <c r="F158" s="550"/>
      <c r="G158" s="550"/>
      <c r="K158" s="550"/>
    </row>
    <row r="159" spans="2:11" x14ac:dyDescent="0.35">
      <c r="B159" s="550"/>
      <c r="C159" s="550"/>
      <c r="E159" s="550"/>
      <c r="F159" s="550"/>
      <c r="G159" s="550"/>
      <c r="K159" s="550"/>
    </row>
    <row r="160" spans="2:11" x14ac:dyDescent="0.35">
      <c r="B160" s="550"/>
      <c r="C160" s="550"/>
      <c r="E160" s="550"/>
      <c r="F160" s="550"/>
      <c r="G160" s="550"/>
      <c r="K160" s="550"/>
    </row>
    <row r="161" spans="7:11" x14ac:dyDescent="0.35">
      <c r="G161" s="550"/>
      <c r="K161" s="550"/>
    </row>
    <row r="162" spans="7:11" x14ac:dyDescent="0.35">
      <c r="K162" s="550"/>
    </row>
    <row r="163" spans="7:11" x14ac:dyDescent="0.35">
      <c r="K163" s="550"/>
    </row>
  </sheetData>
  <mergeCells count="2">
    <mergeCell ref="B2:C2"/>
    <mergeCell ref="B36:C36"/>
  </mergeCells>
  <dataValidations count="2">
    <dataValidation type="list" allowBlank="1" showInputMessage="1" showErrorMessage="1" sqref="C96 C28">
      <formula1>Bedarf</formula1>
    </dataValidation>
    <dataValidation type="list" allowBlank="1" showInputMessage="1" showErrorMessage="1" sqref="C18:C20 C23:C25 C29 C86:C88 C91:C93 C97">
      <formula1>jn</formula1>
    </dataValidation>
  </dataValidations>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6771D67E9AD9A479B2DB2075AB77E1A" ma:contentTypeVersion="15" ma:contentTypeDescription="Ein neues Dokument erstellen." ma:contentTypeScope="" ma:versionID="04e34b4b3c9fe46513a0b98d931e930d">
  <xsd:schema xmlns:xsd="http://www.w3.org/2001/XMLSchema" xmlns:xs="http://www.w3.org/2001/XMLSchema" xmlns:p="http://schemas.microsoft.com/office/2006/metadata/properties" xmlns:ns2="a6b62d7a-dd09-46e4-b53c-18efd117aad1" xmlns:ns3="af56a8d8-8409-452c-af23-431516952e37" targetNamespace="http://schemas.microsoft.com/office/2006/metadata/properties" ma:root="true" ma:fieldsID="9d3d0535e0dd6b248f4446bcab2d4194" ns2:_="" ns3:_="">
    <xsd:import namespace="a6b62d7a-dd09-46e4-b53c-18efd117aad1"/>
    <xsd:import namespace="af56a8d8-8409-452c-af23-431516952e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b62d7a-dd09-46e4-b53c-18efd117aa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Bildmarkierungen" ma:readOnly="false" ma:fieldId="{5cf76f15-5ced-4ddc-b409-7134ff3c332f}" ma:taxonomyMulti="true" ma:sspId="e635386d-4e9f-4f60-8e77-bf8228f41c16"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f56a8d8-8409-452c-af23-431516952e37"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16" nillable="true" ma:displayName="Taxonomy Catch All Column" ma:hidden="true" ma:list="{88958c5b-70da-488d-893d-584e409d922e}" ma:internalName="TaxCatchAll" ma:showField="CatchAllData" ma:web="af56a8d8-8409-452c-af23-431516952e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b62d7a-dd09-46e4-b53c-18efd117aad1">
      <Terms xmlns="http://schemas.microsoft.com/office/infopath/2007/PartnerControls"/>
    </lcf76f155ced4ddcb4097134ff3c332f>
    <TaxCatchAll xmlns="af56a8d8-8409-452c-af23-431516952e37" xsi:nil="true"/>
  </documentManagement>
</p:properties>
</file>

<file path=customXml/itemProps1.xml><?xml version="1.0" encoding="utf-8"?>
<ds:datastoreItem xmlns:ds="http://schemas.openxmlformats.org/officeDocument/2006/customXml" ds:itemID="{E8E23055-1D4C-4F9F-9155-D7DCB503395A}"/>
</file>

<file path=customXml/itemProps2.xml><?xml version="1.0" encoding="utf-8"?>
<ds:datastoreItem xmlns:ds="http://schemas.openxmlformats.org/officeDocument/2006/customXml" ds:itemID="{206D016D-2678-45B7-9B0F-890FCE76C911}"/>
</file>

<file path=customXml/itemProps3.xml><?xml version="1.0" encoding="utf-8"?>
<ds:datastoreItem xmlns:ds="http://schemas.openxmlformats.org/officeDocument/2006/customXml" ds:itemID="{2BBB349F-3837-4D8D-8F21-CA3D528847A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30</vt:i4>
      </vt:variant>
      <vt:variant>
        <vt:lpstr>Benannte Bereiche</vt:lpstr>
      </vt:variant>
      <vt:variant>
        <vt:i4>53</vt:i4>
      </vt:variant>
    </vt:vector>
  </HeadingPairs>
  <TitlesOfParts>
    <vt:vector size="83" baseType="lpstr">
      <vt:lpstr>0</vt:lpstr>
      <vt:lpstr>Eckdaten</vt:lpstr>
      <vt:lpstr>Daten</vt:lpstr>
      <vt:lpstr>Qualitätsprüfung</vt:lpstr>
      <vt:lpstr>RH Gebäude</vt:lpstr>
      <vt:lpstr>RH Städtebau</vt:lpstr>
      <vt:lpstr>RH Wärme-Strom</vt:lpstr>
      <vt:lpstr>RH Trinkwasser</vt:lpstr>
      <vt:lpstr>RH Abfall</vt:lpstr>
      <vt:lpstr>RH Mobilität</vt:lpstr>
      <vt:lpstr>Joker</vt:lpstr>
      <vt:lpstr>Aktionsplan</vt:lpstr>
      <vt:lpstr>Qualität_Ergebnis_HF</vt:lpstr>
      <vt:lpstr>Qualität_Ergebnis_ZG</vt:lpstr>
      <vt:lpstr>Qualität_Varianten</vt:lpstr>
      <vt:lpstr>Qualität_Portfolio</vt:lpstr>
      <vt:lpstr>1_Graue Energie_Benchmark</vt:lpstr>
      <vt:lpstr>1_Graue Energie_eco2soft</vt:lpstr>
      <vt:lpstr>2a_BE_EAW</vt:lpstr>
      <vt:lpstr>2a_BE_PHPP</vt:lpstr>
      <vt:lpstr>2b_Photovoltaik</vt:lpstr>
      <vt:lpstr>THG-Mobilität</vt:lpstr>
      <vt:lpstr>THG_Ergebnis 1</vt:lpstr>
      <vt:lpstr>THG_Ergebnis 2</vt:lpstr>
      <vt:lpstr>THG_Varianten</vt:lpstr>
      <vt:lpstr>THG_Portfolio</vt:lpstr>
      <vt:lpstr>Listen</vt:lpstr>
      <vt:lpstr>Datensatz AT Unterwegs</vt:lpstr>
      <vt:lpstr>Marketing</vt:lpstr>
      <vt:lpstr>Aktionsplan Ergebnis</vt:lpstr>
      <vt:lpstr>Abfallvermeidung</vt:lpstr>
      <vt:lpstr>Angebote_für_den_täglichen_Bedarf</vt:lpstr>
      <vt:lpstr>Angemessene_Nutzungsdichte</vt:lpstr>
      <vt:lpstr>Art</vt:lpstr>
      <vt:lpstr>Auditinhalt</vt:lpstr>
      <vt:lpstr>Bedarf</vt:lpstr>
      <vt:lpstr>Effizienz_der_Wassernutzung</vt:lpstr>
      <vt:lpstr>Eigenversorgungsgrad</vt:lpstr>
      <vt:lpstr>Energieträger</vt:lpstr>
      <vt:lpstr>Freiraum</vt:lpstr>
      <vt:lpstr>Fuss_und_Radverkehr</vt:lpstr>
      <vt:lpstr>Gebäudekategorie</vt:lpstr>
      <vt:lpstr>Gebäudestandards</vt:lpstr>
      <vt:lpstr>Gemeinde</vt:lpstr>
      <vt:lpstr>Halböffentliche_Räume</vt:lpstr>
      <vt:lpstr>Handlungsfeld</vt:lpstr>
      <vt:lpstr>Handlungsfeld1</vt:lpstr>
      <vt:lpstr>Handlungsfeld2</vt:lpstr>
      <vt:lpstr>Handlungsfeld3</vt:lpstr>
      <vt:lpstr>Handlungsfeld4</vt:lpstr>
      <vt:lpstr>Handlungsfeld5</vt:lpstr>
      <vt:lpstr>Handlungsfeld6</vt:lpstr>
      <vt:lpstr>jn</vt:lpstr>
      <vt:lpstr>Kältebereitstellung</vt:lpstr>
      <vt:lpstr>Lebenszykluskosten</vt:lpstr>
      <vt:lpstr>Merker</vt:lpstr>
      <vt:lpstr>MIV</vt:lpstr>
      <vt:lpstr>Monitoring_installieren</vt:lpstr>
      <vt:lpstr>oben</vt:lpstr>
      <vt:lpstr>ÖV</vt:lpstr>
      <vt:lpstr>ÖV_Angebote</vt:lpstr>
      <vt:lpstr>Partizipation</vt:lpstr>
      <vt:lpstr>Projektcontrolling_durchführen</vt:lpstr>
      <vt:lpstr>Qualität_der_externen_Energieversorgung</vt:lpstr>
      <vt:lpstr>Rechtsform</vt:lpstr>
      <vt:lpstr>Sensibilisierung_zu_Energie__und_Mobilitätsthemen</vt:lpstr>
      <vt:lpstr>sq</vt:lpstr>
      <vt:lpstr>Stadtklima</vt:lpstr>
      <vt:lpstr>Standort</vt:lpstr>
      <vt:lpstr>Strombereitstellung</vt:lpstr>
      <vt:lpstr>Stromprodukt</vt:lpstr>
      <vt:lpstr>Strukturen_etablieren</vt:lpstr>
      <vt:lpstr>Tools_BE</vt:lpstr>
      <vt:lpstr>Tools_GE</vt:lpstr>
      <vt:lpstr>Umgang_mit_Dichte</vt:lpstr>
      <vt:lpstr>Umsetzungskonzept</vt:lpstr>
      <vt:lpstr>v1o2</vt:lpstr>
      <vt:lpstr>Vielfalt_der_Nutzungen_und_der_Nutzenden</vt:lpstr>
      <vt:lpstr>Vorbildwirkung</vt:lpstr>
      <vt:lpstr>vorhanden</vt:lpstr>
      <vt:lpstr>Wärmebereitstellung</vt:lpstr>
      <vt:lpstr>Ziele_setzen</vt:lpstr>
      <vt:lpstr>Ziele_übertragen_und_verbindlich_machen</vt:lpstr>
    </vt:vector>
  </TitlesOfParts>
  <Company>Land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Mair am Tinkhof</dc:creator>
  <cp:lastModifiedBy>Oskar Mair am Tinkhof</cp:lastModifiedBy>
  <cp:lastPrinted>2024-09-10T07:07:18Z</cp:lastPrinted>
  <dcterms:created xsi:type="dcterms:W3CDTF">2017-09-25T09:19:58Z</dcterms:created>
  <dcterms:modified xsi:type="dcterms:W3CDTF">2024-11-19T07:35:51Z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0x01010056771D67E9AD9A479B2DB2075AB77E1A</vt:lpwstr>
  </property>
</Properties>
</file>