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Simon Schneider\Code\peexcel\peexcel\"/>
    </mc:Choice>
  </mc:AlternateContent>
  <xr:revisionPtr revIDLastSave="0" documentId="8_{CC0C7AD2-CAFF-4D5E-9590-97C9044B97D7}" xr6:coauthVersionLast="47" xr6:coauthVersionMax="47" xr10:uidLastSave="{00000000-0000-0000-0000-000000000000}"/>
  <bookViews>
    <workbookView xWindow="-38520" yWindow="-3855" windowWidth="30960" windowHeight="17520" activeTab="1" xr2:uid="{97C4F3B2-CE17-4880-8F7B-15E61EE579D8}"/>
  </bookViews>
  <sheets>
    <sheet name="IN" sheetId="2" r:id="rId1"/>
    <sheet name="OUT" sheetId="3" r:id="rId2"/>
  </sheets>
  <externalReferences>
    <externalReference r:id="rId3"/>
  </externalReferences>
  <definedNames>
    <definedName name="Batt_cap_Wh_per_NFA">[1]IN!$K$721</definedName>
    <definedName name="Batt_eff_factor_discharge">[1]IN!$K$725</definedName>
    <definedName name="Batt_is_used">[1]IN!$K$719</definedName>
    <definedName name="Batt_SOC_init">[1]IN!$K$728</definedName>
    <definedName name="Batt_to_Ec_min">OUT!$I$111</definedName>
    <definedName name="Batt_to_Edhw_min">OUT!$I$112</definedName>
    <definedName name="Batt_to_Eev_min">OUT!$I$114</definedName>
    <definedName name="Batt_to_Eh_min">OUT!$I$110</definedName>
    <definedName name="Batt_to_Ev_min">OUT!$I$113</definedName>
    <definedName name="Batt_to_plugloads">OUT!$I$109</definedName>
    <definedName name="Batt_total_charge">OUT!$I$168</definedName>
    <definedName name="Batt_total_charge_input">OUT!$I$90</definedName>
    <definedName name="Batt_total_discharge">OUT!$I$169</definedName>
    <definedName name="cfd_A">IN!$K$855</definedName>
    <definedName name="cfd_cutoff">IN!$K$858</definedName>
    <definedName name="cfd_dx">IN!$K$856</definedName>
    <definedName name="cfd_EUI">IN!$K$857</definedName>
    <definedName name="cfd_fPE">IN!$K$854</definedName>
    <definedName name="cfm_budget_office">IN!$K$861</definedName>
    <definedName name="cfm_budget_residential">IN!$K$860</definedName>
    <definedName name="cfm_budget_retail">IN!$K$863</definedName>
    <definedName name="cfm_budget_school">IN!$K$862</definedName>
    <definedName name="cfr_budget">IN!$K$865</definedName>
    <definedName name="context_factor_density">OUT!$I$178</definedName>
    <definedName name="context_factor_mobility">OUT!$I$179</definedName>
    <definedName name="context_factor_renovation">OUT!$I$180</definedName>
    <definedName name="conversion_profile_grid">IN!$K$807</definedName>
    <definedName name="COOL_active_shares">IN!$K$598:$K$604</definedName>
    <definedName name="Cool_Passive_Shares">IN!$K$605:$K$611</definedName>
    <definedName name="cool_th2_carrier_type">IN!$K$638</definedName>
    <definedName name="cool_th2_is_other">[1]IN!$K$830</definedName>
    <definedName name="DHW_1_is_used">IN!$K$660</definedName>
    <definedName name="DHW_2_is_used">IN!$K$661</definedName>
    <definedName name="DHW_carriertype_1">IN!$K$672</definedName>
    <definedName name="DHW_carriertype_2">IN!$K$674</definedName>
    <definedName name="DHW_efficiency_distribution_1">IN!$K$666</definedName>
    <definedName name="DHW_efficiency_distribution_2">IN!$K$667</definedName>
    <definedName name="DHW_storage_1_liter">IN!$K$658</definedName>
    <definedName name="DHW_storage_2_liter">IN!$K$659</definedName>
    <definedName name="DHW_storage_liter_pPerson">'[1]⚙'!$B$53</definedName>
    <definedName name="DHW_thermal_power_Wpl">'[1]⚙'!$B$57</definedName>
    <definedName name="DHW_Tmax_constant">'[1]⚙'!$B$55</definedName>
    <definedName name="dhw1_is_bio">[1]IN!$K$826</definedName>
    <definedName name="dhw1_is_dh">[1]IN!$K$816</definedName>
    <definedName name="dhw1_is_ng">[1]IN!$K$821</definedName>
    <definedName name="dhw1_is_other">[1]IN!$K$831</definedName>
    <definedName name="dhw2_is_bio">[1]IN!$K$827</definedName>
    <definedName name="dhw2_is_dh">[1]IN!$K$817</definedName>
    <definedName name="dhw2_is_ng">[1]IN!$K$822</definedName>
    <definedName name="dhw2_is_other">[1]IN!$K$832</definedName>
    <definedName name="e_kWhm2a">[1]IN!$K$873</definedName>
    <definedName name="EUIc_other">OUT!$I$146</definedName>
    <definedName name="EUIdhw_biomass">OUT!$I$143</definedName>
    <definedName name="EUIdhw_district_heating">OUT!$I$137</definedName>
    <definedName name="EUIdhw_natural_gas">OUT!$I$140</definedName>
    <definedName name="EUIdhw_other">OUT!$I$147</definedName>
    <definedName name="EUIh_biomass">OUT!$I$142</definedName>
    <definedName name="EUIh_district_heating">OUT!$I$136</definedName>
    <definedName name="EUIh_natural_gas">OUT!$I$139</definedName>
    <definedName name="EUIh_other">OUT!$I$145</definedName>
    <definedName name="EV_share">[1]IN!$K$754</definedName>
    <definedName name="Fossil_demand_kWhpkm">[1]IN!$K$765</definedName>
    <definedName name="fPE_grid_column">IN!$K$811</definedName>
    <definedName name="FSI">IN!$K$253</definedName>
    <definedName name="gemeinden">[1]RANGES!$K$2:$M$2123</definedName>
    <definedName name="GFA_total">IN!$K$234</definedName>
    <definedName name="GHG_LCA_timeframe_years">[1]IN!$K$794</definedName>
    <definedName name="Grid_to_Ec_min">OUT!$I$131</definedName>
    <definedName name="Grid_to_Edhw_min">OUT!$I$132</definedName>
    <definedName name="Grid_to_Eev_min">OUT!$I$134</definedName>
    <definedName name="Grid_to_Eh_min">OUT!$I$130</definedName>
    <definedName name="Grid_to_Ev_min">OUT!$I$133</definedName>
    <definedName name="Grid_to_plugloads">OUT!$I$129</definedName>
    <definedName name="GWP_construction_boreholes">[1]IN!$K$788</definedName>
    <definedName name="GWP_construction_ceil_kgpm2">[1]IN!$K$785</definedName>
    <definedName name="GWP_construction_ground_kgpm2">[1]IN!$K$784</definedName>
    <definedName name="GWP_construction_mechvent">[1]IN!$K$789</definedName>
    <definedName name="GWP_construction_other_hvac">[1]IN!$K$791</definedName>
    <definedName name="GWP_construction_other_kgpm2">[1]IN!$K$786</definedName>
    <definedName name="GWP_construction_pv">[1]IN!$K$787</definedName>
    <definedName name="GWP_construction_roof_kgpm2">[1]IN!$K$783</definedName>
    <definedName name="GWP_construction_solarthermal">[1]IN!$K$790</definedName>
    <definedName name="GWP_construction_walls_kgpm2">[1]IN!$K$781</definedName>
    <definedName name="GWP_construction_windows_kgpm2">[1]IN!$K$782</definedName>
    <definedName name="GWP_ee_lc_boreholes">OUT!$I$208</definedName>
    <definedName name="GWP_ee_lc_ceil">OUT!$I$204</definedName>
    <definedName name="GWP_ee_lc_ground">OUT!$I$203</definedName>
    <definedName name="GWP_ee_lc_mechvent">OUT!$I$209</definedName>
    <definedName name="GWP_ee_lc_other">OUT!$I$205</definedName>
    <definedName name="GWP_ee_lc_other_hvac">OUT!$I$211</definedName>
    <definedName name="GWP_ee_lc_pv">OUT!$I$207</definedName>
    <definedName name="GWP_ee_lc_roof">OUT!$I$202</definedName>
    <definedName name="GWP_ee_lc_solarthermal">OUT!$I$210</definedName>
    <definedName name="GWP_ee_lc_walls">OUT!$I$200</definedName>
    <definedName name="GWP_ee_lc_windows">OUT!$I$201</definedName>
    <definedName name="heat_capacity_effective_abs">IN!$K$326</definedName>
    <definedName name="heat_capacity_effective_m²">IN!$K$323</definedName>
    <definedName name="heat_th2_carrier_type">IN!$K$582</definedName>
    <definedName name="heat_th2_is_bio">[1]IN!$K$823</definedName>
    <definedName name="heat_th2_is_dh">[1]IN!$K$813</definedName>
    <definedName name="heat_th2_is_ng">[1]IN!$K$818</definedName>
    <definedName name="heat_th2_is_other">[1]IN!$K$828</definedName>
    <definedName name="heat_th4_carrier_type">IN!$K$583</definedName>
    <definedName name="heat_th4_is_bio">[1]IN!$K$824</definedName>
    <definedName name="heat_th4_is_dh">[1]IN!$K$814</definedName>
    <definedName name="heat_th4_is_ng">[1]IN!$K$819</definedName>
    <definedName name="heat_th4_is_other">[1]IN!$K$829</definedName>
    <definedName name="hull_ext_wall_wo_window_m2">IN!$K$285</definedName>
    <definedName name="hull_fundament_m2">IN!$K$287</definedName>
    <definedName name="hull_roof_m2">IN!$K$286</definedName>
    <definedName name="hull_window_m2">IN!$K$293</definedName>
    <definedName name="input_nutz_AufReg_Wohnen">[1]Scale!$C$48:$C$52</definedName>
    <definedName name="input_nutz_IW_S_Buero">[1]Scale!$D$23:$D$27</definedName>
    <definedName name="input_nutz_IW_S_Handel_Food">[1]Scale!$G$23:$G$27</definedName>
    <definedName name="input_nutz_IW_S_Handel_NonFood">[1]Scale!$H$23:$H$27</definedName>
    <definedName name="input_nutz_IW_S_KIGA">[1]Scale!$F$23:$F$27</definedName>
    <definedName name="input_nutz_IW_S_Schule">[1]Scale!$E$23:$E$27</definedName>
    <definedName name="input_nutz_IW_S_Wohnen">[1]Scale!$C$23:$C$27</definedName>
    <definedName name="input_nutz_IW_W_Handel_Food">[1]Scale!$G$31:$G$35</definedName>
    <definedName name="input_nutz_IW_W_Handel_NonFood">[1]Scale!$H$31:$H$35</definedName>
    <definedName name="input_nutz_IW_W_KIGA">[1]Scale!$F$31:$F$35</definedName>
    <definedName name="input_nutz_IW_W_Schule">[1]Scale!$E$31:$E$35</definedName>
    <definedName name="input_nutz_IW_W_Wohnen">[1]Scale!$C$31:$C$35</definedName>
    <definedName name="input_nutz_LW_Anlage_Buero">[1]Scale!$D$86:$D$92</definedName>
    <definedName name="input_nutz_LW_Anlage_Handel_Food">[1]Scale!$G$86:$G$92</definedName>
    <definedName name="input_nutz_LW_Anlage_Handel_NonFood">[1]Scale!$H$86:$H$92</definedName>
    <definedName name="input_nutz_LW_Anlage_KIGA">[1]Scale!$F$86:$F$92</definedName>
    <definedName name="input_nutz_LW_Anlage_Schule">[1]Scale!$E$86:$E$92</definedName>
    <definedName name="input_nutz_LW_Anlage_Wohnen">[1]Scale!$C$86:$C$92</definedName>
    <definedName name="input_nutz_Nutzerstrom_Buero">[1]Scale!$D$66:$D$70</definedName>
    <definedName name="input_nutz_Nutzerstrom_Handel_Food">[1]Scale!$G$66:$G$70</definedName>
    <definedName name="input_nutz_Nutzerstrom_Handel_NonFood">[1]Scale!$H$66:$H$70</definedName>
    <definedName name="input_nutz_Nutzerstrom_Kiga">[1]Scale!$F$66:$F$70</definedName>
    <definedName name="input_nutz_Nutzerstrom_Schule">[1]Scale!$E$66:$E$70</definedName>
    <definedName name="input_nutz_Nutzerstrom_Wohnen">[1]Scale!$C$66:$C$70</definedName>
    <definedName name="input_nutz_WWWB_Buero">[1]Scale!$D$39:$D$43</definedName>
    <definedName name="input_nutz_WWWB_Handel_Food">[1]Scale!$G$39:$G$43</definedName>
    <definedName name="input_nutz_WWWB_Handel_NonFood">[1]Scale!$H$39:$H$43</definedName>
    <definedName name="input_nutz_WWWB_KIGA">[1]Scale!$F$39:$F$43</definedName>
    <definedName name="input_nutz_WWWB_Schule">[1]Scale!$E$39:$E$43</definedName>
    <definedName name="input_nutz_WWWB_Wohnen">[1]Scale!$C$39:$C$43</definedName>
    <definedName name="is_cooling_period">[1]!sim[Kühlmonat]</definedName>
    <definedName name="is_heating_period">[1]!sim[Heizmonat]</definedName>
    <definedName name="lc">[1]IN!$K$296</definedName>
    <definedName name="list_weathers">'[1]🌦️'!$G$25:$G$34</definedName>
    <definedName name="location_address">[1]IN!$K$205</definedName>
    <definedName name="mob_pkm_factor">IN!$K$768</definedName>
    <definedName name="mobility_is_included">[1]IN!$K$737</definedName>
    <definedName name="mobility_region">IN!$K$738</definedName>
    <definedName name="NFA_cooled">IN!$K$612</definedName>
    <definedName name="NFA_mechvent">IN!$K$411</definedName>
    <definedName name="NFA_office">IN!$K$244</definedName>
    <definedName name="NFA_other">IN!$K$249</definedName>
    <definedName name="NFA_residential">IN!$K$243</definedName>
    <definedName name="NFA_retailfood">IN!$K$247</definedName>
    <definedName name="NFA_retailother">IN!$K$248</definedName>
    <definedName name="NFA_schoolprim">IN!$K$246</definedName>
    <definedName name="NFA_schoolsec">IN!$K$245</definedName>
    <definedName name="NFA_shares">'[1]🏙️'!$E$28:$E$34</definedName>
    <definedName name="NFA_total">IN!$K$250</definedName>
    <definedName name="NFAfrac_cooled">IN!$K$613</definedName>
    <definedName name="NFAfrac_uncooled">IN!$K$614</definedName>
    <definedName name="NFV_total">IN!$K$277</definedName>
    <definedName name="PEI_biomass">OUT!$I$187</definedName>
    <definedName name="PEI_cf_density">OUT!$I$193</definedName>
    <definedName name="PEI_cf_mobility">OUT!$I$194</definedName>
    <definedName name="PEI_cf_renovation">OUT!$I$195</definedName>
    <definedName name="PEI_demand">OUT!$I$182</definedName>
    <definedName name="PEI_district_heating">OUT!$I$185</definedName>
    <definedName name="PEI_el_hvac">OUT!$I$184</definedName>
    <definedName name="PEI_el_plugloads">OUT!$I$183</definedName>
    <definedName name="PEI_mob_el">OUT!$I$191</definedName>
    <definedName name="PEI_mob_fossile">OUT!$I$190</definedName>
    <definedName name="PEI_mob_total">OUT!$I$189</definedName>
    <definedName name="PEI_natural_gas">OUT!$I$186</definedName>
    <definedName name="PEI_other">OUT!$I$188</definedName>
    <definedName name="PEI_sub_flex">OUT!$I$197</definedName>
    <definedName name="PEI_sub_PV">OUT!$I$196</definedName>
    <definedName name="per_NFA">IN!$K$251</definedName>
    <definedName name="project_name">[1]IN!$K$203</definedName>
    <definedName name="project_scenario_name">[1]IN!$K$209</definedName>
    <definedName name="PV_is_used">[1]IN!$K$689</definedName>
    <definedName name="pv_profile_names">[1]PVimport!$B$9:$AU$9</definedName>
    <definedName name="PV_to_Batt">OUT!$I$105</definedName>
    <definedName name="PV_to_Ec_flex">OUT!$I$102</definedName>
    <definedName name="PV_to_Ec_min">OUT!$I$96</definedName>
    <definedName name="PV_to_Edhw">OUT!$I$103</definedName>
    <definedName name="PV_to_Edhw_direct">OUT!$I$104</definedName>
    <definedName name="PV_to_Edhw_min">OUT!$I$97</definedName>
    <definedName name="PV_to_Eev_flex">OUT!$I$106</definedName>
    <definedName name="PV_to_Eev_min">OUT!$I$99</definedName>
    <definedName name="PV_to_Eh_flex">OUT!$I$101</definedName>
    <definedName name="PV_to_Eh_min">OUT!$I$95</definedName>
    <definedName name="PV_to_Ev_min">OUT!$I$98</definedName>
    <definedName name="PV_to_plugloads">OUT!$I$94</definedName>
    <definedName name="QC">OUT!$I$35</definedName>
    <definedName name="QC_c">OUT!$I$62</definedName>
    <definedName name="QC_flex_c">OUT!$I$76</definedName>
    <definedName name="QC_min_c">OUT!$I$75</definedName>
    <definedName name="QCmax_room_m2">IN!$K$615</definedName>
    <definedName name="QH">OUT!$I$34</definedName>
    <definedName name="QH_c">OUT!$I$61</definedName>
    <definedName name="QH_flex_c">OUT!$I$74</definedName>
    <definedName name="QH_flex_u">OUT!$I$54</definedName>
    <definedName name="QH_min_c">OUT!$I$73</definedName>
    <definedName name="QH_min_u">OUT!$I$53</definedName>
    <definedName name="QH_u">OUT!$I$42</definedName>
    <definedName name="QI">OUT!$I$33</definedName>
    <definedName name="QS">OUT!$I$32</definedName>
    <definedName name="QT">OUT!$I$29</definedName>
    <definedName name="QV">OUT!$I$30</definedName>
    <definedName name="QV_c">OUT!$I$57</definedName>
    <definedName name="QV_u">OUT!$I$38</definedName>
    <definedName name="QVn">OUT!$I$31</definedName>
    <definedName name="renovation_share">[1]IN!$K$261</definedName>
    <definedName name="Renovation_shares">IN!$K$254:$K$260</definedName>
    <definedName name="rh_avg">IN!$K$276</definedName>
    <definedName name="transmittance_Wm²">IN!$K$321</definedName>
    <definedName name="Tsetcool_max">IN!$K$639</definedName>
    <definedName name="Tsetheat_min">IN!$K$584</definedName>
    <definedName name="var_current_name">[1]Varianten!$B$3</definedName>
    <definedName name="variable_types">[1]!Tabelle34[Variable Types]</definedName>
    <definedName name="vent_mech_shares">TRANSPOSE(IN!$K$395:$K$401)</definedName>
    <definedName name="Vent_share_mech_cooled">IN!$K$469</definedName>
    <definedName name="Vent_share_mech_uncooled">IN!$K$468</definedName>
    <definedName name="Vent_share_window_cooled">IN!$K$466</definedName>
    <definedName name="Vent_share_window_uncooled">IN!$K$465</definedName>
    <definedName name="vent_window_shares">TRANSPOSE(IN!$K$402:$K$408)</definedName>
    <definedName name="VRGrid_to_Batt">OUT!$I$126</definedName>
    <definedName name="VRGrid_to_Ec_flex">OUT!$I$124</definedName>
    <definedName name="VRGrid_to_Ec_min">OUT!$I$118</definedName>
    <definedName name="VRGrid_to_Edhw_flex">OUT!$I$125</definedName>
    <definedName name="VRGrid_to_Edhw_min">OUT!$I$119</definedName>
    <definedName name="VRGrid_to_Eev_flex">OUT!$I$127</definedName>
    <definedName name="VRGrid_to_Eev_min">OUT!$I$121</definedName>
    <definedName name="VRGrid_to_Eh_flex">OUT!$I$123</definedName>
    <definedName name="VRGrid_to_Eh_min">OUT!$I$117</definedName>
    <definedName name="VRGrid_to_Ev_min">OUT!$I$120</definedName>
    <definedName name="VRGrid_to_plugloads">OUT!$I$116</definedName>
    <definedName name="weather_index">[1]IN!$K$220</definedName>
    <definedName name="wind_id_lookups">[1]PVimport!$BM$10:$BN$19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1" i="3" l="1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0" i="3"/>
  <c r="E219" i="3"/>
  <c r="E218" i="3"/>
  <c r="E217" i="3"/>
  <c r="I214" i="3"/>
  <c r="I211" i="3"/>
  <c r="I210" i="3"/>
  <c r="I209" i="3"/>
  <c r="I208" i="3"/>
  <c r="I207" i="3"/>
  <c r="I212" i="3" s="1"/>
  <c r="I205" i="3"/>
  <c r="I204" i="3"/>
  <c r="I203" i="3"/>
  <c r="I202" i="3"/>
  <c r="I201" i="3"/>
  <c r="I200" i="3"/>
  <c r="I206" i="3" s="1"/>
  <c r="E199" i="3"/>
  <c r="E198" i="3"/>
  <c r="E197" i="3"/>
  <c r="I196" i="3"/>
  <c r="E196" i="3"/>
  <c r="I195" i="3"/>
  <c r="E192" i="3"/>
  <c r="E191" i="3"/>
  <c r="I190" i="3"/>
  <c r="E190" i="3"/>
  <c r="E189" i="3"/>
  <c r="E188" i="3"/>
  <c r="E187" i="3"/>
  <c r="E186" i="3"/>
  <c r="E185" i="3"/>
  <c r="E184" i="3"/>
  <c r="I183" i="3"/>
  <c r="E183" i="3"/>
  <c r="E182" i="3"/>
  <c r="I180" i="3"/>
  <c r="E180" i="3"/>
  <c r="I179" i="3"/>
  <c r="I194" i="3" s="1"/>
  <c r="E179" i="3"/>
  <c r="I178" i="3"/>
  <c r="I193" i="3" s="1"/>
  <c r="E178" i="3"/>
  <c r="E177" i="3"/>
  <c r="E176" i="3"/>
  <c r="E175" i="3"/>
  <c r="E174" i="3"/>
  <c r="I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I94" i="3"/>
  <c r="D94" i="3"/>
  <c r="E93" i="3"/>
  <c r="E92" i="3"/>
  <c r="E91" i="3"/>
  <c r="E90" i="3"/>
  <c r="I89" i="3"/>
  <c r="E89" i="3"/>
  <c r="E88" i="3"/>
  <c r="E87" i="3"/>
  <c r="E86" i="3"/>
  <c r="E85" i="3"/>
  <c r="E84" i="3"/>
  <c r="E83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5" i="3"/>
  <c r="E34" i="3"/>
  <c r="I33" i="3" a="1"/>
  <c r="I33" i="3" s="1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I15" i="3"/>
  <c r="E15" i="3"/>
  <c r="E14" i="3"/>
  <c r="E13" i="3"/>
  <c r="E12" i="3"/>
  <c r="I11" i="3"/>
  <c r="E11" i="3"/>
  <c r="I10" i="3"/>
  <c r="E10" i="3"/>
  <c r="I9" i="3"/>
  <c r="E9" i="3"/>
  <c r="I8" i="3"/>
  <c r="E8" i="3"/>
  <c r="E7" i="3"/>
  <c r="E6" i="3"/>
  <c r="I5" i="3"/>
  <c r="E5" i="3"/>
  <c r="I4" i="3"/>
  <c r="E4" i="3"/>
  <c r="I3" i="3"/>
  <c r="E3" i="3"/>
  <c r="I2" i="3"/>
  <c r="E2" i="3"/>
  <c r="S880" i="2"/>
  <c r="Q880" i="2"/>
  <c r="M880" i="2"/>
  <c r="I880" i="2"/>
  <c r="J880" i="2" s="1"/>
  <c r="S879" i="2"/>
  <c r="Q879" i="2"/>
  <c r="M879" i="2"/>
  <c r="I879" i="2"/>
  <c r="J879" i="2" s="1"/>
  <c r="S878" i="2"/>
  <c r="Q878" i="2"/>
  <c r="M878" i="2"/>
  <c r="I878" i="2"/>
  <c r="J878" i="2" s="1"/>
  <c r="S877" i="2"/>
  <c r="Q877" i="2"/>
  <c r="M877" i="2"/>
  <c r="J877" i="2"/>
  <c r="I877" i="2"/>
  <c r="S876" i="2"/>
  <c r="Q876" i="2"/>
  <c r="M876" i="2"/>
  <c r="J876" i="2"/>
  <c r="I876" i="2"/>
  <c r="S875" i="2"/>
  <c r="Q875" i="2"/>
  <c r="M875" i="2"/>
  <c r="J875" i="2"/>
  <c r="I875" i="2"/>
  <c r="S874" i="2"/>
  <c r="Q874" i="2"/>
  <c r="M874" i="2"/>
  <c r="J874" i="2"/>
  <c r="I874" i="2"/>
  <c r="S873" i="2"/>
  <c r="Q873" i="2"/>
  <c r="M873" i="2"/>
  <c r="J873" i="2"/>
  <c r="S872" i="2"/>
  <c r="Q872" i="2"/>
  <c r="M872" i="2"/>
  <c r="J872" i="2"/>
  <c r="I872" i="2"/>
  <c r="S871" i="2"/>
  <c r="Q871" i="2"/>
  <c r="M871" i="2"/>
  <c r="J871" i="2"/>
  <c r="I871" i="2"/>
  <c r="S870" i="2"/>
  <c r="Q870" i="2"/>
  <c r="M870" i="2"/>
  <c r="J870" i="2"/>
  <c r="I870" i="2"/>
  <c r="S869" i="2"/>
  <c r="Q869" i="2"/>
  <c r="M869" i="2"/>
  <c r="J869" i="2"/>
  <c r="I869" i="2"/>
  <c r="S868" i="2"/>
  <c r="Q868" i="2"/>
  <c r="M868" i="2"/>
  <c r="I868" i="2"/>
  <c r="J868" i="2" s="1"/>
  <c r="S867" i="2"/>
  <c r="Q867" i="2"/>
  <c r="M867" i="2"/>
  <c r="I867" i="2"/>
  <c r="J867" i="2" s="1"/>
  <c r="S866" i="2"/>
  <c r="Q866" i="2"/>
  <c r="M866" i="2"/>
  <c r="I866" i="2"/>
  <c r="J866" i="2" s="1"/>
  <c r="S865" i="2"/>
  <c r="Q865" i="2"/>
  <c r="M865" i="2"/>
  <c r="J865" i="2"/>
  <c r="S864" i="2"/>
  <c r="Q864" i="2"/>
  <c r="M864" i="2"/>
  <c r="I864" i="2"/>
  <c r="J864" i="2" s="1"/>
  <c r="S863" i="2"/>
  <c r="Q863" i="2"/>
  <c r="M863" i="2"/>
  <c r="J863" i="2"/>
  <c r="S862" i="2"/>
  <c r="Q862" i="2"/>
  <c r="M862" i="2"/>
  <c r="J862" i="2"/>
  <c r="S861" i="2"/>
  <c r="Q861" i="2"/>
  <c r="M861" i="2"/>
  <c r="J861" i="2"/>
  <c r="S860" i="2"/>
  <c r="Q860" i="2"/>
  <c r="M860" i="2"/>
  <c r="J860" i="2"/>
  <c r="S859" i="2"/>
  <c r="Q859" i="2"/>
  <c r="M859" i="2"/>
  <c r="I859" i="2"/>
  <c r="J859" i="2" s="1"/>
  <c r="S858" i="2"/>
  <c r="Q858" i="2"/>
  <c r="M858" i="2"/>
  <c r="J858" i="2"/>
  <c r="S857" i="2"/>
  <c r="Q857" i="2"/>
  <c r="M857" i="2"/>
  <c r="J857" i="2"/>
  <c r="S856" i="2"/>
  <c r="Q856" i="2"/>
  <c r="M856" i="2"/>
  <c r="J856" i="2"/>
  <c r="S855" i="2"/>
  <c r="Q855" i="2"/>
  <c r="M855" i="2"/>
  <c r="J855" i="2"/>
  <c r="S854" i="2"/>
  <c r="Q854" i="2"/>
  <c r="M854" i="2"/>
  <c r="J854" i="2"/>
  <c r="S853" i="2"/>
  <c r="Q853" i="2"/>
  <c r="M853" i="2"/>
  <c r="J853" i="2"/>
  <c r="I853" i="2"/>
  <c r="S852" i="2"/>
  <c r="Q852" i="2"/>
  <c r="M852" i="2"/>
  <c r="J852" i="2"/>
  <c r="I852" i="2"/>
  <c r="S851" i="2"/>
  <c r="Q851" i="2"/>
  <c r="M851" i="2"/>
  <c r="I851" i="2"/>
  <c r="J851" i="2" s="1"/>
  <c r="S850" i="2"/>
  <c r="Q850" i="2"/>
  <c r="M850" i="2"/>
  <c r="I850" i="2"/>
  <c r="J850" i="2" s="1"/>
  <c r="S849" i="2"/>
  <c r="Q849" i="2"/>
  <c r="M849" i="2"/>
  <c r="J849" i="2"/>
  <c r="I849" i="2"/>
  <c r="S848" i="2"/>
  <c r="Q848" i="2"/>
  <c r="M848" i="2"/>
  <c r="J848" i="2"/>
  <c r="I848" i="2"/>
  <c r="S847" i="2"/>
  <c r="Q847" i="2"/>
  <c r="M847" i="2"/>
  <c r="I847" i="2"/>
  <c r="J847" i="2" s="1"/>
  <c r="S846" i="2"/>
  <c r="Q846" i="2"/>
  <c r="M846" i="2"/>
  <c r="I846" i="2"/>
  <c r="J846" i="2" s="1"/>
  <c r="S845" i="2"/>
  <c r="Q845" i="2"/>
  <c r="M845" i="2"/>
  <c r="J845" i="2"/>
  <c r="I845" i="2"/>
  <c r="S844" i="2"/>
  <c r="Q844" i="2"/>
  <c r="M844" i="2"/>
  <c r="J844" i="2"/>
  <c r="I844" i="2"/>
  <c r="S843" i="2"/>
  <c r="Q843" i="2"/>
  <c r="M843" i="2"/>
  <c r="I843" i="2"/>
  <c r="J843" i="2" s="1"/>
  <c r="S842" i="2"/>
  <c r="Q842" i="2"/>
  <c r="M842" i="2"/>
  <c r="I842" i="2"/>
  <c r="J842" i="2" s="1"/>
  <c r="S841" i="2"/>
  <c r="Q841" i="2"/>
  <c r="M841" i="2"/>
  <c r="J841" i="2"/>
  <c r="I841" i="2"/>
  <c r="S840" i="2"/>
  <c r="Q840" i="2"/>
  <c r="M840" i="2"/>
  <c r="J840" i="2"/>
  <c r="I840" i="2"/>
  <c r="S839" i="2"/>
  <c r="Q839" i="2"/>
  <c r="M839" i="2"/>
  <c r="J839" i="2"/>
  <c r="I839" i="2"/>
  <c r="S838" i="2"/>
  <c r="Q838" i="2"/>
  <c r="M838" i="2"/>
  <c r="J838" i="2"/>
  <c r="I838" i="2"/>
  <c r="S837" i="2"/>
  <c r="Q837" i="2"/>
  <c r="M837" i="2"/>
  <c r="I837" i="2"/>
  <c r="J837" i="2" s="1"/>
  <c r="S836" i="2"/>
  <c r="Q836" i="2"/>
  <c r="M836" i="2"/>
  <c r="I836" i="2"/>
  <c r="J836" i="2" s="1"/>
  <c r="S835" i="2"/>
  <c r="Q835" i="2"/>
  <c r="M835" i="2"/>
  <c r="I835" i="2"/>
  <c r="J835" i="2" s="1"/>
  <c r="S834" i="2"/>
  <c r="Q834" i="2"/>
  <c r="M834" i="2"/>
  <c r="I834" i="2"/>
  <c r="J834" i="2" s="1"/>
  <c r="S833" i="2"/>
  <c r="Q833" i="2"/>
  <c r="M833" i="2"/>
  <c r="I833" i="2"/>
  <c r="J833" i="2" s="1"/>
  <c r="S832" i="2"/>
  <c r="Q832" i="2"/>
  <c r="M832" i="2"/>
  <c r="S831" i="2"/>
  <c r="Q831" i="2"/>
  <c r="M831" i="2"/>
  <c r="S830" i="2"/>
  <c r="Q830" i="2"/>
  <c r="M830" i="2"/>
  <c r="S829" i="2"/>
  <c r="Q829" i="2"/>
  <c r="M829" i="2"/>
  <c r="J829" i="2"/>
  <c r="I829" i="2"/>
  <c r="S828" i="2"/>
  <c r="Q828" i="2"/>
  <c r="M828" i="2"/>
  <c r="S827" i="2"/>
  <c r="Q827" i="2"/>
  <c r="M827" i="2"/>
  <c r="I827" i="2"/>
  <c r="S826" i="2"/>
  <c r="Q826" i="2"/>
  <c r="M826" i="2"/>
  <c r="I826" i="2"/>
  <c r="J826" i="2" s="1"/>
  <c r="S825" i="2"/>
  <c r="Q825" i="2"/>
  <c r="M825" i="2"/>
  <c r="I825" i="2"/>
  <c r="J825" i="2" s="1"/>
  <c r="S824" i="2"/>
  <c r="Q824" i="2"/>
  <c r="M824" i="2"/>
  <c r="J824" i="2"/>
  <c r="I824" i="2"/>
  <c r="S823" i="2"/>
  <c r="Q823" i="2"/>
  <c r="M823" i="2"/>
  <c r="J823" i="2"/>
  <c r="I823" i="2"/>
  <c r="S822" i="2"/>
  <c r="Q822" i="2"/>
  <c r="M822" i="2"/>
  <c r="J822" i="2"/>
  <c r="I822" i="2"/>
  <c r="S821" i="2"/>
  <c r="Q821" i="2"/>
  <c r="M821" i="2"/>
  <c r="J821" i="2"/>
  <c r="I821" i="2"/>
  <c r="S820" i="2"/>
  <c r="Q820" i="2"/>
  <c r="M820" i="2"/>
  <c r="I820" i="2"/>
  <c r="J820" i="2" s="1"/>
  <c r="S819" i="2"/>
  <c r="Q819" i="2"/>
  <c r="M819" i="2"/>
  <c r="I819" i="2"/>
  <c r="J819" i="2" s="1"/>
  <c r="S818" i="2"/>
  <c r="Q818" i="2"/>
  <c r="M818" i="2"/>
  <c r="I818" i="2"/>
  <c r="J818" i="2" s="1"/>
  <c r="S817" i="2"/>
  <c r="Q817" i="2"/>
  <c r="M817" i="2"/>
  <c r="I817" i="2"/>
  <c r="J817" i="2" s="1"/>
  <c r="S816" i="2"/>
  <c r="Q816" i="2"/>
  <c r="M816" i="2"/>
  <c r="J816" i="2"/>
  <c r="I816" i="2"/>
  <c r="S815" i="2"/>
  <c r="Q815" i="2"/>
  <c r="M815" i="2"/>
  <c r="J815" i="2"/>
  <c r="I815" i="2"/>
  <c r="S814" i="2"/>
  <c r="Q814" i="2"/>
  <c r="M814" i="2"/>
  <c r="J814" i="2"/>
  <c r="I814" i="2"/>
  <c r="S813" i="2"/>
  <c r="Q813" i="2"/>
  <c r="M813" i="2"/>
  <c r="I813" i="2"/>
  <c r="I828" i="2" s="1"/>
  <c r="J828" i="2" s="1"/>
  <c r="E813" i="2"/>
  <c r="S812" i="2"/>
  <c r="Q812" i="2"/>
  <c r="M812" i="2"/>
  <c r="J812" i="2"/>
  <c r="I812" i="2"/>
  <c r="S811" i="2"/>
  <c r="Q811" i="2"/>
  <c r="M811" i="2"/>
  <c r="S810" i="2"/>
  <c r="Q810" i="2"/>
  <c r="M810" i="2"/>
  <c r="I810" i="2"/>
  <c r="J810" i="2" s="1"/>
  <c r="S809" i="2"/>
  <c r="Q809" i="2"/>
  <c r="M809" i="2"/>
  <c r="J809" i="2"/>
  <c r="I809" i="2"/>
  <c r="C806" i="2"/>
  <c r="S805" i="2"/>
  <c r="Q805" i="2"/>
  <c r="M805" i="2"/>
  <c r="J805" i="2"/>
  <c r="I805" i="2"/>
  <c r="S804" i="2"/>
  <c r="Q804" i="2"/>
  <c r="M804" i="2"/>
  <c r="J804" i="2"/>
  <c r="I804" i="2"/>
  <c r="S803" i="2"/>
  <c r="Q803" i="2"/>
  <c r="M803" i="2"/>
  <c r="I803" i="2"/>
  <c r="J803" i="2" s="1"/>
  <c r="S802" i="2"/>
  <c r="Q802" i="2"/>
  <c r="M802" i="2"/>
  <c r="I802" i="2"/>
  <c r="J802" i="2" s="1"/>
  <c r="S801" i="2"/>
  <c r="Q801" i="2"/>
  <c r="M801" i="2"/>
  <c r="J801" i="2"/>
  <c r="I801" i="2"/>
  <c r="S800" i="2"/>
  <c r="Q800" i="2"/>
  <c r="M800" i="2"/>
  <c r="J800" i="2"/>
  <c r="I800" i="2"/>
  <c r="S799" i="2"/>
  <c r="Q799" i="2"/>
  <c r="M799" i="2"/>
  <c r="I799" i="2"/>
  <c r="J799" i="2" s="1"/>
  <c r="S798" i="2"/>
  <c r="Q798" i="2"/>
  <c r="M798" i="2"/>
  <c r="I798" i="2"/>
  <c r="J798" i="2" s="1"/>
  <c r="S797" i="2"/>
  <c r="Q797" i="2"/>
  <c r="M797" i="2"/>
  <c r="J797" i="2"/>
  <c r="I797" i="2"/>
  <c r="S796" i="2"/>
  <c r="Q796" i="2"/>
  <c r="M796" i="2"/>
  <c r="J796" i="2"/>
  <c r="S795" i="2"/>
  <c r="Q795" i="2"/>
  <c r="M795" i="2"/>
  <c r="J795" i="2"/>
  <c r="S794" i="2"/>
  <c r="Q794" i="2"/>
  <c r="M794" i="2"/>
  <c r="J794" i="2"/>
  <c r="S793" i="2"/>
  <c r="Q793" i="2"/>
  <c r="M793" i="2"/>
  <c r="J793" i="2"/>
  <c r="I793" i="2"/>
  <c r="S792" i="2"/>
  <c r="Q792" i="2"/>
  <c r="M792" i="2"/>
  <c r="J792" i="2"/>
  <c r="I792" i="2"/>
  <c r="S791" i="2"/>
  <c r="Q791" i="2"/>
  <c r="M791" i="2"/>
  <c r="I791" i="2"/>
  <c r="J791" i="2" s="1"/>
  <c r="S790" i="2"/>
  <c r="Q790" i="2"/>
  <c r="M790" i="2"/>
  <c r="I790" i="2"/>
  <c r="J790" i="2" s="1"/>
  <c r="S789" i="2"/>
  <c r="Q789" i="2"/>
  <c r="M789" i="2"/>
  <c r="I789" i="2"/>
  <c r="J789" i="2" s="1"/>
  <c r="S788" i="2"/>
  <c r="Q788" i="2"/>
  <c r="M788" i="2"/>
  <c r="J788" i="2"/>
  <c r="I788" i="2"/>
  <c r="S787" i="2"/>
  <c r="Q787" i="2"/>
  <c r="M787" i="2"/>
  <c r="I787" i="2"/>
  <c r="J787" i="2" s="1"/>
  <c r="S786" i="2"/>
  <c r="Q786" i="2"/>
  <c r="M786" i="2"/>
  <c r="J786" i="2"/>
  <c r="I786" i="2"/>
  <c r="S785" i="2"/>
  <c r="Q785" i="2"/>
  <c r="M785" i="2"/>
  <c r="J785" i="2"/>
  <c r="I785" i="2"/>
  <c r="S784" i="2"/>
  <c r="Q784" i="2"/>
  <c r="M784" i="2"/>
  <c r="J784" i="2"/>
  <c r="I784" i="2"/>
  <c r="S783" i="2"/>
  <c r="Q783" i="2"/>
  <c r="M783" i="2"/>
  <c r="I783" i="2"/>
  <c r="J783" i="2" s="1"/>
  <c r="S782" i="2"/>
  <c r="Q782" i="2"/>
  <c r="M782" i="2"/>
  <c r="I782" i="2"/>
  <c r="J782" i="2" s="1"/>
  <c r="S781" i="2"/>
  <c r="Q781" i="2"/>
  <c r="M781" i="2"/>
  <c r="I781" i="2"/>
  <c r="J781" i="2" s="1"/>
  <c r="C780" i="2"/>
  <c r="S779" i="2"/>
  <c r="Q779" i="2"/>
  <c r="M779" i="2"/>
  <c r="I779" i="2"/>
  <c r="J779" i="2" s="1"/>
  <c r="S778" i="2"/>
  <c r="Q778" i="2"/>
  <c r="M778" i="2"/>
  <c r="I778" i="2"/>
  <c r="J778" i="2" s="1"/>
  <c r="S777" i="2"/>
  <c r="Q777" i="2"/>
  <c r="M777" i="2"/>
  <c r="I777" i="2"/>
  <c r="J777" i="2" s="1"/>
  <c r="S776" i="2"/>
  <c r="Q776" i="2"/>
  <c r="M776" i="2"/>
  <c r="J776" i="2"/>
  <c r="I776" i="2"/>
  <c r="S775" i="2"/>
  <c r="Q775" i="2"/>
  <c r="M775" i="2"/>
  <c r="J775" i="2"/>
  <c r="I775" i="2"/>
  <c r="S774" i="2"/>
  <c r="Q774" i="2"/>
  <c r="M774" i="2"/>
  <c r="J774" i="2"/>
  <c r="I774" i="2"/>
  <c r="S773" i="2"/>
  <c r="Q773" i="2"/>
  <c r="M773" i="2"/>
  <c r="I773" i="2"/>
  <c r="J773" i="2" s="1"/>
  <c r="S772" i="2"/>
  <c r="Q772" i="2"/>
  <c r="M772" i="2"/>
  <c r="I772" i="2"/>
  <c r="J772" i="2" s="1"/>
  <c r="S771" i="2"/>
  <c r="Q771" i="2"/>
  <c r="M771" i="2"/>
  <c r="I771" i="2"/>
  <c r="J771" i="2" s="1"/>
  <c r="S770" i="2"/>
  <c r="Q770" i="2"/>
  <c r="M770" i="2"/>
  <c r="I770" i="2"/>
  <c r="J770" i="2" s="1"/>
  <c r="S769" i="2"/>
  <c r="Q769" i="2"/>
  <c r="M769" i="2"/>
  <c r="J769" i="2"/>
  <c r="I769" i="2"/>
  <c r="S768" i="2"/>
  <c r="Q768" i="2"/>
  <c r="M768" i="2"/>
  <c r="J768" i="2"/>
  <c r="I768" i="2"/>
  <c r="S767" i="2"/>
  <c r="Q767" i="2"/>
  <c r="M767" i="2"/>
  <c r="K767" i="2"/>
  <c r="J767" i="2" s="1"/>
  <c r="S766" i="2"/>
  <c r="Q766" i="2"/>
  <c r="M766" i="2"/>
  <c r="J766" i="2"/>
  <c r="S765" i="2"/>
  <c r="Q765" i="2"/>
  <c r="M765" i="2"/>
  <c r="J765" i="2"/>
  <c r="S764" i="2"/>
  <c r="Q764" i="2"/>
  <c r="M764" i="2"/>
  <c r="J764" i="2"/>
  <c r="I764" i="2"/>
  <c r="S763" i="2"/>
  <c r="Q763" i="2"/>
  <c r="M763" i="2"/>
  <c r="J763" i="2"/>
  <c r="I763" i="2"/>
  <c r="S762" i="2"/>
  <c r="Q762" i="2"/>
  <c r="M762" i="2"/>
  <c r="J762" i="2"/>
  <c r="I762" i="2"/>
  <c r="I761" i="2"/>
  <c r="I760" i="2"/>
  <c r="S759" i="2"/>
  <c r="Q759" i="2"/>
  <c r="M759" i="2"/>
  <c r="I758" i="2"/>
  <c r="I759" i="2" s="1"/>
  <c r="J759" i="2" s="1"/>
  <c r="S757" i="2"/>
  <c r="Q757" i="2"/>
  <c r="M757" i="2"/>
  <c r="I757" i="2"/>
  <c r="J757" i="2" s="1"/>
  <c r="I756" i="2"/>
  <c r="I755" i="2"/>
  <c r="I754" i="2"/>
  <c r="I753" i="2"/>
  <c r="I752" i="2"/>
  <c r="S751" i="2"/>
  <c r="Q751" i="2"/>
  <c r="M751" i="2"/>
  <c r="J751" i="2"/>
  <c r="I751" i="2"/>
  <c r="S750" i="2"/>
  <c r="Q750" i="2"/>
  <c r="M750" i="2"/>
  <c r="I750" i="2"/>
  <c r="J750" i="2" s="1"/>
  <c r="S749" i="2"/>
  <c r="Q749" i="2"/>
  <c r="M749" i="2"/>
  <c r="J749" i="2"/>
  <c r="I749" i="2"/>
  <c r="S748" i="2"/>
  <c r="Q748" i="2"/>
  <c r="M748" i="2"/>
  <c r="I748" i="2"/>
  <c r="J748" i="2" s="1"/>
  <c r="S747" i="2"/>
  <c r="Q747" i="2"/>
  <c r="M747" i="2"/>
  <c r="J747" i="2"/>
  <c r="I747" i="2"/>
  <c r="S746" i="2"/>
  <c r="Q746" i="2"/>
  <c r="M746" i="2"/>
  <c r="J746" i="2"/>
  <c r="I746" i="2"/>
  <c r="S745" i="2"/>
  <c r="Q745" i="2"/>
  <c r="M745" i="2"/>
  <c r="I745" i="2"/>
  <c r="J745" i="2" s="1"/>
  <c r="S744" i="2"/>
  <c r="Q744" i="2"/>
  <c r="M744" i="2"/>
  <c r="I744" i="2"/>
  <c r="J744" i="2" s="1"/>
  <c r="S743" i="2"/>
  <c r="Q743" i="2"/>
  <c r="M743" i="2"/>
  <c r="J743" i="2"/>
  <c r="I743" i="2"/>
  <c r="S742" i="2"/>
  <c r="Q742" i="2"/>
  <c r="M742" i="2"/>
  <c r="J742" i="2"/>
  <c r="I742" i="2"/>
  <c r="S741" i="2"/>
  <c r="Q741" i="2"/>
  <c r="M741" i="2"/>
  <c r="J741" i="2"/>
  <c r="I741" i="2"/>
  <c r="S740" i="2"/>
  <c r="Q740" i="2"/>
  <c r="M740" i="2"/>
  <c r="J740" i="2"/>
  <c r="I740" i="2"/>
  <c r="S739" i="2"/>
  <c r="Q739" i="2"/>
  <c r="M739" i="2"/>
  <c r="J739" i="2"/>
  <c r="I739" i="2"/>
  <c r="S738" i="2"/>
  <c r="Q738" i="2"/>
  <c r="M738" i="2"/>
  <c r="I737" i="2"/>
  <c r="C736" i="2"/>
  <c r="S735" i="2"/>
  <c r="Q735" i="2"/>
  <c r="M735" i="2"/>
  <c r="J735" i="2"/>
  <c r="I735" i="2"/>
  <c r="S734" i="2"/>
  <c r="Q734" i="2"/>
  <c r="M734" i="2"/>
  <c r="J734" i="2"/>
  <c r="S733" i="2"/>
  <c r="Q733" i="2"/>
  <c r="M733" i="2"/>
  <c r="I733" i="2"/>
  <c r="J733" i="2" s="1"/>
  <c r="S732" i="2"/>
  <c r="Q732" i="2"/>
  <c r="M732" i="2"/>
  <c r="J732" i="2"/>
  <c r="I732" i="2"/>
  <c r="S731" i="2"/>
  <c r="Q731" i="2"/>
  <c r="M731" i="2"/>
  <c r="J731" i="2"/>
  <c r="S730" i="2"/>
  <c r="Q730" i="2"/>
  <c r="M730" i="2"/>
  <c r="J730" i="2"/>
  <c r="S729" i="2"/>
  <c r="Q729" i="2"/>
  <c r="M729" i="2"/>
  <c r="J729" i="2"/>
  <c r="S728" i="2"/>
  <c r="Q728" i="2"/>
  <c r="M728" i="2"/>
  <c r="J728" i="2"/>
  <c r="U727" i="2"/>
  <c r="S727" i="2"/>
  <c r="Q727" i="2"/>
  <c r="M727" i="2"/>
  <c r="J727" i="2"/>
  <c r="I727" i="2"/>
  <c r="AA726" i="2"/>
  <c r="Y726" i="2"/>
  <c r="W726" i="2"/>
  <c r="V726" i="2"/>
  <c r="U726" i="2"/>
  <c r="T726" i="2"/>
  <c r="I726" i="2"/>
  <c r="AA725" i="2"/>
  <c r="Y725" i="2"/>
  <c r="W725" i="2"/>
  <c r="V725" i="2"/>
  <c r="U725" i="2"/>
  <c r="T725" i="2"/>
  <c r="I725" i="2"/>
  <c r="AA724" i="2"/>
  <c r="Y724" i="2"/>
  <c r="W724" i="2"/>
  <c r="V724" i="2"/>
  <c r="U724" i="2"/>
  <c r="T724" i="2"/>
  <c r="I724" i="2"/>
  <c r="S723" i="2"/>
  <c r="Q723" i="2"/>
  <c r="M723" i="2"/>
  <c r="AA722" i="2"/>
  <c r="Y722" i="2"/>
  <c r="W722" i="2"/>
  <c r="V722" i="2"/>
  <c r="U722" i="2"/>
  <c r="T722" i="2"/>
  <c r="I722" i="2"/>
  <c r="AA721" i="2"/>
  <c r="AA720" i="2" s="1"/>
  <c r="Y721" i="2"/>
  <c r="W721" i="2"/>
  <c r="V721" i="2"/>
  <c r="V720" i="2" s="1"/>
  <c r="U721" i="2"/>
  <c r="U723" i="2" s="1"/>
  <c r="T721" i="2"/>
  <c r="I721" i="2"/>
  <c r="I723" i="2" s="1"/>
  <c r="J723" i="2" s="1"/>
  <c r="Y720" i="2"/>
  <c r="W720" i="2"/>
  <c r="U720" i="2"/>
  <c r="T720" i="2"/>
  <c r="I720" i="2"/>
  <c r="AA719" i="2"/>
  <c r="Y719" i="2"/>
  <c r="W719" i="2"/>
  <c r="V719" i="2"/>
  <c r="U719" i="2"/>
  <c r="T719" i="2"/>
  <c r="I719" i="2"/>
  <c r="S718" i="2"/>
  <c r="Q718" i="2"/>
  <c r="M718" i="2"/>
  <c r="I718" i="2"/>
  <c r="J718" i="2" s="1"/>
  <c r="I717" i="2"/>
  <c r="I716" i="2"/>
  <c r="S715" i="2"/>
  <c r="Q715" i="2"/>
  <c r="M715" i="2"/>
  <c r="AA714" i="2"/>
  <c r="Y714" i="2"/>
  <c r="W714" i="2"/>
  <c r="V714" i="2"/>
  <c r="U714" i="2"/>
  <c r="T714" i="2"/>
  <c r="I714" i="2"/>
  <c r="S713" i="2"/>
  <c r="Q713" i="2"/>
  <c r="M713" i="2"/>
  <c r="J713" i="2"/>
  <c r="I713" i="2"/>
  <c r="I712" i="2"/>
  <c r="I711" i="2"/>
  <c r="AA710" i="2"/>
  <c r="Y710" i="2"/>
  <c r="W710" i="2"/>
  <c r="V710" i="2"/>
  <c r="AA709" i="2"/>
  <c r="Y709" i="2"/>
  <c r="W709" i="2"/>
  <c r="V709" i="2"/>
  <c r="U709" i="2"/>
  <c r="T709" i="2"/>
  <c r="I709" i="2"/>
  <c r="S708" i="2"/>
  <c r="Q708" i="2"/>
  <c r="M708" i="2"/>
  <c r="J708" i="2"/>
  <c r="I708" i="2"/>
  <c r="S707" i="2"/>
  <c r="Q707" i="2"/>
  <c r="M707" i="2"/>
  <c r="I707" i="2"/>
  <c r="J707" i="2" s="1"/>
  <c r="S706" i="2"/>
  <c r="Q706" i="2"/>
  <c r="M706" i="2"/>
  <c r="J706" i="2"/>
  <c r="I706" i="2"/>
  <c r="AA705" i="2"/>
  <c r="W705" i="2"/>
  <c r="V705" i="2"/>
  <c r="U705" i="2"/>
  <c r="I705" i="2"/>
  <c r="AA704" i="2"/>
  <c r="Y704" i="2"/>
  <c r="W704" i="2"/>
  <c r="W703" i="2" s="1"/>
  <c r="V704" i="2"/>
  <c r="V703" i="2" s="1"/>
  <c r="U704" i="2"/>
  <c r="T704" i="2"/>
  <c r="I704" i="2"/>
  <c r="AA703" i="2"/>
  <c r="Y703" i="2"/>
  <c r="U703" i="2"/>
  <c r="T703" i="2"/>
  <c r="I703" i="2"/>
  <c r="AA702" i="2"/>
  <c r="AA701" i="2" s="1"/>
  <c r="Y702" i="2"/>
  <c r="Y701" i="2" s="1"/>
  <c r="W702" i="2"/>
  <c r="V702" i="2"/>
  <c r="U702" i="2"/>
  <c r="T702" i="2"/>
  <c r="I702" i="2"/>
  <c r="W701" i="2"/>
  <c r="V701" i="2"/>
  <c r="U701" i="2"/>
  <c r="T701" i="2"/>
  <c r="I701" i="2"/>
  <c r="C700" i="2"/>
  <c r="S699" i="2"/>
  <c r="Q699" i="2"/>
  <c r="M699" i="2"/>
  <c r="I699" i="2"/>
  <c r="J699" i="2" s="1"/>
  <c r="S698" i="2"/>
  <c r="Q698" i="2"/>
  <c r="M698" i="2"/>
  <c r="I698" i="2"/>
  <c r="J698" i="2" s="1"/>
  <c r="S697" i="2"/>
  <c r="Q697" i="2"/>
  <c r="M697" i="2"/>
  <c r="J697" i="2"/>
  <c r="I697" i="2"/>
  <c r="S696" i="2"/>
  <c r="Q696" i="2"/>
  <c r="M696" i="2"/>
  <c r="J696" i="2"/>
  <c r="I696" i="2"/>
  <c r="S695" i="2"/>
  <c r="Q695" i="2"/>
  <c r="M695" i="2"/>
  <c r="I695" i="2"/>
  <c r="J695" i="2" s="1"/>
  <c r="S694" i="2"/>
  <c r="Q694" i="2"/>
  <c r="M694" i="2"/>
  <c r="I694" i="2"/>
  <c r="J694" i="2" s="1"/>
  <c r="AA693" i="2"/>
  <c r="Y693" i="2"/>
  <c r="W693" i="2"/>
  <c r="V693" i="2"/>
  <c r="U693" i="2"/>
  <c r="T693" i="2"/>
  <c r="I693" i="2"/>
  <c r="U692" i="2"/>
  <c r="S692" i="2"/>
  <c r="Q692" i="2"/>
  <c r="M692" i="2"/>
  <c r="I692" i="2"/>
  <c r="J692" i="2" s="1"/>
  <c r="AA691" i="2"/>
  <c r="Y691" i="2"/>
  <c r="V691" i="2"/>
  <c r="V690" i="2" s="1"/>
  <c r="U691" i="2"/>
  <c r="T691" i="2"/>
  <c r="T690" i="2" s="1"/>
  <c r="I691" i="2"/>
  <c r="AA690" i="2"/>
  <c r="Y690" i="2"/>
  <c r="W690" i="2"/>
  <c r="U690" i="2"/>
  <c r="I690" i="2"/>
  <c r="AA689" i="2"/>
  <c r="Y689" i="2"/>
  <c r="W689" i="2"/>
  <c r="V689" i="2"/>
  <c r="U689" i="2"/>
  <c r="T689" i="2"/>
  <c r="I689" i="2"/>
  <c r="C688" i="2"/>
  <c r="S687" i="2"/>
  <c r="Q687" i="2"/>
  <c r="M687" i="2"/>
  <c r="I687" i="2"/>
  <c r="J687" i="2" s="1"/>
  <c r="S686" i="2"/>
  <c r="Q686" i="2"/>
  <c r="M686" i="2"/>
  <c r="J686" i="2"/>
  <c r="I686" i="2"/>
  <c r="S685" i="2"/>
  <c r="Q685" i="2"/>
  <c r="M685" i="2"/>
  <c r="J685" i="2"/>
  <c r="I685" i="2"/>
  <c r="S684" i="2"/>
  <c r="Q684" i="2"/>
  <c r="M684" i="2"/>
  <c r="I684" i="2"/>
  <c r="J684" i="2" s="1"/>
  <c r="S683" i="2"/>
  <c r="Q683" i="2"/>
  <c r="M683" i="2"/>
  <c r="J683" i="2"/>
  <c r="I683" i="2"/>
  <c r="S682" i="2"/>
  <c r="Q682" i="2"/>
  <c r="M682" i="2"/>
  <c r="I682" i="2"/>
  <c r="J682" i="2" s="1"/>
  <c r="S681" i="2"/>
  <c r="Q681" i="2"/>
  <c r="M681" i="2"/>
  <c r="J681" i="2"/>
  <c r="I681" i="2"/>
  <c r="S680" i="2"/>
  <c r="Q680" i="2"/>
  <c r="M680" i="2"/>
  <c r="I680" i="2"/>
  <c r="J680" i="2" s="1"/>
  <c r="U679" i="2"/>
  <c r="S679" i="2"/>
  <c r="Q679" i="2"/>
  <c r="M679" i="2"/>
  <c r="U678" i="2"/>
  <c r="S678" i="2"/>
  <c r="Q678" i="2"/>
  <c r="M678" i="2"/>
  <c r="U677" i="2"/>
  <c r="S677" i="2"/>
  <c r="Q677" i="2"/>
  <c r="M677" i="2"/>
  <c r="I677" i="2"/>
  <c r="J677" i="2" s="1"/>
  <c r="U676" i="2"/>
  <c r="I676" i="2"/>
  <c r="I678" i="2" s="1"/>
  <c r="J678" i="2" s="1"/>
  <c r="U675" i="2"/>
  <c r="S675" i="2"/>
  <c r="Q675" i="2"/>
  <c r="M675" i="2"/>
  <c r="I675" i="2"/>
  <c r="J675" i="2" s="1"/>
  <c r="U674" i="2"/>
  <c r="S674" i="2"/>
  <c r="Q674" i="2"/>
  <c r="M674" i="2"/>
  <c r="J674" i="2"/>
  <c r="I674" i="2"/>
  <c r="U673" i="2"/>
  <c r="S673" i="2"/>
  <c r="Q673" i="2"/>
  <c r="M673" i="2"/>
  <c r="I673" i="2"/>
  <c r="J673" i="2" s="1"/>
  <c r="U672" i="2"/>
  <c r="S672" i="2"/>
  <c r="Q672" i="2"/>
  <c r="M672" i="2"/>
  <c r="J672" i="2"/>
  <c r="I672" i="2"/>
  <c r="U671" i="2"/>
  <c r="S671" i="2"/>
  <c r="Q671" i="2"/>
  <c r="M671" i="2"/>
  <c r="J671" i="2"/>
  <c r="U670" i="2"/>
  <c r="S670" i="2"/>
  <c r="Q670" i="2"/>
  <c r="M670" i="2"/>
  <c r="J670" i="2"/>
  <c r="S669" i="2"/>
  <c r="Q669" i="2"/>
  <c r="M669" i="2"/>
  <c r="J669" i="2"/>
  <c r="I669" i="2"/>
  <c r="S668" i="2"/>
  <c r="Q668" i="2"/>
  <c r="M668" i="2"/>
  <c r="U667" i="2"/>
  <c r="S667" i="2"/>
  <c r="Q667" i="2"/>
  <c r="M667" i="2"/>
  <c r="I667" i="2"/>
  <c r="J667" i="2" s="1"/>
  <c r="AA666" i="2"/>
  <c r="Y666" i="2"/>
  <c r="W666" i="2"/>
  <c r="V666" i="2"/>
  <c r="U666" i="2"/>
  <c r="T666" i="2"/>
  <c r="I666" i="2"/>
  <c r="U665" i="2"/>
  <c r="S665" i="2"/>
  <c r="Q665" i="2"/>
  <c r="M665" i="2"/>
  <c r="I665" i="2"/>
  <c r="J665" i="2" s="1"/>
  <c r="U664" i="2"/>
  <c r="S664" i="2"/>
  <c r="Q664" i="2"/>
  <c r="M664" i="2"/>
  <c r="J664" i="2"/>
  <c r="I664" i="2"/>
  <c r="U663" i="2"/>
  <c r="S663" i="2"/>
  <c r="Q663" i="2"/>
  <c r="M663" i="2"/>
  <c r="J663" i="2"/>
  <c r="I663" i="2"/>
  <c r="U662" i="2"/>
  <c r="S662" i="2"/>
  <c r="Q662" i="2"/>
  <c r="M662" i="2"/>
  <c r="I662" i="2"/>
  <c r="J662" i="2" s="1"/>
  <c r="S661" i="2"/>
  <c r="Q661" i="2"/>
  <c r="M661" i="2"/>
  <c r="I661" i="2"/>
  <c r="J661" i="2" s="1"/>
  <c r="S660" i="2"/>
  <c r="Q660" i="2"/>
  <c r="M660" i="2"/>
  <c r="J660" i="2"/>
  <c r="I660" i="2"/>
  <c r="S659" i="2"/>
  <c r="Q659" i="2"/>
  <c r="M659" i="2"/>
  <c r="S658" i="2"/>
  <c r="Q658" i="2"/>
  <c r="M658" i="2"/>
  <c r="U657" i="2"/>
  <c r="S657" i="2"/>
  <c r="Q657" i="2"/>
  <c r="M657" i="2"/>
  <c r="J657" i="2"/>
  <c r="I657" i="2"/>
  <c r="U656" i="2"/>
  <c r="S656" i="2"/>
  <c r="Q656" i="2"/>
  <c r="M656" i="2"/>
  <c r="I656" i="2"/>
  <c r="J656" i="2" s="1"/>
  <c r="U655" i="2"/>
  <c r="S655" i="2"/>
  <c r="Q655" i="2"/>
  <c r="M655" i="2"/>
  <c r="I655" i="2"/>
  <c r="J655" i="2" s="1"/>
  <c r="U654" i="2"/>
  <c r="S654" i="2"/>
  <c r="Q654" i="2"/>
  <c r="M654" i="2"/>
  <c r="I654" i="2"/>
  <c r="J654" i="2" s="1"/>
  <c r="U653" i="2"/>
  <c r="S653" i="2"/>
  <c r="Q653" i="2"/>
  <c r="M653" i="2"/>
  <c r="J653" i="2"/>
  <c r="I653" i="2"/>
  <c r="U652" i="2"/>
  <c r="S652" i="2"/>
  <c r="Q652" i="2"/>
  <c r="M652" i="2"/>
  <c r="J652" i="2"/>
  <c r="I652" i="2"/>
  <c r="U651" i="2"/>
  <c r="U659" i="2" s="1"/>
  <c r="S651" i="2"/>
  <c r="Q651" i="2"/>
  <c r="M651" i="2"/>
  <c r="I651" i="2"/>
  <c r="J651" i="2" s="1"/>
  <c r="U650" i="2"/>
  <c r="S650" i="2"/>
  <c r="Q650" i="2"/>
  <c r="M650" i="2"/>
  <c r="J650" i="2"/>
  <c r="I650" i="2"/>
  <c r="U649" i="2"/>
  <c r="S649" i="2"/>
  <c r="Q649" i="2"/>
  <c r="M649" i="2"/>
  <c r="I649" i="2"/>
  <c r="J649" i="2" s="1"/>
  <c r="U648" i="2"/>
  <c r="S648" i="2"/>
  <c r="Q648" i="2"/>
  <c r="M648" i="2"/>
  <c r="J648" i="2"/>
  <c r="I648" i="2"/>
  <c r="U647" i="2"/>
  <c r="S647" i="2"/>
  <c r="Q647" i="2"/>
  <c r="M647" i="2"/>
  <c r="I647" i="2"/>
  <c r="J647" i="2" s="1"/>
  <c r="U646" i="2"/>
  <c r="S646" i="2"/>
  <c r="Q646" i="2"/>
  <c r="M646" i="2"/>
  <c r="I646" i="2"/>
  <c r="J646" i="2" s="1"/>
  <c r="U645" i="2"/>
  <c r="S645" i="2"/>
  <c r="Q645" i="2"/>
  <c r="M645" i="2"/>
  <c r="J645" i="2"/>
  <c r="I645" i="2"/>
  <c r="U644" i="2"/>
  <c r="S644" i="2"/>
  <c r="Q644" i="2"/>
  <c r="M644" i="2"/>
  <c r="I644" i="2"/>
  <c r="S643" i="2"/>
  <c r="Q643" i="2"/>
  <c r="M643" i="2"/>
  <c r="J643" i="2"/>
  <c r="AA642" i="2"/>
  <c r="Y642" i="2"/>
  <c r="W642" i="2"/>
  <c r="V642" i="2"/>
  <c r="U642" i="2"/>
  <c r="T642" i="2"/>
  <c r="I642" i="2"/>
  <c r="I643" i="2" s="1"/>
  <c r="AA641" i="2"/>
  <c r="Y641" i="2"/>
  <c r="W641" i="2"/>
  <c r="V641" i="2"/>
  <c r="U641" i="2"/>
  <c r="T641" i="2"/>
  <c r="I641" i="2"/>
  <c r="C640" i="2"/>
  <c r="W639" i="2"/>
  <c r="V639" i="2"/>
  <c r="U639" i="2"/>
  <c r="I639" i="2"/>
  <c r="U638" i="2"/>
  <c r="S638" i="2"/>
  <c r="Q638" i="2"/>
  <c r="M638" i="2"/>
  <c r="I638" i="2"/>
  <c r="J638" i="2" s="1"/>
  <c r="S637" i="2"/>
  <c r="Q637" i="2"/>
  <c r="M637" i="2"/>
  <c r="J637" i="2"/>
  <c r="U636" i="2"/>
  <c r="I636" i="2"/>
  <c r="U635" i="2"/>
  <c r="I635" i="2"/>
  <c r="U634" i="2"/>
  <c r="I634" i="2"/>
  <c r="U633" i="2"/>
  <c r="S633" i="2"/>
  <c r="Q633" i="2"/>
  <c r="M633" i="2"/>
  <c r="J633" i="2"/>
  <c r="I633" i="2"/>
  <c r="S632" i="2"/>
  <c r="Q632" i="2"/>
  <c r="M632" i="2"/>
  <c r="I632" i="2"/>
  <c r="J632" i="2" s="1"/>
  <c r="S631" i="2"/>
  <c r="Q631" i="2"/>
  <c r="M631" i="2"/>
  <c r="S630" i="2"/>
  <c r="Q630" i="2"/>
  <c r="M630" i="2"/>
  <c r="U629" i="2"/>
  <c r="S629" i="2"/>
  <c r="Q629" i="2"/>
  <c r="M629" i="2"/>
  <c r="I629" i="2"/>
  <c r="J629" i="2" s="1"/>
  <c r="U628" i="2"/>
  <c r="U632" i="2" s="1"/>
  <c r="S628" i="2"/>
  <c r="Q628" i="2"/>
  <c r="M628" i="2"/>
  <c r="J628" i="2"/>
  <c r="I628" i="2"/>
  <c r="U627" i="2"/>
  <c r="U631" i="2" s="1"/>
  <c r="S627" i="2"/>
  <c r="Q627" i="2"/>
  <c r="M627" i="2"/>
  <c r="J627" i="2"/>
  <c r="I627" i="2"/>
  <c r="I631" i="2" s="1"/>
  <c r="J631" i="2" s="1"/>
  <c r="U626" i="2"/>
  <c r="U630" i="2" s="1"/>
  <c r="I626" i="2"/>
  <c r="I630" i="2" s="1"/>
  <c r="J630" i="2" s="1"/>
  <c r="S625" i="2"/>
  <c r="Q625" i="2"/>
  <c r="M625" i="2"/>
  <c r="J625" i="2"/>
  <c r="U624" i="2"/>
  <c r="S624" i="2"/>
  <c r="Q624" i="2"/>
  <c r="M624" i="2"/>
  <c r="J624" i="2"/>
  <c r="I624" i="2"/>
  <c r="U623" i="2"/>
  <c r="S623" i="2"/>
  <c r="Q623" i="2"/>
  <c r="M623" i="2"/>
  <c r="I623" i="2"/>
  <c r="J623" i="2" s="1"/>
  <c r="U622" i="2"/>
  <c r="S622" i="2"/>
  <c r="Q622" i="2"/>
  <c r="M622" i="2"/>
  <c r="I622" i="2"/>
  <c r="J622" i="2" s="1"/>
  <c r="U621" i="2"/>
  <c r="S621" i="2"/>
  <c r="Q621" i="2"/>
  <c r="M621" i="2"/>
  <c r="J621" i="2"/>
  <c r="I621" i="2"/>
  <c r="U620" i="2"/>
  <c r="S620" i="2"/>
  <c r="Q620" i="2"/>
  <c r="M620" i="2"/>
  <c r="J620" i="2"/>
  <c r="I620" i="2"/>
  <c r="U619" i="2"/>
  <c r="S619" i="2"/>
  <c r="Q619" i="2"/>
  <c r="M619" i="2"/>
  <c r="I619" i="2"/>
  <c r="J619" i="2" s="1"/>
  <c r="V618" i="2"/>
  <c r="U618" i="2"/>
  <c r="I618" i="2"/>
  <c r="U617" i="2"/>
  <c r="S617" i="2"/>
  <c r="Q617" i="2"/>
  <c r="M617" i="2"/>
  <c r="J617" i="2"/>
  <c r="I617" i="2"/>
  <c r="S616" i="2"/>
  <c r="Q616" i="2"/>
  <c r="M616" i="2"/>
  <c r="W615" i="2"/>
  <c r="V615" i="2"/>
  <c r="U615" i="2"/>
  <c r="I615" i="2"/>
  <c r="U614" i="2"/>
  <c r="S614" i="2"/>
  <c r="Q614" i="2"/>
  <c r="M614" i="2"/>
  <c r="J614" i="2"/>
  <c r="U613" i="2"/>
  <c r="S613" i="2"/>
  <c r="Q613" i="2"/>
  <c r="M613" i="2"/>
  <c r="J613" i="2"/>
  <c r="I613" i="2"/>
  <c r="I614" i="2" s="1"/>
  <c r="S612" i="2"/>
  <c r="Q612" i="2"/>
  <c r="M612" i="2"/>
  <c r="S611" i="2"/>
  <c r="Q611" i="2"/>
  <c r="M611" i="2"/>
  <c r="I611" i="2"/>
  <c r="J611" i="2" s="1"/>
  <c r="S610" i="2"/>
  <c r="Q610" i="2"/>
  <c r="M610" i="2"/>
  <c r="I610" i="2"/>
  <c r="J610" i="2" s="1"/>
  <c r="S609" i="2"/>
  <c r="Q609" i="2"/>
  <c r="M609" i="2"/>
  <c r="S608" i="2"/>
  <c r="Q608" i="2"/>
  <c r="M608" i="2"/>
  <c r="I608" i="2"/>
  <c r="J608" i="2" s="1"/>
  <c r="S607" i="2"/>
  <c r="Q607" i="2"/>
  <c r="M607" i="2"/>
  <c r="S606" i="2"/>
  <c r="Q606" i="2"/>
  <c r="M606" i="2"/>
  <c r="S605" i="2"/>
  <c r="Q605" i="2"/>
  <c r="M605" i="2"/>
  <c r="J605" i="2"/>
  <c r="W604" i="2"/>
  <c r="V604" i="2"/>
  <c r="U604" i="2"/>
  <c r="I604" i="2"/>
  <c r="W603" i="2"/>
  <c r="V603" i="2"/>
  <c r="U603" i="2"/>
  <c r="I603" i="2"/>
  <c r="W602" i="2"/>
  <c r="V602" i="2"/>
  <c r="U602" i="2"/>
  <c r="I602" i="2"/>
  <c r="I609" i="2" s="1"/>
  <c r="J609" i="2" s="1"/>
  <c r="W601" i="2"/>
  <c r="V601" i="2"/>
  <c r="U601" i="2"/>
  <c r="I601" i="2"/>
  <c r="W600" i="2"/>
  <c r="V600" i="2"/>
  <c r="U600" i="2"/>
  <c r="I600" i="2"/>
  <c r="I607" i="2" s="1"/>
  <c r="J607" i="2" s="1"/>
  <c r="W599" i="2"/>
  <c r="V599" i="2"/>
  <c r="U599" i="2"/>
  <c r="I599" i="2"/>
  <c r="I606" i="2" s="1"/>
  <c r="J606" i="2" s="1"/>
  <c r="W598" i="2"/>
  <c r="V598" i="2"/>
  <c r="U598" i="2"/>
  <c r="I598" i="2"/>
  <c r="I605" i="2" s="1"/>
  <c r="W597" i="2" a="1"/>
  <c r="W597" i="2" s="1"/>
  <c r="V597" i="2" a="1"/>
  <c r="V597" i="2" s="1"/>
  <c r="I597" i="2"/>
  <c r="W596" i="2"/>
  <c r="W596" i="2" a="1"/>
  <c r="V596" i="2" a="1"/>
  <c r="V596" i="2" s="1"/>
  <c r="I596" i="2"/>
  <c r="W595" i="2" a="1"/>
  <c r="W595" i="2" s="1"/>
  <c r="V595" i="2"/>
  <c r="V595" i="2" a="1"/>
  <c r="I595" i="2"/>
  <c r="W594" i="2"/>
  <c r="W594" i="2" a="1"/>
  <c r="V594" i="2"/>
  <c r="V594" i="2" a="1"/>
  <c r="I594" i="2"/>
  <c r="W593" i="2" a="1"/>
  <c r="W593" i="2" s="1"/>
  <c r="V593" i="2" a="1"/>
  <c r="V593" i="2" s="1"/>
  <c r="I593" i="2"/>
  <c r="W592" i="2"/>
  <c r="W592" i="2" a="1"/>
  <c r="V592" i="2" a="1"/>
  <c r="V592" i="2" s="1"/>
  <c r="I592" i="2"/>
  <c r="W591" i="2" a="1"/>
  <c r="W591" i="2" s="1"/>
  <c r="V591" i="2"/>
  <c r="V591" i="2" a="1"/>
  <c r="I591" i="2"/>
  <c r="W590" i="2"/>
  <c r="W590" i="2" a="1"/>
  <c r="V590" i="2" a="1"/>
  <c r="V590" i="2" s="1"/>
  <c r="I590" i="2"/>
  <c r="W589" i="2" a="1"/>
  <c r="W589" i="2" s="1"/>
  <c r="V589" i="2"/>
  <c r="V589" i="2" a="1"/>
  <c r="I589" i="2"/>
  <c r="W588" i="2" a="1"/>
  <c r="W588" i="2" s="1"/>
  <c r="V588" i="2"/>
  <c r="V588" i="2" a="1"/>
  <c r="I588" i="2"/>
  <c r="W587" i="2" a="1"/>
  <c r="W587" i="2" s="1"/>
  <c r="V587" i="2"/>
  <c r="V587" i="2" a="1"/>
  <c r="I587" i="2"/>
  <c r="W586" i="2" a="1"/>
  <c r="W586" i="2" s="1"/>
  <c r="V586" i="2"/>
  <c r="V586" i="2" a="1"/>
  <c r="I586" i="2"/>
  <c r="C585" i="2"/>
  <c r="AA584" i="2"/>
  <c r="Y584" i="2"/>
  <c r="W584" i="2"/>
  <c r="V584" i="2"/>
  <c r="U584" i="2"/>
  <c r="I584" i="2"/>
  <c r="U583" i="2"/>
  <c r="S583" i="2"/>
  <c r="Q583" i="2"/>
  <c r="M583" i="2"/>
  <c r="I583" i="2"/>
  <c r="J583" i="2" s="1"/>
  <c r="U582" i="2"/>
  <c r="S582" i="2"/>
  <c r="Q582" i="2"/>
  <c r="M582" i="2"/>
  <c r="I582" i="2"/>
  <c r="J582" i="2" s="1"/>
  <c r="S581" i="2"/>
  <c r="Q581" i="2"/>
  <c r="M581" i="2"/>
  <c r="J581" i="2"/>
  <c r="I581" i="2"/>
  <c r="S580" i="2"/>
  <c r="Q580" i="2"/>
  <c r="M580" i="2"/>
  <c r="J580" i="2"/>
  <c r="I580" i="2"/>
  <c r="S579" i="2"/>
  <c r="Q579" i="2"/>
  <c r="M579" i="2"/>
  <c r="I579" i="2"/>
  <c r="J579" i="2" s="1"/>
  <c r="S578" i="2"/>
  <c r="Q578" i="2"/>
  <c r="M578" i="2"/>
  <c r="J578" i="2"/>
  <c r="I578" i="2"/>
  <c r="U577" i="2"/>
  <c r="S577" i="2"/>
  <c r="Q577" i="2"/>
  <c r="M577" i="2"/>
  <c r="J577" i="2"/>
  <c r="I577" i="2"/>
  <c r="U576" i="2"/>
  <c r="S576" i="2"/>
  <c r="Q576" i="2"/>
  <c r="M576" i="2"/>
  <c r="J576" i="2"/>
  <c r="I576" i="2"/>
  <c r="W575" i="2"/>
  <c r="V575" i="2"/>
  <c r="U575" i="2"/>
  <c r="I575" i="2"/>
  <c r="W574" i="2"/>
  <c r="V574" i="2"/>
  <c r="U574" i="2"/>
  <c r="I574" i="2"/>
  <c r="S573" i="2"/>
  <c r="Q573" i="2"/>
  <c r="M573" i="2"/>
  <c r="J573" i="2"/>
  <c r="U572" i="2"/>
  <c r="S572" i="2"/>
  <c r="Q572" i="2"/>
  <c r="M572" i="2"/>
  <c r="J572" i="2"/>
  <c r="I572" i="2"/>
  <c r="U571" i="2"/>
  <c r="S571" i="2"/>
  <c r="Q571" i="2"/>
  <c r="M571" i="2"/>
  <c r="J571" i="2"/>
  <c r="I571" i="2"/>
  <c r="U570" i="2"/>
  <c r="S570" i="2"/>
  <c r="Q570" i="2"/>
  <c r="M570" i="2"/>
  <c r="I570" i="2"/>
  <c r="J570" i="2" s="1"/>
  <c r="U569" i="2"/>
  <c r="S569" i="2"/>
  <c r="Q569" i="2"/>
  <c r="M569" i="2"/>
  <c r="J569" i="2"/>
  <c r="I569" i="2"/>
  <c r="U568" i="2"/>
  <c r="S568" i="2"/>
  <c r="Q568" i="2"/>
  <c r="M568" i="2"/>
  <c r="J568" i="2"/>
  <c r="I568" i="2"/>
  <c r="U567" i="2"/>
  <c r="S567" i="2"/>
  <c r="Q567" i="2"/>
  <c r="M567" i="2"/>
  <c r="I567" i="2"/>
  <c r="J567" i="2" s="1"/>
  <c r="W566" i="2"/>
  <c r="V566" i="2"/>
  <c r="U566" i="2"/>
  <c r="M566" i="2"/>
  <c r="K566" i="2"/>
  <c r="I566" i="2"/>
  <c r="W565" i="2"/>
  <c r="V565" i="2"/>
  <c r="U565" i="2"/>
  <c r="I565" i="2"/>
  <c r="U564" i="2"/>
  <c r="I564" i="2"/>
  <c r="U563" i="2"/>
  <c r="I563" i="2"/>
  <c r="W562" i="2"/>
  <c r="W563" i="2" s="1"/>
  <c r="W564" i="2" s="1"/>
  <c r="U562" i="2"/>
  <c r="I562" i="2"/>
  <c r="AA561" i="2"/>
  <c r="Y561" i="2"/>
  <c r="Y562" i="2" s="1"/>
  <c r="Y563" i="2" s="1"/>
  <c r="Y564" i="2" s="1"/>
  <c r="W561" i="2"/>
  <c r="V561" i="2"/>
  <c r="V562" i="2" s="1"/>
  <c r="V563" i="2" s="1"/>
  <c r="V564" i="2" s="1"/>
  <c r="U561" i="2"/>
  <c r="I561" i="2"/>
  <c r="U560" i="2"/>
  <c r="S560" i="2"/>
  <c r="Q560" i="2"/>
  <c r="M560" i="2"/>
  <c r="J560" i="2"/>
  <c r="I560" i="2"/>
  <c r="U559" i="2"/>
  <c r="S559" i="2"/>
  <c r="Q559" i="2"/>
  <c r="M559" i="2"/>
  <c r="I559" i="2"/>
  <c r="J559" i="2" s="1"/>
  <c r="U558" i="2"/>
  <c r="I558" i="2"/>
  <c r="V557" i="2"/>
  <c r="U557" i="2"/>
  <c r="I557" i="2"/>
  <c r="S556" i="2"/>
  <c r="Q556" i="2"/>
  <c r="M556" i="2"/>
  <c r="W555" i="2"/>
  <c r="W557" i="2" s="1"/>
  <c r="V555" i="2"/>
  <c r="U555" i="2"/>
  <c r="I555" i="2"/>
  <c r="W554" i="2" a="1"/>
  <c r="W554" i="2" s="1"/>
  <c r="V554" i="2"/>
  <c r="V554" i="2" a="1"/>
  <c r="U554" i="2"/>
  <c r="I554" i="2"/>
  <c r="W553" i="2"/>
  <c r="W553" i="2" a="1"/>
  <c r="V553" i="2"/>
  <c r="V553" i="2" a="1"/>
  <c r="U553" i="2"/>
  <c r="I553" i="2"/>
  <c r="W552" i="2" a="1"/>
  <c r="W552" i="2" s="1"/>
  <c r="V552" i="2" a="1"/>
  <c r="V552" i="2" s="1"/>
  <c r="U552" i="2"/>
  <c r="I552" i="2"/>
  <c r="W551" i="2"/>
  <c r="W551" i="2" a="1"/>
  <c r="V551" i="2"/>
  <c r="V551" i="2" a="1"/>
  <c r="U551" i="2"/>
  <c r="I551" i="2"/>
  <c r="W550" i="2" a="1"/>
  <c r="W550" i="2" s="1"/>
  <c r="V550" i="2"/>
  <c r="V550" i="2" a="1"/>
  <c r="U550" i="2"/>
  <c r="I550" i="2"/>
  <c r="W549" i="2"/>
  <c r="W549" i="2" a="1"/>
  <c r="V549" i="2"/>
  <c r="V549" i="2" a="1"/>
  <c r="U549" i="2"/>
  <c r="I549" i="2"/>
  <c r="W548" i="2"/>
  <c r="W548" i="2" a="1"/>
  <c r="V548" i="2" a="1"/>
  <c r="V548" i="2" s="1"/>
  <c r="U548" i="2"/>
  <c r="I548" i="2"/>
  <c r="W547" i="2"/>
  <c r="W547" i="2" a="1"/>
  <c r="V547" i="2" a="1"/>
  <c r="V547" i="2" s="1"/>
  <c r="U547" i="2"/>
  <c r="I547" i="2"/>
  <c r="W546" i="2" a="1"/>
  <c r="W546" i="2" s="1"/>
  <c r="V546" i="2"/>
  <c r="V546" i="2" a="1"/>
  <c r="U546" i="2"/>
  <c r="I546" i="2"/>
  <c r="W545" i="2" a="1"/>
  <c r="W545" i="2" s="1"/>
  <c r="V545" i="2"/>
  <c r="V545" i="2" a="1"/>
  <c r="U545" i="2"/>
  <c r="I545" i="2"/>
  <c r="W544" i="2"/>
  <c r="W544" i="2" a="1"/>
  <c r="V544" i="2" a="1"/>
  <c r="V544" i="2" s="1"/>
  <c r="U544" i="2"/>
  <c r="I544" i="2"/>
  <c r="W543" i="2"/>
  <c r="W543" i="2" a="1"/>
  <c r="V543" i="2" a="1"/>
  <c r="V543" i="2" s="1"/>
  <c r="U543" i="2"/>
  <c r="I543" i="2"/>
  <c r="C542" i="2"/>
  <c r="S541" i="2"/>
  <c r="Q541" i="2"/>
  <c r="M541" i="2"/>
  <c r="I541" i="2"/>
  <c r="J541" i="2" s="1"/>
  <c r="S540" i="2"/>
  <c r="Q540" i="2"/>
  <c r="M540" i="2"/>
  <c r="I540" i="2"/>
  <c r="J540" i="2" s="1"/>
  <c r="S539" i="2"/>
  <c r="Q539" i="2"/>
  <c r="M539" i="2"/>
  <c r="J539" i="2"/>
  <c r="I539" i="2"/>
  <c r="S538" i="2"/>
  <c r="Q538" i="2"/>
  <c r="M538" i="2"/>
  <c r="J538" i="2"/>
  <c r="I538" i="2"/>
  <c r="S537" i="2"/>
  <c r="Q537" i="2"/>
  <c r="M537" i="2"/>
  <c r="I537" i="2"/>
  <c r="J537" i="2" s="1"/>
  <c r="S536" i="2"/>
  <c r="Q536" i="2"/>
  <c r="M536" i="2"/>
  <c r="J536" i="2"/>
  <c r="I536" i="2"/>
  <c r="S535" i="2"/>
  <c r="Q535" i="2"/>
  <c r="M535" i="2"/>
  <c r="I535" i="2"/>
  <c r="J535" i="2" s="1"/>
  <c r="S534" i="2"/>
  <c r="Q534" i="2"/>
  <c r="M534" i="2"/>
  <c r="J534" i="2"/>
  <c r="I534" i="2"/>
  <c r="S533" i="2"/>
  <c r="Q533" i="2"/>
  <c r="M533" i="2"/>
  <c r="I533" i="2"/>
  <c r="J533" i="2" s="1"/>
  <c r="S532" i="2"/>
  <c r="Q532" i="2"/>
  <c r="M532" i="2"/>
  <c r="J532" i="2"/>
  <c r="I532" i="2"/>
  <c r="S531" i="2"/>
  <c r="Q531" i="2"/>
  <c r="M531" i="2"/>
  <c r="J531" i="2"/>
  <c r="I531" i="2"/>
  <c r="S530" i="2"/>
  <c r="Q530" i="2"/>
  <c r="M530" i="2"/>
  <c r="J530" i="2"/>
  <c r="I530" i="2"/>
  <c r="S529" i="2"/>
  <c r="Q529" i="2"/>
  <c r="M529" i="2"/>
  <c r="I529" i="2"/>
  <c r="J529" i="2" s="1"/>
  <c r="S528" i="2"/>
  <c r="Q528" i="2"/>
  <c r="M528" i="2"/>
  <c r="J528" i="2"/>
  <c r="I528" i="2"/>
  <c r="S527" i="2"/>
  <c r="Q527" i="2"/>
  <c r="M527" i="2"/>
  <c r="J527" i="2"/>
  <c r="I527" i="2"/>
  <c r="S526" i="2"/>
  <c r="Q526" i="2"/>
  <c r="M526" i="2"/>
  <c r="J526" i="2"/>
  <c r="I526" i="2"/>
  <c r="S525" i="2"/>
  <c r="Q525" i="2"/>
  <c r="M525" i="2"/>
  <c r="I525" i="2"/>
  <c r="J525" i="2" s="1"/>
  <c r="S524" i="2"/>
  <c r="Q524" i="2"/>
  <c r="M524" i="2"/>
  <c r="I524" i="2"/>
  <c r="J524" i="2" s="1"/>
  <c r="S523" i="2"/>
  <c r="Q523" i="2"/>
  <c r="M523" i="2"/>
  <c r="J523" i="2"/>
  <c r="I523" i="2"/>
  <c r="S522" i="2"/>
  <c r="Q522" i="2"/>
  <c r="M522" i="2"/>
  <c r="J522" i="2"/>
  <c r="I522" i="2"/>
  <c r="S521" i="2"/>
  <c r="Q521" i="2"/>
  <c r="M521" i="2"/>
  <c r="I521" i="2"/>
  <c r="J521" i="2" s="1"/>
  <c r="U516" i="2"/>
  <c r="S516" i="2"/>
  <c r="Q516" i="2"/>
  <c r="M516" i="2"/>
  <c r="I516" i="2"/>
  <c r="J516" i="2" s="1"/>
  <c r="Y515" i="2"/>
  <c r="W515" i="2"/>
  <c r="V515" i="2"/>
  <c r="U515" i="2"/>
  <c r="T515" i="2"/>
  <c r="Q515" i="2"/>
  <c r="K515" i="2"/>
  <c r="S515" i="2" s="1"/>
  <c r="I515" i="2"/>
  <c r="Y514" i="2"/>
  <c r="W514" i="2"/>
  <c r="V514" i="2"/>
  <c r="U514" i="2"/>
  <c r="T514" i="2"/>
  <c r="Q514" i="2"/>
  <c r="K514" i="2"/>
  <c r="I514" i="2"/>
  <c r="Y513" i="2"/>
  <c r="W513" i="2"/>
  <c r="V513" i="2"/>
  <c r="U513" i="2"/>
  <c r="T513" i="2"/>
  <c r="Q513" i="2"/>
  <c r="K513" i="2"/>
  <c r="I513" i="2"/>
  <c r="Y512" i="2"/>
  <c r="W512" i="2"/>
  <c r="V512" i="2"/>
  <c r="U512" i="2"/>
  <c r="T512" i="2"/>
  <c r="Q512" i="2"/>
  <c r="K512" i="2"/>
  <c r="I512" i="2"/>
  <c r="Y511" i="2"/>
  <c r="W511" i="2"/>
  <c r="V511" i="2"/>
  <c r="U511" i="2"/>
  <c r="T511" i="2"/>
  <c r="K511" i="2"/>
  <c r="I511" i="2"/>
  <c r="Y510" i="2"/>
  <c r="W510" i="2"/>
  <c r="V510" i="2"/>
  <c r="U510" i="2"/>
  <c r="T510" i="2"/>
  <c r="Q510" i="2"/>
  <c r="M510" i="2"/>
  <c r="K510" i="2"/>
  <c r="I510" i="2"/>
  <c r="Y509" i="2"/>
  <c r="U509" i="2"/>
  <c r="T509" i="2"/>
  <c r="S509" i="2"/>
  <c r="Q509" i="2"/>
  <c r="M509" i="2"/>
  <c r="J509" i="2"/>
  <c r="I509" i="2"/>
  <c r="Y508" i="2"/>
  <c r="W508" i="2"/>
  <c r="V508" i="2"/>
  <c r="U508" i="2"/>
  <c r="T508" i="2"/>
  <c r="S508" i="2"/>
  <c r="Q508" i="2"/>
  <c r="M508" i="2"/>
  <c r="K508" i="2"/>
  <c r="I508" i="2"/>
  <c r="J508" i="2" s="1"/>
  <c r="Y507" i="2"/>
  <c r="W507" i="2"/>
  <c r="V507" i="2"/>
  <c r="U507" i="2"/>
  <c r="T507" i="2"/>
  <c r="S507" i="2"/>
  <c r="Q507" i="2"/>
  <c r="M507" i="2"/>
  <c r="K507" i="2"/>
  <c r="J507" i="2"/>
  <c r="I507" i="2"/>
  <c r="Y506" i="2"/>
  <c r="W506" i="2"/>
  <c r="V506" i="2"/>
  <c r="U506" i="2"/>
  <c r="T506" i="2"/>
  <c r="S506" i="2"/>
  <c r="Q506" i="2"/>
  <c r="M506" i="2"/>
  <c r="K506" i="2"/>
  <c r="I506" i="2"/>
  <c r="J506" i="2" s="1"/>
  <c r="Y505" i="2"/>
  <c r="W505" i="2"/>
  <c r="V505" i="2"/>
  <c r="U505" i="2"/>
  <c r="T505" i="2"/>
  <c r="S505" i="2"/>
  <c r="Q505" i="2"/>
  <c r="M505" i="2"/>
  <c r="K505" i="2"/>
  <c r="J505" i="2"/>
  <c r="I505" i="2"/>
  <c r="Y504" i="2"/>
  <c r="W504" i="2"/>
  <c r="V504" i="2"/>
  <c r="U504" i="2"/>
  <c r="T504" i="2"/>
  <c r="S504" i="2"/>
  <c r="Q504" i="2"/>
  <c r="M504" i="2"/>
  <c r="K504" i="2"/>
  <c r="I504" i="2"/>
  <c r="J504" i="2" s="1"/>
  <c r="Y503" i="2"/>
  <c r="W503" i="2"/>
  <c r="V503" i="2"/>
  <c r="U503" i="2"/>
  <c r="T503" i="2"/>
  <c r="S503" i="2"/>
  <c r="Q503" i="2"/>
  <c r="M503" i="2"/>
  <c r="K503" i="2"/>
  <c r="J503" i="2"/>
  <c r="I503" i="2"/>
  <c r="Y502" i="2"/>
  <c r="U502" i="2"/>
  <c r="T502" i="2"/>
  <c r="S502" i="2"/>
  <c r="Q502" i="2"/>
  <c r="M502" i="2"/>
  <c r="I502" i="2"/>
  <c r="J502" i="2" s="1"/>
  <c r="Y501" i="2"/>
  <c r="W501" i="2"/>
  <c r="V501" i="2"/>
  <c r="U501" i="2"/>
  <c r="T501" i="2"/>
  <c r="I501" i="2"/>
  <c r="Y500" i="2"/>
  <c r="W500" i="2"/>
  <c r="V500" i="2"/>
  <c r="U500" i="2"/>
  <c r="T500" i="2"/>
  <c r="I500" i="2"/>
  <c r="Y499" i="2"/>
  <c r="W499" i="2"/>
  <c r="V499" i="2"/>
  <c r="U499" i="2"/>
  <c r="T499" i="2"/>
  <c r="I499" i="2"/>
  <c r="Y498" i="2"/>
  <c r="W498" i="2"/>
  <c r="V498" i="2"/>
  <c r="U498" i="2"/>
  <c r="T498" i="2"/>
  <c r="I498" i="2"/>
  <c r="Y497" i="2"/>
  <c r="W497" i="2"/>
  <c r="V497" i="2"/>
  <c r="U497" i="2"/>
  <c r="T497" i="2"/>
  <c r="I497" i="2"/>
  <c r="Y496" i="2"/>
  <c r="W496" i="2"/>
  <c r="V496" i="2"/>
  <c r="U496" i="2"/>
  <c r="T496" i="2"/>
  <c r="I496" i="2"/>
  <c r="Y495" i="2"/>
  <c r="U495" i="2"/>
  <c r="T495" i="2"/>
  <c r="S495" i="2"/>
  <c r="Q495" i="2"/>
  <c r="M495" i="2"/>
  <c r="J495" i="2"/>
  <c r="I495" i="2"/>
  <c r="Y494" i="2"/>
  <c r="U494" i="2"/>
  <c r="T494" i="2"/>
  <c r="S494" i="2"/>
  <c r="Q494" i="2"/>
  <c r="M494" i="2"/>
  <c r="I494" i="2"/>
  <c r="J494" i="2" s="1"/>
  <c r="Y493" i="2"/>
  <c r="W493" i="2"/>
  <c r="V493" i="2"/>
  <c r="U493" i="2"/>
  <c r="T493" i="2"/>
  <c r="I493" i="2"/>
  <c r="Y492" i="2"/>
  <c r="W492" i="2"/>
  <c r="V492" i="2"/>
  <c r="U492" i="2"/>
  <c r="T492" i="2"/>
  <c r="I492" i="2"/>
  <c r="Y491" i="2"/>
  <c r="W491" i="2"/>
  <c r="V491" i="2"/>
  <c r="U491" i="2"/>
  <c r="T491" i="2"/>
  <c r="I491" i="2"/>
  <c r="Y490" i="2"/>
  <c r="W490" i="2"/>
  <c r="V490" i="2"/>
  <c r="U490" i="2"/>
  <c r="T490" i="2"/>
  <c r="I490" i="2"/>
  <c r="Y489" i="2"/>
  <c r="W489" i="2"/>
  <c r="V489" i="2"/>
  <c r="U489" i="2"/>
  <c r="T489" i="2"/>
  <c r="I489" i="2"/>
  <c r="Y488" i="2"/>
  <c r="W488" i="2"/>
  <c r="V488" i="2"/>
  <c r="U488" i="2"/>
  <c r="T488" i="2"/>
  <c r="I488" i="2"/>
  <c r="Y487" i="2"/>
  <c r="W487" i="2"/>
  <c r="V487" i="2"/>
  <c r="U487" i="2"/>
  <c r="T487" i="2"/>
  <c r="I487" i="2"/>
  <c r="Y486" i="2"/>
  <c r="W486" i="2"/>
  <c r="V486" i="2"/>
  <c r="U486" i="2"/>
  <c r="T486" i="2"/>
  <c r="I486" i="2"/>
  <c r="Y485" i="2"/>
  <c r="W485" i="2"/>
  <c r="V485" i="2"/>
  <c r="U485" i="2"/>
  <c r="T485" i="2"/>
  <c r="I485" i="2"/>
  <c r="Y484" i="2"/>
  <c r="W484" i="2"/>
  <c r="V484" i="2"/>
  <c r="U484" i="2"/>
  <c r="T484" i="2"/>
  <c r="I484" i="2"/>
  <c r="Y483" i="2"/>
  <c r="W483" i="2"/>
  <c r="V483" i="2"/>
  <c r="U483" i="2"/>
  <c r="T483" i="2"/>
  <c r="I483" i="2"/>
  <c r="Y482" i="2"/>
  <c r="W482" i="2"/>
  <c r="V482" i="2"/>
  <c r="U482" i="2"/>
  <c r="T482" i="2"/>
  <c r="I482" i="2"/>
  <c r="C481" i="2"/>
  <c r="S480" i="2"/>
  <c r="Q480" i="2"/>
  <c r="M480" i="2"/>
  <c r="J480" i="2"/>
  <c r="I480" i="2"/>
  <c r="S479" i="2"/>
  <c r="Q479" i="2"/>
  <c r="M479" i="2"/>
  <c r="I479" i="2"/>
  <c r="J479" i="2" s="1"/>
  <c r="S478" i="2"/>
  <c r="Q478" i="2"/>
  <c r="M478" i="2"/>
  <c r="J478" i="2"/>
  <c r="I478" i="2"/>
  <c r="S477" i="2"/>
  <c r="Q477" i="2"/>
  <c r="M477" i="2"/>
  <c r="J477" i="2"/>
  <c r="I477" i="2"/>
  <c r="S476" i="2"/>
  <c r="Q476" i="2"/>
  <c r="M476" i="2"/>
  <c r="J476" i="2"/>
  <c r="I476" i="2"/>
  <c r="S475" i="2"/>
  <c r="Q475" i="2"/>
  <c r="M475" i="2"/>
  <c r="I475" i="2"/>
  <c r="J475" i="2" s="1"/>
  <c r="S474" i="2"/>
  <c r="Q474" i="2"/>
  <c r="M474" i="2"/>
  <c r="J474" i="2"/>
  <c r="I474" i="2"/>
  <c r="S473" i="2"/>
  <c r="Q473" i="2"/>
  <c r="M473" i="2"/>
  <c r="J473" i="2"/>
  <c r="I473" i="2"/>
  <c r="S472" i="2"/>
  <c r="Q472" i="2"/>
  <c r="M472" i="2"/>
  <c r="J472" i="2"/>
  <c r="I472" i="2"/>
  <c r="S471" i="2"/>
  <c r="Q471" i="2"/>
  <c r="M471" i="2"/>
  <c r="I471" i="2"/>
  <c r="J471" i="2" s="1"/>
  <c r="S470" i="2"/>
  <c r="Q470" i="2"/>
  <c r="M470" i="2"/>
  <c r="I470" i="2"/>
  <c r="J470" i="2" s="1"/>
  <c r="S469" i="2"/>
  <c r="Q469" i="2"/>
  <c r="M469" i="2"/>
  <c r="S468" i="2"/>
  <c r="Q468" i="2"/>
  <c r="M468" i="2"/>
  <c r="S467" i="2"/>
  <c r="Q467" i="2"/>
  <c r="M467" i="2"/>
  <c r="S466" i="2"/>
  <c r="Q466" i="2"/>
  <c r="M466" i="2"/>
  <c r="S465" i="2"/>
  <c r="Q465" i="2"/>
  <c r="M465" i="2"/>
  <c r="S464" i="2"/>
  <c r="Q464" i="2"/>
  <c r="M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U449" i="2"/>
  <c r="I449" i="2"/>
  <c r="W448" i="2"/>
  <c r="V448" i="2"/>
  <c r="U448" i="2"/>
  <c r="I448" i="2"/>
  <c r="W447" i="2"/>
  <c r="V447" i="2"/>
  <c r="U447" i="2"/>
  <c r="I447" i="2"/>
  <c r="W446" i="2"/>
  <c r="V446" i="2"/>
  <c r="U446" i="2"/>
  <c r="I446" i="2"/>
  <c r="W445" i="2"/>
  <c r="V445" i="2"/>
  <c r="U445" i="2"/>
  <c r="I445" i="2"/>
  <c r="W444" i="2"/>
  <c r="V444" i="2"/>
  <c r="U444" i="2"/>
  <c r="I444" i="2"/>
  <c r="W443" i="2"/>
  <c r="V443" i="2"/>
  <c r="U443" i="2"/>
  <c r="I443" i="2"/>
  <c r="U442" i="2"/>
  <c r="I442" i="2"/>
  <c r="U441" i="2"/>
  <c r="I441" i="2"/>
  <c r="U440" i="2"/>
  <c r="I440" i="2"/>
  <c r="U439" i="2"/>
  <c r="I439" i="2"/>
  <c r="U438" i="2"/>
  <c r="I438" i="2"/>
  <c r="U437" i="2"/>
  <c r="I437" i="2"/>
  <c r="U436" i="2"/>
  <c r="I436" i="2"/>
  <c r="S435" i="2"/>
  <c r="Q435" i="2"/>
  <c r="M435" i="2"/>
  <c r="J435" i="2"/>
  <c r="U434" i="2"/>
  <c r="S434" i="2"/>
  <c r="Q434" i="2"/>
  <c r="M434" i="2"/>
  <c r="S433" i="2"/>
  <c r="Q433" i="2"/>
  <c r="M433" i="2"/>
  <c r="S432" i="2"/>
  <c r="Q432" i="2"/>
  <c r="M432" i="2"/>
  <c r="S431" i="2"/>
  <c r="Q431" i="2"/>
  <c r="M431" i="2"/>
  <c r="U430" i="2"/>
  <c r="S430" i="2"/>
  <c r="Q430" i="2"/>
  <c r="M430" i="2"/>
  <c r="S429" i="2"/>
  <c r="Q429" i="2"/>
  <c r="M429" i="2"/>
  <c r="U428" i="2"/>
  <c r="S428" i="2"/>
  <c r="Q428" i="2"/>
  <c r="M428" i="2"/>
  <c r="J428" i="2"/>
  <c r="I428" i="2"/>
  <c r="W427" i="2"/>
  <c r="V427" i="2"/>
  <c r="U427" i="2"/>
  <c r="K427" i="2"/>
  <c r="I427" i="2"/>
  <c r="I434" i="2" s="1"/>
  <c r="J434" i="2" s="1"/>
  <c r="W426" i="2"/>
  <c r="V426" i="2"/>
  <c r="U426" i="2"/>
  <c r="U433" i="2" s="1"/>
  <c r="I426" i="2"/>
  <c r="I433" i="2" s="1"/>
  <c r="J433" i="2" s="1"/>
  <c r="W425" i="2"/>
  <c r="V425" i="2"/>
  <c r="U425" i="2"/>
  <c r="U432" i="2" s="1"/>
  <c r="I425" i="2"/>
  <c r="I432" i="2" s="1"/>
  <c r="J432" i="2" s="1"/>
  <c r="W424" i="2"/>
  <c r="V424" i="2"/>
  <c r="U424" i="2"/>
  <c r="U431" i="2" s="1"/>
  <c r="I424" i="2"/>
  <c r="I431" i="2" s="1"/>
  <c r="J431" i="2" s="1"/>
  <c r="W423" i="2"/>
  <c r="V423" i="2"/>
  <c r="U423" i="2"/>
  <c r="K423" i="2"/>
  <c r="I423" i="2"/>
  <c r="I430" i="2" s="1"/>
  <c r="J430" i="2" s="1"/>
  <c r="W422" i="2"/>
  <c r="V422" i="2"/>
  <c r="U422" i="2"/>
  <c r="U429" i="2" s="1"/>
  <c r="K422" i="2"/>
  <c r="I422" i="2"/>
  <c r="I429" i="2" s="1"/>
  <c r="J429" i="2" s="1"/>
  <c r="S421" i="2"/>
  <c r="Q421" i="2"/>
  <c r="M421" i="2"/>
  <c r="U420" i="2"/>
  <c r="I420" i="2"/>
  <c r="U419" i="2"/>
  <c r="I419" i="2"/>
  <c r="U418" i="2"/>
  <c r="I418" i="2"/>
  <c r="U417" i="2"/>
  <c r="S417" i="2"/>
  <c r="Q417" i="2"/>
  <c r="M417" i="2"/>
  <c r="J417" i="2"/>
  <c r="I417" i="2"/>
  <c r="U416" i="2"/>
  <c r="S416" i="2"/>
  <c r="Q416" i="2"/>
  <c r="M416" i="2"/>
  <c r="I416" i="2"/>
  <c r="J416" i="2" s="1"/>
  <c r="U415" i="2"/>
  <c r="S415" i="2"/>
  <c r="Q415" i="2"/>
  <c r="M415" i="2"/>
  <c r="J415" i="2"/>
  <c r="I415" i="2"/>
  <c r="U414" i="2"/>
  <c r="S414" i="2"/>
  <c r="Q414" i="2"/>
  <c r="M414" i="2"/>
  <c r="I414" i="2"/>
  <c r="J414" i="2" s="1"/>
  <c r="U413" i="2"/>
  <c r="S413" i="2"/>
  <c r="Q413" i="2"/>
  <c r="M413" i="2"/>
  <c r="J413" i="2"/>
  <c r="I413" i="2"/>
  <c r="S412" i="2"/>
  <c r="Q412" i="2"/>
  <c r="M412" i="2"/>
  <c r="S411" i="2"/>
  <c r="Q411" i="2"/>
  <c r="M411" i="2"/>
  <c r="S410" i="2"/>
  <c r="Q410" i="2"/>
  <c r="M410" i="2"/>
  <c r="U409" i="2"/>
  <c r="S409" i="2"/>
  <c r="Q409" i="2"/>
  <c r="M409" i="2"/>
  <c r="J409" i="2"/>
  <c r="I409" i="2"/>
  <c r="S408" i="2"/>
  <c r="Q408" i="2"/>
  <c r="M408" i="2"/>
  <c r="J408" i="2"/>
  <c r="S407" i="2"/>
  <c r="Q407" i="2"/>
  <c r="M407" i="2"/>
  <c r="J407" i="2"/>
  <c r="I407" i="2"/>
  <c r="S406" i="2"/>
  <c r="Q406" i="2"/>
  <c r="M406" i="2"/>
  <c r="S405" i="2"/>
  <c r="Q405" i="2"/>
  <c r="M405" i="2"/>
  <c r="J405" i="2"/>
  <c r="I405" i="2"/>
  <c r="S404" i="2"/>
  <c r="Q404" i="2"/>
  <c r="M404" i="2"/>
  <c r="J404" i="2"/>
  <c r="S403" i="2"/>
  <c r="Q403" i="2"/>
  <c r="M403" i="2"/>
  <c r="J403" i="2"/>
  <c r="I403" i="2"/>
  <c r="S402" i="2"/>
  <c r="Q402" i="2"/>
  <c r="M402" i="2"/>
  <c r="AA401" i="2"/>
  <c r="Y401" i="2"/>
  <c r="W401" i="2"/>
  <c r="V401" i="2"/>
  <c r="U401" i="2"/>
  <c r="I401" i="2"/>
  <c r="I408" i="2" s="1"/>
  <c r="AA400" i="2"/>
  <c r="Y400" i="2"/>
  <c r="W400" i="2"/>
  <c r="V400" i="2"/>
  <c r="U400" i="2"/>
  <c r="I400" i="2"/>
  <c r="AA399" i="2"/>
  <c r="Y399" i="2"/>
  <c r="W399" i="2"/>
  <c r="V399" i="2"/>
  <c r="U399" i="2"/>
  <c r="I399" i="2"/>
  <c r="I406" i="2" s="1"/>
  <c r="J406" i="2" s="1"/>
  <c r="AA398" i="2"/>
  <c r="Y398" i="2"/>
  <c r="W398" i="2"/>
  <c r="V398" i="2"/>
  <c r="U398" i="2"/>
  <c r="I398" i="2"/>
  <c r="AA397" i="2"/>
  <c r="Y397" i="2"/>
  <c r="W397" i="2"/>
  <c r="V397" i="2"/>
  <c r="U397" i="2"/>
  <c r="I397" i="2"/>
  <c r="I404" i="2" s="1"/>
  <c r="AA396" i="2"/>
  <c r="Y396" i="2"/>
  <c r="W396" i="2"/>
  <c r="V396" i="2"/>
  <c r="U396" i="2"/>
  <c r="I396" i="2"/>
  <c r="AA395" i="2"/>
  <c r="Y395" i="2"/>
  <c r="W395" i="2"/>
  <c r="V395" i="2"/>
  <c r="U395" i="2"/>
  <c r="I395" i="2"/>
  <c r="I402" i="2" s="1"/>
  <c r="S394" i="2"/>
  <c r="Q394" i="2"/>
  <c r="M394" i="2"/>
  <c r="J394" i="2"/>
  <c r="I394" i="2"/>
  <c r="S393" i="2"/>
  <c r="Q393" i="2"/>
  <c r="M393" i="2"/>
  <c r="I393" i="2"/>
  <c r="J393" i="2" s="1"/>
  <c r="S392" i="2"/>
  <c r="Q392" i="2"/>
  <c r="M392" i="2"/>
  <c r="J392" i="2"/>
  <c r="I392" i="2"/>
  <c r="S391" i="2"/>
  <c r="Q391" i="2"/>
  <c r="M391" i="2"/>
  <c r="I391" i="2"/>
  <c r="J391" i="2" s="1"/>
  <c r="U390" i="2"/>
  <c r="S390" i="2"/>
  <c r="Q390" i="2"/>
  <c r="M390" i="2"/>
  <c r="J390" i="2"/>
  <c r="S389" i="2"/>
  <c r="Q389" i="2"/>
  <c r="M389" i="2"/>
  <c r="K389" i="2"/>
  <c r="J389" i="2"/>
  <c r="I389" i="2"/>
  <c r="C388" i="2"/>
  <c r="S387" i="2"/>
  <c r="Q387" i="2"/>
  <c r="M387" i="2"/>
  <c r="I387" i="2"/>
  <c r="J387" i="2" s="1"/>
  <c r="S386" i="2"/>
  <c r="Q386" i="2"/>
  <c r="M386" i="2"/>
  <c r="J386" i="2"/>
  <c r="I386" i="2"/>
  <c r="S385" i="2"/>
  <c r="Q385" i="2"/>
  <c r="M385" i="2"/>
  <c r="I385" i="2"/>
  <c r="J385" i="2" s="1"/>
  <c r="S384" i="2"/>
  <c r="Q384" i="2"/>
  <c r="M384" i="2"/>
  <c r="J384" i="2"/>
  <c r="I384" i="2"/>
  <c r="S383" i="2"/>
  <c r="Q383" i="2"/>
  <c r="M383" i="2"/>
  <c r="I383" i="2"/>
  <c r="J383" i="2" s="1"/>
  <c r="S382" i="2"/>
  <c r="Q382" i="2"/>
  <c r="M382" i="2"/>
  <c r="J382" i="2"/>
  <c r="I382" i="2"/>
  <c r="S381" i="2"/>
  <c r="Q381" i="2"/>
  <c r="M381" i="2"/>
  <c r="I381" i="2"/>
  <c r="J381" i="2" s="1"/>
  <c r="S380" i="2"/>
  <c r="Q380" i="2"/>
  <c r="M380" i="2"/>
  <c r="J380" i="2"/>
  <c r="I380" i="2"/>
  <c r="S379" i="2"/>
  <c r="Q379" i="2"/>
  <c r="M379" i="2"/>
  <c r="I379" i="2"/>
  <c r="J379" i="2" s="1"/>
  <c r="S378" i="2"/>
  <c r="Q378" i="2"/>
  <c r="M378" i="2"/>
  <c r="J378" i="2"/>
  <c r="I378" i="2"/>
  <c r="S377" i="2"/>
  <c r="Q377" i="2"/>
  <c r="M377" i="2"/>
  <c r="I377" i="2"/>
  <c r="J377" i="2" s="1"/>
  <c r="U376" i="2"/>
  <c r="S376" i="2"/>
  <c r="Q376" i="2"/>
  <c r="M376" i="2"/>
  <c r="I376" i="2"/>
  <c r="J376" i="2" s="1"/>
  <c r="S375" i="2"/>
  <c r="Q375" i="2"/>
  <c r="M375" i="2"/>
  <c r="S374" i="2"/>
  <c r="Q374" i="2"/>
  <c r="M374" i="2"/>
  <c r="I374" i="2"/>
  <c r="J374" i="2" s="1"/>
  <c r="U373" i="2"/>
  <c r="S373" i="2"/>
  <c r="Q373" i="2"/>
  <c r="M373" i="2"/>
  <c r="S372" i="2"/>
  <c r="Q372" i="2"/>
  <c r="M372" i="2"/>
  <c r="U371" i="2"/>
  <c r="S371" i="2"/>
  <c r="Q371" i="2"/>
  <c r="M371" i="2"/>
  <c r="S370" i="2"/>
  <c r="Q370" i="2"/>
  <c r="M370" i="2"/>
  <c r="S369" i="2"/>
  <c r="Q369" i="2"/>
  <c r="M369" i="2"/>
  <c r="J369" i="2"/>
  <c r="S368" i="2"/>
  <c r="Q368" i="2"/>
  <c r="M368" i="2"/>
  <c r="S367" i="2"/>
  <c r="Q367" i="2"/>
  <c r="M367" i="2"/>
  <c r="S366" i="2"/>
  <c r="Q366" i="2"/>
  <c r="M366" i="2"/>
  <c r="I366" i="2"/>
  <c r="J366" i="2" s="1"/>
  <c r="W365" i="2"/>
  <c r="V365" i="2"/>
  <c r="U365" i="2"/>
  <c r="K365" i="2"/>
  <c r="W364" i="2"/>
  <c r="V364" i="2"/>
  <c r="P364" i="2"/>
  <c r="N364" i="2"/>
  <c r="L364" i="2"/>
  <c r="W363" i="2"/>
  <c r="V363" i="2"/>
  <c r="P363" i="2"/>
  <c r="N363" i="2"/>
  <c r="L363" i="2"/>
  <c r="W362" i="2"/>
  <c r="V362" i="2"/>
  <c r="S362" i="2"/>
  <c r="P362" i="2"/>
  <c r="N362" i="2"/>
  <c r="L362" i="2"/>
  <c r="I362" i="2"/>
  <c r="W361" i="2"/>
  <c r="V361" i="2"/>
  <c r="P361" i="2"/>
  <c r="N361" i="2"/>
  <c r="L361" i="2"/>
  <c r="W360" i="2"/>
  <c r="V360" i="2"/>
  <c r="S360" i="2"/>
  <c r="P360" i="2"/>
  <c r="N360" i="2"/>
  <c r="L360" i="2"/>
  <c r="K360" i="2"/>
  <c r="I360" i="2"/>
  <c r="AA359" i="2"/>
  <c r="U359" i="2"/>
  <c r="U364" i="2" s="1"/>
  <c r="I359" i="2"/>
  <c r="AA358" i="2"/>
  <c r="U358" i="2"/>
  <c r="U363" i="2" s="1"/>
  <c r="I358" i="2"/>
  <c r="I363" i="2" s="1"/>
  <c r="AA357" i="2"/>
  <c r="W357" i="2"/>
  <c r="U357" i="2"/>
  <c r="I357" i="2"/>
  <c r="AA356" i="2"/>
  <c r="U356" i="2"/>
  <c r="U361" i="2" s="1"/>
  <c r="I356" i="2"/>
  <c r="I361" i="2" s="1"/>
  <c r="AA355" i="2"/>
  <c r="U355" i="2"/>
  <c r="U360" i="2" s="1"/>
  <c r="I355" i="2"/>
  <c r="W354" i="2"/>
  <c r="W359" i="2" s="1"/>
  <c r="V354" i="2"/>
  <c r="V359" i="2" s="1"/>
  <c r="U354" i="2"/>
  <c r="P354" i="2"/>
  <c r="N354" i="2"/>
  <c r="L354" i="2"/>
  <c r="I354" i="2"/>
  <c r="I364" i="2" s="1"/>
  <c r="W353" i="2"/>
  <c r="W358" i="2" s="1"/>
  <c r="V353" i="2"/>
  <c r="V358" i="2" s="1"/>
  <c r="U353" i="2"/>
  <c r="P353" i="2"/>
  <c r="N353" i="2"/>
  <c r="L353" i="2"/>
  <c r="J353" i="2"/>
  <c r="I353" i="2"/>
  <c r="W352" i="2"/>
  <c r="V352" i="2"/>
  <c r="V357" i="2" s="1"/>
  <c r="U352" i="2"/>
  <c r="U362" i="2" s="1"/>
  <c r="P352" i="2"/>
  <c r="N352" i="2"/>
  <c r="L352" i="2"/>
  <c r="I352" i="2"/>
  <c r="W351" i="2"/>
  <c r="W356" i="2" s="1"/>
  <c r="V351" i="2"/>
  <c r="V356" i="2" s="1"/>
  <c r="U351" i="2"/>
  <c r="P351" i="2"/>
  <c r="N351" i="2"/>
  <c r="L351" i="2"/>
  <c r="I351" i="2"/>
  <c r="W350" i="2"/>
  <c r="W355" i="2" s="1"/>
  <c r="V350" i="2"/>
  <c r="U350" i="2"/>
  <c r="P350" i="2"/>
  <c r="N350" i="2"/>
  <c r="L350" i="2"/>
  <c r="K350" i="2"/>
  <c r="I350" i="2"/>
  <c r="W349" i="2"/>
  <c r="V349" i="2"/>
  <c r="U349" i="2"/>
  <c r="K349" i="2"/>
  <c r="I349" i="2"/>
  <c r="W348" i="2"/>
  <c r="V348" i="2"/>
  <c r="U348" i="2"/>
  <c r="I348" i="2"/>
  <c r="W347" i="2"/>
  <c r="V347" i="2"/>
  <c r="U347" i="2"/>
  <c r="I347" i="2"/>
  <c r="W346" i="2"/>
  <c r="V346" i="2"/>
  <c r="U346" i="2"/>
  <c r="I346" i="2"/>
  <c r="W345" i="2"/>
  <c r="V345" i="2"/>
  <c r="U345" i="2"/>
  <c r="I345" i="2"/>
  <c r="C344" i="2"/>
  <c r="S343" i="2"/>
  <c r="Q343" i="2"/>
  <c r="M343" i="2"/>
  <c r="J343" i="2"/>
  <c r="I343" i="2"/>
  <c r="S342" i="2"/>
  <c r="Q342" i="2"/>
  <c r="M342" i="2"/>
  <c r="I342" i="2"/>
  <c r="J342" i="2" s="1"/>
  <c r="S341" i="2"/>
  <c r="Q341" i="2"/>
  <c r="M341" i="2"/>
  <c r="J341" i="2"/>
  <c r="I341" i="2"/>
  <c r="S340" i="2"/>
  <c r="Q340" i="2"/>
  <c r="M340" i="2"/>
  <c r="I340" i="2"/>
  <c r="J340" i="2" s="1"/>
  <c r="S339" i="2"/>
  <c r="Q339" i="2"/>
  <c r="M339" i="2"/>
  <c r="J339" i="2"/>
  <c r="I339" i="2"/>
  <c r="S338" i="2"/>
  <c r="Q338" i="2"/>
  <c r="M338" i="2"/>
  <c r="I338" i="2"/>
  <c r="J338" i="2" s="1"/>
  <c r="S337" i="2"/>
  <c r="Q337" i="2"/>
  <c r="M337" i="2"/>
  <c r="J337" i="2"/>
  <c r="I337" i="2"/>
  <c r="S336" i="2"/>
  <c r="Q336" i="2"/>
  <c r="M336" i="2"/>
  <c r="I336" i="2"/>
  <c r="J336" i="2" s="1"/>
  <c r="S335" i="2"/>
  <c r="Q335" i="2"/>
  <c r="M335" i="2"/>
  <c r="J335" i="2"/>
  <c r="I335" i="2"/>
  <c r="S334" i="2"/>
  <c r="Q334" i="2"/>
  <c r="M334" i="2"/>
  <c r="I334" i="2"/>
  <c r="J334" i="2" s="1"/>
  <c r="S333" i="2"/>
  <c r="Q333" i="2"/>
  <c r="M333" i="2"/>
  <c r="J333" i="2"/>
  <c r="I333" i="2"/>
  <c r="S332" i="2"/>
  <c r="Q332" i="2"/>
  <c r="M332" i="2"/>
  <c r="I332" i="2"/>
  <c r="J332" i="2" s="1"/>
  <c r="S331" i="2"/>
  <c r="Q331" i="2"/>
  <c r="M331" i="2"/>
  <c r="J331" i="2"/>
  <c r="I331" i="2"/>
  <c r="S330" i="2"/>
  <c r="Q330" i="2"/>
  <c r="M330" i="2"/>
  <c r="I330" i="2"/>
  <c r="J330" i="2" s="1"/>
  <c r="S329" i="2"/>
  <c r="Q329" i="2"/>
  <c r="M329" i="2"/>
  <c r="J329" i="2"/>
  <c r="I329" i="2"/>
  <c r="U328" i="2"/>
  <c r="S328" i="2"/>
  <c r="Q328" i="2"/>
  <c r="M328" i="2"/>
  <c r="J328" i="2"/>
  <c r="I328" i="2"/>
  <c r="U327" i="2"/>
  <c r="S327" i="2"/>
  <c r="Q327" i="2"/>
  <c r="M327" i="2"/>
  <c r="I327" i="2"/>
  <c r="J327" i="2" s="1"/>
  <c r="S326" i="2"/>
  <c r="Q326" i="2"/>
  <c r="M326" i="2"/>
  <c r="S325" i="2"/>
  <c r="Q325" i="2"/>
  <c r="M325" i="2"/>
  <c r="S324" i="2"/>
  <c r="Q324" i="2"/>
  <c r="M324" i="2"/>
  <c r="W323" i="2"/>
  <c r="V323" i="2"/>
  <c r="U323" i="2"/>
  <c r="I323" i="2"/>
  <c r="S322" i="2"/>
  <c r="Q322" i="2"/>
  <c r="M322" i="2"/>
  <c r="J322" i="2"/>
  <c r="I322" i="2"/>
  <c r="S321" i="2"/>
  <c r="Q321" i="2"/>
  <c r="M321" i="2"/>
  <c r="S320" i="2"/>
  <c r="Q320" i="2"/>
  <c r="M320" i="2"/>
  <c r="I320" i="2"/>
  <c r="J320" i="2" s="1"/>
  <c r="S319" i="2"/>
  <c r="Q319" i="2"/>
  <c r="M319" i="2"/>
  <c r="S318" i="2"/>
  <c r="Q318" i="2"/>
  <c r="M318" i="2"/>
  <c r="S317" i="2"/>
  <c r="Q317" i="2"/>
  <c r="M317" i="2"/>
  <c r="I317" i="2"/>
  <c r="J317" i="2" s="1"/>
  <c r="S316" i="2"/>
  <c r="Q316" i="2"/>
  <c r="M316" i="2"/>
  <c r="S315" i="2"/>
  <c r="Q315" i="2"/>
  <c r="M315" i="2"/>
  <c r="W314" i="2"/>
  <c r="V314" i="2"/>
  <c r="U314" i="2"/>
  <c r="I314" i="2"/>
  <c r="W313" i="2"/>
  <c r="V313" i="2"/>
  <c r="U313" i="2"/>
  <c r="I313" i="2"/>
  <c r="W312" i="2"/>
  <c r="V312" i="2"/>
  <c r="U312" i="2"/>
  <c r="I312" i="2"/>
  <c r="W311" i="2"/>
  <c r="V311" i="2"/>
  <c r="U311" i="2"/>
  <c r="I311" i="2"/>
  <c r="W310" i="2"/>
  <c r="V310" i="2"/>
  <c r="U310" i="2"/>
  <c r="I310" i="2"/>
  <c r="W309" i="2"/>
  <c r="V309" i="2"/>
  <c r="U309" i="2"/>
  <c r="K309" i="2"/>
  <c r="I309" i="2"/>
  <c r="W308" i="2"/>
  <c r="V308" i="2"/>
  <c r="U308" i="2"/>
  <c r="K308" i="2"/>
  <c r="I308" i="2"/>
  <c r="W307" i="2"/>
  <c r="V307" i="2"/>
  <c r="U307" i="2"/>
  <c r="I307" i="2"/>
  <c r="W306" i="2"/>
  <c r="V306" i="2"/>
  <c r="U306" i="2"/>
  <c r="I306" i="2"/>
  <c r="C305" i="2"/>
  <c r="S304" i="2"/>
  <c r="Q304" i="2"/>
  <c r="M304" i="2"/>
  <c r="I304" i="2"/>
  <c r="J304" i="2" s="1"/>
  <c r="S303" i="2"/>
  <c r="Q303" i="2"/>
  <c r="M303" i="2"/>
  <c r="J303" i="2"/>
  <c r="I303" i="2"/>
  <c r="S302" i="2"/>
  <c r="Q302" i="2"/>
  <c r="M302" i="2"/>
  <c r="J302" i="2"/>
  <c r="I302" i="2"/>
  <c r="S301" i="2"/>
  <c r="Q301" i="2"/>
  <c r="M301" i="2"/>
  <c r="I301" i="2"/>
  <c r="J301" i="2" s="1"/>
  <c r="S300" i="2"/>
  <c r="Q300" i="2"/>
  <c r="M300" i="2"/>
  <c r="J300" i="2"/>
  <c r="I300" i="2"/>
  <c r="S299" i="2"/>
  <c r="Q299" i="2"/>
  <c r="M299" i="2"/>
  <c r="I299" i="2"/>
  <c r="J299" i="2" s="1"/>
  <c r="S298" i="2"/>
  <c r="Q298" i="2"/>
  <c r="M298" i="2"/>
  <c r="J298" i="2"/>
  <c r="I298" i="2"/>
  <c r="S296" i="2"/>
  <c r="Q296" i="2"/>
  <c r="M296" i="2"/>
  <c r="S295" i="2"/>
  <c r="Q295" i="2"/>
  <c r="M295" i="2"/>
  <c r="S294" i="2"/>
  <c r="Q294" i="2"/>
  <c r="M294" i="2"/>
  <c r="S293" i="2"/>
  <c r="Q293" i="2"/>
  <c r="M293" i="2"/>
  <c r="W292" i="2"/>
  <c r="V292" i="2"/>
  <c r="U292" i="2"/>
  <c r="I292" i="2"/>
  <c r="W291" i="2"/>
  <c r="V291" i="2"/>
  <c r="U291" i="2"/>
  <c r="I291" i="2"/>
  <c r="I369" i="2" s="1"/>
  <c r="W290" i="2"/>
  <c r="V290" i="2"/>
  <c r="U290" i="2"/>
  <c r="U368" i="2" s="1"/>
  <c r="K290" i="2"/>
  <c r="I290" i="2"/>
  <c r="W289" i="2"/>
  <c r="V289" i="2"/>
  <c r="U289" i="2"/>
  <c r="I289" i="2"/>
  <c r="W288" i="2"/>
  <c r="V288" i="2"/>
  <c r="U288" i="2"/>
  <c r="K288" i="2"/>
  <c r="Q288" i="2" s="1"/>
  <c r="I288" i="2"/>
  <c r="W287" i="2"/>
  <c r="V287" i="2"/>
  <c r="U287" i="2"/>
  <c r="I287" i="2"/>
  <c r="W286" i="2"/>
  <c r="V286" i="2"/>
  <c r="U286" i="2"/>
  <c r="I286" i="2"/>
  <c r="I316" i="2" s="1"/>
  <c r="J316" i="2" s="1"/>
  <c r="W285" i="2"/>
  <c r="V285" i="2"/>
  <c r="U285" i="2"/>
  <c r="I285" i="2"/>
  <c r="C284" i="2"/>
  <c r="S283" i="2"/>
  <c r="Q283" i="2"/>
  <c r="M283" i="2"/>
  <c r="J283" i="2"/>
  <c r="I283" i="2"/>
  <c r="S282" i="2"/>
  <c r="Q282" i="2"/>
  <c r="M282" i="2"/>
  <c r="I282" i="2"/>
  <c r="J282" i="2" s="1"/>
  <c r="S281" i="2"/>
  <c r="Q281" i="2"/>
  <c r="M281" i="2"/>
  <c r="J281" i="2"/>
  <c r="I281" i="2"/>
  <c r="S280" i="2"/>
  <c r="Q280" i="2"/>
  <c r="M280" i="2"/>
  <c r="J280" i="2"/>
  <c r="S279" i="2"/>
  <c r="Q279" i="2"/>
  <c r="M279" i="2"/>
  <c r="S278" i="2"/>
  <c r="Q278" i="2"/>
  <c r="M278" i="2"/>
  <c r="S277" i="2"/>
  <c r="Q277" i="2"/>
  <c r="M277" i="2"/>
  <c r="I277" i="2"/>
  <c r="J277" i="2" s="1"/>
  <c r="S276" i="2"/>
  <c r="Q276" i="2"/>
  <c r="M276" i="2"/>
  <c r="W275" i="2"/>
  <c r="V275" i="2"/>
  <c r="U275" i="2"/>
  <c r="I275" i="2"/>
  <c r="W274" i="2"/>
  <c r="V274" i="2"/>
  <c r="U274" i="2"/>
  <c r="I274" i="2"/>
  <c r="W273" i="2"/>
  <c r="V273" i="2"/>
  <c r="U273" i="2"/>
  <c r="I273" i="2"/>
  <c r="W272" i="2"/>
  <c r="V272" i="2"/>
  <c r="U272" i="2"/>
  <c r="I272" i="2"/>
  <c r="W271" i="2"/>
  <c r="V271" i="2"/>
  <c r="U271" i="2"/>
  <c r="I271" i="2"/>
  <c r="W270" i="2"/>
  <c r="V270" i="2"/>
  <c r="U270" i="2"/>
  <c r="I270" i="2"/>
  <c r="W269" i="2"/>
  <c r="V269" i="2"/>
  <c r="U269" i="2"/>
  <c r="I269" i="2"/>
  <c r="C268" i="2"/>
  <c r="S267" i="2"/>
  <c r="Q267" i="2"/>
  <c r="M267" i="2"/>
  <c r="I267" i="2"/>
  <c r="J267" i="2" s="1"/>
  <c r="S266" i="2"/>
  <c r="Q266" i="2"/>
  <c r="M266" i="2"/>
  <c r="J266" i="2"/>
  <c r="I266" i="2"/>
  <c r="S265" i="2"/>
  <c r="Q265" i="2"/>
  <c r="M265" i="2"/>
  <c r="I265" i="2"/>
  <c r="J265" i="2" s="1"/>
  <c r="S264" i="2"/>
  <c r="Q264" i="2"/>
  <c r="M264" i="2"/>
  <c r="J264" i="2"/>
  <c r="I264" i="2"/>
  <c r="S263" i="2"/>
  <c r="Q263" i="2"/>
  <c r="M263" i="2"/>
  <c r="J263" i="2"/>
  <c r="S262" i="2"/>
  <c r="Q262" i="2"/>
  <c r="M262" i="2"/>
  <c r="J262" i="2"/>
  <c r="S261" i="2"/>
  <c r="Q261" i="2"/>
  <c r="M261" i="2"/>
  <c r="I261" i="2"/>
  <c r="J261" i="2" s="1"/>
  <c r="S260" i="2"/>
  <c r="Q260" i="2"/>
  <c r="M260" i="2"/>
  <c r="J260" i="2"/>
  <c r="I260" i="2"/>
  <c r="S259" i="2"/>
  <c r="Q259" i="2"/>
  <c r="M259" i="2"/>
  <c r="I259" i="2"/>
  <c r="J259" i="2" s="1"/>
  <c r="S258" i="2"/>
  <c r="Q258" i="2"/>
  <c r="M258" i="2"/>
  <c r="I258" i="2"/>
  <c r="J258" i="2" s="1"/>
  <c r="S257" i="2"/>
  <c r="Q257" i="2"/>
  <c r="M257" i="2"/>
  <c r="I257" i="2"/>
  <c r="J257" i="2" s="1"/>
  <c r="S256" i="2"/>
  <c r="Q256" i="2"/>
  <c r="M256" i="2"/>
  <c r="I256" i="2"/>
  <c r="J256" i="2" s="1"/>
  <c r="S255" i="2"/>
  <c r="Q255" i="2"/>
  <c r="M255" i="2"/>
  <c r="I255" i="2"/>
  <c r="J255" i="2" s="1"/>
  <c r="S254" i="2"/>
  <c r="Q254" i="2"/>
  <c r="M254" i="2"/>
  <c r="I254" i="2"/>
  <c r="J254" i="2" s="1"/>
  <c r="S253" i="2"/>
  <c r="Q253" i="2"/>
  <c r="M253" i="2"/>
  <c r="I253" i="2"/>
  <c r="J253" i="2" s="1"/>
  <c r="AA252" i="2"/>
  <c r="W252" i="2"/>
  <c r="V252" i="2"/>
  <c r="U252" i="2"/>
  <c r="K252" i="2"/>
  <c r="I252" i="2"/>
  <c r="U251" i="2"/>
  <c r="S251" i="2"/>
  <c r="Q251" i="2"/>
  <c r="M251" i="2"/>
  <c r="I251" i="2"/>
  <c r="J251" i="2" s="1"/>
  <c r="S250" i="2"/>
  <c r="Q250" i="2"/>
  <c r="M250" i="2"/>
  <c r="S249" i="2"/>
  <c r="Q249" i="2"/>
  <c r="M249" i="2"/>
  <c r="I249" i="2"/>
  <c r="J249" i="2" s="1"/>
  <c r="S248" i="2"/>
  <c r="Q248" i="2"/>
  <c r="M248" i="2"/>
  <c r="U247" i="2"/>
  <c r="S247" i="2"/>
  <c r="Q247" i="2"/>
  <c r="M247" i="2"/>
  <c r="S246" i="2"/>
  <c r="Q246" i="2"/>
  <c r="M246" i="2"/>
  <c r="S245" i="2"/>
  <c r="Q245" i="2"/>
  <c r="M245" i="2"/>
  <c r="I245" i="2"/>
  <c r="J245" i="2" s="1"/>
  <c r="S244" i="2"/>
  <c r="Q244" i="2"/>
  <c r="M244" i="2"/>
  <c r="S243" i="2"/>
  <c r="Q243" i="2"/>
  <c r="M243" i="2"/>
  <c r="I243" i="2"/>
  <c r="U242" i="2"/>
  <c r="S242" i="2"/>
  <c r="Q242" i="2"/>
  <c r="M242" i="2"/>
  <c r="I242" i="2"/>
  <c r="J242" i="2" s="1"/>
  <c r="W241" i="2"/>
  <c r="V241" i="2"/>
  <c r="U241" i="2"/>
  <c r="S241" i="2"/>
  <c r="M241" i="2"/>
  <c r="K241" i="2"/>
  <c r="Q241" i="2" s="1"/>
  <c r="J241" i="2"/>
  <c r="I241" i="2"/>
  <c r="W240" i="2"/>
  <c r="V240" i="2"/>
  <c r="U240" i="2"/>
  <c r="S240" i="2"/>
  <c r="Q240" i="2"/>
  <c r="M240" i="2"/>
  <c r="K240" i="2"/>
  <c r="I240" i="2"/>
  <c r="J240" i="2" s="1"/>
  <c r="W239" i="2"/>
  <c r="V239" i="2"/>
  <c r="U239" i="2"/>
  <c r="M239" i="2"/>
  <c r="K239" i="2"/>
  <c r="J239" i="2"/>
  <c r="I239" i="2"/>
  <c r="W238" i="2"/>
  <c r="V238" i="2"/>
  <c r="U238" i="2"/>
  <c r="S238" i="2"/>
  <c r="Q238" i="2"/>
  <c r="M238" i="2"/>
  <c r="K238" i="2"/>
  <c r="J238" i="2"/>
  <c r="I238" i="2"/>
  <c r="I246" i="2" s="1"/>
  <c r="J246" i="2" s="1"/>
  <c r="W237" i="2"/>
  <c r="V237" i="2"/>
  <c r="U237" i="2"/>
  <c r="K237" i="2"/>
  <c r="J237" i="2"/>
  <c r="I237" i="2"/>
  <c r="W236" i="2"/>
  <c r="V236" i="2"/>
  <c r="U236" i="2"/>
  <c r="S236" i="2"/>
  <c r="Q236" i="2"/>
  <c r="M236" i="2"/>
  <c r="K236" i="2"/>
  <c r="I236" i="2"/>
  <c r="J236" i="2" s="1"/>
  <c r="W235" i="2"/>
  <c r="V235" i="2"/>
  <c r="U235" i="2"/>
  <c r="U243" i="2" s="1"/>
  <c r="S235" i="2"/>
  <c r="K235" i="2"/>
  <c r="Q235" i="2" s="1"/>
  <c r="J235" i="2"/>
  <c r="I235" i="2"/>
  <c r="S234" i="2"/>
  <c r="Q234" i="2"/>
  <c r="M234" i="2"/>
  <c r="U233" i="2"/>
  <c r="U249" i="2" s="1"/>
  <c r="S233" i="2"/>
  <c r="Q233" i="2"/>
  <c r="M233" i="2"/>
  <c r="J233" i="2"/>
  <c r="I233" i="2"/>
  <c r="W232" i="2"/>
  <c r="V232" i="2"/>
  <c r="U232" i="2"/>
  <c r="U248" i="2" s="1"/>
  <c r="K232" i="2"/>
  <c r="I232" i="2"/>
  <c r="W231" i="2"/>
  <c r="V231" i="2"/>
  <c r="U231" i="2"/>
  <c r="I231" i="2"/>
  <c r="I247" i="2" s="1"/>
  <c r="J247" i="2" s="1"/>
  <c r="W230" i="2"/>
  <c r="V230" i="2"/>
  <c r="U230" i="2"/>
  <c r="U234" i="2" s="1"/>
  <c r="I230" i="2"/>
  <c r="W229" i="2"/>
  <c r="V229" i="2"/>
  <c r="U229" i="2"/>
  <c r="T229" i="2"/>
  <c r="I229" i="2"/>
  <c r="W228" i="2"/>
  <c r="V228" i="2"/>
  <c r="U228" i="2"/>
  <c r="U244" i="2" s="1"/>
  <c r="I228" i="2"/>
  <c r="V227" i="2"/>
  <c r="U227" i="2"/>
  <c r="I227" i="2"/>
  <c r="I234" i="2" s="1"/>
  <c r="J234" i="2" s="1"/>
  <c r="C226" i="2"/>
  <c r="S225" i="2"/>
  <c r="Q225" i="2"/>
  <c r="M225" i="2"/>
  <c r="I225" i="2"/>
  <c r="J225" i="2" s="1"/>
  <c r="S224" i="2"/>
  <c r="Q224" i="2"/>
  <c r="M224" i="2"/>
  <c r="I224" i="2"/>
  <c r="J224" i="2" s="1"/>
  <c r="S223" i="2"/>
  <c r="Q223" i="2"/>
  <c r="M223" i="2"/>
  <c r="I223" i="2"/>
  <c r="J223" i="2" s="1"/>
  <c r="S222" i="2"/>
  <c r="Q222" i="2"/>
  <c r="M222" i="2"/>
  <c r="J222" i="2"/>
  <c r="I222" i="2"/>
  <c r="S221" i="2"/>
  <c r="Q221" i="2"/>
  <c r="M221" i="2"/>
  <c r="I221" i="2"/>
  <c r="J221" i="2" s="1"/>
  <c r="S220" i="2"/>
  <c r="Q220" i="2"/>
  <c r="M220" i="2"/>
  <c r="V219" i="2"/>
  <c r="V219" i="2" a="1"/>
  <c r="U219" i="2"/>
  <c r="K219" i="2" a="1"/>
  <c r="K219" i="2" s="1"/>
  <c r="I219" i="2"/>
  <c r="C218" i="2"/>
  <c r="S217" i="2"/>
  <c r="Q217" i="2"/>
  <c r="M217" i="2"/>
  <c r="J217" i="2"/>
  <c r="I217" i="2"/>
  <c r="S216" i="2"/>
  <c r="Q216" i="2"/>
  <c r="M216" i="2"/>
  <c r="J216" i="2"/>
  <c r="I216" i="2"/>
  <c r="S215" i="2"/>
  <c r="Q215" i="2"/>
  <c r="M215" i="2"/>
  <c r="I215" i="2"/>
  <c r="J215" i="2" s="1"/>
  <c r="S214" i="2"/>
  <c r="Q214" i="2"/>
  <c r="M214" i="2"/>
  <c r="J214" i="2"/>
  <c r="I214" i="2"/>
  <c r="S213" i="2"/>
  <c r="Q213" i="2"/>
  <c r="M213" i="2"/>
  <c r="J213" i="2"/>
  <c r="I213" i="2"/>
  <c r="S212" i="2"/>
  <c r="Q212" i="2"/>
  <c r="M212" i="2"/>
  <c r="J212" i="2"/>
  <c r="I212" i="2"/>
  <c r="S211" i="2"/>
  <c r="Q211" i="2"/>
  <c r="M211" i="2"/>
  <c r="I211" i="2"/>
  <c r="J211" i="2" s="1"/>
  <c r="U210" i="2"/>
  <c r="S210" i="2"/>
  <c r="Q210" i="2"/>
  <c r="M210" i="2"/>
  <c r="J210" i="2"/>
  <c r="I210" i="2"/>
  <c r="Q209" i="2"/>
  <c r="M209" i="2"/>
  <c r="L209" i="2"/>
  <c r="K209" i="2"/>
  <c r="I209" i="2"/>
  <c r="U208" i="2"/>
  <c r="S208" i="2"/>
  <c r="Q208" i="2"/>
  <c r="M208" i="2"/>
  <c r="I208" i="2"/>
  <c r="J208" i="2" s="1"/>
  <c r="U207" i="2"/>
  <c r="S207" i="2"/>
  <c r="Q207" i="2"/>
  <c r="M207" i="2"/>
  <c r="I207" i="2"/>
  <c r="J207" i="2" s="1"/>
  <c r="U206" i="2"/>
  <c r="S206" i="2"/>
  <c r="Q206" i="2"/>
  <c r="M206" i="2"/>
  <c r="J206" i="2"/>
  <c r="I206" i="2"/>
  <c r="I738" i="2" s="1"/>
  <c r="J738" i="2" s="1"/>
  <c r="U205" i="2"/>
  <c r="S205" i="2"/>
  <c r="Q205" i="2"/>
  <c r="M205" i="2"/>
  <c r="J205" i="2"/>
  <c r="I205" i="2"/>
  <c r="U204" i="2"/>
  <c r="S204" i="2"/>
  <c r="Q204" i="2"/>
  <c r="M204" i="2"/>
  <c r="I204" i="2"/>
  <c r="J204" i="2" s="1"/>
  <c r="AA203" i="2"/>
  <c r="Y203" i="2"/>
  <c r="W203" i="2"/>
  <c r="V203" i="2"/>
  <c r="U203" i="2"/>
  <c r="S203" i="2"/>
  <c r="Q203" i="2"/>
  <c r="M203" i="2"/>
  <c r="I203" i="2"/>
  <c r="J203" i="2" s="1"/>
  <c r="U200" i="2"/>
  <c r="P200" i="2"/>
  <c r="N200" i="2"/>
  <c r="L200" i="2"/>
  <c r="K200" i="2"/>
  <c r="J200" i="2"/>
  <c r="I200" i="2"/>
  <c r="U199" i="2"/>
  <c r="S199" i="2"/>
  <c r="Q199" i="2"/>
  <c r="P199" i="2"/>
  <c r="N199" i="2"/>
  <c r="L199" i="2"/>
  <c r="M199" i="2" s="1"/>
  <c r="K199" i="2"/>
  <c r="I199" i="2"/>
  <c r="J199" i="2" s="1"/>
  <c r="U198" i="2"/>
  <c r="P198" i="2"/>
  <c r="Q198" i="2" s="1"/>
  <c r="N198" i="2"/>
  <c r="L198" i="2"/>
  <c r="K198" i="2"/>
  <c r="S198" i="2" s="1"/>
  <c r="J198" i="2"/>
  <c r="I198" i="2"/>
  <c r="U197" i="2"/>
  <c r="S197" i="2"/>
  <c r="Q197" i="2"/>
  <c r="P197" i="2"/>
  <c r="N197" i="2"/>
  <c r="L197" i="2"/>
  <c r="K197" i="2"/>
  <c r="I197" i="2"/>
  <c r="U196" i="2"/>
  <c r="P196" i="2"/>
  <c r="Q196" i="2" s="1"/>
  <c r="N196" i="2"/>
  <c r="L196" i="2"/>
  <c r="M196" i="2" s="1"/>
  <c r="K196" i="2"/>
  <c r="J196" i="2"/>
  <c r="I196" i="2"/>
  <c r="U195" i="2"/>
  <c r="S195" i="2"/>
  <c r="P195" i="2"/>
  <c r="Q195" i="2" s="1"/>
  <c r="N195" i="2"/>
  <c r="L195" i="2"/>
  <c r="M195" i="2" s="1"/>
  <c r="K195" i="2"/>
  <c r="I195" i="2"/>
  <c r="J195" i="2" s="1"/>
  <c r="U194" i="2"/>
  <c r="S194" i="2"/>
  <c r="P194" i="2"/>
  <c r="N194" i="2"/>
  <c r="L194" i="2"/>
  <c r="K194" i="2"/>
  <c r="Q194" i="2" s="1"/>
  <c r="J194" i="2"/>
  <c r="I194" i="2"/>
  <c r="U193" i="2"/>
  <c r="S193" i="2"/>
  <c r="P193" i="2"/>
  <c r="N193" i="2"/>
  <c r="M193" i="2"/>
  <c r="L193" i="2"/>
  <c r="K193" i="2"/>
  <c r="Q193" i="2" s="1"/>
  <c r="I193" i="2"/>
  <c r="J193" i="2" s="1"/>
  <c r="U192" i="2"/>
  <c r="P192" i="2"/>
  <c r="N192" i="2"/>
  <c r="L192" i="2"/>
  <c r="K192" i="2"/>
  <c r="J192" i="2"/>
  <c r="I192" i="2"/>
  <c r="U191" i="2"/>
  <c r="S191" i="2"/>
  <c r="Q191" i="2"/>
  <c r="P191" i="2"/>
  <c r="N191" i="2"/>
  <c r="L191" i="2"/>
  <c r="M191" i="2" s="1"/>
  <c r="K191" i="2"/>
  <c r="I191" i="2"/>
  <c r="J191" i="2" s="1"/>
  <c r="U190" i="2"/>
  <c r="S190" i="2"/>
  <c r="P190" i="2"/>
  <c r="N190" i="2"/>
  <c r="L190" i="2"/>
  <c r="K190" i="2"/>
  <c r="I190" i="2"/>
  <c r="J190" i="2" s="1"/>
  <c r="U189" i="2"/>
  <c r="P189" i="2"/>
  <c r="N189" i="2"/>
  <c r="M189" i="2"/>
  <c r="L189" i="2"/>
  <c r="K189" i="2"/>
  <c r="Q189" i="2" s="1"/>
  <c r="J189" i="2"/>
  <c r="I189" i="2"/>
  <c r="U188" i="2"/>
  <c r="Q188" i="2"/>
  <c r="P188" i="2"/>
  <c r="N188" i="2"/>
  <c r="L188" i="2"/>
  <c r="K188" i="2"/>
  <c r="M188" i="2" s="1"/>
  <c r="I188" i="2"/>
  <c r="U187" i="2"/>
  <c r="S187" i="2"/>
  <c r="P187" i="2"/>
  <c r="Q187" i="2" s="1"/>
  <c r="N187" i="2"/>
  <c r="M187" i="2"/>
  <c r="L187" i="2"/>
  <c r="K187" i="2"/>
  <c r="J187" i="2"/>
  <c r="I187" i="2"/>
  <c r="U186" i="2"/>
  <c r="S186" i="2"/>
  <c r="P186" i="2"/>
  <c r="N186" i="2"/>
  <c r="L186" i="2"/>
  <c r="K186" i="2"/>
  <c r="Q186" i="2" s="1"/>
  <c r="I186" i="2"/>
  <c r="U185" i="2"/>
  <c r="S185" i="2"/>
  <c r="P185" i="2"/>
  <c r="N185" i="2"/>
  <c r="M185" i="2"/>
  <c r="L185" i="2"/>
  <c r="K185" i="2"/>
  <c r="Q185" i="2" s="1"/>
  <c r="I185" i="2"/>
  <c r="J185" i="2" s="1"/>
  <c r="U184" i="2"/>
  <c r="P184" i="2"/>
  <c r="N184" i="2"/>
  <c r="L184" i="2"/>
  <c r="K184" i="2"/>
  <c r="J184" i="2"/>
  <c r="I184" i="2"/>
  <c r="U183" i="2"/>
  <c r="S183" i="2"/>
  <c r="Q183" i="2"/>
  <c r="P183" i="2"/>
  <c r="N183" i="2"/>
  <c r="L183" i="2"/>
  <c r="M183" i="2" s="1"/>
  <c r="K183" i="2"/>
  <c r="I183" i="2"/>
  <c r="J183" i="2" s="1"/>
  <c r="U182" i="2"/>
  <c r="P182" i="2"/>
  <c r="Q182" i="2" s="1"/>
  <c r="N182" i="2"/>
  <c r="L182" i="2"/>
  <c r="K182" i="2"/>
  <c r="S182" i="2" s="1"/>
  <c r="I182" i="2"/>
  <c r="J182" i="2" s="1"/>
  <c r="U181" i="2"/>
  <c r="P181" i="2"/>
  <c r="N181" i="2"/>
  <c r="L181" i="2"/>
  <c r="K181" i="2"/>
  <c r="I181" i="2"/>
  <c r="U180" i="2"/>
  <c r="P180" i="2"/>
  <c r="Q180" i="2" s="1"/>
  <c r="N180" i="2"/>
  <c r="L180" i="2"/>
  <c r="M180" i="2" s="1"/>
  <c r="K180" i="2"/>
  <c r="S180" i="2" s="1"/>
  <c r="J180" i="2"/>
  <c r="I180" i="2"/>
  <c r="U179" i="2"/>
  <c r="S179" i="2"/>
  <c r="P179" i="2"/>
  <c r="Q179" i="2" s="1"/>
  <c r="N179" i="2"/>
  <c r="L179" i="2"/>
  <c r="M179" i="2" s="1"/>
  <c r="K179" i="2"/>
  <c r="K807" i="2" s="1"/>
  <c r="J179" i="2"/>
  <c r="I179" i="2"/>
  <c r="U178" i="2"/>
  <c r="P178" i="2"/>
  <c r="N178" i="2"/>
  <c r="L178" i="2"/>
  <c r="K178" i="2"/>
  <c r="I178" i="2"/>
  <c r="U177" i="2"/>
  <c r="S177" i="2"/>
  <c r="P177" i="2"/>
  <c r="N177" i="2"/>
  <c r="L177" i="2"/>
  <c r="M177" i="2" s="1"/>
  <c r="K177" i="2"/>
  <c r="K693" i="2" s="1"/>
  <c r="I177" i="2"/>
  <c r="J177" i="2" s="1"/>
  <c r="U176" i="2"/>
  <c r="P176" i="2"/>
  <c r="N176" i="2"/>
  <c r="M176" i="2"/>
  <c r="L176" i="2"/>
  <c r="K176" i="2"/>
  <c r="S176" i="2" s="1"/>
  <c r="J176" i="2"/>
  <c r="I176" i="2"/>
  <c r="U175" i="2"/>
  <c r="S175" i="2"/>
  <c r="P175" i="2"/>
  <c r="Q175" i="2" s="1"/>
  <c r="N175" i="2"/>
  <c r="L175" i="2"/>
  <c r="M175" i="2" s="1"/>
  <c r="K175" i="2"/>
  <c r="I175" i="2"/>
  <c r="J175" i="2" s="1"/>
  <c r="U174" i="2"/>
  <c r="S174" i="2"/>
  <c r="P174" i="2"/>
  <c r="N174" i="2"/>
  <c r="L174" i="2"/>
  <c r="K174" i="2"/>
  <c r="J174" i="2" s="1"/>
  <c r="I174" i="2"/>
  <c r="U173" i="2"/>
  <c r="Q173" i="2"/>
  <c r="P173" i="2"/>
  <c r="N173" i="2"/>
  <c r="L173" i="2"/>
  <c r="M173" i="2" s="1"/>
  <c r="K173" i="2"/>
  <c r="J173" i="2"/>
  <c r="I173" i="2"/>
  <c r="U172" i="2"/>
  <c r="P172" i="2"/>
  <c r="N172" i="2"/>
  <c r="M172" i="2"/>
  <c r="L172" i="2"/>
  <c r="K172" i="2"/>
  <c r="Q172" i="2" s="1"/>
  <c r="I172" i="2"/>
  <c r="U171" i="2"/>
  <c r="S171" i="2"/>
  <c r="P171" i="2"/>
  <c r="Q171" i="2" s="1"/>
  <c r="N171" i="2"/>
  <c r="M171" i="2"/>
  <c r="L171" i="2"/>
  <c r="K171" i="2"/>
  <c r="K488" i="2" s="1"/>
  <c r="J171" i="2"/>
  <c r="I171" i="2"/>
  <c r="U170" i="2"/>
  <c r="P170" i="2"/>
  <c r="N170" i="2"/>
  <c r="L170" i="2"/>
  <c r="K170" i="2"/>
  <c r="I170" i="2"/>
  <c r="U169" i="2"/>
  <c r="S169" i="2"/>
  <c r="Q169" i="2"/>
  <c r="P169" i="2"/>
  <c r="N169" i="2"/>
  <c r="M169" i="2"/>
  <c r="L169" i="2"/>
  <c r="K169" i="2"/>
  <c r="I169" i="2"/>
  <c r="J169" i="2" s="1"/>
  <c r="U168" i="2"/>
  <c r="P168" i="2"/>
  <c r="N168" i="2"/>
  <c r="L168" i="2"/>
  <c r="K168" i="2"/>
  <c r="I168" i="2"/>
  <c r="U167" i="2"/>
  <c r="S167" i="2"/>
  <c r="Q167" i="2"/>
  <c r="P167" i="2"/>
  <c r="N167" i="2"/>
  <c r="M167" i="2"/>
  <c r="L167" i="2"/>
  <c r="K167" i="2"/>
  <c r="I167" i="2"/>
  <c r="J167" i="2" s="1"/>
  <c r="U166" i="2"/>
  <c r="P166" i="2"/>
  <c r="Q166" i="2" s="1"/>
  <c r="N166" i="2"/>
  <c r="L166" i="2"/>
  <c r="K166" i="2"/>
  <c r="S166" i="2" s="1"/>
  <c r="I166" i="2"/>
  <c r="J166" i="2" s="1"/>
  <c r="U165" i="2"/>
  <c r="Q165" i="2"/>
  <c r="P165" i="2"/>
  <c r="N165" i="2"/>
  <c r="L165" i="2"/>
  <c r="K165" i="2"/>
  <c r="S165" i="2" s="1"/>
  <c r="I165" i="2"/>
  <c r="U164" i="2"/>
  <c r="P164" i="2"/>
  <c r="Q164" i="2" s="1"/>
  <c r="N164" i="2"/>
  <c r="M164" i="2"/>
  <c r="L164" i="2"/>
  <c r="K164" i="2"/>
  <c r="J164" i="2"/>
  <c r="I164" i="2"/>
  <c r="U163" i="2"/>
  <c r="S163" i="2"/>
  <c r="P163" i="2"/>
  <c r="Q163" i="2" s="1"/>
  <c r="N163" i="2"/>
  <c r="L163" i="2"/>
  <c r="M163" i="2" s="1"/>
  <c r="K163" i="2"/>
  <c r="K362" i="2" s="1"/>
  <c r="I163" i="2"/>
  <c r="J163" i="2" s="1"/>
  <c r="U162" i="2"/>
  <c r="S162" i="2"/>
  <c r="Q162" i="2"/>
  <c r="P162" i="2"/>
  <c r="N162" i="2"/>
  <c r="L162" i="2"/>
  <c r="K162" i="2"/>
  <c r="J162" i="2"/>
  <c r="I162" i="2"/>
  <c r="U161" i="2"/>
  <c r="S161" i="2"/>
  <c r="P161" i="2"/>
  <c r="N161" i="2"/>
  <c r="L161" i="2"/>
  <c r="M161" i="2" s="1"/>
  <c r="K161" i="2"/>
  <c r="Q161" i="2" s="1"/>
  <c r="I161" i="2"/>
  <c r="J161" i="2" s="1"/>
  <c r="U160" i="2"/>
  <c r="Q160" i="2"/>
  <c r="P160" i="2"/>
  <c r="N160" i="2"/>
  <c r="M160" i="2"/>
  <c r="L160" i="2"/>
  <c r="K160" i="2"/>
  <c r="J160" i="2"/>
  <c r="I160" i="2"/>
  <c r="U159" i="2"/>
  <c r="S159" i="2"/>
  <c r="P159" i="2"/>
  <c r="Q159" i="2" s="1"/>
  <c r="N159" i="2"/>
  <c r="L159" i="2"/>
  <c r="M159" i="2" s="1"/>
  <c r="K159" i="2"/>
  <c r="K353" i="2" s="1"/>
  <c r="J159" i="2"/>
  <c r="I159" i="2"/>
  <c r="U158" i="2"/>
  <c r="P158" i="2"/>
  <c r="N158" i="2"/>
  <c r="L158" i="2"/>
  <c r="K158" i="2"/>
  <c r="J158" i="2"/>
  <c r="I158" i="2"/>
  <c r="U157" i="2"/>
  <c r="P157" i="2"/>
  <c r="N157" i="2"/>
  <c r="L157" i="2"/>
  <c r="K157" i="2"/>
  <c r="I157" i="2"/>
  <c r="U156" i="2"/>
  <c r="S156" i="2"/>
  <c r="P156" i="2"/>
  <c r="N156" i="2"/>
  <c r="L156" i="2"/>
  <c r="M156" i="2" s="1"/>
  <c r="K156" i="2"/>
  <c r="I156" i="2"/>
  <c r="J156" i="2" s="1"/>
  <c r="U155" i="2"/>
  <c r="P155" i="2"/>
  <c r="Q155" i="2" s="1"/>
  <c r="N155" i="2"/>
  <c r="L155" i="2"/>
  <c r="K155" i="2"/>
  <c r="S155" i="2" s="1"/>
  <c r="I155" i="2"/>
  <c r="U154" i="2"/>
  <c r="Q154" i="2"/>
  <c r="P154" i="2"/>
  <c r="N154" i="2"/>
  <c r="L154" i="2"/>
  <c r="K154" i="2"/>
  <c r="K348" i="2" s="1"/>
  <c r="Q348" i="2" s="1"/>
  <c r="J154" i="2"/>
  <c r="I154" i="2"/>
  <c r="U153" i="2"/>
  <c r="P153" i="2"/>
  <c r="Q153" i="2" s="1"/>
  <c r="N153" i="2"/>
  <c r="L153" i="2"/>
  <c r="K153" i="2"/>
  <c r="I153" i="2"/>
  <c r="U152" i="2"/>
  <c r="S152" i="2"/>
  <c r="P152" i="2"/>
  <c r="N152" i="2"/>
  <c r="L152" i="2"/>
  <c r="M152" i="2" s="1"/>
  <c r="K152" i="2"/>
  <c r="K346" i="2" s="1"/>
  <c r="I152" i="2"/>
  <c r="J152" i="2" s="1"/>
  <c r="U151" i="2"/>
  <c r="P151" i="2"/>
  <c r="N151" i="2"/>
  <c r="L151" i="2"/>
  <c r="K151" i="2"/>
  <c r="S151" i="2" s="1"/>
  <c r="I151" i="2"/>
  <c r="U150" i="2"/>
  <c r="P150" i="2"/>
  <c r="N150" i="2"/>
  <c r="L150" i="2"/>
  <c r="K150" i="2"/>
  <c r="Q150" i="2" s="1"/>
  <c r="J150" i="2"/>
  <c r="I150" i="2"/>
  <c r="U149" i="2"/>
  <c r="P149" i="2"/>
  <c r="N149" i="2"/>
  <c r="L149" i="2"/>
  <c r="K149" i="2"/>
  <c r="I149" i="2"/>
  <c r="U148" i="2"/>
  <c r="S148" i="2"/>
  <c r="P148" i="2"/>
  <c r="N148" i="2"/>
  <c r="L148" i="2"/>
  <c r="M148" i="2" s="1"/>
  <c r="K148" i="2"/>
  <c r="I148" i="2"/>
  <c r="J148" i="2" s="1"/>
  <c r="U147" i="2"/>
  <c r="P147" i="2"/>
  <c r="Q147" i="2" s="1"/>
  <c r="N147" i="2"/>
  <c r="L147" i="2"/>
  <c r="K147" i="2"/>
  <c r="S147" i="2" s="1"/>
  <c r="I147" i="2"/>
  <c r="U146" i="2"/>
  <c r="Q146" i="2"/>
  <c r="P146" i="2"/>
  <c r="N146" i="2"/>
  <c r="L146" i="2"/>
  <c r="K146" i="2"/>
  <c r="S146" i="2" s="1"/>
  <c r="J146" i="2"/>
  <c r="I146" i="2"/>
  <c r="U145" i="2"/>
  <c r="P145" i="2"/>
  <c r="Q145" i="2" s="1"/>
  <c r="N145" i="2"/>
  <c r="L145" i="2"/>
  <c r="K145" i="2"/>
  <c r="I145" i="2"/>
  <c r="U144" i="2"/>
  <c r="S144" i="2"/>
  <c r="P144" i="2"/>
  <c r="N144" i="2"/>
  <c r="L144" i="2"/>
  <c r="M144" i="2" s="1"/>
  <c r="K144" i="2"/>
  <c r="K719" i="2" s="1"/>
  <c r="I144" i="2"/>
  <c r="J144" i="2" s="1"/>
  <c r="U143" i="2"/>
  <c r="P143" i="2"/>
  <c r="N143" i="2"/>
  <c r="L143" i="2"/>
  <c r="K143" i="2"/>
  <c r="S143" i="2" s="1"/>
  <c r="I143" i="2"/>
  <c r="U142" i="2"/>
  <c r="P142" i="2"/>
  <c r="N142" i="2"/>
  <c r="L142" i="2"/>
  <c r="K142" i="2"/>
  <c r="S142" i="2" s="1"/>
  <c r="J142" i="2"/>
  <c r="I142" i="2"/>
  <c r="U141" i="2"/>
  <c r="P141" i="2"/>
  <c r="N141" i="2"/>
  <c r="L141" i="2"/>
  <c r="K141" i="2"/>
  <c r="I141" i="2"/>
  <c r="U140" i="2"/>
  <c r="S140" i="2"/>
  <c r="P140" i="2"/>
  <c r="N140" i="2"/>
  <c r="L140" i="2"/>
  <c r="M140" i="2" s="1"/>
  <c r="K140" i="2"/>
  <c r="I140" i="2"/>
  <c r="J140" i="2" s="1"/>
  <c r="U139" i="2"/>
  <c r="P139" i="2"/>
  <c r="Q139" i="2" s="1"/>
  <c r="N139" i="2"/>
  <c r="L139" i="2"/>
  <c r="K139" i="2"/>
  <c r="S139" i="2" s="1"/>
  <c r="I139" i="2"/>
  <c r="U138" i="2"/>
  <c r="Q138" i="2"/>
  <c r="P138" i="2"/>
  <c r="N138" i="2"/>
  <c r="L138" i="2"/>
  <c r="K138" i="2"/>
  <c r="S138" i="2" s="1"/>
  <c r="J138" i="2"/>
  <c r="I138" i="2"/>
  <c r="U137" i="2"/>
  <c r="P137" i="2"/>
  <c r="Q137" i="2" s="1"/>
  <c r="N137" i="2"/>
  <c r="L137" i="2"/>
  <c r="K137" i="2"/>
  <c r="S137" i="2" s="1"/>
  <c r="I137" i="2"/>
  <c r="U136" i="2"/>
  <c r="S136" i="2"/>
  <c r="P136" i="2"/>
  <c r="N136" i="2"/>
  <c r="L136" i="2"/>
  <c r="M136" i="2" s="1"/>
  <c r="K136" i="2"/>
  <c r="Q136" i="2" s="1"/>
  <c r="I136" i="2"/>
  <c r="J136" i="2" s="1"/>
  <c r="B136" i="2"/>
  <c r="U135" i="2"/>
  <c r="S135" i="2"/>
  <c r="P135" i="2"/>
  <c r="Q135" i="2" s="1"/>
  <c r="N135" i="2"/>
  <c r="L135" i="2"/>
  <c r="M135" i="2" s="1"/>
  <c r="K135" i="2"/>
  <c r="I135" i="2"/>
  <c r="J135" i="2" s="1"/>
  <c r="B135" i="2"/>
  <c r="U134" i="2"/>
  <c r="P134" i="2"/>
  <c r="N134" i="2"/>
  <c r="M134" i="2"/>
  <c r="L134" i="2"/>
  <c r="K134" i="2"/>
  <c r="S134" i="2" s="1"/>
  <c r="J134" i="2"/>
  <c r="I134" i="2"/>
  <c r="B134" i="2"/>
  <c r="U133" i="2"/>
  <c r="P133" i="2"/>
  <c r="Q133" i="2" s="1"/>
  <c r="N133" i="2"/>
  <c r="L133" i="2"/>
  <c r="K133" i="2"/>
  <c r="S133" i="2" s="1"/>
  <c r="I133" i="2"/>
  <c r="B133" i="2"/>
  <c r="U132" i="2"/>
  <c r="P132" i="2"/>
  <c r="N132" i="2"/>
  <c r="L132" i="2"/>
  <c r="K132" i="2"/>
  <c r="Q132" i="2" s="1"/>
  <c r="J132" i="2"/>
  <c r="I132" i="2"/>
  <c r="U131" i="2"/>
  <c r="P131" i="2"/>
  <c r="N131" i="2"/>
  <c r="L131" i="2"/>
  <c r="K131" i="2"/>
  <c r="I131" i="2"/>
  <c r="U130" i="2"/>
  <c r="S130" i="2"/>
  <c r="P130" i="2"/>
  <c r="N130" i="2"/>
  <c r="L130" i="2"/>
  <c r="M130" i="2" s="1"/>
  <c r="K130" i="2"/>
  <c r="K704" i="2" s="1"/>
  <c r="I130" i="2"/>
  <c r="J130" i="2" s="1"/>
  <c r="U129" i="2"/>
  <c r="P129" i="2"/>
  <c r="Q129" i="2" s="1"/>
  <c r="N129" i="2"/>
  <c r="L129" i="2"/>
  <c r="K129" i="2"/>
  <c r="S129" i="2" s="1"/>
  <c r="I129" i="2"/>
  <c r="U128" i="2"/>
  <c r="Q128" i="2"/>
  <c r="P128" i="2"/>
  <c r="N128" i="2"/>
  <c r="L128" i="2"/>
  <c r="K128" i="2"/>
  <c r="S128" i="2" s="1"/>
  <c r="J128" i="2"/>
  <c r="I128" i="2"/>
  <c r="U127" i="2"/>
  <c r="P127" i="2"/>
  <c r="Q127" i="2" s="1"/>
  <c r="N127" i="2"/>
  <c r="L127" i="2"/>
  <c r="K127" i="2"/>
  <c r="S127" i="2" s="1"/>
  <c r="I127" i="2"/>
  <c r="U126" i="2"/>
  <c r="S126" i="2"/>
  <c r="P126" i="2"/>
  <c r="N126" i="2"/>
  <c r="L126" i="2"/>
  <c r="M126" i="2" s="1"/>
  <c r="K126" i="2"/>
  <c r="Q126" i="2" s="1"/>
  <c r="I126" i="2"/>
  <c r="J126" i="2" s="1"/>
  <c r="U125" i="2"/>
  <c r="P125" i="2"/>
  <c r="N125" i="2"/>
  <c r="L125" i="2"/>
  <c r="K125" i="2"/>
  <c r="S125" i="2" s="1"/>
  <c r="I125" i="2"/>
  <c r="U124" i="2"/>
  <c r="P124" i="2"/>
  <c r="N124" i="2"/>
  <c r="L124" i="2"/>
  <c r="K124" i="2"/>
  <c r="Q124" i="2" s="1"/>
  <c r="J124" i="2"/>
  <c r="I124" i="2"/>
  <c r="U123" i="2"/>
  <c r="P123" i="2"/>
  <c r="N123" i="2"/>
  <c r="L123" i="2"/>
  <c r="K123" i="2"/>
  <c r="I123" i="2"/>
  <c r="U122" i="2"/>
  <c r="S122" i="2"/>
  <c r="P122" i="2"/>
  <c r="N122" i="2"/>
  <c r="L122" i="2"/>
  <c r="M122" i="2" s="1"/>
  <c r="K122" i="2"/>
  <c r="I122" i="2"/>
  <c r="J122" i="2" s="1"/>
  <c r="U121" i="2"/>
  <c r="P121" i="2"/>
  <c r="Q121" i="2" s="1"/>
  <c r="N121" i="2"/>
  <c r="L121" i="2"/>
  <c r="K121" i="2"/>
  <c r="S121" i="2" s="1"/>
  <c r="I121" i="2"/>
  <c r="U120" i="2"/>
  <c r="Q120" i="2"/>
  <c r="P120" i="2"/>
  <c r="N120" i="2"/>
  <c r="L120" i="2"/>
  <c r="K120" i="2"/>
  <c r="S120" i="2" s="1"/>
  <c r="J120" i="2"/>
  <c r="I120" i="2"/>
  <c r="U119" i="2"/>
  <c r="P119" i="2"/>
  <c r="Q119" i="2" s="1"/>
  <c r="N119" i="2"/>
  <c r="L119" i="2"/>
  <c r="K119" i="2"/>
  <c r="S119" i="2" s="1"/>
  <c r="I119" i="2"/>
  <c r="U118" i="2"/>
  <c r="S118" i="2"/>
  <c r="P118" i="2"/>
  <c r="N118" i="2"/>
  <c r="L118" i="2"/>
  <c r="M118" i="2" s="1"/>
  <c r="K118" i="2"/>
  <c r="Q118" i="2" s="1"/>
  <c r="I118" i="2"/>
  <c r="J118" i="2" s="1"/>
  <c r="U117" i="2"/>
  <c r="P117" i="2"/>
  <c r="N117" i="2"/>
  <c r="L117" i="2"/>
  <c r="K117" i="2"/>
  <c r="S117" i="2" s="1"/>
  <c r="I117" i="2"/>
  <c r="U116" i="2"/>
  <c r="P116" i="2"/>
  <c r="N116" i="2"/>
  <c r="L116" i="2"/>
  <c r="K116" i="2"/>
  <c r="Q116" i="2" s="1"/>
  <c r="J116" i="2"/>
  <c r="I116" i="2"/>
  <c r="U115" i="2"/>
  <c r="P115" i="2"/>
  <c r="N115" i="2"/>
  <c r="L115" i="2"/>
  <c r="K115" i="2"/>
  <c r="I115" i="2"/>
  <c r="U114" i="2"/>
  <c r="S114" i="2"/>
  <c r="P114" i="2"/>
  <c r="N114" i="2"/>
  <c r="L114" i="2"/>
  <c r="M114" i="2" s="1"/>
  <c r="K114" i="2"/>
  <c r="I114" i="2"/>
  <c r="J114" i="2" s="1"/>
  <c r="U113" i="2"/>
  <c r="P113" i="2"/>
  <c r="Q113" i="2" s="1"/>
  <c r="N113" i="2"/>
  <c r="L113" i="2"/>
  <c r="K113" i="2"/>
  <c r="S113" i="2" s="1"/>
  <c r="I113" i="2"/>
  <c r="U112" i="2"/>
  <c r="Q112" i="2"/>
  <c r="P112" i="2"/>
  <c r="N112" i="2"/>
  <c r="L112" i="2"/>
  <c r="K112" i="2"/>
  <c r="S112" i="2" s="1"/>
  <c r="J112" i="2"/>
  <c r="I112" i="2"/>
  <c r="U111" i="2"/>
  <c r="P111" i="2"/>
  <c r="Q111" i="2" s="1"/>
  <c r="N111" i="2"/>
  <c r="L111" i="2"/>
  <c r="K111" i="2"/>
  <c r="S111" i="2" s="1"/>
  <c r="I111" i="2"/>
  <c r="U110" i="2"/>
  <c r="S110" i="2"/>
  <c r="P110" i="2"/>
  <c r="N110" i="2"/>
  <c r="L110" i="2"/>
  <c r="M110" i="2" s="1"/>
  <c r="K110" i="2"/>
  <c r="Q110" i="2" s="1"/>
  <c r="I110" i="2"/>
  <c r="J110" i="2" s="1"/>
  <c r="U109" i="2"/>
  <c r="P109" i="2"/>
  <c r="N109" i="2"/>
  <c r="L109" i="2"/>
  <c r="K109" i="2"/>
  <c r="S109" i="2" s="1"/>
  <c r="I109" i="2"/>
  <c r="U108" i="2"/>
  <c r="P108" i="2"/>
  <c r="N108" i="2"/>
  <c r="L108" i="2"/>
  <c r="K108" i="2"/>
  <c r="K724" i="2" s="1"/>
  <c r="J108" i="2"/>
  <c r="I108" i="2"/>
  <c r="U107" i="2"/>
  <c r="P107" i="2"/>
  <c r="N107" i="2"/>
  <c r="L107" i="2"/>
  <c r="K107" i="2"/>
  <c r="I107" i="2"/>
  <c r="U106" i="2"/>
  <c r="S106" i="2"/>
  <c r="P106" i="2"/>
  <c r="N106" i="2"/>
  <c r="L106" i="2"/>
  <c r="M106" i="2" s="1"/>
  <c r="K106" i="2"/>
  <c r="K722" i="2" s="1"/>
  <c r="I106" i="2"/>
  <c r="J106" i="2" s="1"/>
  <c r="U105" i="2"/>
  <c r="P105" i="2"/>
  <c r="Q105" i="2" s="1"/>
  <c r="N105" i="2"/>
  <c r="L105" i="2"/>
  <c r="K105" i="2"/>
  <c r="S105" i="2" s="1"/>
  <c r="I105" i="2"/>
  <c r="U104" i="2"/>
  <c r="Q104" i="2"/>
  <c r="P104" i="2"/>
  <c r="N104" i="2"/>
  <c r="L104" i="2"/>
  <c r="K104" i="2"/>
  <c r="K721" i="2" s="1"/>
  <c r="J104" i="2"/>
  <c r="I104" i="2"/>
  <c r="U103" i="2"/>
  <c r="P103" i="2"/>
  <c r="Q103" i="2" s="1"/>
  <c r="N103" i="2"/>
  <c r="L103" i="2"/>
  <c r="K103" i="2"/>
  <c r="S103" i="2" s="1"/>
  <c r="I103" i="2"/>
  <c r="U102" i="2"/>
  <c r="S102" i="2"/>
  <c r="P102" i="2"/>
  <c r="N102" i="2"/>
  <c r="L102" i="2"/>
  <c r="M102" i="2" s="1"/>
  <c r="K102" i="2"/>
  <c r="Q102" i="2" s="1"/>
  <c r="I102" i="2"/>
  <c r="J102" i="2" s="1"/>
  <c r="U101" i="2"/>
  <c r="P101" i="2"/>
  <c r="N101" i="2"/>
  <c r="L101" i="2"/>
  <c r="K101" i="2"/>
  <c r="S101" i="2" s="1"/>
  <c r="I101" i="2"/>
  <c r="U100" i="2"/>
  <c r="P100" i="2"/>
  <c r="N100" i="2"/>
  <c r="L100" i="2"/>
  <c r="K100" i="2"/>
  <c r="Q100" i="2" s="1"/>
  <c r="J100" i="2"/>
  <c r="I100" i="2"/>
  <c r="U99" i="2"/>
  <c r="P99" i="2"/>
  <c r="N99" i="2"/>
  <c r="L99" i="2"/>
  <c r="K99" i="2"/>
  <c r="I99" i="2"/>
  <c r="U98" i="2"/>
  <c r="S98" i="2"/>
  <c r="P98" i="2"/>
  <c r="N98" i="2"/>
  <c r="L98" i="2"/>
  <c r="M98" i="2" s="1"/>
  <c r="K98" i="2"/>
  <c r="K755" i="2" s="1"/>
  <c r="I98" i="2"/>
  <c r="J98" i="2" s="1"/>
  <c r="U97" i="2"/>
  <c r="P97" i="2"/>
  <c r="Q97" i="2" s="1"/>
  <c r="N97" i="2"/>
  <c r="L97" i="2"/>
  <c r="K97" i="2"/>
  <c r="S97" i="2" s="1"/>
  <c r="I97" i="2"/>
  <c r="U96" i="2"/>
  <c r="Q96" i="2"/>
  <c r="P96" i="2"/>
  <c r="N96" i="2"/>
  <c r="L96" i="2"/>
  <c r="K96" i="2"/>
  <c r="K761" i="2" s="1"/>
  <c r="J96" i="2"/>
  <c r="I96" i="2"/>
  <c r="U95" i="2"/>
  <c r="P95" i="2"/>
  <c r="Q95" i="2" s="1"/>
  <c r="N95" i="2"/>
  <c r="L95" i="2"/>
  <c r="K95" i="2"/>
  <c r="J95" i="2" s="1"/>
  <c r="I95" i="2"/>
  <c r="U94" i="2"/>
  <c r="S94" i="2"/>
  <c r="P94" i="2"/>
  <c r="N94" i="2"/>
  <c r="L94" i="2"/>
  <c r="M94" i="2" s="1"/>
  <c r="K94" i="2"/>
  <c r="Q94" i="2" s="1"/>
  <c r="I94" i="2"/>
  <c r="J94" i="2" s="1"/>
  <c r="U93" i="2"/>
  <c r="P93" i="2"/>
  <c r="N93" i="2"/>
  <c r="L93" i="2"/>
  <c r="K93" i="2"/>
  <c r="S93" i="2" s="1"/>
  <c r="I93" i="2"/>
  <c r="U92" i="2"/>
  <c r="P92" i="2"/>
  <c r="N92" i="2"/>
  <c r="L92" i="2"/>
  <c r="K92" i="2"/>
  <c r="Q92" i="2" s="1"/>
  <c r="J92" i="2"/>
  <c r="I92" i="2"/>
  <c r="U91" i="2"/>
  <c r="P91" i="2"/>
  <c r="N91" i="2"/>
  <c r="L91" i="2"/>
  <c r="K91" i="2"/>
  <c r="I91" i="2"/>
  <c r="U90" i="2"/>
  <c r="S90" i="2"/>
  <c r="P90" i="2"/>
  <c r="N90" i="2"/>
  <c r="L90" i="2"/>
  <c r="M90" i="2" s="1"/>
  <c r="K90" i="2"/>
  <c r="I90" i="2"/>
  <c r="J90" i="2" s="1"/>
  <c r="U89" i="2"/>
  <c r="P89" i="2"/>
  <c r="Q89" i="2" s="1"/>
  <c r="N89" i="2"/>
  <c r="L89" i="2"/>
  <c r="K89" i="2"/>
  <c r="S89" i="2" s="1"/>
  <c r="I89" i="2"/>
  <c r="U88" i="2"/>
  <c r="Q88" i="2"/>
  <c r="P88" i="2"/>
  <c r="N88" i="2"/>
  <c r="L88" i="2"/>
  <c r="K88" i="2"/>
  <c r="K756" i="2" s="1"/>
  <c r="J88" i="2"/>
  <c r="I88" i="2"/>
  <c r="U87" i="2"/>
  <c r="P87" i="2"/>
  <c r="Q87" i="2" s="1"/>
  <c r="N87" i="2"/>
  <c r="L87" i="2"/>
  <c r="K87" i="2"/>
  <c r="J87" i="2" s="1"/>
  <c r="I87" i="2"/>
  <c r="U86" i="2"/>
  <c r="S86" i="2"/>
  <c r="P86" i="2"/>
  <c r="N86" i="2"/>
  <c r="L86" i="2"/>
  <c r="M86" i="2" s="1"/>
  <c r="K86" i="2"/>
  <c r="Q86" i="2" s="1"/>
  <c r="I86" i="2"/>
  <c r="J86" i="2" s="1"/>
  <c r="U85" i="2"/>
  <c r="P85" i="2"/>
  <c r="N85" i="2"/>
  <c r="L85" i="2"/>
  <c r="K85" i="2"/>
  <c r="S85" i="2" s="1"/>
  <c r="I85" i="2"/>
  <c r="U84" i="2"/>
  <c r="P84" i="2"/>
  <c r="N84" i="2"/>
  <c r="L84" i="2"/>
  <c r="K84" i="2"/>
  <c r="Q84" i="2" s="1"/>
  <c r="J84" i="2"/>
  <c r="I84" i="2"/>
  <c r="U83" i="2"/>
  <c r="P83" i="2"/>
  <c r="N83" i="2"/>
  <c r="L83" i="2"/>
  <c r="K83" i="2"/>
  <c r="I83" i="2"/>
  <c r="U82" i="2"/>
  <c r="S82" i="2"/>
  <c r="P82" i="2"/>
  <c r="N82" i="2"/>
  <c r="L82" i="2"/>
  <c r="M82" i="2" s="1"/>
  <c r="K82" i="2"/>
  <c r="I82" i="2"/>
  <c r="J82" i="2" s="1"/>
  <c r="U81" i="2"/>
  <c r="P81" i="2"/>
  <c r="Q81" i="2" s="1"/>
  <c r="N81" i="2"/>
  <c r="L81" i="2"/>
  <c r="K81" i="2"/>
  <c r="S81" i="2" s="1"/>
  <c r="I81" i="2"/>
  <c r="U80" i="2"/>
  <c r="Q80" i="2"/>
  <c r="P80" i="2"/>
  <c r="N80" i="2"/>
  <c r="L80" i="2"/>
  <c r="K80" i="2"/>
  <c r="S80" i="2" s="1"/>
  <c r="J80" i="2"/>
  <c r="I80" i="2"/>
  <c r="U79" i="2"/>
  <c r="Q79" i="2"/>
  <c r="P79" i="2"/>
  <c r="N79" i="2"/>
  <c r="L79" i="2"/>
  <c r="K79" i="2"/>
  <c r="J79" i="2" s="1"/>
  <c r="I79" i="2"/>
  <c r="U78" i="2"/>
  <c r="S78" i="2"/>
  <c r="P78" i="2"/>
  <c r="N78" i="2"/>
  <c r="L78" i="2"/>
  <c r="M78" i="2" s="1"/>
  <c r="K78" i="2"/>
  <c r="Q78" i="2" s="1"/>
  <c r="I78" i="2"/>
  <c r="J78" i="2" s="1"/>
  <c r="U77" i="2"/>
  <c r="P77" i="2"/>
  <c r="N77" i="2"/>
  <c r="L77" i="2"/>
  <c r="K77" i="2"/>
  <c r="S77" i="2" s="1"/>
  <c r="I77" i="2"/>
  <c r="K575" i="2" s="1"/>
  <c r="U76" i="2"/>
  <c r="P76" i="2"/>
  <c r="N76" i="2"/>
  <c r="L76" i="2"/>
  <c r="K76" i="2"/>
  <c r="J76" i="2"/>
  <c r="I76" i="2"/>
  <c r="K574" i="2" s="1"/>
  <c r="P75" i="2"/>
  <c r="N75" i="2"/>
  <c r="L75" i="2"/>
  <c r="K75" i="2"/>
  <c r="U74" i="2"/>
  <c r="S74" i="2"/>
  <c r="P74" i="2"/>
  <c r="N74" i="2"/>
  <c r="L74" i="2"/>
  <c r="M74" i="2" s="1"/>
  <c r="K74" i="2"/>
  <c r="Q74" i="2" s="1"/>
  <c r="I74" i="2"/>
  <c r="J74" i="2" s="1"/>
  <c r="U73" i="2"/>
  <c r="S73" i="2"/>
  <c r="P73" i="2"/>
  <c r="Q73" i="2" s="1"/>
  <c r="N73" i="2"/>
  <c r="L73" i="2"/>
  <c r="K73" i="2"/>
  <c r="I73" i="2"/>
  <c r="U72" i="2"/>
  <c r="S72" i="2"/>
  <c r="P72" i="2"/>
  <c r="N72" i="2"/>
  <c r="M72" i="2"/>
  <c r="L72" i="2"/>
  <c r="K72" i="2"/>
  <c r="Q72" i="2" s="1"/>
  <c r="I72" i="2"/>
  <c r="J72" i="2" s="1"/>
  <c r="U71" i="2"/>
  <c r="P71" i="2"/>
  <c r="Q71" i="2" s="1"/>
  <c r="N71" i="2"/>
  <c r="L71" i="2"/>
  <c r="K71" i="2"/>
  <c r="S71" i="2" s="1"/>
  <c r="J71" i="2"/>
  <c r="I71" i="2"/>
  <c r="U70" i="2"/>
  <c r="S70" i="2"/>
  <c r="P70" i="2"/>
  <c r="N70" i="2"/>
  <c r="L70" i="2"/>
  <c r="M70" i="2" s="1"/>
  <c r="K70" i="2"/>
  <c r="I70" i="2"/>
  <c r="J70" i="2" s="1"/>
  <c r="U69" i="2"/>
  <c r="S69" i="2"/>
  <c r="P69" i="2"/>
  <c r="N69" i="2"/>
  <c r="L69" i="2"/>
  <c r="K69" i="2"/>
  <c r="Q69" i="2" s="1"/>
  <c r="I69" i="2"/>
  <c r="U68" i="2"/>
  <c r="S68" i="2"/>
  <c r="P68" i="2"/>
  <c r="N68" i="2"/>
  <c r="M68" i="2"/>
  <c r="L68" i="2"/>
  <c r="K68" i="2"/>
  <c r="Q68" i="2" s="1"/>
  <c r="J68" i="2"/>
  <c r="I68" i="2"/>
  <c r="U67" i="2"/>
  <c r="P67" i="2"/>
  <c r="N67" i="2"/>
  <c r="L67" i="2"/>
  <c r="K67" i="2"/>
  <c r="J67" i="2"/>
  <c r="I67" i="2"/>
  <c r="U66" i="2"/>
  <c r="S66" i="2"/>
  <c r="P66" i="2"/>
  <c r="N66" i="2"/>
  <c r="L66" i="2"/>
  <c r="M66" i="2" s="1"/>
  <c r="K66" i="2"/>
  <c r="K666" i="2" s="1"/>
  <c r="I66" i="2"/>
  <c r="J66" i="2" s="1"/>
  <c r="U65" i="2"/>
  <c r="S65" i="2"/>
  <c r="P65" i="2"/>
  <c r="Q65" i="2" s="1"/>
  <c r="N65" i="2"/>
  <c r="L65" i="2"/>
  <c r="K65" i="2"/>
  <c r="I65" i="2"/>
  <c r="U64" i="2"/>
  <c r="S64" i="2"/>
  <c r="P64" i="2"/>
  <c r="N64" i="2"/>
  <c r="M64" i="2"/>
  <c r="L64" i="2"/>
  <c r="K64" i="2"/>
  <c r="K641" i="2" s="1"/>
  <c r="I64" i="2"/>
  <c r="J64" i="2" s="1"/>
  <c r="U63" i="2"/>
  <c r="P63" i="2"/>
  <c r="Q63" i="2" s="1"/>
  <c r="N63" i="2"/>
  <c r="L63" i="2"/>
  <c r="K63" i="2"/>
  <c r="M63" i="2" s="1"/>
  <c r="J63" i="2"/>
  <c r="I63" i="2"/>
  <c r="U62" i="2"/>
  <c r="S62" i="2"/>
  <c r="P62" i="2"/>
  <c r="N62" i="2"/>
  <c r="L62" i="2"/>
  <c r="M62" i="2" s="1"/>
  <c r="K62" i="2"/>
  <c r="I62" i="2"/>
  <c r="J62" i="2" s="1"/>
  <c r="U61" i="2"/>
  <c r="S61" i="2"/>
  <c r="P61" i="2"/>
  <c r="N61" i="2"/>
  <c r="L61" i="2"/>
  <c r="K61" i="2"/>
  <c r="Q61" i="2" s="1"/>
  <c r="I61" i="2"/>
  <c r="U60" i="2"/>
  <c r="S60" i="2"/>
  <c r="P60" i="2"/>
  <c r="N60" i="2"/>
  <c r="M60" i="2"/>
  <c r="L60" i="2"/>
  <c r="K60" i="2"/>
  <c r="Q60" i="2" s="1"/>
  <c r="I60" i="2"/>
  <c r="J60" i="2" s="1"/>
  <c r="U59" i="2"/>
  <c r="P59" i="2"/>
  <c r="N59" i="2"/>
  <c r="L59" i="2"/>
  <c r="K59" i="2"/>
  <c r="J59" i="2"/>
  <c r="I59" i="2"/>
  <c r="U58" i="2"/>
  <c r="S58" i="2"/>
  <c r="P58" i="2"/>
  <c r="N58" i="2"/>
  <c r="L58" i="2"/>
  <c r="M58" i="2" s="1"/>
  <c r="K58" i="2"/>
  <c r="Q58" i="2" s="1"/>
  <c r="I58" i="2"/>
  <c r="J58" i="2" s="1"/>
  <c r="U57" i="2"/>
  <c r="S57" i="2"/>
  <c r="P57" i="2"/>
  <c r="Q57" i="2" s="1"/>
  <c r="N57" i="2"/>
  <c r="L57" i="2"/>
  <c r="K57" i="2"/>
  <c r="I57" i="2"/>
  <c r="U56" i="2"/>
  <c r="S56" i="2"/>
  <c r="P56" i="2"/>
  <c r="N56" i="2"/>
  <c r="M56" i="2"/>
  <c r="L56" i="2"/>
  <c r="K56" i="2"/>
  <c r="Q56" i="2" s="1"/>
  <c r="I56" i="2"/>
  <c r="J56" i="2" s="1"/>
  <c r="U55" i="2"/>
  <c r="P55" i="2"/>
  <c r="Q55" i="2" s="1"/>
  <c r="N55" i="2"/>
  <c r="L55" i="2"/>
  <c r="K55" i="2"/>
  <c r="S55" i="2" s="1"/>
  <c r="J55" i="2"/>
  <c r="I55" i="2"/>
  <c r="U54" i="2"/>
  <c r="S54" i="2"/>
  <c r="P54" i="2"/>
  <c r="N54" i="2"/>
  <c r="L54" i="2"/>
  <c r="M54" i="2" s="1"/>
  <c r="K54" i="2"/>
  <c r="I54" i="2"/>
  <c r="J54" i="2" s="1"/>
  <c r="U53" i="2"/>
  <c r="S53" i="2"/>
  <c r="P53" i="2"/>
  <c r="N53" i="2"/>
  <c r="L53" i="2"/>
  <c r="K53" i="2"/>
  <c r="Q53" i="2" s="1"/>
  <c r="I53" i="2"/>
  <c r="U52" i="2"/>
  <c r="S52" i="2"/>
  <c r="P52" i="2"/>
  <c r="N52" i="2"/>
  <c r="M52" i="2"/>
  <c r="L52" i="2"/>
  <c r="K52" i="2"/>
  <c r="Q52" i="2" s="1"/>
  <c r="I52" i="2"/>
  <c r="J52" i="2" s="1"/>
  <c r="U51" i="2"/>
  <c r="P51" i="2"/>
  <c r="N51" i="2"/>
  <c r="L51" i="2"/>
  <c r="K51" i="2"/>
  <c r="I51" i="2"/>
  <c r="U50" i="2"/>
  <c r="S50" i="2"/>
  <c r="P50" i="2"/>
  <c r="N50" i="2"/>
  <c r="L50" i="2"/>
  <c r="M50" i="2" s="1"/>
  <c r="K50" i="2"/>
  <c r="Q50" i="2" s="1"/>
  <c r="I50" i="2"/>
  <c r="J50" i="2" s="1"/>
  <c r="U49" i="2"/>
  <c r="S49" i="2"/>
  <c r="P49" i="2"/>
  <c r="Q49" i="2" s="1"/>
  <c r="N49" i="2"/>
  <c r="L49" i="2"/>
  <c r="K49" i="2"/>
  <c r="I49" i="2"/>
  <c r="U48" i="2"/>
  <c r="S48" i="2"/>
  <c r="P48" i="2"/>
  <c r="N48" i="2"/>
  <c r="M48" i="2"/>
  <c r="L48" i="2"/>
  <c r="K48" i="2"/>
  <c r="Q48" i="2" s="1"/>
  <c r="I48" i="2"/>
  <c r="J48" i="2" s="1"/>
  <c r="U47" i="2"/>
  <c r="P47" i="2"/>
  <c r="Q47" i="2" s="1"/>
  <c r="N47" i="2"/>
  <c r="L47" i="2"/>
  <c r="K47" i="2"/>
  <c r="S47" i="2" s="1"/>
  <c r="J47" i="2"/>
  <c r="I47" i="2"/>
  <c r="U46" i="2"/>
  <c r="S46" i="2"/>
  <c r="P46" i="2"/>
  <c r="N46" i="2"/>
  <c r="L46" i="2"/>
  <c r="M46" i="2" s="1"/>
  <c r="K46" i="2"/>
  <c r="K555" i="2" s="1"/>
  <c r="I46" i="2"/>
  <c r="J46" i="2" s="1"/>
  <c r="U45" i="2"/>
  <c r="S45" i="2"/>
  <c r="P45" i="2"/>
  <c r="N45" i="2"/>
  <c r="L45" i="2"/>
  <c r="K45" i="2"/>
  <c r="Q45" i="2" s="1"/>
  <c r="I45" i="2"/>
  <c r="K561" i="2" s="1"/>
  <c r="U44" i="2"/>
  <c r="S44" i="2"/>
  <c r="P44" i="2"/>
  <c r="N44" i="2"/>
  <c r="M44" i="2"/>
  <c r="L44" i="2"/>
  <c r="K44" i="2"/>
  <c r="Q44" i="2" s="1"/>
  <c r="I44" i="2"/>
  <c r="J44" i="2" s="1"/>
  <c r="U43" i="2"/>
  <c r="P43" i="2"/>
  <c r="N43" i="2"/>
  <c r="L43" i="2"/>
  <c r="K43" i="2"/>
  <c r="J43" i="2"/>
  <c r="I43" i="2"/>
  <c r="U42" i="2"/>
  <c r="S42" i="2"/>
  <c r="P42" i="2"/>
  <c r="N42" i="2"/>
  <c r="L42" i="2"/>
  <c r="M42" i="2" s="1"/>
  <c r="K42" i="2"/>
  <c r="K520" i="2" s="1"/>
  <c r="I42" i="2"/>
  <c r="J42" i="2" s="1"/>
  <c r="U41" i="2"/>
  <c r="S41" i="2"/>
  <c r="P41" i="2"/>
  <c r="Q41" i="2" s="1"/>
  <c r="N41" i="2"/>
  <c r="L41" i="2"/>
  <c r="K41" i="2"/>
  <c r="I41" i="2"/>
  <c r="U40" i="2"/>
  <c r="S40" i="2"/>
  <c r="P40" i="2"/>
  <c r="N40" i="2"/>
  <c r="M40" i="2"/>
  <c r="L40" i="2"/>
  <c r="K40" i="2"/>
  <c r="K518" i="2" s="1"/>
  <c r="I40" i="2"/>
  <c r="J40" i="2" s="1"/>
  <c r="U39" i="2"/>
  <c r="P39" i="2"/>
  <c r="N39" i="2"/>
  <c r="L39" i="2"/>
  <c r="K39" i="2"/>
  <c r="Q39" i="2" s="1"/>
  <c r="J39" i="2"/>
  <c r="I39" i="2"/>
  <c r="U38" i="2"/>
  <c r="S38" i="2"/>
  <c r="P38" i="2"/>
  <c r="N38" i="2"/>
  <c r="L38" i="2"/>
  <c r="M38" i="2" s="1"/>
  <c r="K38" i="2"/>
  <c r="K752" i="2" s="1"/>
  <c r="I38" i="2"/>
  <c r="J38" i="2" s="1"/>
  <c r="U37" i="2"/>
  <c r="S37" i="2"/>
  <c r="P37" i="2"/>
  <c r="N37" i="2"/>
  <c r="L37" i="2"/>
  <c r="K37" i="2"/>
  <c r="Q37" i="2" s="1"/>
  <c r="I37" i="2"/>
  <c r="U36" i="2"/>
  <c r="S36" i="2"/>
  <c r="P36" i="2"/>
  <c r="N36" i="2"/>
  <c r="M36" i="2"/>
  <c r="L36" i="2"/>
  <c r="K36" i="2"/>
  <c r="Q36" i="2" s="1"/>
  <c r="J36" i="2"/>
  <c r="I36" i="2"/>
  <c r="U35" i="2"/>
  <c r="P35" i="2"/>
  <c r="N35" i="2"/>
  <c r="L35" i="2"/>
  <c r="K35" i="2"/>
  <c r="J35" i="2"/>
  <c r="I35" i="2"/>
  <c r="U34" i="2"/>
  <c r="S34" i="2"/>
  <c r="P34" i="2"/>
  <c r="N34" i="2"/>
  <c r="L34" i="2"/>
  <c r="M34" i="2" s="1"/>
  <c r="K34" i="2"/>
  <c r="I34" i="2"/>
  <c r="J34" i="2" s="1"/>
  <c r="U33" i="2"/>
  <c r="S33" i="2"/>
  <c r="P33" i="2"/>
  <c r="Q33" i="2" s="1"/>
  <c r="N33" i="2"/>
  <c r="L33" i="2"/>
  <c r="K33" i="2"/>
  <c r="I33" i="2"/>
  <c r="U32" i="2"/>
  <c r="S32" i="2"/>
  <c r="P32" i="2"/>
  <c r="N32" i="2"/>
  <c r="M32" i="2"/>
  <c r="L32" i="2"/>
  <c r="K32" i="2"/>
  <c r="Q32" i="2" s="1"/>
  <c r="I32" i="2"/>
  <c r="J32" i="2" s="1"/>
  <c r="U31" i="2"/>
  <c r="P31" i="2"/>
  <c r="N31" i="2"/>
  <c r="L31" i="2"/>
  <c r="K31" i="2"/>
  <c r="J31" i="2"/>
  <c r="I31" i="2"/>
  <c r="U30" i="2"/>
  <c r="S30" i="2"/>
  <c r="P30" i="2"/>
  <c r="N30" i="2"/>
  <c r="L30" i="2"/>
  <c r="M30" i="2" s="1"/>
  <c r="K30" i="2"/>
  <c r="I30" i="2"/>
  <c r="J30" i="2" s="1"/>
  <c r="U29" i="2"/>
  <c r="S29" i="2"/>
  <c r="P29" i="2"/>
  <c r="N29" i="2"/>
  <c r="L29" i="2"/>
  <c r="K29" i="2"/>
  <c r="Q29" i="2" s="1"/>
  <c r="I29" i="2"/>
  <c r="U28" i="2"/>
  <c r="S28" i="2"/>
  <c r="P28" i="2"/>
  <c r="N28" i="2"/>
  <c r="M28" i="2"/>
  <c r="L28" i="2"/>
  <c r="K28" i="2"/>
  <c r="Q28" i="2" s="1"/>
  <c r="I28" i="2"/>
  <c r="J28" i="2" s="1"/>
  <c r="U27" i="2"/>
  <c r="P27" i="2"/>
  <c r="N27" i="2"/>
  <c r="L27" i="2"/>
  <c r="K27" i="2"/>
  <c r="J27" i="2"/>
  <c r="I27" i="2"/>
  <c r="U26" i="2"/>
  <c r="S26" i="2"/>
  <c r="P26" i="2"/>
  <c r="N26" i="2"/>
  <c r="L26" i="2"/>
  <c r="M26" i="2" s="1"/>
  <c r="K26" i="2"/>
  <c r="I26" i="2"/>
  <c r="J26" i="2" s="1"/>
  <c r="U25" i="2"/>
  <c r="S25" i="2"/>
  <c r="P25" i="2"/>
  <c r="Q25" i="2" s="1"/>
  <c r="N25" i="2"/>
  <c r="L25" i="2"/>
  <c r="K25" i="2"/>
  <c r="I25" i="2"/>
  <c r="U24" i="2"/>
  <c r="S24" i="2"/>
  <c r="P24" i="2"/>
  <c r="N24" i="2"/>
  <c r="M24" i="2"/>
  <c r="L24" i="2"/>
  <c r="K24" i="2"/>
  <c r="Q24" i="2" s="1"/>
  <c r="I24" i="2"/>
  <c r="J24" i="2" s="1"/>
  <c r="U23" i="2"/>
  <c r="P23" i="2"/>
  <c r="N23" i="2"/>
  <c r="L23" i="2"/>
  <c r="K23" i="2"/>
  <c r="S23" i="2" s="1"/>
  <c r="J23" i="2"/>
  <c r="I23" i="2"/>
  <c r="U22" i="2"/>
  <c r="S22" i="2"/>
  <c r="P22" i="2"/>
  <c r="N22" i="2"/>
  <c r="L22" i="2"/>
  <c r="M22" i="2" s="1"/>
  <c r="K22" i="2"/>
  <c r="I22" i="2"/>
  <c r="J22" i="2" s="1"/>
  <c r="U21" i="2"/>
  <c r="S21" i="2"/>
  <c r="P21" i="2"/>
  <c r="N21" i="2"/>
  <c r="L21" i="2"/>
  <c r="K21" i="2"/>
  <c r="Q21" i="2" s="1"/>
  <c r="I21" i="2"/>
  <c r="U20" i="2"/>
  <c r="S20" i="2"/>
  <c r="P20" i="2"/>
  <c r="N20" i="2"/>
  <c r="M20" i="2"/>
  <c r="L20" i="2"/>
  <c r="K20" i="2"/>
  <c r="Q20" i="2" s="1"/>
  <c r="I20" i="2"/>
  <c r="J20" i="2" s="1"/>
  <c r="U19" i="2"/>
  <c r="P19" i="2"/>
  <c r="N19" i="2"/>
  <c r="L19" i="2"/>
  <c r="K19" i="2"/>
  <c r="J19" i="2" s="1"/>
  <c r="I19" i="2"/>
  <c r="U18" i="2"/>
  <c r="S18" i="2"/>
  <c r="P18" i="2"/>
  <c r="N18" i="2"/>
  <c r="L18" i="2"/>
  <c r="M18" i="2" s="1"/>
  <c r="K18" i="2"/>
  <c r="Q18" i="2" s="1"/>
  <c r="I18" i="2"/>
  <c r="J18" i="2" s="1"/>
  <c r="U17" i="2"/>
  <c r="S17" i="2"/>
  <c r="P17" i="2"/>
  <c r="Q17" i="2" s="1"/>
  <c r="N17" i="2"/>
  <c r="L17" i="2"/>
  <c r="K17" i="2"/>
  <c r="I17" i="2"/>
  <c r="U16" i="2"/>
  <c r="S16" i="2"/>
  <c r="P16" i="2"/>
  <c r="N16" i="2"/>
  <c r="M16" i="2"/>
  <c r="L16" i="2"/>
  <c r="K16" i="2"/>
  <c r="K307" i="2" s="1"/>
  <c r="I16" i="2"/>
  <c r="J16" i="2" s="1"/>
  <c r="U15" i="2"/>
  <c r="P15" i="2"/>
  <c r="N15" i="2"/>
  <c r="L15" i="2"/>
  <c r="K15" i="2"/>
  <c r="J15" i="2"/>
  <c r="I15" i="2"/>
  <c r="U14" i="2"/>
  <c r="S14" i="2"/>
  <c r="P14" i="2"/>
  <c r="N14" i="2"/>
  <c r="L14" i="2"/>
  <c r="M14" i="2" s="1"/>
  <c r="K14" i="2"/>
  <c r="K306" i="2" s="1"/>
  <c r="I14" i="2"/>
  <c r="J14" i="2" s="1"/>
  <c r="U13" i="2"/>
  <c r="S13" i="2"/>
  <c r="P13" i="2"/>
  <c r="N13" i="2"/>
  <c r="L13" i="2"/>
  <c r="K13" i="2"/>
  <c r="Q13" i="2" s="1"/>
  <c r="I13" i="2"/>
  <c r="U12" i="2"/>
  <c r="S12" i="2"/>
  <c r="P12" i="2"/>
  <c r="N12" i="2"/>
  <c r="M12" i="2"/>
  <c r="L12" i="2"/>
  <c r="K12" i="2"/>
  <c r="K287" i="2" s="1"/>
  <c r="I12" i="2"/>
  <c r="J12" i="2" s="1"/>
  <c r="U11" i="2"/>
  <c r="P11" i="2"/>
  <c r="N11" i="2"/>
  <c r="L11" i="2"/>
  <c r="K11" i="2"/>
  <c r="J11" i="2"/>
  <c r="I11" i="2"/>
  <c r="U10" i="2"/>
  <c r="S10" i="2"/>
  <c r="P10" i="2"/>
  <c r="N10" i="2"/>
  <c r="L10" i="2"/>
  <c r="M10" i="2" s="1"/>
  <c r="K10" i="2"/>
  <c r="I10" i="2"/>
  <c r="J10" i="2" s="1"/>
  <c r="U9" i="2"/>
  <c r="S9" i="2"/>
  <c r="P9" i="2"/>
  <c r="Q9" i="2" s="1"/>
  <c r="N9" i="2"/>
  <c r="L9" i="2"/>
  <c r="K9" i="2"/>
  <c r="I9" i="2"/>
  <c r="U8" i="2"/>
  <c r="S8" i="2"/>
  <c r="P8" i="2"/>
  <c r="N8" i="2"/>
  <c r="M8" i="2"/>
  <c r="L8" i="2"/>
  <c r="K8" i="2"/>
  <c r="Q8" i="2" s="1"/>
  <c r="I8" i="2"/>
  <c r="J8" i="2" s="1"/>
  <c r="U7" i="2"/>
  <c r="P7" i="2"/>
  <c r="N7" i="2"/>
  <c r="L7" i="2"/>
  <c r="K7" i="2"/>
  <c r="S7" i="2" s="1"/>
  <c r="J7" i="2"/>
  <c r="I7" i="2"/>
  <c r="U6" i="2"/>
  <c r="S6" i="2"/>
  <c r="P6" i="2"/>
  <c r="N6" i="2"/>
  <c r="L6" i="2"/>
  <c r="M6" i="2" s="1"/>
  <c r="K6" i="2"/>
  <c r="Q6" i="2" s="1"/>
  <c r="I6" i="2"/>
  <c r="J6" i="2" s="1"/>
  <c r="U5" i="2"/>
  <c r="S5" i="2"/>
  <c r="P5" i="2"/>
  <c r="N5" i="2"/>
  <c r="L5" i="2"/>
  <c r="K5" i="2"/>
  <c r="Q5" i="2" s="1"/>
  <c r="I5" i="2"/>
  <c r="U4" i="2"/>
  <c r="S4" i="2"/>
  <c r="P4" i="2"/>
  <c r="N4" i="2"/>
  <c r="M4" i="2"/>
  <c r="L4" i="2"/>
  <c r="K4" i="2"/>
  <c r="K229" i="2" s="1"/>
  <c r="J4" i="2"/>
  <c r="I4" i="2"/>
  <c r="U3" i="2"/>
  <c r="P3" i="2"/>
  <c r="N3" i="2"/>
  <c r="L3" i="2"/>
  <c r="K3" i="2"/>
  <c r="J3" i="2"/>
  <c r="I3" i="2"/>
  <c r="U2" i="2"/>
  <c r="U75" i="2" s="1"/>
  <c r="S2" i="2"/>
  <c r="P2" i="2"/>
  <c r="N2" i="2"/>
  <c r="L2" i="2"/>
  <c r="M2" i="2" s="1"/>
  <c r="K2" i="2"/>
  <c r="I2" i="2"/>
  <c r="J2" i="2" s="1"/>
  <c r="K351" i="3"/>
  <c r="K347" i="3"/>
  <c r="K343" i="3"/>
  <c r="K339" i="3"/>
  <c r="K335" i="3"/>
  <c r="K331" i="3"/>
  <c r="K327" i="3"/>
  <c r="K323" i="3"/>
  <c r="K319" i="3"/>
  <c r="K315" i="3"/>
  <c r="K311" i="3"/>
  <c r="K307" i="3"/>
  <c r="K303" i="3"/>
  <c r="K299" i="3"/>
  <c r="K295" i="3"/>
  <c r="K291" i="3"/>
  <c r="K287" i="3"/>
  <c r="K283" i="3"/>
  <c r="K279" i="3"/>
  <c r="K275" i="3"/>
  <c r="K271" i="3"/>
  <c r="K267" i="3"/>
  <c r="K263" i="3"/>
  <c r="K259" i="3"/>
  <c r="K255" i="3"/>
  <c r="K251" i="3"/>
  <c r="K247" i="3"/>
  <c r="K243" i="3"/>
  <c r="K239" i="3"/>
  <c r="K235" i="3"/>
  <c r="K231" i="3"/>
  <c r="K227" i="3"/>
  <c r="K223" i="3"/>
  <c r="K215" i="3"/>
  <c r="K210" i="3"/>
  <c r="K206" i="3"/>
  <c r="K202" i="3"/>
  <c r="K198" i="3"/>
  <c r="K186" i="3"/>
  <c r="K180" i="3"/>
  <c r="K144" i="3"/>
  <c r="K136" i="3"/>
  <c r="K97" i="3"/>
  <c r="K91" i="3"/>
  <c r="K83" i="3"/>
  <c r="K77" i="3"/>
  <c r="K74" i="3"/>
  <c r="K71" i="3"/>
  <c r="K67" i="3"/>
  <c r="K63" i="3"/>
  <c r="K60" i="3"/>
  <c r="K53" i="3"/>
  <c r="K38" i="3"/>
  <c r="K27" i="3"/>
  <c r="K23" i="3"/>
  <c r="K19" i="3"/>
  <c r="K17" i="3"/>
  <c r="K8" i="3"/>
  <c r="K2" i="3"/>
  <c r="G864" i="2"/>
  <c r="G810" i="2"/>
  <c r="G794" i="2"/>
  <c r="G790" i="2"/>
  <c r="G786" i="2"/>
  <c r="G782" i="2"/>
  <c r="G763" i="2"/>
  <c r="G751" i="2"/>
  <c r="G747" i="2"/>
  <c r="K218" i="3"/>
  <c r="K214" i="3"/>
  <c r="K195" i="3"/>
  <c r="K191" i="3"/>
  <c r="K183" i="3"/>
  <c r="K177" i="3"/>
  <c r="K173" i="3"/>
  <c r="K169" i="3"/>
  <c r="K165" i="3"/>
  <c r="K161" i="3"/>
  <c r="K157" i="3"/>
  <c r="K153" i="3"/>
  <c r="K149" i="3"/>
  <c r="K141" i="3"/>
  <c r="K132" i="3"/>
  <c r="K128" i="3"/>
  <c r="K124" i="3"/>
  <c r="K120" i="3"/>
  <c r="K116" i="3"/>
  <c r="K112" i="3"/>
  <c r="K108" i="3"/>
  <c r="K105" i="3"/>
  <c r="K102" i="3"/>
  <c r="K94" i="3"/>
  <c r="K88" i="3"/>
  <c r="K56" i="3"/>
  <c r="K49" i="3"/>
  <c r="K45" i="3"/>
  <c r="K32" i="3"/>
  <c r="K14" i="3"/>
  <c r="G856" i="2"/>
  <c r="G853" i="2"/>
  <c r="G849" i="2"/>
  <c r="G845" i="2"/>
  <c r="G841" i="2"/>
  <c r="G805" i="2"/>
  <c r="G801" i="2"/>
  <c r="G797" i="2"/>
  <c r="G758" i="2"/>
  <c r="K350" i="3"/>
  <c r="K346" i="3"/>
  <c r="K342" i="3"/>
  <c r="K338" i="3"/>
  <c r="K334" i="3"/>
  <c r="K330" i="3"/>
  <c r="K326" i="3"/>
  <c r="K322" i="3"/>
  <c r="K318" i="3"/>
  <c r="K314" i="3"/>
  <c r="K310" i="3"/>
  <c r="K306" i="3"/>
  <c r="K302" i="3"/>
  <c r="K298" i="3"/>
  <c r="K294" i="3"/>
  <c r="K290" i="3"/>
  <c r="K286" i="3"/>
  <c r="K282" i="3"/>
  <c r="K278" i="3"/>
  <c r="K274" i="3"/>
  <c r="K270" i="3"/>
  <c r="K266" i="3"/>
  <c r="K262" i="3"/>
  <c r="K258" i="3"/>
  <c r="K254" i="3"/>
  <c r="K250" i="3"/>
  <c r="K246" i="3"/>
  <c r="K242" i="3"/>
  <c r="K238" i="3"/>
  <c r="K234" i="3"/>
  <c r="K230" i="3"/>
  <c r="K226" i="3"/>
  <c r="K222" i="3"/>
  <c r="K213" i="3"/>
  <c r="K197" i="3"/>
  <c r="K194" i="3"/>
  <c r="K185" i="3"/>
  <c r="K179" i="3"/>
  <c r="K176" i="3"/>
  <c r="K172" i="3"/>
  <c r="K168" i="3"/>
  <c r="K164" i="3"/>
  <c r="K160" i="3"/>
  <c r="K156" i="3"/>
  <c r="K152" i="3"/>
  <c r="K143" i="3"/>
  <c r="K135" i="3"/>
  <c r="K131" i="3"/>
  <c r="K127" i="3"/>
  <c r="K123" i="3"/>
  <c r="K119" i="3"/>
  <c r="K115" i="3"/>
  <c r="K111" i="3"/>
  <c r="K107" i="3"/>
  <c r="K96" i="3"/>
  <c r="K90" i="3"/>
  <c r="K81" i="3"/>
  <c r="K73" i="3"/>
  <c r="K55" i="3"/>
  <c r="K52" i="3"/>
  <c r="K48" i="3"/>
  <c r="K44" i="3"/>
  <c r="K37" i="3"/>
  <c r="K16" i="3"/>
  <c r="K13" i="3"/>
  <c r="K7" i="3"/>
  <c r="G854" i="2"/>
  <c r="G850" i="2"/>
  <c r="G846" i="2"/>
  <c r="G842" i="2"/>
  <c r="G802" i="2"/>
  <c r="G798" i="2"/>
  <c r="G795" i="2"/>
  <c r="G753" i="2"/>
  <c r="K349" i="3"/>
  <c r="K345" i="3"/>
  <c r="K341" i="3"/>
  <c r="K337" i="3"/>
  <c r="K333" i="3"/>
  <c r="K329" i="3"/>
  <c r="K325" i="3"/>
  <c r="K321" i="3"/>
  <c r="K317" i="3"/>
  <c r="K313" i="3"/>
  <c r="K309" i="3"/>
  <c r="K305" i="3"/>
  <c r="K301" i="3"/>
  <c r="K297" i="3"/>
  <c r="K293" i="3"/>
  <c r="K289" i="3"/>
  <c r="K285" i="3"/>
  <c r="K281" i="3"/>
  <c r="K277" i="3"/>
  <c r="K273" i="3"/>
  <c r="K269" i="3"/>
  <c r="K265" i="3"/>
  <c r="K261" i="3"/>
  <c r="K257" i="3"/>
  <c r="K253" i="3"/>
  <c r="K249" i="3"/>
  <c r="K245" i="3"/>
  <c r="K241" i="3"/>
  <c r="K237" i="3"/>
  <c r="K233" i="3"/>
  <c r="K229" i="3"/>
  <c r="K225" i="3"/>
  <c r="K221" i="3"/>
  <c r="K217" i="3"/>
  <c r="K212" i="3"/>
  <c r="K208" i="3"/>
  <c r="K204" i="3"/>
  <c r="K200" i="3"/>
  <c r="K190" i="3"/>
  <c r="K182" i="3"/>
  <c r="K148" i="3"/>
  <c r="K140" i="3"/>
  <c r="K104" i="3"/>
  <c r="K101" i="3"/>
  <c r="K93" i="3"/>
  <c r="K87" i="3"/>
  <c r="K80" i="3"/>
  <c r="K69" i="3"/>
  <c r="K65" i="3"/>
  <c r="K58" i="3"/>
  <c r="K40" i="3"/>
  <c r="K31" i="3"/>
  <c r="K220" i="3"/>
  <c r="K348" i="3"/>
  <c r="K344" i="3"/>
  <c r="K340" i="3"/>
  <c r="K336" i="3"/>
  <c r="K332" i="3"/>
  <c r="K328" i="3"/>
  <c r="K324" i="3"/>
  <c r="K320" i="3"/>
  <c r="K316" i="3"/>
  <c r="K312" i="3"/>
  <c r="K308" i="3"/>
  <c r="K304" i="3"/>
  <c r="K300" i="3"/>
  <c r="K296" i="3"/>
  <c r="K292" i="3"/>
  <c r="K288" i="3"/>
  <c r="K284" i="3"/>
  <c r="K280" i="3"/>
  <c r="K276" i="3"/>
  <c r="K272" i="3"/>
  <c r="K268" i="3"/>
  <c r="K264" i="3"/>
  <c r="K260" i="3"/>
  <c r="K256" i="3"/>
  <c r="K252" i="3"/>
  <c r="K248" i="3"/>
  <c r="K244" i="3"/>
  <c r="K240" i="3"/>
  <c r="K236" i="3"/>
  <c r="K232" i="3"/>
  <c r="K228" i="3"/>
  <c r="K224" i="3"/>
  <c r="K211" i="3"/>
  <c r="K207" i="3"/>
  <c r="K203" i="3"/>
  <c r="K199" i="3"/>
  <c r="K196" i="3"/>
  <c r="K184" i="3"/>
  <c r="K178" i="3"/>
  <c r="K142" i="3"/>
  <c r="K106" i="3"/>
  <c r="K103" i="3"/>
  <c r="K95" i="3"/>
  <c r="K92" i="3"/>
  <c r="K89" i="3"/>
  <c r="K78" i="3"/>
  <c r="K72" i="3"/>
  <c r="K68" i="3"/>
  <c r="K64" i="3"/>
  <c r="K57" i="3"/>
  <c r="K39" i="3"/>
  <c r="K28" i="3"/>
  <c r="K24" i="3"/>
  <c r="K20" i="3"/>
  <c r="K15" i="3"/>
  <c r="G855" i="2"/>
  <c r="K205" i="3"/>
  <c r="K159" i="3"/>
  <c r="K154" i="3"/>
  <c r="K145" i="3"/>
  <c r="K125" i="3"/>
  <c r="K114" i="3"/>
  <c r="K86" i="3"/>
  <c r="K79" i="3"/>
  <c r="K66" i="3"/>
  <c r="K33" i="3"/>
  <c r="K187" i="3"/>
  <c r="K171" i="3"/>
  <c r="K134" i="3"/>
  <c r="K113" i="3"/>
  <c r="K54" i="3"/>
  <c r="K43" i="3"/>
  <c r="K170" i="3"/>
  <c r="K163" i="3"/>
  <c r="K158" i="3"/>
  <c r="K139" i="3"/>
  <c r="K133" i="3"/>
  <c r="K122" i="3"/>
  <c r="K100" i="3"/>
  <c r="K85" i="3"/>
  <c r="K59" i="3"/>
  <c r="K18" i="3"/>
  <c r="K6" i="3"/>
  <c r="K3" i="3"/>
  <c r="G858" i="2"/>
  <c r="G848" i="2"/>
  <c r="G808" i="2"/>
  <c r="G804" i="2"/>
  <c r="G791" i="2"/>
  <c r="G768" i="2"/>
  <c r="G762" i="2"/>
  <c r="G757" i="2"/>
  <c r="G755" i="2"/>
  <c r="G749" i="2"/>
  <c r="G746" i="2"/>
  <c r="G728" i="2"/>
  <c r="G706" i="2"/>
  <c r="G704" i="2"/>
  <c r="G689" i="2"/>
  <c r="G679" i="2"/>
  <c r="G673" i="2"/>
  <c r="G663" i="2"/>
  <c r="G657" i="2"/>
  <c r="G649" i="2"/>
  <c r="G632" i="2"/>
  <c r="G625" i="2"/>
  <c r="G611" i="2"/>
  <c r="G607" i="2"/>
  <c r="G603" i="2"/>
  <c r="G599" i="2"/>
  <c r="K219" i="3"/>
  <c r="K209" i="3"/>
  <c r="K175" i="3"/>
  <c r="K167" i="3"/>
  <c r="K162" i="3"/>
  <c r="K151" i="3"/>
  <c r="K147" i="3"/>
  <c r="K138" i="3"/>
  <c r="K130" i="3"/>
  <c r="K109" i="3"/>
  <c r="K99" i="3"/>
  <c r="K201" i="3"/>
  <c r="K189" i="3"/>
  <c r="K129" i="3"/>
  <c r="K118" i="3"/>
  <c r="K75" i="3"/>
  <c r="K62" i="3"/>
  <c r="K51" i="3"/>
  <c r="K46" i="3"/>
  <c r="K41" i="3"/>
  <c r="K26" i="3"/>
  <c r="K21" i="3"/>
  <c r="G859" i="2"/>
  <c r="G792" i="2"/>
  <c r="G789" i="2"/>
  <c r="G744" i="2"/>
  <c r="G740" i="2"/>
  <c r="G729" i="2"/>
  <c r="G705" i="2"/>
  <c r="G693" i="2"/>
  <c r="G690" i="2"/>
  <c r="G676" i="2"/>
  <c r="G670" i="2"/>
  <c r="G666" i="2"/>
  <c r="G660" i="2"/>
  <c r="G652" i="2"/>
  <c r="G644" i="2"/>
  <c r="G641" i="2"/>
  <c r="G627" i="2"/>
  <c r="G626" i="2"/>
  <c r="G620" i="2"/>
  <c r="G616" i="2"/>
  <c r="G613" i="2"/>
  <c r="K193" i="3"/>
  <c r="K174" i="3"/>
  <c r="K166" i="3"/>
  <c r="K155" i="3"/>
  <c r="K150" i="3"/>
  <c r="K146" i="3"/>
  <c r="K137" i="3"/>
  <c r="K117" i="3"/>
  <c r="K98" i="3"/>
  <c r="K34" i="3"/>
  <c r="K11" i="3"/>
  <c r="G862" i="2"/>
  <c r="G852" i="2"/>
  <c r="G844" i="2"/>
  <c r="G807" i="2"/>
  <c r="G800" i="2"/>
  <c r="G783" i="2"/>
  <c r="G761" i="2"/>
  <c r="G756" i="2"/>
  <c r="G732" i="2"/>
  <c r="G726" i="2"/>
  <c r="G720" i="2"/>
  <c r="G715" i="2"/>
  <c r="G708" i="2"/>
  <c r="G653" i="2"/>
  <c r="G645" i="2"/>
  <c r="G628" i="2"/>
  <c r="G621" i="2"/>
  <c r="G617" i="2"/>
  <c r="G614" i="2"/>
  <c r="G609" i="2"/>
  <c r="G605" i="2"/>
  <c r="G601" i="2"/>
  <c r="K216" i="3"/>
  <c r="K192" i="3"/>
  <c r="K188" i="3"/>
  <c r="K61" i="3"/>
  <c r="K47" i="3"/>
  <c r="K29" i="3"/>
  <c r="G863" i="2"/>
  <c r="G812" i="2"/>
  <c r="G784" i="2"/>
  <c r="G731" i="2"/>
  <c r="G713" i="2"/>
  <c r="G677" i="2"/>
  <c r="K84" i="3"/>
  <c r="K22" i="3"/>
  <c r="G861" i="2"/>
  <c r="G847" i="2"/>
  <c r="G767" i="2"/>
  <c r="G764" i="2"/>
  <c r="G752" i="2"/>
  <c r="G723" i="2"/>
  <c r="K126" i="3"/>
  <c r="K10" i="3"/>
  <c r="G866" i="2"/>
  <c r="G793" i="2"/>
  <c r="G788" i="2"/>
  <c r="G785" i="2"/>
  <c r="G754" i="2"/>
  <c r="G741" i="2"/>
  <c r="G725" i="2"/>
  <c r="G716" i="2"/>
  <c r="G714" i="2"/>
  <c r="G710" i="2"/>
  <c r="G702" i="2"/>
  <c r="G691" i="2"/>
  <c r="G678" i="2"/>
  <c r="G668" i="2"/>
  <c r="G661" i="2"/>
  <c r="G654" i="2"/>
  <c r="G639" i="2"/>
  <c r="G600" i="2"/>
  <c r="G596" i="2"/>
  <c r="G589" i="2"/>
  <c r="G587" i="2"/>
  <c r="G583" i="2"/>
  <c r="G571" i="2"/>
  <c r="G565" i="2"/>
  <c r="K121" i="3"/>
  <c r="G857" i="2"/>
  <c r="G803" i="2"/>
  <c r="G765" i="2"/>
  <c r="G760" i="2"/>
  <c r="G750" i="2"/>
  <c r="G738" i="2"/>
  <c r="G719" i="2"/>
  <c r="G701" i="2"/>
  <c r="G672" i="2"/>
  <c r="G650" i="2"/>
  <c r="G636" i="2"/>
  <c r="G631" i="2"/>
  <c r="G624" i="2"/>
  <c r="G602" i="2"/>
  <c r="G595" i="2"/>
  <c r="G592" i="2"/>
  <c r="G584" i="2"/>
  <c r="G576" i="2"/>
  <c r="G572" i="2"/>
  <c r="G562" i="2"/>
  <c r="G558" i="2"/>
  <c r="G554" i="2"/>
  <c r="K82" i="3"/>
  <c r="K50" i="3"/>
  <c r="K5" i="3"/>
  <c r="G843" i="2"/>
  <c r="G811" i="2"/>
  <c r="G796" i="2"/>
  <c r="G745" i="2"/>
  <c r="G742" i="2"/>
  <c r="G727" i="2"/>
  <c r="G724" i="2"/>
  <c r="G722" i="2"/>
  <c r="G712" i="2"/>
  <c r="G709" i="2"/>
  <c r="G669" i="2"/>
  <c r="G659" i="2"/>
  <c r="G655" i="2"/>
  <c r="G651" i="2"/>
  <c r="G646" i="2"/>
  <c r="K181" i="3"/>
  <c r="K110" i="3"/>
  <c r="K36" i="3"/>
  <c r="K25" i="3"/>
  <c r="K9" i="3"/>
  <c r="G748" i="2"/>
  <c r="G739" i="2"/>
  <c r="G730" i="2"/>
  <c r="G717" i="2"/>
  <c r="K70" i="3"/>
  <c r="K42" i="3"/>
  <c r="K35" i="3"/>
  <c r="K30" i="3"/>
  <c r="K12" i="3"/>
  <c r="G860" i="2"/>
  <c r="G851" i="2"/>
  <c r="G799" i="2"/>
  <c r="G781" i="2"/>
  <c r="G766" i="2"/>
  <c r="G743" i="2"/>
  <c r="G733" i="2"/>
  <c r="G707" i="2"/>
  <c r="G674" i="2"/>
  <c r="G656" i="2"/>
  <c r="G647" i="2"/>
  <c r="G633" i="2"/>
  <c r="G629" i="2"/>
  <c r="G610" i="2"/>
  <c r="G594" i="2"/>
  <c r="G588" i="2"/>
  <c r="G586" i="2"/>
  <c r="G567" i="2"/>
  <c r="G555" i="2"/>
  <c r="G543" i="2"/>
  <c r="K76" i="3"/>
  <c r="K4" i="3"/>
  <c r="G865" i="2"/>
  <c r="G809" i="2"/>
  <c r="G787" i="2"/>
  <c r="G759" i="2"/>
  <c r="G737" i="2"/>
  <c r="G721" i="2"/>
  <c r="G703" i="2"/>
  <c r="G675" i="2"/>
  <c r="G642" i="2"/>
  <c r="G634" i="2"/>
  <c r="G622" i="2"/>
  <c r="G608" i="2"/>
  <c r="G574" i="2"/>
  <c r="G568" i="2"/>
  <c r="G561" i="2"/>
  <c r="G550" i="2"/>
  <c r="G546" i="2"/>
  <c r="G598" i="2"/>
  <c r="G593" i="2"/>
  <c r="G582" i="2"/>
  <c r="G718" i="2"/>
  <c r="G692" i="2"/>
  <c r="G664" i="2"/>
  <c r="G643" i="2"/>
  <c r="G630" i="2"/>
  <c r="G551" i="2"/>
  <c r="G518" i="2"/>
  <c r="G515" i="2"/>
  <c r="G513" i="2"/>
  <c r="G665" i="2"/>
  <c r="G577" i="2"/>
  <c r="G667" i="2"/>
  <c r="G637" i="2"/>
  <c r="G635" i="2"/>
  <c r="G618" i="2"/>
  <c r="G612" i="2"/>
  <c r="G573" i="2"/>
  <c r="G563" i="2"/>
  <c r="G559" i="2"/>
  <c r="G556" i="2"/>
  <c r="G549" i="2"/>
  <c r="G545" i="2"/>
  <c r="G519" i="2"/>
  <c r="G501" i="2"/>
  <c r="G499" i="2"/>
  <c r="G497" i="2"/>
  <c r="G457" i="2"/>
  <c r="G433" i="2"/>
  <c r="G615" i="2"/>
  <c r="G606" i="2"/>
  <c r="G569" i="2"/>
  <c r="G560" i="2"/>
  <c r="G548" i="2"/>
  <c r="G544" i="2"/>
  <c r="G662" i="2"/>
  <c r="G619" i="2"/>
  <c r="G597" i="2"/>
  <c r="G570" i="2"/>
  <c r="G564" i="2"/>
  <c r="G516" i="2"/>
  <c r="G514" i="2"/>
  <c r="G711" i="2"/>
  <c r="G671" i="2"/>
  <c r="G658" i="2"/>
  <c r="G638" i="2"/>
  <c r="G623" i="2"/>
  <c r="G604" i="2"/>
  <c r="G591" i="2"/>
  <c r="G590" i="2"/>
  <c r="G553" i="2"/>
  <c r="G547" i="2"/>
  <c r="G517" i="2"/>
  <c r="G648" i="2"/>
  <c r="G575" i="2"/>
  <c r="G566" i="2"/>
  <c r="G557" i="2"/>
  <c r="G552" i="2"/>
  <c r="G520" i="2"/>
  <c r="G502" i="2"/>
  <c r="G500" i="2"/>
  <c r="G498" i="2"/>
  <c r="G496" i="2"/>
  <c r="G461" i="2"/>
  <c r="G453" i="2"/>
  <c r="G429" i="2"/>
  <c r="G454" i="2"/>
  <c r="G451" i="2"/>
  <c r="G446" i="2"/>
  <c r="G440" i="2"/>
  <c r="G421" i="2"/>
  <c r="G417" i="2"/>
  <c r="G406" i="2"/>
  <c r="G402" i="2"/>
  <c r="G400" i="2"/>
  <c r="G398" i="2"/>
  <c r="G396" i="2"/>
  <c r="G371" i="2"/>
  <c r="G361" i="2"/>
  <c r="G359" i="2"/>
  <c r="G351" i="2"/>
  <c r="G326" i="2"/>
  <c r="G323" i="2"/>
  <c r="G510" i="2"/>
  <c r="G493" i="2"/>
  <c r="G489" i="2"/>
  <c r="G485" i="2"/>
  <c r="G468" i="2"/>
  <c r="G464" i="2"/>
  <c r="G445" i="2"/>
  <c r="G441" i="2"/>
  <c r="G435" i="2"/>
  <c r="G431" i="2"/>
  <c r="G425" i="2"/>
  <c r="G418" i="2"/>
  <c r="G411" i="2"/>
  <c r="G391" i="2"/>
  <c r="G372" i="2"/>
  <c r="G364" i="2"/>
  <c r="G356" i="2"/>
  <c r="G354" i="2"/>
  <c r="G348" i="2"/>
  <c r="G327" i="2"/>
  <c r="G319" i="2"/>
  <c r="G315" i="2"/>
  <c r="G311" i="2"/>
  <c r="G307" i="2"/>
  <c r="G509" i="2"/>
  <c r="G507" i="2"/>
  <c r="G505" i="2"/>
  <c r="G503" i="2"/>
  <c r="G458" i="2"/>
  <c r="G455" i="2"/>
  <c r="G444" i="2"/>
  <c r="G442" i="2"/>
  <c r="G492" i="2"/>
  <c r="G488" i="2"/>
  <c r="G484" i="2"/>
  <c r="G469" i="2"/>
  <c r="G465" i="2"/>
  <c r="G452" i="2"/>
  <c r="G443" i="2"/>
  <c r="G424" i="2"/>
  <c r="G420" i="2"/>
  <c r="G374" i="2"/>
  <c r="G366" i="2"/>
  <c r="G362" i="2"/>
  <c r="G358" i="2"/>
  <c r="G352" i="2"/>
  <c r="G347" i="2"/>
  <c r="G320" i="2"/>
  <c r="G316" i="2"/>
  <c r="G314" i="2"/>
  <c r="G310" i="2"/>
  <c r="G306" i="2"/>
  <c r="G295" i="2"/>
  <c r="G292" i="2"/>
  <c r="G288" i="2"/>
  <c r="G279" i="2"/>
  <c r="G262" i="2"/>
  <c r="G258" i="2"/>
  <c r="G254" i="2"/>
  <c r="G251" i="2"/>
  <c r="G243" i="2"/>
  <c r="G220" i="2"/>
  <c r="G210" i="2"/>
  <c r="G209" i="2"/>
  <c r="G462" i="2"/>
  <c r="G459" i="2"/>
  <c r="G436" i="2"/>
  <c r="G432" i="2"/>
  <c r="G428" i="2"/>
  <c r="G512" i="2"/>
  <c r="G491" i="2"/>
  <c r="G487" i="2"/>
  <c r="G483" i="2"/>
  <c r="G470" i="2"/>
  <c r="G466" i="2"/>
  <c r="G456" i="2"/>
  <c r="G449" i="2"/>
  <c r="G437" i="2"/>
  <c r="G427" i="2"/>
  <c r="G423" i="2"/>
  <c r="G414" i="2"/>
  <c r="G376" i="2"/>
  <c r="G368" i="2"/>
  <c r="G360" i="2"/>
  <c r="G350" i="2"/>
  <c r="G346" i="2"/>
  <c r="G317" i="2"/>
  <c r="G313" i="2"/>
  <c r="G309" i="2"/>
  <c r="G296" i="2"/>
  <c r="G508" i="2"/>
  <c r="G506" i="2"/>
  <c r="G504" i="2"/>
  <c r="G463" i="2"/>
  <c r="G450" i="2"/>
  <c r="G448" i="2"/>
  <c r="G438" i="2"/>
  <c r="G419" i="2"/>
  <c r="G415" i="2"/>
  <c r="G409" i="2"/>
  <c r="G405" i="2"/>
  <c r="G389" i="2"/>
  <c r="G369" i="2"/>
  <c r="G363" i="2"/>
  <c r="G357" i="2"/>
  <c r="G353" i="2"/>
  <c r="G324" i="2"/>
  <c r="G511" i="2"/>
  <c r="G495" i="2"/>
  <c r="G494" i="2"/>
  <c r="G490" i="2"/>
  <c r="G486" i="2"/>
  <c r="G482" i="2"/>
  <c r="G467" i="2"/>
  <c r="G460" i="2"/>
  <c r="G447" i="2"/>
  <c r="G439" i="2"/>
  <c r="G434" i="2"/>
  <c r="G430" i="2"/>
  <c r="G426" i="2"/>
  <c r="G422" i="2"/>
  <c r="G416" i="2"/>
  <c r="G410" i="2"/>
  <c r="G390" i="2"/>
  <c r="G370" i="2"/>
  <c r="G349" i="2"/>
  <c r="G345" i="2"/>
  <c r="G325" i="2"/>
  <c r="G318" i="2"/>
  <c r="G312" i="2"/>
  <c r="G308" i="2"/>
  <c r="G290" i="2"/>
  <c r="G286" i="2"/>
  <c r="G277" i="2"/>
  <c r="G260" i="2"/>
  <c r="G256" i="2"/>
  <c r="G247" i="2"/>
  <c r="G234" i="2"/>
  <c r="G229" i="2"/>
  <c r="G408" i="2"/>
  <c r="G355" i="2"/>
  <c r="G273" i="2"/>
  <c r="G259" i="2"/>
  <c r="G252" i="2"/>
  <c r="G248" i="2"/>
  <c r="G244" i="2"/>
  <c r="G240" i="2"/>
  <c r="G228" i="2"/>
  <c r="G227" i="2"/>
  <c r="G208" i="2"/>
  <c r="G413" i="2"/>
  <c r="G404" i="2"/>
  <c r="G270" i="2"/>
  <c r="G238" i="2"/>
  <c r="G204" i="2"/>
  <c r="G401" i="2"/>
  <c r="G399" i="2"/>
  <c r="G397" i="2"/>
  <c r="G395" i="2"/>
  <c r="G293" i="2"/>
  <c r="G291" i="2"/>
  <c r="G289" i="2"/>
  <c r="G287" i="2"/>
  <c r="G285" i="2"/>
  <c r="G269" i="2"/>
  <c r="G255" i="2"/>
  <c r="G237" i="2"/>
  <c r="G233" i="2"/>
  <c r="G275" i="2"/>
  <c r="G249" i="2"/>
  <c r="G232" i="2"/>
  <c r="G412" i="2"/>
  <c r="G403" i="2"/>
  <c r="G328" i="2"/>
  <c r="G276" i="2"/>
  <c r="G253" i="2"/>
  <c r="G294" i="2"/>
  <c r="G367" i="2"/>
  <c r="G250" i="2"/>
  <c r="G219" i="2"/>
  <c r="G206" i="2"/>
  <c r="G203" i="2"/>
  <c r="G375" i="2"/>
  <c r="G272" i="2"/>
  <c r="G271" i="2"/>
  <c r="G261" i="2"/>
  <c r="G241" i="2"/>
  <c r="G365" i="2"/>
  <c r="G263" i="2"/>
  <c r="G245" i="2"/>
  <c r="G242" i="2"/>
  <c r="G207" i="2"/>
  <c r="G407" i="2"/>
  <c r="G321" i="2"/>
  <c r="G278" i="2"/>
  <c r="G274" i="2"/>
  <c r="G257" i="2"/>
  <c r="G246" i="2"/>
  <c r="G236" i="2"/>
  <c r="G235" i="2"/>
  <c r="G231" i="2"/>
  <c r="G205" i="2"/>
  <c r="G230" i="2"/>
  <c r="G239" i="2"/>
  <c r="G373" i="2"/>
  <c r="K565" i="2" l="1"/>
  <c r="S51" i="2"/>
  <c r="M51" i="2"/>
  <c r="Q51" i="2"/>
  <c r="S107" i="2"/>
  <c r="Q107" i="2"/>
  <c r="M107" i="2"/>
  <c r="J107" i="2"/>
  <c r="M229" i="2"/>
  <c r="S229" i="2"/>
  <c r="Q229" i="2"/>
  <c r="J229" i="2"/>
  <c r="Q31" i="2"/>
  <c r="K584" i="2"/>
  <c r="S43" i="2"/>
  <c r="Q43" i="2"/>
  <c r="M43" i="2"/>
  <c r="Q2" i="2"/>
  <c r="S67" i="2"/>
  <c r="Q67" i="2"/>
  <c r="M67" i="2"/>
  <c r="Q26" i="2"/>
  <c r="S27" i="2"/>
  <c r="M27" i="2"/>
  <c r="Q27" i="2"/>
  <c r="J51" i="2"/>
  <c r="Y676" i="2"/>
  <c r="K676" i="2"/>
  <c r="T676" i="2"/>
  <c r="W676" i="2"/>
  <c r="V676" i="2"/>
  <c r="AA676" i="2"/>
  <c r="S75" i="2"/>
  <c r="Q75" i="2"/>
  <c r="M75" i="2"/>
  <c r="S99" i="2"/>
  <c r="Q99" i="2"/>
  <c r="M99" i="2"/>
  <c r="J99" i="2"/>
  <c r="K487" i="2"/>
  <c r="M170" i="2"/>
  <c r="K486" i="2"/>
  <c r="J170" i="2"/>
  <c r="S170" i="2"/>
  <c r="Q170" i="2"/>
  <c r="S149" i="2"/>
  <c r="K291" i="2"/>
  <c r="Q149" i="2"/>
  <c r="M149" i="2"/>
  <c r="J149" i="2"/>
  <c r="U369" i="2"/>
  <c r="U374" i="2"/>
  <c r="S11" i="2"/>
  <c r="M11" i="2"/>
  <c r="Q11" i="2"/>
  <c r="S115" i="2"/>
  <c r="Q115" i="2"/>
  <c r="M115" i="2"/>
  <c r="J115" i="2"/>
  <c r="K286" i="2"/>
  <c r="Q10" i="2"/>
  <c r="S35" i="2"/>
  <c r="Q35" i="2"/>
  <c r="M35" i="2"/>
  <c r="J575" i="2"/>
  <c r="S575" i="2"/>
  <c r="Q575" i="2"/>
  <c r="M575" i="2"/>
  <c r="S91" i="2"/>
  <c r="Q91" i="2"/>
  <c r="M91" i="2"/>
  <c r="J91" i="2"/>
  <c r="M178" i="2"/>
  <c r="Q178" i="2"/>
  <c r="S178" i="2"/>
  <c r="J178" i="2"/>
  <c r="Q252" i="2"/>
  <c r="S252" i="2"/>
  <c r="M252" i="2"/>
  <c r="J252" i="2"/>
  <c r="S168" i="2"/>
  <c r="K482" i="2"/>
  <c r="Q168" i="2"/>
  <c r="M168" i="2"/>
  <c r="J168" i="2"/>
  <c r="Q232" i="2"/>
  <c r="S232" i="2"/>
  <c r="J232" i="2"/>
  <c r="M232" i="2"/>
  <c r="J243" i="2"/>
  <c r="Q22" i="2"/>
  <c r="Q34" i="2"/>
  <c r="S59" i="2"/>
  <c r="M59" i="2"/>
  <c r="Q59" i="2"/>
  <c r="S131" i="2"/>
  <c r="Q131" i="2"/>
  <c r="M131" i="2"/>
  <c r="J131" i="2"/>
  <c r="K689" i="2"/>
  <c r="S141" i="2"/>
  <c r="Q141" i="2"/>
  <c r="M141" i="2"/>
  <c r="J141" i="2"/>
  <c r="M290" i="2"/>
  <c r="S290" i="2"/>
  <c r="J290" i="2"/>
  <c r="Q290" i="2"/>
  <c r="J287" i="2"/>
  <c r="S287" i="2"/>
  <c r="Q287" i="2"/>
  <c r="M287" i="2"/>
  <c r="M219" i="2"/>
  <c r="J219" i="2"/>
  <c r="Q219" i="2"/>
  <c r="K635" i="2"/>
  <c r="K634" i="2"/>
  <c r="Q76" i="2"/>
  <c r="M76" i="2"/>
  <c r="S76" i="2"/>
  <c r="K460" i="2"/>
  <c r="K462" i="2"/>
  <c r="K459" i="2"/>
  <c r="K463" i="2"/>
  <c r="K457" i="2"/>
  <c r="K461" i="2"/>
  <c r="K458" i="2"/>
  <c r="S83" i="2"/>
  <c r="Q83" i="2"/>
  <c r="M83" i="2"/>
  <c r="J83" i="2"/>
  <c r="K351" i="2"/>
  <c r="S157" i="2"/>
  <c r="Q157" i="2"/>
  <c r="M157" i="2"/>
  <c r="J157" i="2"/>
  <c r="S219" i="2"/>
  <c r="K323" i="2"/>
  <c r="S19" i="2"/>
  <c r="M19" i="2"/>
  <c r="Q19" i="2"/>
  <c r="Q30" i="2"/>
  <c r="S3" i="2"/>
  <c r="Q3" i="2"/>
  <c r="M3" i="2"/>
  <c r="K228" i="2"/>
  <c r="S123" i="2"/>
  <c r="Q123" i="2"/>
  <c r="M123" i="2"/>
  <c r="J123" i="2"/>
  <c r="Q62" i="2"/>
  <c r="Q70" i="2"/>
  <c r="K737" i="2"/>
  <c r="S145" i="2"/>
  <c r="K347" i="2"/>
  <c r="S153" i="2"/>
  <c r="U320" i="2"/>
  <c r="U321" i="2"/>
  <c r="U372" i="2"/>
  <c r="U367" i="2"/>
  <c r="K292" i="2"/>
  <c r="S308" i="2"/>
  <c r="M308" i="2"/>
  <c r="J308" i="2"/>
  <c r="Q308" i="2"/>
  <c r="S349" i="2"/>
  <c r="M349" i="2"/>
  <c r="J349" i="2"/>
  <c r="Q349" i="2"/>
  <c r="K310" i="2"/>
  <c r="K311" i="2"/>
  <c r="S15" i="2"/>
  <c r="K313" i="2"/>
  <c r="S307" i="2"/>
  <c r="M307" i="2"/>
  <c r="J307" i="2"/>
  <c r="Q4" i="2"/>
  <c r="M7" i="2"/>
  <c r="M9" i="2"/>
  <c r="J9" i="2"/>
  <c r="Q12" i="2"/>
  <c r="M15" i="2"/>
  <c r="M17" i="2"/>
  <c r="J17" i="2"/>
  <c r="M23" i="2"/>
  <c r="M25" i="2"/>
  <c r="J25" i="2"/>
  <c r="M31" i="2"/>
  <c r="K272" i="2"/>
  <c r="K274" i="2"/>
  <c r="K270" i="2"/>
  <c r="M33" i="2"/>
  <c r="K275" i="2"/>
  <c r="J33" i="2"/>
  <c r="M39" i="2"/>
  <c r="K519" i="2"/>
  <c r="M41" i="2"/>
  <c r="J41" i="2"/>
  <c r="M47" i="2"/>
  <c r="M49" i="2"/>
  <c r="J49" i="2"/>
  <c r="M55" i="2"/>
  <c r="K615" i="2"/>
  <c r="K618" i="2"/>
  <c r="M57" i="2"/>
  <c r="J57" i="2"/>
  <c r="K642" i="2"/>
  <c r="M65" i="2"/>
  <c r="J65" i="2"/>
  <c r="M71" i="2"/>
  <c r="M73" i="2"/>
  <c r="J73" i="2"/>
  <c r="Q574" i="2"/>
  <c r="M574" i="2"/>
  <c r="S574" i="2"/>
  <c r="J574" i="2"/>
  <c r="M80" i="2"/>
  <c r="Q82" i="2"/>
  <c r="S84" i="2"/>
  <c r="M88" i="2"/>
  <c r="Q90" i="2"/>
  <c r="S92" i="2"/>
  <c r="M96" i="2"/>
  <c r="S100" i="2"/>
  <c r="M104" i="2"/>
  <c r="S108" i="2"/>
  <c r="M112" i="2"/>
  <c r="Q114" i="2"/>
  <c r="S116" i="2"/>
  <c r="M120" i="2"/>
  <c r="Q122" i="2"/>
  <c r="S124" i="2"/>
  <c r="M128" i="2"/>
  <c r="S132" i="2"/>
  <c r="M138" i="2"/>
  <c r="Q140" i="2"/>
  <c r="M146" i="2"/>
  <c r="Q148" i="2"/>
  <c r="S150" i="2"/>
  <c r="M154" i="2"/>
  <c r="Q156" i="2"/>
  <c r="K484" i="2"/>
  <c r="K483" i="2"/>
  <c r="K485" i="2"/>
  <c r="K597" i="2" a="1"/>
  <c r="K597" i="2" s="1"/>
  <c r="K595" i="2" a="1"/>
  <c r="K595" i="2" s="1"/>
  <c r="K593" i="2" a="1"/>
  <c r="K593" i="2" s="1"/>
  <c r="K591" i="2" a="1"/>
  <c r="K591" i="2" s="1"/>
  <c r="K589" i="2" a="1"/>
  <c r="K589" i="2" s="1"/>
  <c r="K594" i="2" a="1"/>
  <c r="K594" i="2" s="1"/>
  <c r="K588" i="2" a="1"/>
  <c r="K588" i="2" s="1"/>
  <c r="K586" i="2" a="1"/>
  <c r="K586" i="2" s="1"/>
  <c r="K587" i="2" a="1"/>
  <c r="K587" i="2" s="1"/>
  <c r="K596" i="2" a="1"/>
  <c r="K596" i="2" s="1"/>
  <c r="K590" i="2" a="1"/>
  <c r="K590" i="2" s="1"/>
  <c r="K592" i="2" a="1"/>
  <c r="K592" i="2" s="1"/>
  <c r="M190" i="2"/>
  <c r="Q190" i="2"/>
  <c r="J209" i="2"/>
  <c r="S209" i="2"/>
  <c r="Q307" i="2"/>
  <c r="K312" i="2"/>
  <c r="S724" i="2"/>
  <c r="J724" i="2"/>
  <c r="Q724" i="2"/>
  <c r="M724" i="2"/>
  <c r="K352" i="2"/>
  <c r="M158" i="2"/>
  <c r="Q158" i="2"/>
  <c r="S488" i="2"/>
  <c r="J488" i="2"/>
  <c r="M488" i="2"/>
  <c r="Q488" i="2"/>
  <c r="M181" i="2"/>
  <c r="J181" i="2"/>
  <c r="K436" i="2"/>
  <c r="K437" i="2"/>
  <c r="K438" i="2"/>
  <c r="S192" i="2"/>
  <c r="K439" i="2"/>
  <c r="K440" i="2"/>
  <c r="K441" i="2"/>
  <c r="K442" i="2"/>
  <c r="I244" i="2"/>
  <c r="J244" i="2" s="1"/>
  <c r="Q7" i="2"/>
  <c r="Q15" i="2"/>
  <c r="Q23" i="2"/>
  <c r="Q561" i="2"/>
  <c r="M561" i="2"/>
  <c r="K562" i="2"/>
  <c r="S561" i="2"/>
  <c r="J561" i="2"/>
  <c r="K636" i="2"/>
  <c r="M77" i="2"/>
  <c r="J77" i="2"/>
  <c r="M85" i="2"/>
  <c r="J85" i="2"/>
  <c r="M93" i="2"/>
  <c r="J93" i="2"/>
  <c r="M101" i="2"/>
  <c r="J101" i="2"/>
  <c r="K725" i="2"/>
  <c r="M109" i="2"/>
  <c r="J109" i="2"/>
  <c r="M117" i="2"/>
  <c r="J117" i="2"/>
  <c r="M125" i="2"/>
  <c r="J125" i="2"/>
  <c r="M143" i="2"/>
  <c r="J143" i="2"/>
  <c r="M151" i="2"/>
  <c r="J151" i="2"/>
  <c r="K491" i="2"/>
  <c r="S172" i="2"/>
  <c r="K490" i="2"/>
  <c r="J172" i="2"/>
  <c r="Q237" i="2"/>
  <c r="M237" i="2"/>
  <c r="K285" i="2"/>
  <c r="K289" i="2"/>
  <c r="K345" i="2"/>
  <c r="K604" i="2"/>
  <c r="K600" i="2"/>
  <c r="K599" i="2"/>
  <c r="K598" i="2"/>
  <c r="K602" i="2"/>
  <c r="K603" i="2"/>
  <c r="K601" i="2"/>
  <c r="Q309" i="2"/>
  <c r="M309" i="2"/>
  <c r="J309" i="2"/>
  <c r="S309" i="2"/>
  <c r="M350" i="2"/>
  <c r="K355" i="2"/>
  <c r="J350" i="2"/>
  <c r="Q350" i="2"/>
  <c r="S350" i="2"/>
  <c r="K709" i="2"/>
  <c r="K710" i="2"/>
  <c r="M5" i="2"/>
  <c r="J5" i="2"/>
  <c r="K230" i="2"/>
  <c r="M13" i="2"/>
  <c r="J13" i="2"/>
  <c r="Q16" i="2"/>
  <c r="M21" i="2"/>
  <c r="J21" i="2"/>
  <c r="M29" i="2"/>
  <c r="J29" i="2"/>
  <c r="M37" i="2"/>
  <c r="J37" i="2"/>
  <c r="Q40" i="2"/>
  <c r="M45" i="2"/>
  <c r="J45" i="2"/>
  <c r="M53" i="2"/>
  <c r="J53" i="2"/>
  <c r="M61" i="2"/>
  <c r="J61" i="2"/>
  <c r="Q64" i="2"/>
  <c r="M69" i="2"/>
  <c r="J69" i="2"/>
  <c r="I75" i="2"/>
  <c r="J75" i="2" s="1"/>
  <c r="M84" i="2"/>
  <c r="S88" i="2"/>
  <c r="M92" i="2"/>
  <c r="S96" i="2"/>
  <c r="M100" i="2"/>
  <c r="J103" i="2"/>
  <c r="S104" i="2"/>
  <c r="M108" i="2"/>
  <c r="J111" i="2"/>
  <c r="M116" i="2"/>
  <c r="J119" i="2"/>
  <c r="M124" i="2"/>
  <c r="J127" i="2"/>
  <c r="M132" i="2"/>
  <c r="J133" i="2"/>
  <c r="Q134" i="2"/>
  <c r="J137" i="2"/>
  <c r="M142" i="2"/>
  <c r="J145" i="2"/>
  <c r="M150" i="2"/>
  <c r="Q346" i="2"/>
  <c r="M346" i="2"/>
  <c r="J346" i="2"/>
  <c r="S346" i="2"/>
  <c r="J153" i="2"/>
  <c r="S154" i="2"/>
  <c r="S160" i="2"/>
  <c r="K354" i="2"/>
  <c r="K492" i="2"/>
  <c r="K493" i="2"/>
  <c r="S173" i="2"/>
  <c r="Q176" i="2"/>
  <c r="S184" i="2"/>
  <c r="Q184" i="2"/>
  <c r="M184" i="2"/>
  <c r="K808" i="2"/>
  <c r="M186" i="2"/>
  <c r="J186" i="2"/>
  <c r="M192" i="2"/>
  <c r="M194" i="2"/>
  <c r="S237" i="2"/>
  <c r="Q239" i="2"/>
  <c r="S239" i="2"/>
  <c r="U246" i="2"/>
  <c r="K271" i="2"/>
  <c r="K273" i="2"/>
  <c r="Q365" i="2"/>
  <c r="M365" i="2"/>
  <c r="J365" i="2"/>
  <c r="S365" i="2"/>
  <c r="U421" i="2" a="1"/>
  <c r="U421" i="2" s="1"/>
  <c r="Q54" i="2"/>
  <c r="K705" i="2"/>
  <c r="S79" i="2"/>
  <c r="K760" i="2"/>
  <c r="S95" i="2"/>
  <c r="M174" i="2"/>
  <c r="Q174" i="2"/>
  <c r="M197" i="2"/>
  <c r="J197" i="2"/>
  <c r="M360" i="2"/>
  <c r="J360" i="2"/>
  <c r="Q360" i="2"/>
  <c r="K314" i="2"/>
  <c r="S31" i="2"/>
  <c r="K517" i="2"/>
  <c r="S39" i="2"/>
  <c r="K626" i="2"/>
  <c r="S63" i="2"/>
  <c r="S756" i="2"/>
  <c r="Q756" i="2"/>
  <c r="M756" i="2"/>
  <c r="J756" i="2"/>
  <c r="Q761" i="2"/>
  <c r="M761" i="2"/>
  <c r="J761" i="2"/>
  <c r="S761" i="2"/>
  <c r="M721" i="2"/>
  <c r="S721" i="2"/>
  <c r="Q721" i="2"/>
  <c r="J721" i="2"/>
  <c r="K720" i="2"/>
  <c r="S348" i="2"/>
  <c r="M348" i="2"/>
  <c r="J348" i="2"/>
  <c r="S158" i="2"/>
  <c r="M162" i="2"/>
  <c r="K361" i="2"/>
  <c r="Q181" i="2"/>
  <c r="S188" i="2"/>
  <c r="J188" i="2"/>
  <c r="U245" i="2"/>
  <c r="U250" i="2" s="1"/>
  <c r="U556" i="2" s="1"/>
  <c r="K269" i="2"/>
  <c r="Q427" i="2"/>
  <c r="S427" i="2"/>
  <c r="M427" i="2"/>
  <c r="J427" i="2"/>
  <c r="K753" i="2"/>
  <c r="S87" i="2"/>
  <c r="M288" i="2"/>
  <c r="S288" i="2"/>
  <c r="J288" i="2"/>
  <c r="Q423" i="2"/>
  <c r="M423" i="2"/>
  <c r="J423" i="2"/>
  <c r="S423" i="2"/>
  <c r="J518" i="2"/>
  <c r="Q518" i="2"/>
  <c r="M518" i="2"/>
  <c r="S518" i="2"/>
  <c r="S641" i="2"/>
  <c r="Q641" i="2"/>
  <c r="M641" i="2"/>
  <c r="J641" i="2"/>
  <c r="Q77" i="2"/>
  <c r="M79" i="2"/>
  <c r="K448" i="2"/>
  <c r="K444" i="2"/>
  <c r="K446" i="2"/>
  <c r="K443" i="2"/>
  <c r="K449" i="2"/>
  <c r="K447" i="2"/>
  <c r="K445" i="2"/>
  <c r="M81" i="2"/>
  <c r="J81" i="2"/>
  <c r="Q85" i="2"/>
  <c r="M87" i="2"/>
  <c r="K758" i="2"/>
  <c r="M89" i="2"/>
  <c r="J89" i="2"/>
  <c r="Q93" i="2"/>
  <c r="M95" i="2"/>
  <c r="K754" i="2"/>
  <c r="M97" i="2"/>
  <c r="J97" i="2"/>
  <c r="Q101" i="2"/>
  <c r="M103" i="2"/>
  <c r="K726" i="2"/>
  <c r="M105" i="2"/>
  <c r="J105" i="2"/>
  <c r="Q108" i="2"/>
  <c r="Q109" i="2"/>
  <c r="M111" i="2"/>
  <c r="M113" i="2"/>
  <c r="J113" i="2"/>
  <c r="Q117" i="2"/>
  <c r="M119" i="2"/>
  <c r="M121" i="2"/>
  <c r="J121" i="2"/>
  <c r="Q125" i="2"/>
  <c r="M127" i="2"/>
  <c r="K691" i="2"/>
  <c r="M129" i="2"/>
  <c r="J129" i="2"/>
  <c r="M133" i="2"/>
  <c r="M137" i="2"/>
  <c r="K401" i="2"/>
  <c r="K399" i="2"/>
  <c r="K397" i="2"/>
  <c r="K395" i="2"/>
  <c r="I468" i="2" s="1" a="1"/>
  <c r="I468" i="2" s="1"/>
  <c r="J468" i="2" s="1"/>
  <c r="K400" i="2"/>
  <c r="K398" i="2"/>
  <c r="K396" i="2"/>
  <c r="M139" i="2"/>
  <c r="J139" i="2"/>
  <c r="Q142" i="2"/>
  <c r="Q143" i="2"/>
  <c r="M145" i="2"/>
  <c r="M147" i="2"/>
  <c r="J147" i="2"/>
  <c r="Q151" i="2"/>
  <c r="M153" i="2"/>
  <c r="M155" i="2"/>
  <c r="J155" i="2"/>
  <c r="J362" i="2"/>
  <c r="Q362" i="2"/>
  <c r="M362" i="2"/>
  <c r="K364" i="2"/>
  <c r="M165" i="2"/>
  <c r="J165" i="2"/>
  <c r="S181" i="2"/>
  <c r="K543" i="2" a="1"/>
  <c r="K543" i="2" s="1"/>
  <c r="K549" i="2" a="1"/>
  <c r="K549" i="2" s="1"/>
  <c r="K544" i="2" a="1"/>
  <c r="K544" i="2" s="1"/>
  <c r="K551" i="2" a="1"/>
  <c r="K551" i="2" s="1"/>
  <c r="K547" i="2" a="1"/>
  <c r="K547" i="2" s="1"/>
  <c r="K545" i="2" a="1"/>
  <c r="K545" i="2" s="1"/>
  <c r="K554" i="2" a="1"/>
  <c r="K554" i="2" s="1"/>
  <c r="K550" i="2" a="1"/>
  <c r="K550" i="2" s="1"/>
  <c r="K548" i="2" a="1"/>
  <c r="K548" i="2" s="1"/>
  <c r="K553" i="2" a="1"/>
  <c r="K553" i="2" s="1"/>
  <c r="K552" i="2" a="1"/>
  <c r="K552" i="2" s="1"/>
  <c r="K546" i="2" a="1"/>
  <c r="K546" i="2" s="1"/>
  <c r="S189" i="2"/>
  <c r="Q192" i="2"/>
  <c r="S200" i="2"/>
  <c r="Q200" i="2"/>
  <c r="M200" i="2"/>
  <c r="U293" i="2"/>
  <c r="U294" i="2" s="1"/>
  <c r="U366" i="2"/>
  <c r="U370" i="2"/>
  <c r="U375" i="2"/>
  <c r="V355" i="2"/>
  <c r="I248" i="2"/>
  <c r="J248" i="2" s="1"/>
  <c r="I318" i="2"/>
  <c r="J318" i="2" s="1"/>
  <c r="I371" i="2"/>
  <c r="J371" i="2" s="1"/>
  <c r="I373" i="2"/>
  <c r="J373" i="2" s="1"/>
  <c r="I375" i="2"/>
  <c r="J375" i="2" s="1"/>
  <c r="I370" i="2"/>
  <c r="J370" i="2" s="1"/>
  <c r="S422" i="2"/>
  <c r="M422" i="2"/>
  <c r="J422" i="2"/>
  <c r="Q14" i="2"/>
  <c r="Q38" i="2"/>
  <c r="Q42" i="2"/>
  <c r="Q46" i="2"/>
  <c r="Q66" i="2"/>
  <c r="Q98" i="2"/>
  <c r="Q106" i="2"/>
  <c r="Q130" i="2"/>
  <c r="Q144" i="2"/>
  <c r="Q152" i="2"/>
  <c r="K358" i="2"/>
  <c r="M353" i="2"/>
  <c r="S353" i="2"/>
  <c r="Q353" i="2"/>
  <c r="K363" i="2"/>
  <c r="S164" i="2"/>
  <c r="Q177" i="2"/>
  <c r="K498" i="2"/>
  <c r="K501" i="2"/>
  <c r="K497" i="2"/>
  <c r="S196" i="2"/>
  <c r="K500" i="2"/>
  <c r="K496" i="2"/>
  <c r="K499" i="2"/>
  <c r="M235" i="2"/>
  <c r="I315" i="2"/>
  <c r="I372" i="2"/>
  <c r="J372" i="2" s="1"/>
  <c r="I367" i="2"/>
  <c r="J367" i="2" s="1"/>
  <c r="I293" i="2"/>
  <c r="J402" i="2"/>
  <c r="I421" i="2" a="1"/>
  <c r="I421" i="2" s="1"/>
  <c r="J421" i="2" s="1"/>
  <c r="Q422" i="2"/>
  <c r="K227" i="2"/>
  <c r="K231" i="2"/>
  <c r="J306" i="2"/>
  <c r="S306" i="2"/>
  <c r="Q306" i="2"/>
  <c r="M306" i="2"/>
  <c r="J752" i="2"/>
  <c r="Q752" i="2"/>
  <c r="M752" i="2"/>
  <c r="S752" i="2"/>
  <c r="M520" i="2"/>
  <c r="S520" i="2"/>
  <c r="Q520" i="2"/>
  <c r="J520" i="2"/>
  <c r="K557" i="2"/>
  <c r="M555" i="2"/>
  <c r="Q555" i="2"/>
  <c r="J555" i="2"/>
  <c r="S555" i="2"/>
  <c r="K639" i="2"/>
  <c r="K714" i="2"/>
  <c r="J666" i="2"/>
  <c r="S666" i="2"/>
  <c r="Q666" i="2"/>
  <c r="M666" i="2"/>
  <c r="I668" i="2"/>
  <c r="J668" i="2" s="1"/>
  <c r="K452" i="2"/>
  <c r="K456" i="2"/>
  <c r="K455" i="2"/>
  <c r="K453" i="2"/>
  <c r="K450" i="2"/>
  <c r="K454" i="2"/>
  <c r="K451" i="2"/>
  <c r="Q755" i="2"/>
  <c r="M755" i="2"/>
  <c r="J755" i="2"/>
  <c r="S755" i="2"/>
  <c r="J722" i="2"/>
  <c r="S722" i="2"/>
  <c r="Q722" i="2"/>
  <c r="M722" i="2"/>
  <c r="Q704" i="2"/>
  <c r="M704" i="2"/>
  <c r="S704" i="2"/>
  <c r="J704" i="2"/>
  <c r="K703" i="2"/>
  <c r="K717" i="2"/>
  <c r="K712" i="2"/>
  <c r="K716" i="2"/>
  <c r="K702" i="2"/>
  <c r="K711" i="2"/>
  <c r="S719" i="2"/>
  <c r="Q719" i="2"/>
  <c r="M719" i="2"/>
  <c r="J719" i="2"/>
  <c r="M166" i="2"/>
  <c r="Q693" i="2"/>
  <c r="J693" i="2"/>
  <c r="S693" i="2"/>
  <c r="M693" i="2"/>
  <c r="M182" i="2"/>
  <c r="K424" i="2"/>
  <c r="K425" i="2"/>
  <c r="M198" i="2"/>
  <c r="I368" i="2"/>
  <c r="J368" i="2" s="1"/>
  <c r="K426" i="2"/>
  <c r="K489" i="2"/>
  <c r="J510" i="2"/>
  <c r="S510" i="2"/>
  <c r="S511" i="2"/>
  <c r="J511" i="2"/>
  <c r="M511" i="2"/>
  <c r="I811" i="2"/>
  <c r="J811" i="2" s="1"/>
  <c r="J807" i="2"/>
  <c r="M807" i="2"/>
  <c r="S807" i="2"/>
  <c r="Q807" i="2"/>
  <c r="U411" i="2"/>
  <c r="Q511" i="2"/>
  <c r="M512" i="2"/>
  <c r="J512" i="2"/>
  <c r="S512" i="2"/>
  <c r="S513" i="2"/>
  <c r="M513" i="2"/>
  <c r="J513" i="2"/>
  <c r="M514" i="2"/>
  <c r="J514" i="2"/>
  <c r="S514" i="2"/>
  <c r="W558" i="2"/>
  <c r="W559" i="2"/>
  <c r="W560" i="2" s="1"/>
  <c r="J515" i="2"/>
  <c r="M515" i="2"/>
  <c r="S566" i="2"/>
  <c r="Q566" i="2"/>
  <c r="J566" i="2"/>
  <c r="U612" i="2"/>
  <c r="I658" i="2"/>
  <c r="J658" i="2" s="1"/>
  <c r="J644" i="2"/>
  <c r="V559" i="2"/>
  <c r="V560" i="2" s="1"/>
  <c r="V558" i="2"/>
  <c r="I830" i="2"/>
  <c r="J830" i="2" s="1"/>
  <c r="U658" i="2"/>
  <c r="I659" i="2"/>
  <c r="J659" i="2" s="1"/>
  <c r="I679" i="2"/>
  <c r="J679" i="2" s="1"/>
  <c r="I149" i="3"/>
  <c r="I832" i="2"/>
  <c r="J832" i="2" s="1"/>
  <c r="J827" i="2"/>
  <c r="J813" i="2"/>
  <c r="I831" i="2"/>
  <c r="J831" i="2" s="1"/>
  <c r="J489" i="2" l="1"/>
  <c r="S489" i="2"/>
  <c r="Q489" i="2"/>
  <c r="M489" i="2"/>
  <c r="S426" i="2"/>
  <c r="M426" i="2"/>
  <c r="J426" i="2"/>
  <c r="Q426" i="2"/>
  <c r="J702" i="2"/>
  <c r="S702" i="2"/>
  <c r="K701" i="2"/>
  <c r="Q702" i="2"/>
  <c r="M702" i="2"/>
  <c r="M231" i="2"/>
  <c r="J231" i="2"/>
  <c r="S231" i="2"/>
  <c r="Q231" i="2"/>
  <c r="J315" i="2"/>
  <c r="M501" i="2"/>
  <c r="S501" i="2"/>
  <c r="Q501" i="2"/>
  <c r="J501" i="2"/>
  <c r="J358" i="2"/>
  <c r="S358" i="2"/>
  <c r="Q358" i="2"/>
  <c r="M358" i="2"/>
  <c r="M553" i="2"/>
  <c r="J553" i="2"/>
  <c r="S553" i="2"/>
  <c r="Q553" i="2"/>
  <c r="M397" i="2"/>
  <c r="S397" i="2"/>
  <c r="Q397" i="2"/>
  <c r="J397" i="2"/>
  <c r="S446" i="2"/>
  <c r="Q446" i="2"/>
  <c r="M446" i="2"/>
  <c r="J446" i="2"/>
  <c r="M760" i="2"/>
  <c r="Q760" i="2"/>
  <c r="J760" i="2"/>
  <c r="S760" i="2"/>
  <c r="S345" i="2"/>
  <c r="M345" i="2"/>
  <c r="J345" i="2"/>
  <c r="Q345" i="2"/>
  <c r="J491" i="2"/>
  <c r="S491" i="2"/>
  <c r="Q491" i="2"/>
  <c r="M491" i="2"/>
  <c r="Q440" i="2"/>
  <c r="S440" i="2"/>
  <c r="M440" i="2"/>
  <c r="J440" i="2"/>
  <c r="S594" i="2"/>
  <c r="J594" i="2"/>
  <c r="Q594" i="2"/>
  <c r="M594" i="2"/>
  <c r="S484" i="2"/>
  <c r="J484" i="2"/>
  <c r="M484" i="2"/>
  <c r="Q484" i="2"/>
  <c r="J310" i="2"/>
  <c r="S310" i="2"/>
  <c r="Q310" i="2"/>
  <c r="M310" i="2"/>
  <c r="S228" i="2"/>
  <c r="J228" i="2"/>
  <c r="Q228" i="2"/>
  <c r="M228" i="2"/>
  <c r="U324" i="2"/>
  <c r="U325" i="2"/>
  <c r="Q323" i="2"/>
  <c r="I324" i="2"/>
  <c r="J324" i="2" s="1"/>
  <c r="I325" i="2"/>
  <c r="J325" i="2" s="1"/>
  <c r="J323" i="2"/>
  <c r="I326" i="2"/>
  <c r="J326" i="2" s="1"/>
  <c r="M323" i="2"/>
  <c r="U326" i="2"/>
  <c r="S323" i="2"/>
  <c r="Q462" i="2"/>
  <c r="M462" i="2"/>
  <c r="J462" i="2"/>
  <c r="S462" i="2"/>
  <c r="I411" i="2"/>
  <c r="J411" i="2" s="1"/>
  <c r="J291" i="2"/>
  <c r="S291" i="2"/>
  <c r="Q291" i="2"/>
  <c r="M291" i="2"/>
  <c r="Q716" i="2"/>
  <c r="J716" i="2"/>
  <c r="S716" i="2"/>
  <c r="M716" i="2"/>
  <c r="J451" i="2"/>
  <c r="S451" i="2"/>
  <c r="Q451" i="2"/>
  <c r="M451" i="2"/>
  <c r="S227" i="2"/>
  <c r="Q227" i="2"/>
  <c r="M227" i="2"/>
  <c r="J227" i="2"/>
  <c r="I464" i="2"/>
  <c r="J464" i="2" s="1"/>
  <c r="M498" i="2"/>
  <c r="J498" i="2"/>
  <c r="S498" i="2"/>
  <c r="Q498" i="2"/>
  <c r="J548" i="2"/>
  <c r="S548" i="2"/>
  <c r="Q548" i="2"/>
  <c r="M548" i="2"/>
  <c r="S543" i="2"/>
  <c r="Q543" i="2"/>
  <c r="M543" i="2"/>
  <c r="J543" i="2"/>
  <c r="M399" i="2"/>
  <c r="S399" i="2"/>
  <c r="Q399" i="2"/>
  <c r="J399" i="2"/>
  <c r="J444" i="2"/>
  <c r="S444" i="2"/>
  <c r="Q444" i="2"/>
  <c r="M444" i="2"/>
  <c r="Q273" i="2"/>
  <c r="S273" i="2"/>
  <c r="M273" i="2"/>
  <c r="J273" i="2"/>
  <c r="J493" i="2"/>
  <c r="S493" i="2"/>
  <c r="Q493" i="2"/>
  <c r="M493" i="2"/>
  <c r="M601" i="2"/>
  <c r="J601" i="2"/>
  <c r="S601" i="2"/>
  <c r="Q601" i="2"/>
  <c r="S289" i="2"/>
  <c r="J289" i="2"/>
  <c r="Q289" i="2"/>
  <c r="M289" i="2"/>
  <c r="Q439" i="2"/>
  <c r="S439" i="2"/>
  <c r="M439" i="2"/>
  <c r="J439" i="2"/>
  <c r="M589" i="2"/>
  <c r="S589" i="2"/>
  <c r="Q589" i="2"/>
  <c r="J589" i="2"/>
  <c r="Q275" i="2"/>
  <c r="J275" i="2"/>
  <c r="S275" i="2"/>
  <c r="M275" i="2"/>
  <c r="M292" i="2"/>
  <c r="S292" i="2"/>
  <c r="J292" i="2"/>
  <c r="Q292" i="2"/>
  <c r="S737" i="2"/>
  <c r="J737" i="2"/>
  <c r="Q737" i="2"/>
  <c r="M737" i="2"/>
  <c r="S460" i="2"/>
  <c r="Q460" i="2"/>
  <c r="M460" i="2"/>
  <c r="J460" i="2"/>
  <c r="I250" i="2"/>
  <c r="U276" i="2"/>
  <c r="M550" i="2"/>
  <c r="J550" i="2"/>
  <c r="S550" i="2"/>
  <c r="Q550" i="2"/>
  <c r="M401" i="2"/>
  <c r="S401" i="2"/>
  <c r="Q401" i="2"/>
  <c r="J401" i="2"/>
  <c r="M754" i="2"/>
  <c r="J754" i="2"/>
  <c r="Q754" i="2"/>
  <c r="S754" i="2"/>
  <c r="S448" i="2"/>
  <c r="Q448" i="2"/>
  <c r="M448" i="2"/>
  <c r="J448" i="2"/>
  <c r="Q269" i="2"/>
  <c r="M269" i="2"/>
  <c r="S269" i="2"/>
  <c r="J269" i="2"/>
  <c r="S705" i="2"/>
  <c r="M705" i="2"/>
  <c r="J705" i="2"/>
  <c r="Q705" i="2"/>
  <c r="Q271" i="2"/>
  <c r="J271" i="2"/>
  <c r="M271" i="2"/>
  <c r="S271" i="2"/>
  <c r="S492" i="2"/>
  <c r="J492" i="2"/>
  <c r="M492" i="2"/>
  <c r="Q492" i="2"/>
  <c r="Q603" i="2"/>
  <c r="M603" i="2"/>
  <c r="J603" i="2"/>
  <c r="S603" i="2"/>
  <c r="S285" i="2"/>
  <c r="J285" i="2"/>
  <c r="Q285" i="2"/>
  <c r="I296" i="2"/>
  <c r="J296" i="2" s="1"/>
  <c r="M285" i="2"/>
  <c r="I295" i="2"/>
  <c r="J295" i="2" s="1"/>
  <c r="S592" i="2"/>
  <c r="M592" i="2"/>
  <c r="Q592" i="2"/>
  <c r="J592" i="2"/>
  <c r="J591" i="2"/>
  <c r="S591" i="2"/>
  <c r="Q591" i="2"/>
  <c r="M591" i="2"/>
  <c r="I276" i="2"/>
  <c r="J276" i="2" s="1"/>
  <c r="I465" i="2" a="1"/>
  <c r="I465" i="2" s="1"/>
  <c r="J465" i="2" s="1"/>
  <c r="M286" i="2"/>
  <c r="S286" i="2"/>
  <c r="J286" i="2"/>
  <c r="Q286" i="2"/>
  <c r="I710" i="2"/>
  <c r="U710" i="2"/>
  <c r="Q584" i="2"/>
  <c r="M584" i="2"/>
  <c r="S584" i="2"/>
  <c r="J584" i="2"/>
  <c r="Q450" i="2"/>
  <c r="S450" i="2"/>
  <c r="M450" i="2"/>
  <c r="J450" i="2"/>
  <c r="M499" i="2"/>
  <c r="S499" i="2"/>
  <c r="Q499" i="2"/>
  <c r="J499" i="2"/>
  <c r="M554" i="2"/>
  <c r="Q554" i="2"/>
  <c r="J554" i="2"/>
  <c r="S554" i="2"/>
  <c r="M626" i="2"/>
  <c r="J626" i="2"/>
  <c r="S626" i="2"/>
  <c r="Q626" i="2"/>
  <c r="Q808" i="2"/>
  <c r="M808" i="2"/>
  <c r="J808" i="2"/>
  <c r="S808" i="2"/>
  <c r="S354" i="2"/>
  <c r="Q354" i="2"/>
  <c r="K359" i="2"/>
  <c r="J354" i="2"/>
  <c r="M354" i="2"/>
  <c r="Q230" i="2"/>
  <c r="M230" i="2"/>
  <c r="S230" i="2"/>
  <c r="J230" i="2"/>
  <c r="M355" i="2"/>
  <c r="S355" i="2"/>
  <c r="Q355" i="2"/>
  <c r="J355" i="2"/>
  <c r="J602" i="2"/>
  <c r="S602" i="2"/>
  <c r="Q602" i="2"/>
  <c r="M602" i="2"/>
  <c r="S725" i="2"/>
  <c r="Q725" i="2"/>
  <c r="J725" i="2"/>
  <c r="M725" i="2"/>
  <c r="Q438" i="2"/>
  <c r="S438" i="2"/>
  <c r="M438" i="2"/>
  <c r="J438" i="2"/>
  <c r="I319" i="2"/>
  <c r="J319" i="2" s="1"/>
  <c r="S590" i="2"/>
  <c r="Q590" i="2"/>
  <c r="M590" i="2"/>
  <c r="J590" i="2"/>
  <c r="S593" i="2"/>
  <c r="Q593" i="2"/>
  <c r="J593" i="2"/>
  <c r="M593" i="2"/>
  <c r="S642" i="2"/>
  <c r="J642" i="2"/>
  <c r="Q642" i="2"/>
  <c r="M642" i="2"/>
  <c r="M270" i="2"/>
  <c r="S270" i="2"/>
  <c r="J270" i="2"/>
  <c r="Q270" i="2"/>
  <c r="Q458" i="2"/>
  <c r="J458" i="2"/>
  <c r="S458" i="2"/>
  <c r="M458" i="2"/>
  <c r="I279" i="2"/>
  <c r="J279" i="2" s="1"/>
  <c r="I612" i="2"/>
  <c r="J612" i="2" s="1"/>
  <c r="S482" i="2"/>
  <c r="J482" i="2"/>
  <c r="Q482" i="2"/>
  <c r="M482" i="2"/>
  <c r="Q454" i="2"/>
  <c r="S454" i="2"/>
  <c r="M454" i="2"/>
  <c r="J454" i="2"/>
  <c r="S717" i="2"/>
  <c r="J717" i="2"/>
  <c r="Q717" i="2"/>
  <c r="M717" i="2"/>
  <c r="I467" i="2"/>
  <c r="J467" i="2" s="1"/>
  <c r="J424" i="2"/>
  <c r="S424" i="2"/>
  <c r="Q424" i="2"/>
  <c r="M424" i="2"/>
  <c r="Q703" i="2"/>
  <c r="J703" i="2"/>
  <c r="S703" i="2"/>
  <c r="M703" i="2"/>
  <c r="M453" i="2"/>
  <c r="S453" i="2"/>
  <c r="Q453" i="2"/>
  <c r="J453" i="2"/>
  <c r="M496" i="2"/>
  <c r="S496" i="2"/>
  <c r="Q496" i="2"/>
  <c r="J496" i="2"/>
  <c r="M363" i="2"/>
  <c r="S363" i="2"/>
  <c r="Q363" i="2"/>
  <c r="J363" i="2"/>
  <c r="Q545" i="2"/>
  <c r="M545" i="2"/>
  <c r="J545" i="2"/>
  <c r="S545" i="2"/>
  <c r="Q396" i="2"/>
  <c r="J396" i="2"/>
  <c r="M396" i="2"/>
  <c r="S396" i="2"/>
  <c r="Q445" i="2"/>
  <c r="S445" i="2"/>
  <c r="M445" i="2"/>
  <c r="J445" i="2"/>
  <c r="J598" i="2"/>
  <c r="S598" i="2"/>
  <c r="M598" i="2"/>
  <c r="Q598" i="2"/>
  <c r="J636" i="2"/>
  <c r="S636" i="2"/>
  <c r="Q636" i="2"/>
  <c r="M636" i="2"/>
  <c r="Q437" i="2"/>
  <c r="S437" i="2"/>
  <c r="M437" i="2"/>
  <c r="J437" i="2"/>
  <c r="S312" i="2"/>
  <c r="M312" i="2"/>
  <c r="J312" i="2"/>
  <c r="Q312" i="2"/>
  <c r="J596" i="2"/>
  <c r="S596" i="2"/>
  <c r="Q596" i="2"/>
  <c r="M596" i="2"/>
  <c r="Q595" i="2"/>
  <c r="S595" i="2"/>
  <c r="M595" i="2"/>
  <c r="J595" i="2"/>
  <c r="Q274" i="2"/>
  <c r="M274" i="2"/>
  <c r="J274" i="2"/>
  <c r="S274" i="2"/>
  <c r="M461" i="2"/>
  <c r="J461" i="2"/>
  <c r="S461" i="2"/>
  <c r="Q461" i="2"/>
  <c r="I278" i="2"/>
  <c r="J278" i="2" s="1"/>
  <c r="J676" i="2"/>
  <c r="S676" i="2"/>
  <c r="Q676" i="2"/>
  <c r="M676" i="2"/>
  <c r="S712" i="2"/>
  <c r="J712" i="2"/>
  <c r="M712" i="2"/>
  <c r="Q712" i="2"/>
  <c r="J557" i="2"/>
  <c r="S557" i="2"/>
  <c r="Q557" i="2"/>
  <c r="M557" i="2"/>
  <c r="K558" i="2"/>
  <c r="S455" i="2"/>
  <c r="J455" i="2"/>
  <c r="Q455" i="2"/>
  <c r="M455" i="2"/>
  <c r="S714" i="2"/>
  <c r="Q714" i="2"/>
  <c r="J714" i="2"/>
  <c r="M714" i="2"/>
  <c r="J293" i="2"/>
  <c r="I294" i="2"/>
  <c r="J294" i="2" s="1"/>
  <c r="M500" i="2"/>
  <c r="S500" i="2"/>
  <c r="Q500" i="2"/>
  <c r="J500" i="2"/>
  <c r="S547" i="2"/>
  <c r="Q547" i="2"/>
  <c r="M547" i="2"/>
  <c r="J547" i="2"/>
  <c r="S364" i="2"/>
  <c r="Q364" i="2"/>
  <c r="J364" i="2"/>
  <c r="M364" i="2"/>
  <c r="Q398" i="2"/>
  <c r="J398" i="2"/>
  <c r="M398" i="2"/>
  <c r="S398" i="2"/>
  <c r="M726" i="2"/>
  <c r="S726" i="2"/>
  <c r="Q726" i="2"/>
  <c r="J726" i="2"/>
  <c r="Q447" i="2"/>
  <c r="S447" i="2"/>
  <c r="M447" i="2"/>
  <c r="J447" i="2"/>
  <c r="J753" i="2"/>
  <c r="M753" i="2"/>
  <c r="S753" i="2"/>
  <c r="Q753" i="2"/>
  <c r="M720" i="2"/>
  <c r="S720" i="2"/>
  <c r="Q720" i="2"/>
  <c r="J720" i="2"/>
  <c r="S517" i="2"/>
  <c r="Q517" i="2"/>
  <c r="M517" i="2"/>
  <c r="J517" i="2"/>
  <c r="Q599" i="2"/>
  <c r="M599" i="2"/>
  <c r="S599" i="2"/>
  <c r="J599" i="2"/>
  <c r="Q436" i="2"/>
  <c r="M436" i="2"/>
  <c r="J436" i="2"/>
  <c r="S436" i="2"/>
  <c r="S587" i="2"/>
  <c r="Q587" i="2"/>
  <c r="M587" i="2"/>
  <c r="J587" i="2"/>
  <c r="Q597" i="2"/>
  <c r="J597" i="2"/>
  <c r="M597" i="2"/>
  <c r="S597" i="2"/>
  <c r="S272" i="2"/>
  <c r="Q272" i="2"/>
  <c r="M272" i="2"/>
  <c r="J272" i="2"/>
  <c r="Q313" i="2"/>
  <c r="M313" i="2"/>
  <c r="J313" i="2"/>
  <c r="S313" i="2"/>
  <c r="M457" i="2"/>
  <c r="S457" i="2"/>
  <c r="Q457" i="2"/>
  <c r="J457" i="2"/>
  <c r="J634" i="2"/>
  <c r="S634" i="2"/>
  <c r="Q634" i="2"/>
  <c r="M634" i="2"/>
  <c r="I466" i="2" a="1"/>
  <c r="I466" i="2" s="1"/>
  <c r="J466" i="2" s="1"/>
  <c r="S486" i="2"/>
  <c r="J486" i="2"/>
  <c r="Q486" i="2"/>
  <c r="M486" i="2"/>
  <c r="S425" i="2"/>
  <c r="M425" i="2"/>
  <c r="J425" i="2"/>
  <c r="Q425" i="2"/>
  <c r="S456" i="2"/>
  <c r="Q456" i="2"/>
  <c r="M456" i="2"/>
  <c r="J456" i="2"/>
  <c r="S639" i="2"/>
  <c r="I715" i="2"/>
  <c r="J715" i="2" s="1"/>
  <c r="J639" i="2"/>
  <c r="U715" i="2"/>
  <c r="Q639" i="2"/>
  <c r="M639" i="2"/>
  <c r="S546" i="2"/>
  <c r="Q546" i="2"/>
  <c r="M546" i="2"/>
  <c r="J546" i="2"/>
  <c r="S551" i="2"/>
  <c r="Q551" i="2"/>
  <c r="M551" i="2"/>
  <c r="J551" i="2"/>
  <c r="Q400" i="2"/>
  <c r="J400" i="2"/>
  <c r="M400" i="2"/>
  <c r="S400" i="2"/>
  <c r="Q449" i="2"/>
  <c r="S449" i="2"/>
  <c r="M449" i="2"/>
  <c r="J449" i="2"/>
  <c r="S710" i="2"/>
  <c r="Q710" i="2"/>
  <c r="M710" i="2"/>
  <c r="J710" i="2"/>
  <c r="S600" i="2"/>
  <c r="J600" i="2"/>
  <c r="Q600" i="2"/>
  <c r="M600" i="2"/>
  <c r="S490" i="2"/>
  <c r="J490" i="2"/>
  <c r="Q490" i="2"/>
  <c r="M490" i="2"/>
  <c r="Q442" i="2"/>
  <c r="J442" i="2"/>
  <c r="S442" i="2"/>
  <c r="M442" i="2"/>
  <c r="J352" i="2"/>
  <c r="K357" i="2"/>
  <c r="Q352" i="2"/>
  <c r="M352" i="2"/>
  <c r="S352" i="2"/>
  <c r="S586" i="2"/>
  <c r="M586" i="2"/>
  <c r="J586" i="2"/>
  <c r="Q586" i="2"/>
  <c r="J485" i="2"/>
  <c r="S485" i="2"/>
  <c r="Q485" i="2"/>
  <c r="M485" i="2"/>
  <c r="Q618" i="2"/>
  <c r="J618" i="2"/>
  <c r="W618" i="2"/>
  <c r="S618" i="2"/>
  <c r="M618" i="2"/>
  <c r="Y618" i="2" s="1"/>
  <c r="J519" i="2"/>
  <c r="S519" i="2"/>
  <c r="Q519" i="2"/>
  <c r="M519" i="2"/>
  <c r="Q351" i="2"/>
  <c r="M351" i="2"/>
  <c r="K356" i="2"/>
  <c r="J351" i="2"/>
  <c r="S351" i="2"/>
  <c r="S463" i="2"/>
  <c r="J463" i="2"/>
  <c r="Q463" i="2"/>
  <c r="M463" i="2"/>
  <c r="J635" i="2"/>
  <c r="S635" i="2"/>
  <c r="M635" i="2"/>
  <c r="Q635" i="2"/>
  <c r="Q689" i="2"/>
  <c r="M689" i="2"/>
  <c r="S689" i="2"/>
  <c r="J689" i="2"/>
  <c r="I469" i="2" a="1"/>
  <c r="I469" i="2" s="1"/>
  <c r="J469" i="2" s="1"/>
  <c r="Q711" i="2"/>
  <c r="J711" i="2"/>
  <c r="S711" i="2"/>
  <c r="M711" i="2"/>
  <c r="M452" i="2"/>
  <c r="J452" i="2"/>
  <c r="S452" i="2"/>
  <c r="Q452" i="2"/>
  <c r="M497" i="2"/>
  <c r="S497" i="2"/>
  <c r="Q497" i="2"/>
  <c r="J497" i="2"/>
  <c r="J552" i="2"/>
  <c r="S552" i="2"/>
  <c r="Q552" i="2"/>
  <c r="M552" i="2"/>
  <c r="Q544" i="2"/>
  <c r="J544" i="2"/>
  <c r="S544" i="2"/>
  <c r="M544" i="2"/>
  <c r="M395" i="2"/>
  <c r="S395" i="2"/>
  <c r="Q395" i="2"/>
  <c r="J395" i="2"/>
  <c r="S691" i="2"/>
  <c r="K690" i="2"/>
  <c r="J691" i="2"/>
  <c r="M691" i="2"/>
  <c r="Q691" i="2"/>
  <c r="S758" i="2"/>
  <c r="Q758" i="2"/>
  <c r="M758" i="2"/>
  <c r="J758" i="2"/>
  <c r="Q443" i="2"/>
  <c r="J443" i="2"/>
  <c r="S443" i="2"/>
  <c r="M443" i="2"/>
  <c r="Q361" i="2"/>
  <c r="M361" i="2"/>
  <c r="J361" i="2"/>
  <c r="S361" i="2"/>
  <c r="J314" i="2"/>
  <c r="S314" i="2"/>
  <c r="Q314" i="2"/>
  <c r="M314" i="2"/>
  <c r="S709" i="2"/>
  <c r="J709" i="2"/>
  <c r="M709" i="2"/>
  <c r="Q709" i="2"/>
  <c r="S604" i="2"/>
  <c r="J604" i="2"/>
  <c r="M604" i="2"/>
  <c r="Q604" i="2"/>
  <c r="Q562" i="2"/>
  <c r="M562" i="2"/>
  <c r="K563" i="2"/>
  <c r="J562" i="2"/>
  <c r="S562" i="2"/>
  <c r="Q441" i="2"/>
  <c r="S441" i="2"/>
  <c r="M441" i="2"/>
  <c r="J441" i="2"/>
  <c r="S588" i="2"/>
  <c r="Q588" i="2"/>
  <c r="M588" i="2"/>
  <c r="J588" i="2"/>
  <c r="J483" i="2"/>
  <c r="S483" i="2"/>
  <c r="Q483" i="2"/>
  <c r="M483" i="2"/>
  <c r="Q615" i="2"/>
  <c r="J615" i="2"/>
  <c r="U616" i="2"/>
  <c r="S615" i="2"/>
  <c r="M615" i="2"/>
  <c r="I616" i="2"/>
  <c r="J616" i="2" s="1"/>
  <c r="S311" i="2"/>
  <c r="M311" i="2"/>
  <c r="J311" i="2"/>
  <c r="Q311" i="2"/>
  <c r="J347" i="2"/>
  <c r="S347" i="2"/>
  <c r="Q347" i="2"/>
  <c r="M347" i="2"/>
  <c r="J459" i="2"/>
  <c r="S459" i="2"/>
  <c r="Q459" i="2"/>
  <c r="M459" i="2"/>
  <c r="I412" i="2"/>
  <c r="J487" i="2"/>
  <c r="S487" i="2"/>
  <c r="Q487" i="2"/>
  <c r="M487" i="2"/>
  <c r="M565" i="2"/>
  <c r="S565" i="2"/>
  <c r="Q565" i="2"/>
  <c r="J565" i="2"/>
  <c r="S690" i="2" l="1"/>
  <c r="M690" i="2"/>
  <c r="J690" i="2"/>
  <c r="Q690" i="2"/>
  <c r="S357" i="2"/>
  <c r="Q357" i="2"/>
  <c r="M357" i="2"/>
  <c r="J357" i="2"/>
  <c r="J412" i="2"/>
  <c r="I410" i="2"/>
  <c r="J410" i="2" s="1"/>
  <c r="S356" i="2"/>
  <c r="M356" i="2"/>
  <c r="J356" i="2"/>
  <c r="Q356" i="2"/>
  <c r="J250" i="2"/>
  <c r="I556" i="2"/>
  <c r="J556" i="2" s="1"/>
  <c r="K564" i="2"/>
  <c r="S563" i="2"/>
  <c r="Q563" i="2"/>
  <c r="J563" i="2"/>
  <c r="M563" i="2"/>
  <c r="M701" i="2"/>
  <c r="Q701" i="2"/>
  <c r="S701" i="2"/>
  <c r="J701" i="2"/>
  <c r="Q558" i="2"/>
  <c r="M558" i="2"/>
  <c r="S558" i="2"/>
  <c r="J558" i="2"/>
  <c r="Q359" i="2"/>
  <c r="J359" i="2"/>
  <c r="M359" i="2"/>
  <c r="S359" i="2"/>
  <c r="I321" i="2"/>
  <c r="J321" i="2" s="1"/>
  <c r="J564" i="2" l="1"/>
  <c r="S564" i="2"/>
  <c r="Q564" i="2"/>
  <c r="M564" i="2"/>
  <c r="I220" i="2" l="1"/>
  <c r="J220" i="2" s="1"/>
  <c r="U220" i="2"/>
  <c r="W219" i="2" a="1"/>
  <c r="W219" i="2" s="1"/>
  <c r="I16" i="3"/>
  <c r="I17" i="3" l="1"/>
  <c r="I18" i="3" a="1"/>
  <c r="I18" i="3" s="1"/>
  <c r="I19" i="3" a="1"/>
  <c r="I19" i="3" s="1"/>
  <c r="I32" i="3" l="1"/>
  <c r="I38" i="3" l="1"/>
  <c r="I30" i="3" s="1"/>
  <c r="I29" i="3" a="1"/>
  <c r="I29" i="3" s="1"/>
  <c r="I57" i="3"/>
  <c r="I147" i="3" l="1"/>
  <c r="I143" i="3"/>
  <c r="I137" i="3"/>
  <c r="I140" i="3"/>
  <c r="I31" i="3"/>
  <c r="I73" i="3" l="1"/>
  <c r="I53" i="3"/>
  <c r="I109" i="3"/>
  <c r="I116" i="3" l="1"/>
  <c r="I129" i="3" l="1"/>
  <c r="I217" i="3"/>
  <c r="I146" i="3" l="1"/>
  <c r="I84" i="3"/>
  <c r="I185" i="3" l="1"/>
  <c r="I142" i="3" l="1"/>
  <c r="I144" i="3" s="1"/>
  <c r="I145" i="3"/>
  <c r="I148" i="3" s="1"/>
  <c r="I136" i="3"/>
  <c r="I138" i="3" s="1"/>
  <c r="I139" i="3"/>
  <c r="I141" i="3" s="1"/>
  <c r="I186" i="3"/>
  <c r="I188" i="3"/>
  <c r="I187" i="3" l="1"/>
  <c r="I95" i="3"/>
  <c r="I99" i="3" l="1"/>
  <c r="I110" i="3" l="1"/>
  <c r="I96" i="3"/>
  <c r="I97" i="3"/>
  <c r="I117" i="3" l="1"/>
  <c r="I111" i="3"/>
  <c r="I112" i="3"/>
  <c r="I98" i="3"/>
  <c r="I101" i="3" l="1"/>
  <c r="I100" i="3"/>
  <c r="I118" i="3"/>
  <c r="I130" i="3"/>
  <c r="I131" i="3"/>
  <c r="I113" i="3" l="1"/>
  <c r="I102" i="3"/>
  <c r="I119" i="3"/>
  <c r="I120" i="3" l="1"/>
  <c r="I169" i="3"/>
  <c r="I132" i="3"/>
  <c r="I114" i="3"/>
  <c r="I88" i="3"/>
  <c r="I133" i="3"/>
  <c r="I103" i="3"/>
  <c r="I121" i="3" l="1"/>
  <c r="I122" i="3" s="1"/>
  <c r="I115" i="3"/>
  <c r="I106" i="3"/>
  <c r="I218" i="3"/>
  <c r="I134" i="3" l="1"/>
  <c r="I135" i="3" s="1"/>
  <c r="I105" i="3"/>
  <c r="I108" i="3" l="1"/>
  <c r="I107" i="3"/>
  <c r="I123" i="3"/>
  <c r="I85" i="3" l="1"/>
  <c r="I124" i="3"/>
  <c r="I86" i="3" s="1"/>
  <c r="I125" i="3"/>
  <c r="I87" i="3" s="1"/>
  <c r="I127" i="3"/>
  <c r="I91" i="3" s="1"/>
  <c r="I54" i="3" l="1"/>
  <c r="I42" i="3" s="1"/>
  <c r="I74" i="3"/>
  <c r="I61" i="3" s="1"/>
  <c r="I34" i="3" l="1"/>
  <c r="I168" i="3"/>
  <c r="I126" i="3"/>
  <c r="I75" i="3"/>
  <c r="I62" i="3" s="1"/>
  <c r="I35" i="3" s="1"/>
  <c r="I36" i="3" s="1"/>
  <c r="I76" i="3"/>
  <c r="I197" i="3"/>
  <c r="I184" i="3"/>
  <c r="I182" i="3" s="1"/>
  <c r="I191" i="3"/>
  <c r="I189" i="3" s="1"/>
  <c r="I198" i="3" l="1"/>
  <c r="I90" i="3"/>
  <c r="I128" i="3"/>
  <c r="I171" i="3"/>
  <c r="I173" i="3"/>
  <c r="I170" i="3" l="1"/>
  <c r="I17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 Drexel</author>
    <author>Simon Schneider</author>
  </authors>
  <commentList>
    <comment ref="B67" authorId="0" shapeId="0" xr:uid="{792E21E9-6F67-49CB-A2EC-9308B48CCD68}">
      <text>
        <r>
          <rPr>
            <b/>
            <sz val="9"/>
            <color indexed="81"/>
            <rFont val="Segoe UI"/>
            <family val="2"/>
          </rPr>
          <t>Raphael Drexel:</t>
        </r>
        <r>
          <rPr>
            <sz val="9"/>
            <color indexed="81"/>
            <rFont val="Segoe UI"/>
            <family val="2"/>
          </rPr>
          <t xml:space="preserve">
Feld für Zwischenergebnis</t>
        </r>
      </text>
    </comment>
    <comment ref="K67" authorId="0" shapeId="0" xr:uid="{E38BCE2E-DB32-4245-B9E1-7554D722276B}">
      <text>
        <r>
          <rPr>
            <b/>
            <sz val="9"/>
            <color indexed="81"/>
            <rFont val="Segoe UI"/>
            <family val="2"/>
          </rPr>
          <t>Raphael Drexel:</t>
        </r>
        <r>
          <rPr>
            <sz val="9"/>
            <color indexed="81"/>
            <rFont val="Segoe UI"/>
            <family val="2"/>
          </rPr>
          <t xml:space="preserve">
Feld für Zwischenergebnis</t>
        </r>
      </text>
    </comment>
    <comment ref="B132" authorId="0" shapeId="0" xr:uid="{8939B98C-80B7-49B1-925E-82687726D024}">
      <text>
        <r>
          <rPr>
            <b/>
            <sz val="9"/>
            <color indexed="81"/>
            <rFont val="Segoe UI"/>
            <family val="2"/>
          </rPr>
          <t>Raphael Drexel:</t>
        </r>
        <r>
          <rPr>
            <sz val="9"/>
            <color indexed="81"/>
            <rFont val="Segoe UI"/>
            <family val="2"/>
          </rPr>
          <t xml:space="preserve">
1: 0%
2: 10%
3: 20%
4: 30%
5: 40%
6: 50%
7: 60%
8: 70%
9: 80%
10: 90%
11: 100%</t>
        </r>
      </text>
    </comment>
    <comment ref="K132" authorId="0" shapeId="0" xr:uid="{5A588B28-BC1C-4749-9D44-13265CD8576A}">
      <text>
        <r>
          <rPr>
            <b/>
            <sz val="9"/>
            <color indexed="81"/>
            <rFont val="Segoe UI"/>
            <family val="2"/>
          </rPr>
          <t>Raphael Drexel:</t>
        </r>
        <r>
          <rPr>
            <sz val="9"/>
            <color indexed="81"/>
            <rFont val="Segoe UI"/>
            <family val="2"/>
          </rPr>
          <t xml:space="preserve">
1: 0%
2: 10%
3: 20%
4: 30%
5: 40%
6: 50%
7: 60%
8: 70%
9: 80%
10: 90%
11: 100%</t>
        </r>
      </text>
    </comment>
    <comment ref="B133" authorId="0" shapeId="0" xr:uid="{01E6C3B1-9E5E-4629-B995-9A1D83878C8A}">
      <text>
        <r>
          <rPr>
            <b/>
            <sz val="9"/>
            <color indexed="81"/>
            <rFont val="Segoe UI"/>
            <family val="2"/>
          </rPr>
          <t>Raphael Drexel:</t>
        </r>
        <r>
          <rPr>
            <sz val="9"/>
            <color indexed="81"/>
            <rFont val="Segoe UI"/>
            <family val="2"/>
          </rPr>
          <t xml:space="preserve">
1: 50%
6: 100%
12: 200%
</t>
        </r>
      </text>
    </comment>
    <comment ref="K133" authorId="0" shapeId="0" xr:uid="{7CBC73CF-2801-4CFE-9AFA-A79ADBCE981F}">
      <text>
        <r>
          <rPr>
            <b/>
            <sz val="9"/>
            <color indexed="81"/>
            <rFont val="Segoe UI"/>
            <family val="2"/>
          </rPr>
          <t>Raphael Drexel:</t>
        </r>
        <r>
          <rPr>
            <sz val="9"/>
            <color indexed="81"/>
            <rFont val="Segoe UI"/>
            <family val="2"/>
          </rPr>
          <t xml:space="preserve">
1: 50%
6: 100%
12: 200%
</t>
        </r>
      </text>
    </comment>
    <comment ref="B137" authorId="0" shapeId="0" xr:uid="{34B64EB0-2371-4D0C-B056-523E31E61198}">
      <text>
        <r>
          <rPr>
            <b/>
            <sz val="9"/>
            <color indexed="81"/>
            <rFont val="Segoe UI"/>
            <family val="2"/>
          </rPr>
          <t>Raphael Drexel:</t>
        </r>
        <r>
          <rPr>
            <sz val="9"/>
            <color indexed="81"/>
            <rFont val="Segoe UI"/>
            <family val="2"/>
          </rPr>
          <t xml:space="preserve">
1: Direktinput
2: Varianteninput</t>
        </r>
      </text>
    </comment>
    <comment ref="K137" authorId="0" shapeId="0" xr:uid="{5C7435DE-56A2-4653-9B02-F97CD808E64D}">
      <text>
        <r>
          <rPr>
            <b/>
            <sz val="9"/>
            <color indexed="81"/>
            <rFont val="Segoe UI"/>
            <family val="2"/>
          </rPr>
          <t>Raphael Drexel:</t>
        </r>
        <r>
          <rPr>
            <sz val="9"/>
            <color indexed="81"/>
            <rFont val="Segoe UI"/>
            <family val="2"/>
          </rPr>
          <t xml:space="preserve">
1: Direktinput
2: Varianteninput</t>
        </r>
      </text>
    </comment>
    <comment ref="B181" authorId="0" shapeId="0" xr:uid="{59607111-A708-4A56-A112-306A73B06203}">
      <text>
        <r>
          <rPr>
            <sz val="9"/>
            <color indexed="81"/>
            <rFont val="Segoe UI"/>
            <family val="2"/>
          </rPr>
          <t>Derzeit nicht in Verwendung! Muss Wahr sein.</t>
        </r>
      </text>
    </comment>
    <comment ref="K181" authorId="0" shapeId="0" xr:uid="{585D3C75-86F3-4C63-9F47-F12571C94616}">
      <text>
        <r>
          <rPr>
            <sz val="9"/>
            <color indexed="81"/>
            <rFont val="Segoe UI"/>
            <family val="2"/>
          </rPr>
          <t>Derzeit nicht in Verwendung! Muss Wahr sein.</t>
        </r>
      </text>
    </comment>
    <comment ref="B811" authorId="1" shapeId="0" xr:uid="{398F3B97-9A39-49EC-8683-80A4BDED993B}">
      <text>
        <r>
          <rPr>
            <sz val="9"/>
            <color indexed="81"/>
            <rFont val="Segoe UI"/>
            <family val="2"/>
          </rPr>
          <t>Export: Strom Konversionsprofil Spaltennummer</t>
        </r>
      </text>
    </comment>
    <comment ref="D857" authorId="1" shapeId="0" xr:uid="{5E2C4317-80E7-4D24-94BA-77C9EFC171F7}">
      <text>
        <r>
          <rPr>
            <b/>
            <sz val="9"/>
            <color indexed="81"/>
            <rFont val="Segoe UI"/>
            <family val="2"/>
          </rPr>
          <t>Simon Schneider:</t>
        </r>
        <r>
          <rPr>
            <sz val="9"/>
            <color indexed="81"/>
            <rFont val="Segoe UI"/>
            <family val="2"/>
          </rPr>
          <t xml:space="preserve">
Energy End Use Intensity</t>
        </r>
      </text>
    </comment>
    <comment ref="B869" authorId="1" shapeId="0" xr:uid="{D30F7968-CB55-44E6-80CC-E9171FB1DBC9}">
      <text>
        <r>
          <rPr>
            <sz val="9"/>
            <color indexed="81"/>
            <rFont val="Segoe UI"/>
            <family val="2"/>
          </rPr>
          <t xml:space="preserve">Export: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<sst xmlns="http://schemas.openxmlformats.org/spreadsheetml/2006/main" count="4312" uniqueCount="1393">
  <si>
    <t>Icon</t>
  </si>
  <si>
    <t>Name</t>
  </si>
  <si>
    <t>Einheit</t>
  </si>
  <si>
    <t>Kommentar</t>
  </si>
  <si>
    <t>Type</t>
  </si>
  <si>
    <t>var_name</t>
  </si>
  <si>
    <t>Formel</t>
  </si>
  <si>
    <t>ka</t>
  </si>
  <si>
    <t>STAGE</t>
  </si>
  <si>
    <t>diff</t>
  </si>
  <si>
    <t>Sim_</t>
  </si>
  <si>
    <t>Sim Var ref</t>
  </si>
  <si>
    <t>Var diff</t>
  </si>
  <si>
    <t>Sim Name</t>
  </si>
  <si>
    <t>IN Zeile</t>
  </si>
  <si>
    <t>Direkt alt</t>
  </si>
  <si>
    <t>diff2</t>
  </si>
  <si>
    <t>Buffer</t>
  </si>
  <si>
    <t>diff5</t>
  </si>
  <si>
    <t>Default</t>
  </si>
  <si>
    <t>Neues Projekt</t>
  </si>
  <si>
    <t>Beispiel Pilzgasse</t>
  </si>
  <si>
    <t>Beispiel Am Bichl</t>
  </si>
  <si>
    <t>Beispiel Rugierstraße</t>
  </si>
  <si>
    <t>TESTWuerfel</t>
  </si>
  <si>
    <t>Alliiertenviertel Bestand</t>
  </si>
  <si>
    <t>Pgteilgeühlt</t>
  </si>
  <si>
    <t>Beispielquartier ohne Kühlung</t>
  </si>
  <si>
    <t>Test</t>
  </si>
  <si>
    <t>WieNeu+ Alliiertenviertel</t>
  </si>
  <si>
    <t>WieNeu+ Alliiertenviertel SQ Gas</t>
  </si>
  <si>
    <t>WieNeu+ Alliiertenviertel Saniert FW</t>
  </si>
  <si>
    <t>WieNeu+ Alliiertenviertel Bestand Gas</t>
  </si>
  <si>
    <t>WieNeu+ Alliiertenviertel WP Flex</t>
  </si>
  <si>
    <t>hm may</t>
  </si>
  <si>
    <t>mybe</t>
  </si>
  <si>
    <t>🏙️</t>
  </si>
  <si>
    <t>Wohnbau NGF (m²)</t>
  </si>
  <si>
    <t>m²NGF</t>
  </si>
  <si>
    <t>Abgelöst in Klimaaktiv</t>
  </si>
  <si>
    <t>Gebäude</t>
  </si>
  <si>
    <t>Büro NGF (m²)</t>
  </si>
  <si>
    <t>Schule NGF (m²)</t>
  </si>
  <si>
    <t>Kiga NGF (m²)</t>
  </si>
  <si>
    <t>Handel NGF (m²)</t>
  </si>
  <si>
    <t>Summe NGF (m²)</t>
  </si>
  <si>
    <t>Anteil NonFood an Handel</t>
  </si>
  <si>
    <t>Bauteilfläche Hülle Außenwand (exkl. Fenster) (m²)</t>
  </si>
  <si>
    <t>Bauteilfläche Hülle Fenster (m²)</t>
  </si>
  <si>
    <t>Bauteilfläche Hülle Dach (m²)</t>
  </si>
  <si>
    <t>Bauteilfläche Hülle Decke gegen Erdreich / Keller (m²)</t>
  </si>
  <si>
    <t>🏗️</t>
  </si>
  <si>
    <t>Gewählte Variante</t>
  </si>
  <si>
    <t>Obsolet</t>
  </si>
  <si>
    <t>eco2soft</t>
  </si>
  <si>
    <t>Massgrob</t>
  </si>
  <si>
    <t>Aktuell</t>
  </si>
  <si>
    <t>Sanierung 2</t>
  </si>
  <si>
    <t>U-Wert Außenwand (exkl. Fenster) (W/m²K)</t>
  </si>
  <si>
    <t>U-Wert Fenster (W/m²K)</t>
  </si>
  <si>
    <t>U-Wert Dach (W/m²K)</t>
  </si>
  <si>
    <t>U-Wert Decke gegen Erdreich / Keller (W/m²K)</t>
  </si>
  <si>
    <t>g-Wert Fenster</t>
  </si>
  <si>
    <t>Speicherkapazität spezifisch Wirksame Wärmekapazität (Wh/m²K)</t>
  </si>
  <si>
    <t>Außenwand (exkl. Fenster) GWP 100S (kg CO2equiv/m²a)</t>
  </si>
  <si>
    <t>Alt</t>
  </si>
  <si>
    <t>Fenster GWP 100S (kg CO2equiv/m²a)</t>
  </si>
  <si>
    <t>Dach GWP 100S (kg CO2equiv/m²a)</t>
  </si>
  <si>
    <t>Decke gegen Erdreich / Keller GWP 100S (kg CO2equiv/m²a)</t>
  </si>
  <si>
    <t>Zwischen-geschoßdecken GWP 100S (kg CO2equiv/m²a)</t>
  </si>
  <si>
    <t>Allgemein baulich GWP 100S (kg CO2equiv/m²a)</t>
  </si>
  <si>
    <t>PV-Anlage GWP 100S (kg CO2equiv/m²a)</t>
  </si>
  <si>
    <t>Erdwärme-sonden GWP 100S (kg CO2equiv/m²a)</t>
  </si>
  <si>
    <t>Komfort-lüftung GWP 100S (kg CO2equiv/m²a)</t>
  </si>
  <si>
    <t>Solarthermie GWP 100S (kg CO2equiv/m²a)</t>
  </si>
  <si>
    <t>Allgemein Haustechnik GWP 100S (kg CO2equiv/m²a)</t>
  </si>
  <si>
    <t>Wärme-brücken-zuschlag</t>
  </si>
  <si>
    <t>Transmission gesamt (W/K/m²NGF)</t>
  </si>
  <si>
    <t>Zwischenrechnung</t>
  </si>
  <si>
    <t>Durchschn. Raumhöhe für die Berechnung des Lüfungs-volumen (m)</t>
  </si>
  <si>
    <t xml:space="preserve">Gewinne durch opake Bauteile </t>
  </si>
  <si>
    <t>Mobiler Sommerlicher Sonnenschutz</t>
  </si>
  <si>
    <t>Referenz g-Wert</t>
  </si>
  <si>
    <t>Faktor Solare Gewinne Kühlsaison</t>
  </si>
  <si>
    <t>Anzahl Fahrzeuge/Stellplätze</t>
  </si>
  <si>
    <t>m²NF/Person aus UAP Studie Wohnen</t>
  </si>
  <si>
    <t>m²NF/Person aus UAP Studie Büro</t>
  </si>
  <si>
    <t>m²NF/Person aus UAP Studie Ausbildung</t>
  </si>
  <si>
    <t>m²NF/Person aus UAP Studie Handel</t>
  </si>
  <si>
    <t>🔥</t>
  </si>
  <si>
    <t>Heizung: Raumtemp.Minimum (°C)</t>
  </si>
  <si>
    <t>Heizung</t>
  </si>
  <si>
    <t>Heizung: Raumtemp.Maximum (°C)</t>
  </si>
  <si>
    <t>Wirkungsgrad Verteilungsverluste</t>
  </si>
  <si>
    <t>Maximale Wärmeleistung Raumseitig (Wtherm/m²)</t>
  </si>
  <si>
    <t>JAZ Wärme pumpe Wohnen</t>
  </si>
  <si>
    <t>JAZ Wärme pumpe Büro &amp; Gewerbe</t>
  </si>
  <si>
    <t>JAZ Wärme pumpe Handel</t>
  </si>
  <si>
    <t>JAZ Wärme pumpe Bildung</t>
  </si>
  <si>
    <t>Flächengewichtete JAZ</t>
  </si>
  <si>
    <t>Wirkungs-grad Fern-wärme</t>
  </si>
  <si>
    <t>Wirkungs-grad Erdgas</t>
  </si>
  <si>
    <t>❄️</t>
  </si>
  <si>
    <t>Kühlung Raumtemp.Minimum (°C)</t>
  </si>
  <si>
    <t>Kühlung</t>
  </si>
  <si>
    <t>Kühlung Raumtemp.Maximum (°C)</t>
  </si>
  <si>
    <t>Maximale Kühlleistung (Wtherm/m²)</t>
  </si>
  <si>
    <t>💧</t>
  </si>
  <si>
    <t>Temperatur Minimum (°C)</t>
  </si>
  <si>
    <t>Warm wasser</t>
  </si>
  <si>
    <t>Temperatur Maximum (°C)</t>
  </si>
  <si>
    <t>Wirkungsgrad (Verteilungsverluste)</t>
  </si>
  <si>
    <t>Speicher Verluste (W)</t>
  </si>
  <si>
    <t>Warmwasserspeicher (l/Person*Tag)</t>
  </si>
  <si>
    <t>Leistung Wärme pumpe (W/m²)</t>
  </si>
  <si>
    <t>Wirkungs grad Aufheizen</t>
  </si>
  <si>
    <t>JAZ Wärmepumpe Handel</t>
  </si>
  <si>
    <t>JAZ Wärmepumpe Bildung</t>
  </si>
  <si>
    <t>Flächengewichtete JAZ (Berechnung)</t>
  </si>
  <si>
    <t>⚡</t>
  </si>
  <si>
    <t>Hilfsstromanteil Wärme pumpen</t>
  </si>
  <si>
    <t>Hilfsstrom</t>
  </si>
  <si>
    <t>Hilfsstrom anteil Gasheizung/Fernwärme (bezogen auf Heizenergie inkl verteil)</t>
  </si>
  <si>
    <t>🤸‍♂️</t>
  </si>
  <si>
    <t>Freigabesignal</t>
  </si>
  <si>
    <t>Netzdienlichkeit</t>
  </si>
  <si>
    <t>Maximale Ladeleistung (W/m²)</t>
  </si>
  <si>
    <t>💨</t>
  </si>
  <si>
    <t>Anteil Lüftungsstrom wenn ohne Wärmerückgewinnung</t>
  </si>
  <si>
    <t>Lüftung</t>
  </si>
  <si>
    <t>Wirkungsgrad Wärmerückgewinnung</t>
  </si>
  <si>
    <t>Wirkungsgrad Kälterückgewinnung</t>
  </si>
  <si>
    <t>Wirkungsgrad Übergangszeit</t>
  </si>
  <si>
    <t>Epatrone Temperatur Maximum (°C)</t>
  </si>
  <si>
    <t>Epatrone Wirkungsgrad</t>
  </si>
  <si>
    <t>Epatrone Anschlussleistung [W/l]</t>
  </si>
  <si>
    <t>🔌🚗</t>
  </si>
  <si>
    <t>Anzahl Fahrzeuge</t>
  </si>
  <si>
    <t>ECars</t>
  </si>
  <si>
    <t>Batterie-kapazität je Fahrzeug (Wh)</t>
  </si>
  <si>
    <t>Verluste Batterie (2%/Wo)</t>
  </si>
  <si>
    <t>Jahresver brauch Emob  (Wh)</t>
  </si>
  <si>
    <t>-</t>
  </si>
  <si>
    <t>Speicher Spezifisch (Wh/m²)</t>
  </si>
  <si>
    <t>Anteil der Fahrzeuge die der Ladekurve (Spitzenladungszeiten) folgen</t>
  </si>
  <si>
    <t>Konstantes Laden von Fahrzeugen die nicht der Ladekurve folgen (W/m²)</t>
  </si>
  <si>
    <t>Maximale Ladeleistung (ein 11kW Ladeanschluss je Fahrzeug) (W/m²)</t>
  </si>
  <si>
    <t>Minimaler Ladezustand der erreicht werden soll</t>
  </si>
  <si>
    <t>Wirkungs grad Ladung</t>
  </si>
  <si>
    <t>Anteil Elektroautos</t>
  </si>
  <si>
    <t>Energieverbrauch (kWh/km)</t>
  </si>
  <si>
    <t>Variation km-Leistung Wohnen</t>
  </si>
  <si>
    <t>Variation km-Leistung Büro</t>
  </si>
  <si>
    <t>Variation km-Leistung Ausbildung</t>
  </si>
  <si>
    <t>Variation km-Leistung Handel</t>
  </si>
  <si>
    <t>🔋</t>
  </si>
  <si>
    <t>kWh</t>
  </si>
  <si>
    <t>Batterie</t>
  </si>
  <si>
    <t>Kapazität Batterie (Wh/m²)</t>
  </si>
  <si>
    <t>Maximale Lade-/ Entladeleistung (W/m²)</t>
  </si>
  <si>
    <t>Wirkungsgrad Ladung</t>
  </si>
  <si>
    <t>Wirkungsgrad Entladung</t>
  </si>
  <si>
    <t>🚗</t>
  </si>
  <si>
    <t>Regionstyp</t>
  </si>
  <si>
    <t>Mobilität</t>
  </si>
  <si>
    <t>93 opt Pilz</t>
  </si>
  <si>
    <t>11 - Mobilitätstool</t>
  </si>
  <si>
    <t>Zuordnung der Jahres mobilität Wohnen</t>
  </si>
  <si>
    <t>Zuordnung der Jahres mobilität Büro</t>
  </si>
  <si>
    <t>Zuordnung der Jahres mobilität Ausbildung</t>
  </si>
  <si>
    <t>Zuordnung der Jahres mobilität Handel</t>
  </si>
  <si>
    <t>Verkehrsleistung Zu Fuß (pro Person)</t>
  </si>
  <si>
    <t>Verkehrsleistung Fahrrad (pro Person)</t>
  </si>
  <si>
    <t>Verkehrsleistung Moped (pro Person)</t>
  </si>
  <si>
    <t>Verkehrsleistung PKW-LenkerIn (pro Person)</t>
  </si>
  <si>
    <t>Verkehrs leistung PKW-MitfahrerIn (pro Person)</t>
  </si>
  <si>
    <t>Verkehrs leistung Stadt/ Regionalbus (pro Person)</t>
  </si>
  <si>
    <t>Verkehrs leistung Straßenbahn/U-Bahn (pro Person)</t>
  </si>
  <si>
    <t>Verkehrs leistung Eisenbahn (pro Person)</t>
  </si>
  <si>
    <t>Verkehrs leistung Reisebus (pro Person)</t>
  </si>
  <si>
    <t>spez. Wärme kapazität Luft (Wh/m3K)</t>
  </si>
  <si>
    <t>Physik</t>
  </si>
  <si>
    <t>spez. Wärme kapazität Wasser (Wh/kgK)</t>
  </si>
  <si>
    <t>spez. Wärme kapazität Wasser (kJ/kgK)</t>
  </si>
  <si>
    <t>🔛</t>
  </si>
  <si>
    <t>Gebäudehülle</t>
  </si>
  <si>
    <t>Switch</t>
  </si>
  <si>
    <t>🌞</t>
  </si>
  <si>
    <t>Photovoltaikvarianten</t>
  </si>
  <si>
    <t>Netzdienlichkeitsprofil</t>
  </si>
  <si>
    <t>Regionstyp Mobilität</t>
  </si>
  <si>
    <t>DirektInput &amp;Dashboard</t>
  </si>
  <si>
    <t>Freigabe/Verwendung Abwärme</t>
  </si>
  <si>
    <t>Lüftungsanlage</t>
  </si>
  <si>
    <t>Netzdienlichkeit (DSM) aktiv</t>
  </si>
  <si>
    <t>PV</t>
  </si>
  <si>
    <t>Elektropatrone</t>
  </si>
  <si>
    <t>EBatterie</t>
  </si>
  <si>
    <t>🏠</t>
  </si>
  <si>
    <t>Fensterfläche Nord (m² brutto)</t>
  </si>
  <si>
    <t>Fenster</t>
  </si>
  <si>
    <t>Fensterfläche Ost (m² brutto)</t>
  </si>
  <si>
    <t>Fensterfläche Süd (m² brutto)</t>
  </si>
  <si>
    <t>Fensterfläche West (m² brutto)</t>
  </si>
  <si>
    <t>Fensterfläche Horizontal (m² brutto)</t>
  </si>
  <si>
    <t>g-Wert Nord</t>
  </si>
  <si>
    <t>g-Wert Ost</t>
  </si>
  <si>
    <t>g-Wert Süd</t>
  </si>
  <si>
    <t>g-Wert West</t>
  </si>
  <si>
    <t>g-Wert Horizontal</t>
  </si>
  <si>
    <t>Abminderungsfaktor solare Einstrahlung Heizen Nord</t>
  </si>
  <si>
    <t>Abminderungsfaktor solare Einstrahlung Heizen Ost</t>
  </si>
  <si>
    <t>Abminderungsfaktor solare Einstrahlung Heizen Süd</t>
  </si>
  <si>
    <t>Abminderungsfaktor solare Einstrahlung Heizen West</t>
  </si>
  <si>
    <t>Abminderungsfaktor solare Einstrahlung Heizen Horizontal</t>
  </si>
  <si>
    <t>Verhältnis Abminderung Kühlung/Heizung Nord</t>
  </si>
  <si>
    <t>Verhältnis Abminderung Kühlung/Heizung Ost</t>
  </si>
  <si>
    <t>Verhältnis Abminderung Kühlung/Heizung Süd</t>
  </si>
  <si>
    <t>Verhältnis Abminderung Kühlung/Heizung West</t>
  </si>
  <si>
    <t>Verhältnis Abminderung Kühlung/Heizung Horizontal</t>
  </si>
  <si>
    <t>👤</t>
  </si>
  <si>
    <t>Betriebszeit_-</t>
  </si>
  <si>
    <t>Skalierungsfaktoren</t>
  </si>
  <si>
    <t>Personen_Pers_m2</t>
  </si>
  <si>
    <t>Innere Wärmen Sommer gesamt inkl. Verdungskälte</t>
  </si>
  <si>
    <t>Innere Wärmen Winter gesamt inkl. Verdungskälte</t>
  </si>
  <si>
    <t>Luftwechsel_Anlage_1_h</t>
  </si>
  <si>
    <t>Luftwechsel_Infiltration_1_h</t>
  </si>
  <si>
    <t>Warmwasserbedarf_W_m2</t>
  </si>
  <si>
    <t>Lüfterstrom_W_m2</t>
  </si>
  <si>
    <t>Aufzug, Regelung etc._W_m2</t>
  </si>
  <si>
    <t>Beleuchtung_W_m2</t>
  </si>
  <si>
    <t>Nutzerstrom_W_m2</t>
  </si>
  <si>
    <t>PV Skalierung</t>
  </si>
  <si>
    <t>⚖️</t>
  </si>
  <si>
    <t>JAZ Kühlen Erdgas und FW Variante</t>
  </si>
  <si>
    <t>CO2,PE Profil</t>
  </si>
  <si>
    <t>Wetterdaten</t>
  </si>
  <si>
    <t>🔀</t>
  </si>
  <si>
    <t>Wohnen aktiv Kühlen?</t>
  </si>
  <si>
    <t>Büro aktiv Kühlen?</t>
  </si>
  <si>
    <t>Handel aktiv Kühlen?</t>
  </si>
  <si>
    <t>Bildung aktiv Kühlen?</t>
  </si>
  <si>
    <t>Grundstücksfläche</t>
  </si>
  <si>
    <t>Fernwärme PE-Faktor</t>
  </si>
  <si>
    <t>Netzdienlichkeitsstrategie</t>
  </si>
  <si>
    <t>Verhältnis NGF/BGF</t>
  </si>
  <si>
    <t>Profil HEIZEN</t>
  </si>
  <si>
    <t>Profil KÜHLEN</t>
  </si>
  <si>
    <t>ÖNORM/OIB-Energiesummen</t>
  </si>
  <si>
    <t>Nutzungsspezfische Skalierungsfaktoren</t>
  </si>
  <si>
    <t>Lüfterstrom</t>
  </si>
  <si>
    <t>Luftwechsel Anlage</t>
  </si>
  <si>
    <t>Innere Wärmen Sommer</t>
  </si>
  <si>
    <t>Innere Wärmen Winter</t>
  </si>
  <si>
    <t>Warmwasser Wärmebedarf</t>
  </si>
  <si>
    <t>Strombedarf Aufzug, Regelung, Etc</t>
  </si>
  <si>
    <t>Beleuchtung</t>
  </si>
  <si>
    <t>Nutzerstrom</t>
  </si>
  <si>
    <t>"Erdgas" PE-Faktor</t>
  </si>
  <si>
    <t>📝</t>
  </si>
  <si>
    <t>Projektname</t>
  </si>
  <si>
    <t>Neu (default, nicht berechenbar)</t>
  </si>
  <si>
    <t>project_name</t>
  </si>
  <si>
    <t>Test_PG</t>
  </si>
  <si>
    <t>Rugierstraße</t>
  </si>
  <si>
    <t>Beispiel PG</t>
  </si>
  <si>
    <t>ProjektURL</t>
  </si>
  <si>
    <t>project_url</t>
  </si>
  <si>
    <t>Bitte eingeben</t>
  </si>
  <si>
    <t>🧭</t>
  </si>
  <si>
    <t>Adresse</t>
  </si>
  <si>
    <t>location_address</t>
  </si>
  <si>
    <t>Rugierstraße 28</t>
  </si>
  <si>
    <t>Pilzgasse 22</t>
  </si>
  <si>
    <t>Gemeinde</t>
  </si>
  <si>
    <t>municipality_name</t>
  </si>
  <si>
    <t>Wien-Leopoldstadt</t>
  </si>
  <si>
    <t>Wien-Donaustadt</t>
  </si>
  <si>
    <t>Wien-Floridsdorf</t>
  </si>
  <si>
    <t>Erstellungsdatum</t>
  </si>
  <si>
    <t>Projektbeschreibung</t>
  </si>
  <si>
    <t>project_description</t>
  </si>
  <si>
    <t>Dieses Projekt stellt ein Beispielquartier mit 2 Wohngebäuden und einem Bürogebäude dar. Es entspricht geometrisch dem Deklarationsbeispiel Pilzgasse</t>
  </si>
  <si>
    <t>Variante / Scenario</t>
  </si>
  <si>
    <t>Neu (aus alt Berechenbar)</t>
  </si>
  <si>
    <t>project_scenario_name</t>
  </si>
  <si>
    <t>Saniert FW</t>
  </si>
  <si>
    <t>Basis</t>
  </si>
  <si>
    <t>WP Flex</t>
  </si>
  <si>
    <t>Postleitzahl</t>
  </si>
  <si>
    <t>location_postcode</t>
  </si>
  <si>
    <t>Keine Daten</t>
  </si>
  <si>
    <t>Parameter</t>
  </si>
  <si>
    <t>🌦️</t>
  </si>
  <si>
    <t>Wetterdatensatz Name</t>
  </si>
  <si>
    <t>weather_name</t>
  </si>
  <si>
    <t>Wien 2020</t>
  </si>
  <si>
    <t>Hohe Warte 2010</t>
  </si>
  <si>
    <t>Wien 2050</t>
  </si>
  <si>
    <t>Wetterdatensatz Nummer</t>
  </si>
  <si>
    <t>weather_index</t>
  </si>
  <si>
    <t>BGF Wohnen</t>
  </si>
  <si>
    <t>m²BGF</t>
  </si>
  <si>
    <t>BGF Büro</t>
  </si>
  <si>
    <t>BGF Bildung sekundär</t>
  </si>
  <si>
    <t>BGF Bildung primär</t>
  </si>
  <si>
    <t>BGF Lebensmittelhandel</t>
  </si>
  <si>
    <t>BGF Handel sonstiger</t>
  </si>
  <si>
    <t>BGF Sonstige</t>
  </si>
  <si>
    <t>BGF Quartier</t>
  </si>
  <si>
    <t>GFA_total</t>
  </si>
  <si>
    <t>NGF/BGF Wohnen</t>
  </si>
  <si>
    <t>Faktor</t>
  </si>
  <si>
    <t>NGF/BGF  Büro</t>
  </si>
  <si>
    <t>NGF/BGF Bildung sekundär</t>
  </si>
  <si>
    <t>NGF/BGF Bildung primär</t>
  </si>
  <si>
    <t>NGF/BGF Lebensmittelhandel</t>
  </si>
  <si>
    <t>NGF/BGF Handel sonstiger</t>
  </si>
  <si>
    <t>NGF/BGF Sonstige</t>
  </si>
  <si>
    <t>NGF/BGF Quartier</t>
  </si>
  <si>
    <t>NFA_to_GFA_ratio</t>
  </si>
  <si>
    <t>NGF Wohnen</t>
  </si>
  <si>
    <t>NFA_residential</t>
  </si>
  <si>
    <t>NGF Büro</t>
  </si>
  <si>
    <t>NFA_office</t>
  </si>
  <si>
    <t>NGF Bildung sekundär</t>
  </si>
  <si>
    <t>NFA_schoolsec</t>
  </si>
  <si>
    <t>NGF Bildung primär</t>
  </si>
  <si>
    <t>NFA_schoolprim</t>
  </si>
  <si>
    <t>NGF Handel Lebensmittel</t>
  </si>
  <si>
    <t>NFA_retailfood</t>
  </si>
  <si>
    <t>NGF Handel sonstiger</t>
  </si>
  <si>
    <t>NFA_retailother</t>
  </si>
  <si>
    <t>NGF Sonstige</t>
  </si>
  <si>
    <t>NFA_other</t>
  </si>
  <si>
    <t>NGF Quartier</t>
  </si>
  <si>
    <t>NFA_total</t>
  </si>
  <si>
    <t>Pro NGF ( Kehrwert NGF)</t>
  </si>
  <si>
    <t>1/m²NGF</t>
  </si>
  <si>
    <t>per_NFA</t>
  </si>
  <si>
    <t>Bebaubare Grundstücksfläche</t>
  </si>
  <si>
    <t>m²GF</t>
  </si>
  <si>
    <t>Geschoßflächenzahl</t>
  </si>
  <si>
    <t>GFZ</t>
  </si>
  <si>
    <t>FSI</t>
  </si>
  <si>
    <t>Sanierung Anteil Wohnen</t>
  </si>
  <si>
    <t>Sanierung Anteil Büro</t>
  </si>
  <si>
    <t>Sanierung Anteil Bildung sekundär</t>
  </si>
  <si>
    <t>Sanierung Anteil Bildung primär</t>
  </si>
  <si>
    <t>Sanierung Anteil Lebensmittelhandel</t>
  </si>
  <si>
    <t>Sanierung Anteil Handel Sonstiger</t>
  </si>
  <si>
    <t>Sanierung Anteil Sonstige</t>
  </si>
  <si>
    <t>Sanierungsanteil im Quartier</t>
  </si>
  <si>
    <t>renovation_share</t>
  </si>
  <si>
    <t>Anzahl Baukörper</t>
  </si>
  <si>
    <t>Anzahl Geschoße</t>
  </si>
  <si>
    <t>↕️</t>
  </si>
  <si>
    <t>Raumhöhe Wohnen</t>
  </si>
  <si>
    <t>m Netto</t>
  </si>
  <si>
    <t>rh_residential</t>
  </si>
  <si>
    <t>Raumhöhe Büro</t>
  </si>
  <si>
    <t>rh_office</t>
  </si>
  <si>
    <t>Raumhöhe sekundäre Bildungseinrichtung/ Universität</t>
  </si>
  <si>
    <t>rh_schoolsec</t>
  </si>
  <si>
    <t>Raumhöhe primäre Bildundseinrichtung/ Kindergarten</t>
  </si>
  <si>
    <t>rh_schoolprim</t>
  </si>
  <si>
    <t>Raumhöhe Lebensmittelhandel</t>
  </si>
  <si>
    <t>rh_retailfood</t>
  </si>
  <si>
    <t>Raumhöhe Handel sonstiger</t>
  </si>
  <si>
    <t>rh_retailother</t>
  </si>
  <si>
    <t>Raumhöhe Sonstige Nutzung</t>
  </si>
  <si>
    <t>rh_other</t>
  </si>
  <si>
    <t>Raumhöhe Quartier</t>
  </si>
  <si>
    <t>rh_avg</t>
  </si>
  <si>
    <t>Raumvolumen Quartier</t>
  </si>
  <si>
    <t>m³netto</t>
  </si>
  <si>
    <t>NFV_total</t>
  </si>
  <si>
    <t>Raumvolumen ungekühlt</t>
  </si>
  <si>
    <t>NFV_u</t>
  </si>
  <si>
    <t>Raumvolumen gekühlt</t>
  </si>
  <si>
    <t>NFV_c</t>
  </si>
  <si>
    <t>Höhe Geschoßdecken</t>
  </si>
  <si>
    <t>m</t>
  </si>
  <si>
    <t>Raumvolumen Quartier brutto</t>
  </si>
  <si>
    <t>m³brutto</t>
  </si>
  <si>
    <t>GFV</t>
  </si>
  <si>
    <t>🧊</t>
  </si>
  <si>
    <t>Hüllfläche Außenwand</t>
  </si>
  <si>
    <t>m² Brutto</t>
  </si>
  <si>
    <t>exkl. Fenster</t>
  </si>
  <si>
    <t>hull_ext_wall_wo_window_m2</t>
  </si>
  <si>
    <t>Hüllfläche Dach</t>
  </si>
  <si>
    <t>hull_roof_m2</t>
  </si>
  <si>
    <t>Hüllfläche Kellerdecke / Fundament</t>
  </si>
  <si>
    <t>hull_fundament_m2</t>
  </si>
  <si>
    <t>Hüllfläche Fenster Nord</t>
  </si>
  <si>
    <t>inkl. Rahmen</t>
  </si>
  <si>
    <t>Hüllfläche Fenster Ost</t>
  </si>
  <si>
    <t>Hüllfläche Fenster Süd</t>
  </si>
  <si>
    <t>Hüllfläche Fenster West</t>
  </si>
  <si>
    <t>Hüllfläche Fenster Horizontal</t>
  </si>
  <si>
    <t>Hüllfläche Fenster gesamt</t>
  </si>
  <si>
    <t>hull_window_m2</t>
  </si>
  <si>
    <t>Hüllfläche Fensterflächenanteil</t>
  </si>
  <si>
    <t>hull_fenestration_rate</t>
  </si>
  <si>
    <t>Hüllfläche gesamt</t>
  </si>
  <si>
    <t>lc</t>
  </si>
  <si>
    <t>🧱</t>
  </si>
  <si>
    <t>U-Wert Außenwände</t>
  </si>
  <si>
    <t>W/m²K</t>
  </si>
  <si>
    <t>U-Wert Dach</t>
  </si>
  <si>
    <t>U-Wert Kellerdecke / Fundament</t>
  </si>
  <si>
    <t>U-Wert Fenster Nord</t>
  </si>
  <si>
    <t>U-Wert Fenster Ost</t>
  </si>
  <si>
    <t>U-Wert Fenster Süd</t>
  </si>
  <si>
    <t>U-Wert Fenster West</t>
  </si>
  <si>
    <t>U-Wert Fenster Horizontal</t>
  </si>
  <si>
    <t>Wärmebrückenzuschlag</t>
  </si>
  <si>
    <t>Anteil des Transmissionsleitwerts</t>
  </si>
  <si>
    <t>Transmissionsleitwert Außenwände</t>
  </si>
  <si>
    <t>Transmissionsleitwert Dach</t>
  </si>
  <si>
    <t>Transmissionsleitwert Kellerdecke / Fundament</t>
  </si>
  <si>
    <t>Transmissionsleitwert Fenster</t>
  </si>
  <si>
    <t>Transmissionsleitwert Wärmebrücken</t>
  </si>
  <si>
    <t>Transmissionsleitwert absolut</t>
  </si>
  <si>
    <t>MW/K</t>
  </si>
  <si>
    <t>ink. Wärmebrückenzuschlag</t>
  </si>
  <si>
    <t>transmittance_MW</t>
  </si>
  <si>
    <t>Transmissionsleitwert spezifisch</t>
  </si>
  <si>
    <t>transmittance_Wm²</t>
  </si>
  <si>
    <t>Spezif. wirksame Wärmekapazität</t>
  </si>
  <si>
    <t>Wh/m²K</t>
  </si>
  <si>
    <t>heat_capacity_effective_m²</t>
  </si>
  <si>
    <t>Spezif. wirksame Wärmekapazität ungekühlter Bereich</t>
  </si>
  <si>
    <t>Kann separat eingegebn werden</t>
  </si>
  <si>
    <t>heat_cap_eff_uncooled_m2</t>
  </si>
  <si>
    <t>Spezif. wirksame Wärmekapazität gekühlter Bereich</t>
  </si>
  <si>
    <t>heat_cap_eff_cooled_m2</t>
  </si>
  <si>
    <t>Wirksame Wärmekapazität</t>
  </si>
  <si>
    <t>MWh/K</t>
  </si>
  <si>
    <t>heat_capacity_effective_abs</t>
  </si>
  <si>
    <t>Wirksame Wärmekapazität Ungekühlt</t>
  </si>
  <si>
    <t>Nicht verwendet</t>
  </si>
  <si>
    <t>heat_capacity_effective_uncooled_abs</t>
  </si>
  <si>
    <t>Wirksame Wärmekapazität Gekühlt</t>
  </si>
  <si>
    <t>heat_capacity_effective_cooled_abs</t>
  </si>
  <si>
    <t>🏢</t>
  </si>
  <si>
    <t>g-Wert Fenster Nord</t>
  </si>
  <si>
    <t>g-Wert Fenster Ost</t>
  </si>
  <si>
    <t>g-Wert Fenster Süd</t>
  </si>
  <si>
    <t>g-Wert Fenster West</t>
  </si>
  <si>
    <t>g-Wert Fenster Horizontal</t>
  </si>
  <si>
    <t>Einstrahlungsfaktor Fenster Nord</t>
  </si>
  <si>
    <t>Einstrahlungsfaktor Fenster Ost</t>
  </si>
  <si>
    <t>Einstrahlungsfaktor Fenster Süd</t>
  </si>
  <si>
    <t>Einstrahlungsfaktor Fenster West</t>
  </si>
  <si>
    <t>Einstrahlungsfaktor Fenster Horizontal</t>
  </si>
  <si>
    <t>Faktor Sommer Nord</t>
  </si>
  <si>
    <t>Faktor Sommer Ost</t>
  </si>
  <si>
    <t>Faktor Sommer Süd</t>
  </si>
  <si>
    <t>Faktor Sommer  West</t>
  </si>
  <si>
    <t>Faktor Sommer  Horizontal</t>
  </si>
  <si>
    <t>Verhältnis Sommer/Winter Nord</t>
  </si>
  <si>
    <t>Verhältnis Sommer/Winter Ost</t>
  </si>
  <si>
    <t>Verhältnis Sommer/Winter  Süd</t>
  </si>
  <si>
    <t>Verhältnis Sommer/Winter  West</t>
  </si>
  <si>
    <t>Verhältnis Sommer/Winter Horizontal</t>
  </si>
  <si>
    <t>Zuschlag opake Bauteile</t>
  </si>
  <si>
    <t>Apertur Winter Nord</t>
  </si>
  <si>
    <t>m²</t>
  </si>
  <si>
    <t>Effektiv, inkl opake Anteile</t>
  </si>
  <si>
    <t>Apertur Winter ost</t>
  </si>
  <si>
    <t>Apertur Winter Süd</t>
  </si>
  <si>
    <t>Apertur Winter West</t>
  </si>
  <si>
    <t>Apertur Winter Horizontal</t>
  </si>
  <si>
    <t>Apertur Sommer Nord</t>
  </si>
  <si>
    <t>Apertur Sommer Ost</t>
  </si>
  <si>
    <t>Apertur Sommer Süd</t>
  </si>
  <si>
    <t>Apertur Sommer West</t>
  </si>
  <si>
    <t>Apertur Sommer Horizontal</t>
  </si>
  <si>
    <t>Mobiler Sonnenschutz Fc-Wert</t>
  </si>
  <si>
    <t>shad_mobile_factor</t>
  </si>
  <si>
    <t>Luftdichtheit n50</t>
  </si>
  <si>
    <t>1/h</t>
  </si>
  <si>
    <t>Verhältnis Blower Door / Reale Infiltration</t>
  </si>
  <si>
    <t>Luftwechsel Infiltration</t>
  </si>
  <si>
    <t>vent_infiltration_ACH</t>
  </si>
  <si>
    <t>Mechanische Lüftung Wohnen</t>
  </si>
  <si>
    <t>Anteil</t>
  </si>
  <si>
    <t>Mechanische Lüftung Büro</t>
  </si>
  <si>
    <t>Mechanische Lüftung Bildung sekundär</t>
  </si>
  <si>
    <t>Mechanische Lüftung Bildung primär</t>
  </si>
  <si>
    <t>Mechanische Lüftung Handel Lebensmittel</t>
  </si>
  <si>
    <t>Mechanische Lüftung Handel sonstiger</t>
  </si>
  <si>
    <t>Mechanische Lüftung Sonstige Nutzung</t>
  </si>
  <si>
    <t>Fensterlüftung Wohnen</t>
  </si>
  <si>
    <t>Fensterlüftung Büro</t>
  </si>
  <si>
    <t>Fensterlüftung Bildung sekundär</t>
  </si>
  <si>
    <t>Fensterlüftung Bildung primär</t>
  </si>
  <si>
    <t>Fensterlüftung Handel Lebensmittel</t>
  </si>
  <si>
    <t>Fensterlüftung Handel sonstiger</t>
  </si>
  <si>
    <t>Fensterlüftung Sonstige Nutzung</t>
  </si>
  <si>
    <t>Fensterlüftung Nettogeschoßfläche</t>
  </si>
  <si>
    <t>NFA_windowvent</t>
  </si>
  <si>
    <t>Fensterlüftung Raumvolumen</t>
  </si>
  <si>
    <t>NFV_windowvent</t>
  </si>
  <si>
    <t>Mechanische Lüftung Nettogeschoßfläche</t>
  </si>
  <si>
    <t>NFA_mechvent</t>
  </si>
  <si>
    <t>Mechanische Lüftung Raumvolumen</t>
  </si>
  <si>
    <t>NFV_mechvent</t>
  </si>
  <si>
    <t>Nachtauskühlung</t>
  </si>
  <si>
    <t>Bool</t>
  </si>
  <si>
    <t>Nachtauskühlung Fensterstellung Wohnen</t>
  </si>
  <si>
    <t>geschlossen</t>
  </si>
  <si>
    <t>geöffnet</t>
  </si>
  <si>
    <t>Nachtauskühlung Fensterstellung Büro</t>
  </si>
  <si>
    <t>Nachtauskühlung Fensterstellung Bildung sekundär</t>
  </si>
  <si>
    <t>Nachtauskühlung Fensterstellung Bildung primär</t>
  </si>
  <si>
    <t>Nachtauskühlung Fensterstellung Handel Lebensmittel</t>
  </si>
  <si>
    <t>Nachtauskühlung Fensterstellung Handel sonstiger</t>
  </si>
  <si>
    <t>Nachtauskühlung Fensterstellung Sonstige Nutzung</t>
  </si>
  <si>
    <t>Nachtauskühlung Luftwechsel</t>
  </si>
  <si>
    <t>m³/h</t>
  </si>
  <si>
    <t>ACH_night_m³</t>
  </si>
  <si>
    <t>Luftwechsel Wohnen</t>
  </si>
  <si>
    <t>Maximal</t>
  </si>
  <si>
    <t>Luftwechsel Büro</t>
  </si>
  <si>
    <t>Luftwechsel Bildung sekundär</t>
  </si>
  <si>
    <t>Luftwechsel Bildung primär</t>
  </si>
  <si>
    <t>Luftwechsel Handel Lebensmittel</t>
  </si>
  <si>
    <t>Luftwechsel Handel sonstiger</t>
  </si>
  <si>
    <t>Luftwechsel Sonstige Nutzung</t>
  </si>
  <si>
    <t>Skalierung Luftwechsel Wohnen</t>
  </si>
  <si>
    <t>vent_scale_residential</t>
  </si>
  <si>
    <t>Skalierung Luftwechsel Büro</t>
  </si>
  <si>
    <t>vent_scale_office</t>
  </si>
  <si>
    <t>Skalierung Luftwechsel Bildung sekundär</t>
  </si>
  <si>
    <t>vent_scale_school_sec</t>
  </si>
  <si>
    <t>Skalierung Luftwechsel Bildung primär</t>
  </si>
  <si>
    <t>vent_scale_school_prim</t>
  </si>
  <si>
    <t>Skalierung Luftwechsel Handel Lebensmittel</t>
  </si>
  <si>
    <t>vent_scale_supermarket</t>
  </si>
  <si>
    <t>Skalierung Luftwechsel Handel sonstiger</t>
  </si>
  <si>
    <t>vent_scale_retail</t>
  </si>
  <si>
    <t>Skalierung Luftwechsel Sonstige Nutzung</t>
  </si>
  <si>
    <t>vent_scale_other</t>
  </si>
  <si>
    <t>Lüfterstrom mech. Wohnen</t>
  </si>
  <si>
    <t>Ev_scale_residential</t>
  </si>
  <si>
    <t>Lüfterstrom mech. Büro</t>
  </si>
  <si>
    <t>Ev_scale_office</t>
  </si>
  <si>
    <t>Lüfterstrom mech.  Bildung sekundär</t>
  </si>
  <si>
    <t>Ev_scale_school_sec</t>
  </si>
  <si>
    <t>Lüfterstrom mech.  Bildung primär</t>
  </si>
  <si>
    <t>Ev_scale_school_prim</t>
  </si>
  <si>
    <t>Lüfterstrom mech.  Handel Lebensmittel</t>
  </si>
  <si>
    <t>Ev_scale_retail_food</t>
  </si>
  <si>
    <t>Lüfterstrom mech.  Handel sonstiger</t>
  </si>
  <si>
    <t>Ev_scale_retail_other</t>
  </si>
  <si>
    <t>Lüfterstrom mech.  Sonstige Nutzung</t>
  </si>
  <si>
    <t>Ev_scale_other</t>
  </si>
  <si>
    <t>Wärmerückgewinnung Winter Wohnen</t>
  </si>
  <si>
    <t>Wärmerückgewinnung Winter Büro</t>
  </si>
  <si>
    <t>Wärmerückgewinnung Winter Bildung sekundär</t>
  </si>
  <si>
    <t>Wärmerückgewinnung Winter Bildung primär</t>
  </si>
  <si>
    <t>Wärmerückgewinnung Winter Handel Lebensmittel</t>
  </si>
  <si>
    <t>Wärmerückgewinnung Winter Handel sonstiger</t>
  </si>
  <si>
    <t>Wärmerückgewinnung Winter Sonstige Nutzung</t>
  </si>
  <si>
    <t>Wärmerückgewinnung Sommer Wohnen</t>
  </si>
  <si>
    <t>Wärmerückgewinnung Sommer Büro</t>
  </si>
  <si>
    <t>Wärmerückgewinnung Sommer Bildung sekundär</t>
  </si>
  <si>
    <t>Wärmerückgewinnung Sommer Bildung primär</t>
  </si>
  <si>
    <t>Wärmerückgewinnung Sommer Handel Lebensmittel</t>
  </si>
  <si>
    <t>Wärmerückgewinnung Sommer Handel sonstiger</t>
  </si>
  <si>
    <t>Wärmerückgewinnung Sommer Sonstige Nutzung</t>
  </si>
  <si>
    <t>Wärmerückgewinnung Übergangszeit Wohnen</t>
  </si>
  <si>
    <t>Wärmerückgewinnung Übergangszeit Büro</t>
  </si>
  <si>
    <t>Wärmerückgewinnung Übergangszeit Bildung sekundär</t>
  </si>
  <si>
    <t>Wärmerückgewinnung Übergangszeit Bildung primär</t>
  </si>
  <si>
    <t>Wärmerückgewinnung Übergangszeit Handel Lebensmittel</t>
  </si>
  <si>
    <t>Wärmerückgewinnung Übergangszeit Handel sonstiger</t>
  </si>
  <si>
    <t>Wärmerückgewinnung Übergangszeit Sonstige Nutzung</t>
  </si>
  <si>
    <t>Quartiersanteil Fensterlüftung</t>
  </si>
  <si>
    <t>pro Quartiersvolumen!</t>
  </si>
  <si>
    <t>Fensterlüftung Anteil ohne aktive Kühlung</t>
  </si>
  <si>
    <t>Vent_share_window_uncooled</t>
  </si>
  <si>
    <t>Fensterlüftung Anteil mit aktiver Kühlung</t>
  </si>
  <si>
    <t>Vent_share_window_cooled</t>
  </si>
  <si>
    <t>Quartiersanteil Mechanische Lüftung</t>
  </si>
  <si>
    <t>Quartiersanteil Mechanische Lüftung ohne aktiver Kühlung</t>
  </si>
  <si>
    <t>Vent_share_mech_uncooled</t>
  </si>
  <si>
    <t>Quartiersanteil Mechanische Lüftung mit aktiver Kühlung</t>
  </si>
  <si>
    <t>Vent_share_mech_cooled</t>
  </si>
  <si>
    <t>test_NFV_shares</t>
  </si>
  <si>
    <t>Innere Wärmen Wohnen Maximal</t>
  </si>
  <si>
    <t>kWh/m²NGFa</t>
  </si>
  <si>
    <t>Input fehlt</t>
  </si>
  <si>
    <t>Innere Wärmen Wohnen Minimal</t>
  </si>
  <si>
    <t>Innere Wärmen Büro Maximal</t>
  </si>
  <si>
    <t>Innere Wärmen Büro Minimal</t>
  </si>
  <si>
    <t>Innere Wärmen Bildung sekundär Maximal</t>
  </si>
  <si>
    <t>Innere Wärmen Bildung sekundär Minimal</t>
  </si>
  <si>
    <t>Innere Wärmen Bildung primär Maximal</t>
  </si>
  <si>
    <t>Innere Wärmen Bildung primär Minimal</t>
  </si>
  <si>
    <t>Innere Wärmen Handel Lebensmittel Maximal</t>
  </si>
  <si>
    <t>Innere Wärmen Handel Lebensmittel Minimal</t>
  </si>
  <si>
    <t>Innere Wärmen Handel sonstiger Maximal</t>
  </si>
  <si>
    <t>Innere Wärmen Handel sonstiger Minimal</t>
  </si>
  <si>
    <t>Innere Wärmen Sonstige Nutzung Maximal</t>
  </si>
  <si>
    <t>Innere Wärmen Sonstige Nutzung Minimal</t>
  </si>
  <si>
    <t>WWWB Wohnen</t>
  </si>
  <si>
    <t>DHW_demand_residential_kWhm2</t>
  </si>
  <si>
    <t>WWWB Büro</t>
  </si>
  <si>
    <t>DHW_demand_office_kWhm2</t>
  </si>
  <si>
    <t>WWWB Bildung sekundär</t>
  </si>
  <si>
    <t>DHW_demand_schoolsec_kWhm2</t>
  </si>
  <si>
    <t>WWWB Bildung primär</t>
  </si>
  <si>
    <t>DHW_demand_schoolprim_kWhm2</t>
  </si>
  <si>
    <t>WWWB Handel Lebensmittel</t>
  </si>
  <si>
    <t>DHW_demand_retailfood_kWhm2</t>
  </si>
  <si>
    <t>WWWB Handel sonstiger</t>
  </si>
  <si>
    <t>DHW_demand_retailother_kWhm2</t>
  </si>
  <si>
    <t>WWWB Sonstige Nutzung</t>
  </si>
  <si>
    <t>DHW_demand_other_kWhm2</t>
  </si>
  <si>
    <t>Allgemeinstrom Wohnen</t>
  </si>
  <si>
    <t>Allgemeinstrom Büro</t>
  </si>
  <si>
    <t>Allgemeinstrom Bildung sekundär</t>
  </si>
  <si>
    <t>Allgemeinstrom Bildung primär</t>
  </si>
  <si>
    <t>Allgemeinstrom Handel lebensmittel</t>
  </si>
  <si>
    <t>Allgemeinstrom Handel sonstiger</t>
  </si>
  <si>
    <t>Allgemeinstrom Sonstige Nutzung</t>
  </si>
  <si>
    <t>Nutzerstrom Wohnen</t>
  </si>
  <si>
    <t>Nutzerstrom Büro</t>
  </si>
  <si>
    <t>Nutzerstrom Bildung sekundär</t>
  </si>
  <si>
    <t>Nutzerstrom Bildung primär</t>
  </si>
  <si>
    <t>Nutzerstrom Handel Lebensmittel</t>
  </si>
  <si>
    <t>Nutzerstrom Handel sonstiger</t>
  </si>
  <si>
    <t>Nutzerstrom Sonstige Nutzung</t>
  </si>
  <si>
    <t>Belegungsdichte Wohnen</t>
  </si>
  <si>
    <t>m²NF/Pers</t>
  </si>
  <si>
    <t>Deklarationsparameter</t>
  </si>
  <si>
    <t>Belegungsdichte Büro</t>
  </si>
  <si>
    <t>Belegungsdichte Ausbildung</t>
  </si>
  <si>
    <t>Belegungsdichte Handel</t>
  </si>
  <si>
    <t>♨️</t>
  </si>
  <si>
    <t>Heizperiode Jänner</t>
  </si>
  <si>
    <t>Heizperiode Februar</t>
  </si>
  <si>
    <t>Heizperiode März</t>
  </si>
  <si>
    <t>Heizperiode April</t>
  </si>
  <si>
    <t>Heizperiode Mai</t>
  </si>
  <si>
    <t>Heizperiode Juni</t>
  </si>
  <si>
    <t>Heizperiode Juli</t>
  </si>
  <si>
    <t>Heizperiode August</t>
  </si>
  <si>
    <t>Heizperiode September</t>
  </si>
  <si>
    <t>Heizperiode Oktober</t>
  </si>
  <si>
    <t>Heizperiode November</t>
  </si>
  <si>
    <t>Heizperiode Dezember</t>
  </si>
  <si>
    <t>spez. thermische Leistung Abgabesystem</t>
  </si>
  <si>
    <t>W/m²</t>
  </si>
  <si>
    <t>raumseitig</t>
  </si>
  <si>
    <t>QHmax_room_m²</t>
  </si>
  <si>
    <t>Thermische Leistung Abgabesystem</t>
  </si>
  <si>
    <t>MW</t>
  </si>
  <si>
    <t>QHmax_room_MW</t>
  </si>
  <si>
    <t>Thermische Leistung HZEL1</t>
  </si>
  <si>
    <t>raumseitig, Elektrische Heizung PRIO1</t>
  </si>
  <si>
    <t>QHmax_1el_m²</t>
  </si>
  <si>
    <t>Thermische Leistung HZTH2</t>
  </si>
  <si>
    <t>raumseitig, thermische Heizung PRIO 2</t>
  </si>
  <si>
    <t>QHmax_2th_m²</t>
  </si>
  <si>
    <t>Thermische Leistung HZEL3</t>
  </si>
  <si>
    <t>raumseitig, Elektrisch, PRIO3</t>
  </si>
  <si>
    <t>QHmax_3el_m²</t>
  </si>
  <si>
    <t>Thermische Leistung HZTH4</t>
  </si>
  <si>
    <t>raumseitig, thermisch PRIO4</t>
  </si>
  <si>
    <t>QHmax_4th_m²</t>
  </si>
  <si>
    <t>Verteilverluste HZEL1</t>
  </si>
  <si>
    <t>QH_distr_loss_1el</t>
  </si>
  <si>
    <t>Verteilverluste HZTH2</t>
  </si>
  <si>
    <t>QH_distr_loss_2th</t>
  </si>
  <si>
    <t>Verteilverluste HZEL3</t>
  </si>
  <si>
    <t>QH_distr_loss_3el</t>
  </si>
  <si>
    <t>Verteilverluste HZTH4</t>
  </si>
  <si>
    <t>QH_distr_loss_4th</t>
  </si>
  <si>
    <t>Wirkungsgrad Erzeugung HZEL1</t>
  </si>
  <si>
    <t>Wirkungsgrad Erzeugung HZTH2</t>
  </si>
  <si>
    <t>Wirkungsgrad Erzeugung HZEL3</t>
  </si>
  <si>
    <t>Wirkungsgrad Erzeugung HZTH4</t>
  </si>
  <si>
    <t>Wirkungsgrad-Kehrwert Erzeugung HZEL1</t>
  </si>
  <si>
    <t>weil schneller als divison durch Wirkugsgrad</t>
  </si>
  <si>
    <t>QH_generation_eff_1el</t>
  </si>
  <si>
    <t>Wirkungsgrad-Kehrwert Erzeugung HZTH2</t>
  </si>
  <si>
    <t>QH_generation_eff_2th</t>
  </si>
  <si>
    <t>Wirkungsgrad-Kehrwert Erzeugung HZEL3</t>
  </si>
  <si>
    <t>QH_generation_eff_3el</t>
  </si>
  <si>
    <t>Wirkungsgrad-Kehrwert Erzeugung HZTH4</t>
  </si>
  <si>
    <t>QH_generation_eff_4th</t>
  </si>
  <si>
    <t>Hilfsstromanteil HZAbwärme</t>
  </si>
  <si>
    <t>QH_aux_wasteheat</t>
  </si>
  <si>
    <t>Hilfsstromanteil HZEL1</t>
  </si>
  <si>
    <t>am thermischen Energiebedarf</t>
  </si>
  <si>
    <t>QH_aux_el_to_th_1el</t>
  </si>
  <si>
    <t>Hilfsstromanteil HZTH2</t>
  </si>
  <si>
    <t>QH_aux_el_to_th_2th</t>
  </si>
  <si>
    <t>Hilfsstromanteil HZEL3</t>
  </si>
  <si>
    <t>QH_aux_el_to_th_3el</t>
  </si>
  <si>
    <t>Hilfsstromanteil HZTH4</t>
  </si>
  <si>
    <t>QH_aux_el_to_th_4th</t>
  </si>
  <si>
    <t>Anlagenleistung 1 el</t>
  </si>
  <si>
    <t>Für maxLastberechnung inkl Warmwasser</t>
  </si>
  <si>
    <t>Anlagenleistung 3 el</t>
  </si>
  <si>
    <t>Energieträger HZTH2</t>
  </si>
  <si>
    <t>heat_th2_carrier_type</t>
  </si>
  <si>
    <t>Fernwärme Wien</t>
  </si>
  <si>
    <t>Fernwärme aus hocheffizienter KWK(1) (Defaultwert)</t>
  </si>
  <si>
    <t>Erdgas</t>
  </si>
  <si>
    <t xml:space="preserve">Fernwärme aus Heizwerk (nicht erneuerbar) </t>
  </si>
  <si>
    <t>Energieträger HZTH4</t>
  </si>
  <si>
    <t>heat_th4_carrier_type</t>
  </si>
  <si>
    <t>Heizen Raumtemperatur Minimum</t>
  </si>
  <si>
    <t>°C</t>
  </si>
  <si>
    <t>Tsetheat_min</t>
  </si>
  <si>
    <t>Kühlperiode Jänner</t>
  </si>
  <si>
    <t>Kühlperiode Februar</t>
  </si>
  <si>
    <t>Kühlperiode März</t>
  </si>
  <si>
    <t>Kühlperiode April</t>
  </si>
  <si>
    <t>Kühlperiode Mai</t>
  </si>
  <si>
    <t>Kühlperiode Juni</t>
  </si>
  <si>
    <t>Kühlperiode Juli</t>
  </si>
  <si>
    <t>Kühlperiode August</t>
  </si>
  <si>
    <t>Kühlperiode September</t>
  </si>
  <si>
    <t>Kühlperiode Oktober</t>
  </si>
  <si>
    <t>Kühlperiode November</t>
  </si>
  <si>
    <t>Kühlperiode Dezember</t>
  </si>
  <si>
    <t>Aktive Kühlung Anteil Wohnen</t>
  </si>
  <si>
    <t>Aktive Kühlung Anteil Büro</t>
  </si>
  <si>
    <t>Aktive Kühlung Anteil Schule sekundär</t>
  </si>
  <si>
    <t>Aktive Kühlung Anteil Schule primär</t>
  </si>
  <si>
    <t>Aktive Kühlung Anteil Handel Lebensmittel</t>
  </si>
  <si>
    <t>Aktive Kühlung Anteil Handel Sonstige</t>
  </si>
  <si>
    <t>Aktive Kühlung Anteil Sonstige Nutzung</t>
  </si>
  <si>
    <t>Keine Aktive Kühlung Anteil Wohnen</t>
  </si>
  <si>
    <t>Keine Aktive Kühlung Anteil Büro</t>
  </si>
  <si>
    <t>Keine Aktive Kühlung Anteil Schule sekundär</t>
  </si>
  <si>
    <t>KeineAktive Kühlung Anteil Schule primär</t>
  </si>
  <si>
    <t>Keine Aktive Kühlung Anteil Handel Lebensmittel</t>
  </si>
  <si>
    <t>Keine Aktive Kühlung Anteil Handel Sonstige</t>
  </si>
  <si>
    <t>Keine Aktive Kühlung Anteil Sonstige Nutzung</t>
  </si>
  <si>
    <t>Fläche Aktive Kühlung</t>
  </si>
  <si>
    <t>NFA_cooled</t>
  </si>
  <si>
    <t>NGF Anteil Aktive Kühlung</t>
  </si>
  <si>
    <t>NFAfrac_cooled</t>
  </si>
  <si>
    <t>NGF Anteil ohne aktive Kühlung</t>
  </si>
  <si>
    <t>NFAfrac_uncooled</t>
  </si>
  <si>
    <t>spez. thermische Leistung Aufnahmesystem</t>
  </si>
  <si>
    <t>QCmax_room_m2</t>
  </si>
  <si>
    <t>Thermische Leistung Aufnahmesystem</t>
  </si>
  <si>
    <t>QCmax_room_MW</t>
  </si>
  <si>
    <t>Thermische Leistung Freecooling</t>
  </si>
  <si>
    <t>QCmax_freecooling</t>
  </si>
  <si>
    <t>Thermische Leistung 1 EL</t>
  </si>
  <si>
    <t>QCmax_1el</t>
  </si>
  <si>
    <t>Thermische Leistung 2 TH</t>
  </si>
  <si>
    <t>QCmax_2th</t>
  </si>
  <si>
    <t>Thermische Leistung 3 EL</t>
  </si>
  <si>
    <t>QCmax_3el</t>
  </si>
  <si>
    <t>Verteilverluste Freecooling</t>
  </si>
  <si>
    <t>Verteilverluste 1 El</t>
  </si>
  <si>
    <t>QC_distr_losses_1el</t>
  </si>
  <si>
    <t>Verteilverluste 2th</t>
  </si>
  <si>
    <t>QC_distr_losses_2th</t>
  </si>
  <si>
    <t>Verteilverluste 3el</t>
  </si>
  <si>
    <t>QC_distr_losses_3el</t>
  </si>
  <si>
    <t>Wirkungsgrad Erzeugung 0 Freecooling</t>
  </si>
  <si>
    <t>Mapping fehlt</t>
  </si>
  <si>
    <t>Wirkungsgrad Erzeugung 1 El</t>
  </si>
  <si>
    <t>Wirkungsgrad Erzeugung 2 TH</t>
  </si>
  <si>
    <t>Wirkungsgrad Erzeugung 3 EL</t>
  </si>
  <si>
    <t>Wirkungsgrad-Kehrwert Erzeugung 0 Freecooling</t>
  </si>
  <si>
    <t>Wirkungsgrad-Kehrwert Erzeugung 1 El</t>
  </si>
  <si>
    <t>QC_to_EC_1</t>
  </si>
  <si>
    <t>Wirkungsgrad-Kehrwert Erzeugung 2 TH</t>
  </si>
  <si>
    <t>QC_generation_eff_2th</t>
  </si>
  <si>
    <t>Wirkungsgrad-Kehrwert Erzeugung 3 EL</t>
  </si>
  <si>
    <t>QC_to_EC_3</t>
  </si>
  <si>
    <t>Hilfsstromanteil Freecooling</t>
  </si>
  <si>
    <t>QC_aux_fc</t>
  </si>
  <si>
    <t>Hilfsstromanteil KLEL1</t>
  </si>
  <si>
    <t>QC_aux_1el</t>
  </si>
  <si>
    <t>Hilfsstromanteil KLTh2</t>
  </si>
  <si>
    <t>QC_aux_2th</t>
  </si>
  <si>
    <t>Hilfsstromanteil KLEL3</t>
  </si>
  <si>
    <t>QC_aux_3el</t>
  </si>
  <si>
    <t>Energieträger Freecooling</t>
  </si>
  <si>
    <t>obsolet</t>
  </si>
  <si>
    <t>Energieträger System 2 Thermisch</t>
  </si>
  <si>
    <t>cool_th2_carrier_type</t>
  </si>
  <si>
    <t>Kühlen Solltemperatur Maximum</t>
  </si>
  <si>
    <t>Tsetcool_max</t>
  </si>
  <si>
    <t>Temperatur Minimum</t>
  </si>
  <si>
    <t>DHW_Tmin</t>
  </si>
  <si>
    <t>Temperatur Maximum Eingabe</t>
  </si>
  <si>
    <t>Temperatur Maximum Effektiv</t>
  </si>
  <si>
    <t>DHW_Tmax</t>
  </si>
  <si>
    <t>Warmwasser System 1 Anteil Wohnen</t>
  </si>
  <si>
    <t>Warmwasser System 1 Anteil Büro</t>
  </si>
  <si>
    <t>Warmwasser System 1 Anteil Schule sekundär</t>
  </si>
  <si>
    <t>Warmwasser System 1 Anteil Schule primär</t>
  </si>
  <si>
    <t>Warmwasser System 1 Anteil Handel Lebensmittel</t>
  </si>
  <si>
    <t>Warmwasser System 1 Anteil Handel Sonstige</t>
  </si>
  <si>
    <t>Warmwasser System 1 Anteil Sonstige Nutzung</t>
  </si>
  <si>
    <t>Warmwasser-Speichergröße Wohnen</t>
  </si>
  <si>
    <t>liter</t>
  </si>
  <si>
    <t>Warmwasser-Speichergröße Büro</t>
  </si>
  <si>
    <t>Warmwasser-Speichergröße Schule sekundär</t>
  </si>
  <si>
    <t>Warmwasser-Speichergröße Schule primär</t>
  </si>
  <si>
    <t>Warmwasser-Speichergröße Handel Lebensmittel</t>
  </si>
  <si>
    <t>Warmwasser-Speichergröße Handel Sonstige</t>
  </si>
  <si>
    <t>Warmwasser-Speichergröße Sonstige Nutzung</t>
  </si>
  <si>
    <t>Warmwasser-Speichergröße 1</t>
  </si>
  <si>
    <t>DHW_storage_1_liter</t>
  </si>
  <si>
    <t>Warmwasser-Speichergröße 2</t>
  </si>
  <si>
    <t>DHW_storage_2_liter</t>
  </si>
  <si>
    <t>Warmwasser System 1 in Verwendung</t>
  </si>
  <si>
    <t>bool</t>
  </si>
  <si>
    <t>DHW_1_is_used</t>
  </si>
  <si>
    <t>Warmwasser System 2 in Verwendung</t>
  </si>
  <si>
    <t>DHW_2_is_used</t>
  </si>
  <si>
    <t>Warmwasser Ladeleistung 1</t>
  </si>
  <si>
    <t>kW</t>
  </si>
  <si>
    <t>DHW_thermal_power_1_kW</t>
  </si>
  <si>
    <t>Warmwasser Ladeleistung 2</t>
  </si>
  <si>
    <t>Warmwasser Verluste: Speicher1</t>
  </si>
  <si>
    <t>0-100%</t>
  </si>
  <si>
    <t>DHW_losses_1</t>
  </si>
  <si>
    <t>Warmwasser Verluste: Speicher2</t>
  </si>
  <si>
    <t>DHW_losses_2</t>
  </si>
  <si>
    <t>Warmwasser Verluste: Wirkungsgrad Verteilsystem 1</t>
  </si>
  <si>
    <t>DHW_efficiency_distribution_1</t>
  </si>
  <si>
    <t>Warmwasser Verluste: Wirkungsgrad Verteilsystem 2</t>
  </si>
  <si>
    <t>DHW_efficiency_distribution_2</t>
  </si>
  <si>
    <t>Warmwasser Verlustaufschlag Verteilsystem 1</t>
  </si>
  <si>
    <t>DHW_1_incl_distribution_factor</t>
  </si>
  <si>
    <t>Warmwasser Verlustaufschlag Verteilsystem 2</t>
  </si>
  <si>
    <t>DHW_2_incl_distribution_factor</t>
  </si>
  <si>
    <t>Warmwasser Flexibilität Speichernutzung 1</t>
  </si>
  <si>
    <t>Warmwasser Flexibilität Direktheizung 1</t>
  </si>
  <si>
    <t>Warmwasser System 1 Energieträger</t>
  </si>
  <si>
    <t>DHW_carriertype_1</t>
  </si>
  <si>
    <t>Strom</t>
  </si>
  <si>
    <t>Warmwasser System 1 ist elektrisch</t>
  </si>
  <si>
    <t>DHW_1_is_electric</t>
  </si>
  <si>
    <t>Warmwasser System 2 Energieträger</t>
  </si>
  <si>
    <t>DHW_carriertype_2</t>
  </si>
  <si>
    <t>Warmwasser System 2 ist elektrisch</t>
  </si>
  <si>
    <t>DHW_2_is_electric</t>
  </si>
  <si>
    <t>Warmwasser System 1 Wirkungsgrad</t>
  </si>
  <si>
    <t>DHW_1_efficiency</t>
  </si>
  <si>
    <t>Warmwasser System 2 Wirkungsgrad</t>
  </si>
  <si>
    <t>DHW_2_efficiency</t>
  </si>
  <si>
    <t>Warmwasser System 1 Wirkungsgradkehrwert</t>
  </si>
  <si>
    <t>DHW_conversion_1</t>
  </si>
  <si>
    <t>Warmwasser System 2 Wirkungsgradkehrwert</t>
  </si>
  <si>
    <t>DHW_conversion_2</t>
  </si>
  <si>
    <t>PV Nutzung</t>
  </si>
  <si>
    <t>PV_is_used</t>
  </si>
  <si>
    <t>PV Profil Name</t>
  </si>
  <si>
    <t>Gesamtquartier</t>
  </si>
  <si>
    <t>Rugier_Flachdach
Steildach
Terrassen DG1
Geländer/Brüstungen</t>
  </si>
  <si>
    <t>Var_Planstand_Pilzgasse</t>
  </si>
  <si>
    <t>Azi80Tilt27Wp460</t>
  </si>
  <si>
    <t>PV Profil ID</t>
  </si>
  <si>
    <t>PV_id</t>
  </si>
  <si>
    <t>PV Skalierungsfaktor Profil</t>
  </si>
  <si>
    <t>PV_scale</t>
  </si>
  <si>
    <t>PV Wechselrichter Effizienz</t>
  </si>
  <si>
    <t>PV_efficiency</t>
  </si>
  <si>
    <t>Flex PV Nutzung</t>
  </si>
  <si>
    <t>FLEX_PV_is_used</t>
  </si>
  <si>
    <t>Flex Signal Nutzung</t>
  </si>
  <si>
    <t>FLEX_is_used</t>
  </si>
  <si>
    <t>Flex Signal Name</t>
  </si>
  <si>
    <t>Wind 2013</t>
  </si>
  <si>
    <t>Wind AT 2020</t>
  </si>
  <si>
    <t>Flex Signal ID</t>
  </si>
  <si>
    <t>FLEX_signal_ID</t>
  </si>
  <si>
    <t>Flex Maximale Leistung</t>
  </si>
  <si>
    <t>FLEX_grid_maxpower_Wm2</t>
  </si>
  <si>
    <t>Flex Netzbezug deckt Nutzerstrom</t>
  </si>
  <si>
    <t>muss jetzt nicht mehr automatisch Wahr sein</t>
  </si>
  <si>
    <t>FLEX_is_used_for_plugloads</t>
  </si>
  <si>
    <t>Flex Netzbezug deckt HVAC Minimum</t>
  </si>
  <si>
    <t>FLEX_is_used_for_HVAC_min</t>
  </si>
  <si>
    <t>Flex Netzbezug deckt EV Minimum</t>
  </si>
  <si>
    <t>FLEX_is_used_for_ev_min</t>
  </si>
  <si>
    <t>Flexibles Heizen über Solltemperatur</t>
  </si>
  <si>
    <t>Kelvin</t>
  </si>
  <si>
    <t>flex_heat_dT</t>
  </si>
  <si>
    <t>Flexibles Heizen Maximale Raumtemperatur</t>
  </si>
  <si>
    <t>Tsetheat_flex</t>
  </si>
  <si>
    <t>Flexibles Heizsystem</t>
  </si>
  <si>
    <t>Text</t>
  </si>
  <si>
    <t>System 1</t>
  </si>
  <si>
    <t>Flexibles Heizen mit Heizsystem 1</t>
  </si>
  <si>
    <t>FLEX_heat1_use</t>
  </si>
  <si>
    <t>Flexibles Heizen mit Heizsystem 3</t>
  </si>
  <si>
    <t>FLEX_heat3_use</t>
  </si>
  <si>
    <t>Flexibles Kühlen unter Solltemperatur</t>
  </si>
  <si>
    <t>flex_cool_dT</t>
  </si>
  <si>
    <t>Flexibles Kühlen Minimale Raumtemperatur</t>
  </si>
  <si>
    <t>Tsetcool_flex</t>
  </si>
  <si>
    <t>Flexibles Kühlsystem</t>
  </si>
  <si>
    <t>Flexibles Kühlen mit Kühlsystem 1</t>
  </si>
  <si>
    <t>FLEX_cool1_use</t>
  </si>
  <si>
    <t>Flexibles Kühlen mit Kühlsystem 3</t>
  </si>
  <si>
    <t>FLEX_cool3_use</t>
  </si>
  <si>
    <t>Batterie Nutzung</t>
  </si>
  <si>
    <t>Batt_is_used</t>
  </si>
  <si>
    <t>Batterie Kapazität</t>
  </si>
  <si>
    <t>Batterie Kapazität spezifisch</t>
  </si>
  <si>
    <t>Batt_cap_Wh_per_NFA</t>
  </si>
  <si>
    <t xml:space="preserve">Maximale Be/Entladeleistung </t>
  </si>
  <si>
    <t>%</t>
  </si>
  <si>
    <t>Batterie Leistung spezifisch</t>
  </si>
  <si>
    <t>Batt_max_power_specific</t>
  </si>
  <si>
    <t>Batt_eff_factor_charge</t>
  </si>
  <si>
    <t>Batt_eff_factor_discharge</t>
  </si>
  <si>
    <t>Batterie Selbstentladung</t>
  </si>
  <si>
    <t>%/h</t>
  </si>
  <si>
    <t>Batterie Selbstentladung pro Stunde</t>
  </si>
  <si>
    <t>Batt_auto_discharge_factor</t>
  </si>
  <si>
    <t>Batterie Initialer SOC</t>
  </si>
  <si>
    <t>Batt_SOC_init</t>
  </si>
  <si>
    <t>Batterie Nutzung für Nutzerstrom</t>
  </si>
  <si>
    <t>Batt_is_used_for_plugloads</t>
  </si>
  <si>
    <t>Batterie Nutzung für HKLS Minimum</t>
  </si>
  <si>
    <t>Batt_is_used_for_HVACminimum</t>
  </si>
  <si>
    <t>Batterie Nutzung für Ecars</t>
  </si>
  <si>
    <t>Batt_is_used_for_EV</t>
  </si>
  <si>
    <t>Batterie wird flexibel  durch Netz geladen?</t>
  </si>
  <si>
    <t>Batt_is_gridcharged</t>
  </si>
  <si>
    <t>Flexible Speicherbeladung</t>
  </si>
  <si>
    <t>Batterie Maximale Entladetiefe</t>
  </si>
  <si>
    <t>MIV simulieren</t>
  </si>
  <si>
    <t>EV_simulation</t>
  </si>
  <si>
    <t>Mobilitätsregion</t>
  </si>
  <si>
    <t>str</t>
  </si>
  <si>
    <t>mobility_region</t>
  </si>
  <si>
    <t>Zielverkehrsanteil Wohnen</t>
  </si>
  <si>
    <t>mobshare_residential</t>
  </si>
  <si>
    <t>Zielverkehrsanteil Büro</t>
  </si>
  <si>
    <t>mobshare_office</t>
  </si>
  <si>
    <t>Zielverkehrsanteil Ausbildung</t>
  </si>
  <si>
    <t>mobshare_school</t>
  </si>
  <si>
    <t>Zielverkehrsanteil Handel</t>
  </si>
  <si>
    <t>mobshare_retail</t>
  </si>
  <si>
    <t>Pkm Zu Fuß</t>
  </si>
  <si>
    <t>Pkm</t>
  </si>
  <si>
    <t>pkm_pedestrian</t>
  </si>
  <si>
    <t>Pkm Fahrrad</t>
  </si>
  <si>
    <t>pkm_bike</t>
  </si>
  <si>
    <t>Pkm Moped</t>
  </si>
  <si>
    <t>pkm_mofa</t>
  </si>
  <si>
    <t>Pkm PKW-LenkerIn</t>
  </si>
  <si>
    <t>pkm_car_driver</t>
  </si>
  <si>
    <t>Pkm PKW-MitfahrerIn</t>
  </si>
  <si>
    <t>pkm_car_passenger</t>
  </si>
  <si>
    <t>Pkm Stadt/ Regionalbus</t>
  </si>
  <si>
    <t>pkm_bus</t>
  </si>
  <si>
    <t>Pkm Straßenbahn/U-Bahn</t>
  </si>
  <si>
    <t>pkm_tram_metro</t>
  </si>
  <si>
    <t>Pkm Eisenbahn</t>
  </si>
  <si>
    <t>pkm_train</t>
  </si>
  <si>
    <t>Pkm Reisebus</t>
  </si>
  <si>
    <t>pkm_distancebus</t>
  </si>
  <si>
    <t>Stellplätze</t>
  </si>
  <si>
    <t>Anzahl</t>
  </si>
  <si>
    <t>parking_spots_in_district</t>
  </si>
  <si>
    <t>Fahrzeuge</t>
  </si>
  <si>
    <t>Anteil-Ecars</t>
  </si>
  <si>
    <t>Am Mobilitätsbedarf</t>
  </si>
  <si>
    <t>EV_share</t>
  </si>
  <si>
    <t>Ecar Energieverbrauch</t>
  </si>
  <si>
    <t>kWh/km</t>
  </si>
  <si>
    <t>EV_demand_kWhpkm</t>
  </si>
  <si>
    <t>Ecar Speicher pro Fahrzeug</t>
  </si>
  <si>
    <t>kWh/EV</t>
  </si>
  <si>
    <t>Ecar Speicher im Quartier</t>
  </si>
  <si>
    <t>EV_storage_total_kWh</t>
  </si>
  <si>
    <t>Ecar Selbstentladung wöchentlich</t>
  </si>
  <si>
    <t>%/Woche</t>
  </si>
  <si>
    <t>Ecar Selbstentladung stündlich</t>
  </si>
  <si>
    <t>EV_selfdischarge_per_h</t>
  </si>
  <si>
    <t>Ecar Mindest-Speicherstand</t>
  </si>
  <si>
    <t>EV_soc_minimum</t>
  </si>
  <si>
    <t>Ecar Batterie-Effizienz Beladung</t>
  </si>
  <si>
    <t>EV_charging_efficiency</t>
  </si>
  <si>
    <t>Ecar Batterie-Effizienz Beladung Kehrwert</t>
  </si>
  <si>
    <t>EV_charging_losses_surcharge_factor</t>
  </si>
  <si>
    <t>Ecar Batterie Maximale Beladungsleistung</t>
  </si>
  <si>
    <t>EV_max_charging_power_ratio</t>
  </si>
  <si>
    <t>Verbrenner Energieverbrauch</t>
  </si>
  <si>
    <t>Konversionsfaktor Benzin</t>
  </si>
  <si>
    <t>kWhPE/kWhEE</t>
  </si>
  <si>
    <t>Fossil_demand_kWhpkm</t>
  </si>
  <si>
    <t>Moped im Verhältnis zu Auto</t>
  </si>
  <si>
    <t>moped_factor</t>
  </si>
  <si>
    <t>Anteil Ecars, die konstant vor Ort laden</t>
  </si>
  <si>
    <t>Rest konstantes Laden</t>
  </si>
  <si>
    <t>EV_share_constant_charging</t>
  </si>
  <si>
    <t>Reduktionsfaktor JPkm MIV</t>
  </si>
  <si>
    <t>☁</t>
  </si>
  <si>
    <t xml:space="preserve">GWP Baustoffe  Außenwand </t>
  </si>
  <si>
    <r>
      <t>GWP 100S (kg</t>
    </r>
    <r>
      <rPr>
        <vertAlign val="subscript"/>
        <sz val="9"/>
        <color theme="2" tint="-0.749961851863155"/>
        <rFont val="Calibri"/>
        <family val="2"/>
      </rPr>
      <t>CO2equiv</t>
    </r>
    <r>
      <rPr>
        <sz val="9"/>
        <color theme="2" tint="-0.749961851863155"/>
        <rFont val="Calibri"/>
        <family val="2"/>
      </rPr>
      <t>/m²</t>
    </r>
    <r>
      <rPr>
        <vertAlign val="subscript"/>
        <sz val="9"/>
        <color theme="2" tint="-0.749961851863155"/>
        <rFont val="Calibri"/>
        <family val="2"/>
      </rPr>
      <t>NGF</t>
    </r>
    <r>
      <rPr>
        <sz val="9"/>
        <color theme="2" tint="-0.749961851863155"/>
        <rFont val="Calibri"/>
        <family val="2"/>
      </rPr>
      <t>a)</t>
    </r>
  </si>
  <si>
    <t xml:space="preserve">GWP Baustoffe  Fenster </t>
  </si>
  <si>
    <t>GWP Baustoffe  Dachflächen</t>
  </si>
  <si>
    <t>GWP Baustoffe  Decke gegen Erdreich / Keller</t>
  </si>
  <si>
    <t>GWP Baustoffe  Zwischengeschoßdecken</t>
  </si>
  <si>
    <t>GWP Baustoffe  Baulich Allgemein</t>
  </si>
  <si>
    <t>GWP TGA PV-Anlage</t>
  </si>
  <si>
    <t>GWP TGA Erdwärmesonden</t>
  </si>
  <si>
    <t>GWP TGA Komfortlüftung</t>
  </si>
  <si>
    <t>GWP TGA Solarthermie</t>
  </si>
  <si>
    <t>GWP TGA  Allgemein</t>
  </si>
  <si>
    <t xml:space="preserve">GWP Mobilität Verbrenner </t>
  </si>
  <si>
    <t>t CO2/Fahrzeug</t>
  </si>
  <si>
    <t>Betrachtungszeitraum Ökobilanz</t>
  </si>
  <si>
    <t>GWP Mobilität Moped</t>
  </si>
  <si>
    <r>
      <t>GWP 100S (g</t>
    </r>
    <r>
      <rPr>
        <vertAlign val="subscript"/>
        <sz val="9"/>
        <color theme="2" tint="-0.749961851863155"/>
        <rFont val="Calibri"/>
        <family val="2"/>
      </rPr>
      <t>CO2equiv</t>
    </r>
    <r>
      <rPr>
        <sz val="9"/>
        <color theme="2" tint="-0.749961851863155"/>
        <rFont val="Calibri"/>
        <family val="2"/>
      </rPr>
      <t>/Pkm)</t>
    </r>
  </si>
  <si>
    <t>GWP Mobilität PKW</t>
  </si>
  <si>
    <t>⚖</t>
  </si>
  <si>
    <t>Strom Konversionsprofil</t>
  </si>
  <si>
    <t>conversion_profile_grid</t>
  </si>
  <si>
    <t>OIB2019 (interpolierte Monatswerte)</t>
  </si>
  <si>
    <t>Fernwärme Konversionsprofil</t>
  </si>
  <si>
    <t>Strom Konversionsprofil ID PE</t>
  </si>
  <si>
    <t>fPE_grid_column</t>
  </si>
  <si>
    <t>Strom Konversionsprofil ID THG</t>
  </si>
  <si>
    <t>fGHG_grid_column</t>
  </si>
  <si>
    <t xml:space="preserve">PE Heizen 2 ist Fernwärme </t>
  </si>
  <si>
    <t>heat_th2_is_dh</t>
  </si>
  <si>
    <t xml:space="preserve">PE Heizen 4 ist Fernwärme </t>
  </si>
  <si>
    <t>heat_th4_is_dh</t>
  </si>
  <si>
    <t xml:space="preserve">PE Kühlen 2 ist Fernwärme </t>
  </si>
  <si>
    <t>cool_th2_is_dh</t>
  </si>
  <si>
    <t xml:space="preserve">PE WWWB 1 ist Fernwärme </t>
  </si>
  <si>
    <t>dhw1_is_dh</t>
  </si>
  <si>
    <t xml:space="preserve">PE WWWB 2 ist Fernwärme </t>
  </si>
  <si>
    <t>dhw2_is_dh</t>
  </si>
  <si>
    <t xml:space="preserve">PE Heizen 2 ist Erdgas </t>
  </si>
  <si>
    <t>heat_th2_is_ng</t>
  </si>
  <si>
    <t xml:space="preserve">PE Heizen 4 ist Erdgas </t>
  </si>
  <si>
    <t>heat_th4_is_ng</t>
  </si>
  <si>
    <t xml:space="preserve">PE Kühlen 2 ist Erdgas </t>
  </si>
  <si>
    <t>cool_th2_is_ng</t>
  </si>
  <si>
    <t xml:space="preserve">PE WWWB 1 ist Erdgas </t>
  </si>
  <si>
    <t>dhw1_is_ng</t>
  </si>
  <si>
    <t xml:space="preserve">PE WWWB 2 ist Erdgas </t>
  </si>
  <si>
    <t>dhw2_is_ng</t>
  </si>
  <si>
    <t xml:space="preserve">PE Heizen 2 ist Biomasse </t>
  </si>
  <si>
    <t>heat_th2_is_bio</t>
  </si>
  <si>
    <t xml:space="preserve">PE Heizen 4 ist Biomasse </t>
  </si>
  <si>
    <t>heat_th4_is_bio</t>
  </si>
  <si>
    <t xml:space="preserve">PE Kühlen 2 ist Biomasse </t>
  </si>
  <si>
    <t>cool_th2_is_bio</t>
  </si>
  <si>
    <t xml:space="preserve">PE WWWB 1 ist Biomasse </t>
  </si>
  <si>
    <t>dhw1_is_bio</t>
  </si>
  <si>
    <t xml:space="preserve">PE WWWB 2 ist Biomasse </t>
  </si>
  <si>
    <t>dhw2_is_bio</t>
  </si>
  <si>
    <t xml:space="preserve">PE Heizen 2 ist Sonstige </t>
  </si>
  <si>
    <t>heat_th2_is_other</t>
  </si>
  <si>
    <t xml:space="preserve">PE Heizen 4 ist Sonstige </t>
  </si>
  <si>
    <t>heat_th4_is_other</t>
  </si>
  <si>
    <t xml:space="preserve">PE Kühlen 2 ist Sonstige </t>
  </si>
  <si>
    <t>cool_th2_is_other</t>
  </si>
  <si>
    <t xml:space="preserve">PE WWWB 1 ist Sonstige </t>
  </si>
  <si>
    <t>dhw1_is_other</t>
  </si>
  <si>
    <t xml:space="preserve">PE WWWB 2 ist Sonstige </t>
  </si>
  <si>
    <t>dhw2_is_other</t>
  </si>
  <si>
    <t xml:space="preserve">PE-Konversionsfaktor Heizen 2 Thermisch </t>
  </si>
  <si>
    <t xml:space="preserve">PE-Konversionsfaktor Heizen 4 Thermisch </t>
  </si>
  <si>
    <t xml:space="preserve">PE-Konversionsfaktor Kühlen 2 Thermisch </t>
  </si>
  <si>
    <t>PE-Konversionsfaktor WWWB 1 Thermisch</t>
  </si>
  <si>
    <t>PE-Konversionsfaktor WWWB 2 Thermisch</t>
  </si>
  <si>
    <t xml:space="preserve">THG-Konversionsfaktor Heizen 2 Thermisch </t>
  </si>
  <si>
    <t>kgCO2eq/kWhEE</t>
  </si>
  <si>
    <t xml:space="preserve">THG-Konversionsfaktor Heizen 4 Thermisch </t>
  </si>
  <si>
    <t xml:space="preserve">THG-Konversionsfaktor Kühlen 2 Thermisch </t>
  </si>
  <si>
    <t>THG-Konversionsfaktor WWWB 1 Thermisch</t>
  </si>
  <si>
    <t>THG-Konversionsfaktor WWWB 2 Thermisch</t>
  </si>
  <si>
    <t>🏆</t>
  </si>
  <si>
    <t>Primärenergiefaktor</t>
  </si>
  <si>
    <t>f_PE</t>
  </si>
  <si>
    <t>Ausnutzungsfaktor Erneuerbare</t>
  </si>
  <si>
    <r>
      <t>kWhEE/m²</t>
    </r>
    <r>
      <rPr>
        <b/>
        <sz val="9"/>
        <color rgb="FFFF0000"/>
        <rFont val="Aptos Narrow"/>
        <family val="2"/>
        <scheme val="minor"/>
      </rPr>
      <t>GF</t>
    </r>
  </si>
  <si>
    <t>A</t>
  </si>
  <si>
    <t>Skalierungsfaktor</t>
  </si>
  <si>
    <t>dx</t>
  </si>
  <si>
    <t>Energieintensität Bedarf</t>
  </si>
  <si>
    <t>kWhEE/m²NGFa</t>
  </si>
  <si>
    <t>EUI</t>
  </si>
  <si>
    <t>Maximum</t>
  </si>
  <si>
    <t>kWhPE/m²NGFa</t>
  </si>
  <si>
    <t>cutoff</t>
  </si>
  <si>
    <t>Kontextfaktor Dichte im Quartier</t>
  </si>
  <si>
    <r>
      <t>kWhPE/m²</t>
    </r>
    <r>
      <rPr>
        <vertAlign val="subscript"/>
        <sz val="10"/>
        <color theme="1"/>
        <rFont val="Trebuchet MS"/>
        <family val="2"/>
      </rPr>
      <t>NGF</t>
    </r>
    <r>
      <rPr>
        <sz val="10"/>
        <color theme="1"/>
        <rFont val="Trebuchet MS"/>
        <family val="2"/>
      </rPr>
      <t>a</t>
    </r>
  </si>
  <si>
    <t>Mobilitätsbudget Wohnen</t>
  </si>
  <si>
    <t>Mobilitätsbudget Büro</t>
  </si>
  <si>
    <t>Mobilitätsbudget Ausbildung</t>
  </si>
  <si>
    <t>Mobilitätsbudget Handel + Sonstige</t>
  </si>
  <si>
    <t>Kontextfaktor Mobilität im Quartier</t>
  </si>
  <si>
    <t>Kontextfaktor Sanierung</t>
  </si>
  <si>
    <t>Kontextfaktor Sanierung im Quartier</t>
  </si>
  <si>
    <t>context_factor_renovation</t>
  </si>
  <si>
    <t xml:space="preserve">New Parameter </t>
  </si>
  <si>
    <t>☑</t>
  </si>
  <si>
    <t>Test precision kWhm2NFAa</t>
  </si>
  <si>
    <t>ID</t>
  </si>
  <si>
    <t>Kategorie</t>
  </si>
  <si>
    <t>Subkategorie</t>
  </si>
  <si>
    <t>Spalte1</t>
  </si>
  <si>
    <t>Bereich</t>
  </si>
  <si>
    <t>SIM2 Spaltenname</t>
  </si>
  <si>
    <t>Live</t>
  </si>
  <si>
    <t>Label</t>
  </si>
  <si>
    <t>Spalte4</t>
  </si>
  <si>
    <t>Spalte5</t>
  </si>
  <si>
    <t>Spalte6</t>
  </si>
  <si>
    <t>Spalte7</t>
  </si>
  <si>
    <t>Spalte8</t>
  </si>
  <si>
    <t>test</t>
  </si>
  <si>
    <t>Kurze ID</t>
  </si>
  <si>
    <t>Kurze ID_2</t>
  </si>
  <si>
    <t>Kurze ID_2_2</t>
  </si>
  <si>
    <t>Kurze ID_2_2_2_2</t>
  </si>
  <si>
    <t>test_2</t>
  </si>
  <si>
    <t>Kurze_ID</t>
  </si>
  <si>
    <t>Test_RU</t>
  </si>
  <si>
    <t>WN+ AV WP Flex ohne Batt</t>
  </si>
  <si>
    <t>WieNeu+ Alliiertenviertel WP Flex ohne Batt</t>
  </si>
  <si>
    <t>WieNeu+ Alliiertenviertel WP Flex Kühlung</t>
  </si>
  <si>
    <t>Metadaten</t>
  </si>
  <si>
    <t>WP Flex ohne Batt</t>
  </si>
  <si>
    <t>WP Flex Kühlung</t>
  </si>
  <si>
    <t>Sanierungsanteil</t>
  </si>
  <si>
    <t xml:space="preserve">Raumhöhe </t>
  </si>
  <si>
    <r>
      <t>Charakteristische Länge (l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)</t>
    </r>
  </si>
  <si>
    <t>Input</t>
  </si>
  <si>
    <t>SIM2</t>
  </si>
  <si>
    <t>Außentemperatur Jahresmittel</t>
  </si>
  <si>
    <t>Mittelaußentemperatur Heizperiode</t>
  </si>
  <si>
    <t>Mittelaußentemperatur Kühlperiode</t>
  </si>
  <si>
    <t>Wärmebilanz</t>
  </si>
  <si>
    <t>Verluste</t>
  </si>
  <si>
    <t>Transmissionswärmeverl.</t>
  </si>
  <si>
    <t>Quartier</t>
  </si>
  <si>
    <t>QT</t>
  </si>
  <si>
    <r>
      <t>kWh/m²</t>
    </r>
    <r>
      <rPr>
        <i/>
        <vertAlign val="subscript"/>
        <sz val="10"/>
        <color theme="2" tint="-0.749961851863155"/>
        <rFont val="Calibri"/>
        <family val="2"/>
      </rPr>
      <t>NGF</t>
    </r>
    <r>
      <rPr>
        <i/>
        <sz val="10"/>
        <color theme="2" tint="-0.749961851863155"/>
        <rFont val="Calibri"/>
        <family val="2"/>
      </rPr>
      <t>a</t>
    </r>
  </si>
  <si>
    <t>🧱 Transmissionswärmeverl.</t>
  </si>
  <si>
    <t>Lüftungswärmeverluste</t>
  </si>
  <si>
    <t>QV</t>
  </si>
  <si>
    <t>💨 Lüftungswärmeverluste</t>
  </si>
  <si>
    <t>Nachtlüftung</t>
  </si>
  <si>
    <t>QVn</t>
  </si>
  <si>
    <t>🌒 Nachtlüftung</t>
  </si>
  <si>
    <t>Gewinne</t>
  </si>
  <si>
    <t>Solare Gewinne</t>
  </si>
  <si>
    <t>QS</t>
  </si>
  <si>
    <t>🌞 Solare Gewinne</t>
  </si>
  <si>
    <t>Innere Wärmen</t>
  </si>
  <si>
    <t>QI</t>
  </si>
  <si>
    <t>👤 Innere Wärmen</t>
  </si>
  <si>
    <t>Heizwärmebedarf</t>
  </si>
  <si>
    <t>QH_total_final</t>
  </si>
  <si>
    <t>QH</t>
  </si>
  <si>
    <r>
      <rPr>
        <sz val="12"/>
        <color theme="3"/>
        <rFont val="Aptos Narrow"/>
        <family val="2"/>
        <scheme val="minor"/>
      </rPr>
      <t xml:space="preserve">♨️ </t>
    </r>
    <r>
      <rPr>
        <b/>
        <sz val="12"/>
        <color theme="3"/>
        <rFont val="Aptos Narrow"/>
        <family val="2"/>
        <scheme val="minor"/>
      </rPr>
      <t>Heizwärmebedarf</t>
    </r>
  </si>
  <si>
    <t>Kühlbedarf (KB)</t>
  </si>
  <si>
    <t>QC_total_final</t>
  </si>
  <si>
    <t>QC</t>
  </si>
  <si>
    <r>
      <rPr>
        <sz val="12"/>
        <color rgb="FF00B0F0"/>
        <rFont val="Aptos Narrow"/>
        <family val="2"/>
        <scheme val="minor"/>
      </rPr>
      <t xml:space="preserve">❄️ </t>
    </r>
    <r>
      <rPr>
        <b/>
        <sz val="12"/>
        <color rgb="FF00B0F0"/>
        <rFont val="Aptos Narrow"/>
        <family val="2"/>
        <scheme val="minor"/>
      </rPr>
      <t>Kühlbedarf (KB)</t>
    </r>
  </si>
  <si>
    <t>=</t>
  </si>
  <si>
    <t>Wärmebilanztest</t>
  </si>
  <si>
    <t>Ungekühlt</t>
  </si>
  <si>
    <t>Transmission AW</t>
  </si>
  <si>
    <t>QT_wall</t>
  </si>
  <si>
    <t>🧱 Transmission AW</t>
  </si>
  <si>
    <t>Transmission Dach</t>
  </si>
  <si>
    <t>QT_roof</t>
  </si>
  <si>
    <t>🧱 Transmission Dach</t>
  </si>
  <si>
    <t>Transmission KD/EFB</t>
  </si>
  <si>
    <t>QT_ground</t>
  </si>
  <si>
    <t>🧱 Transmission KD/EFB</t>
  </si>
  <si>
    <t>Transmission Fenster</t>
  </si>
  <si>
    <t>QT_window</t>
  </si>
  <si>
    <t>🧱 Transmission Fenster</t>
  </si>
  <si>
    <t>Transmission Wärmebrücken</t>
  </si>
  <si>
    <t>QT_psi</t>
  </si>
  <si>
    <t>🧱 Transmission Wärmebrücken</t>
  </si>
  <si>
    <t>Infiltration</t>
  </si>
  <si>
    <t>QV_inf</t>
  </si>
  <si>
    <t>💨 Infiltration</t>
  </si>
  <si>
    <t>Lüftung Fenster</t>
  </si>
  <si>
    <t>QV_window</t>
  </si>
  <si>
    <t>💨 Lüftung Fenster</t>
  </si>
  <si>
    <t>Mechanische Lüftung</t>
  </si>
  <si>
    <t>QV_mechvent</t>
  </si>
  <si>
    <t>💨 Mechanische Lüftung</t>
  </si>
  <si>
    <t>ML Wärmerückgewinnung</t>
  </si>
  <si>
    <t>QV_heatrecovery</t>
  </si>
  <si>
    <t>🔀 ML Wärmerückgewinnung</t>
  </si>
  <si>
    <t>Heizwärmebedarf Statisch</t>
  </si>
  <si>
    <t>QH_min</t>
  </si>
  <si>
    <r>
      <rPr>
        <sz val="12"/>
        <color theme="3"/>
        <rFont val="Aptos Narrow"/>
        <family val="2"/>
        <scheme val="minor"/>
      </rPr>
      <t xml:space="preserve">♨️ </t>
    </r>
    <r>
      <rPr>
        <b/>
        <sz val="12"/>
        <color theme="3"/>
        <rFont val="Aptos Narrow"/>
        <family val="2"/>
        <scheme val="minor"/>
      </rPr>
      <t>Heizwärmebedarf Statisch</t>
    </r>
  </si>
  <si>
    <t>Heizwärmebedarf Flexibel</t>
  </si>
  <si>
    <t>QH_flex</t>
  </si>
  <si>
    <r>
      <rPr>
        <sz val="12"/>
        <color theme="3"/>
        <rFont val="Aptos Narrow"/>
        <family val="2"/>
        <scheme val="minor"/>
      </rPr>
      <t xml:space="preserve">♨️ </t>
    </r>
    <r>
      <rPr>
        <b/>
        <sz val="12"/>
        <color theme="3"/>
        <rFont val="Aptos Narrow"/>
        <family val="2"/>
        <scheme val="minor"/>
      </rPr>
      <t>Heizwärmebedarf Flexibel</t>
    </r>
  </si>
  <si>
    <t>Flexibilitätsanteil</t>
  </si>
  <si>
    <t>Gekühlt</t>
  </si>
  <si>
    <t>Kühlbedarf Statisch</t>
  </si>
  <si>
    <t>QC_min</t>
  </si>
  <si>
    <r>
      <rPr>
        <sz val="12"/>
        <color rgb="FF00B0F0"/>
        <rFont val="Aptos Narrow"/>
        <family val="2"/>
        <scheme val="minor"/>
      </rPr>
      <t xml:space="preserve">❄️ </t>
    </r>
    <r>
      <rPr>
        <b/>
        <sz val="12"/>
        <color rgb="FF00B0F0"/>
        <rFont val="Aptos Narrow"/>
        <family val="2"/>
        <scheme val="minor"/>
      </rPr>
      <t>Kühlbedarf Statisch</t>
    </r>
  </si>
  <si>
    <t>Kühlbedarf Flexibel</t>
  </si>
  <si>
    <t>QC_flex</t>
  </si>
  <si>
    <r>
      <rPr>
        <sz val="12"/>
        <color rgb="FF00B0F0"/>
        <rFont val="Aptos Narrow"/>
        <family val="2"/>
        <scheme val="minor"/>
      </rPr>
      <t xml:space="preserve">❄️ </t>
    </r>
    <r>
      <rPr>
        <b/>
        <sz val="12"/>
        <color rgb="FF00B0F0"/>
        <rFont val="Aptos Narrow"/>
        <family val="2"/>
        <scheme val="minor"/>
      </rPr>
      <t>Kühlbedarf Flexibel</t>
    </r>
  </si>
  <si>
    <t>Endenergiebilanz</t>
  </si>
  <si>
    <t>Haushaltsstrom</t>
  </si>
  <si>
    <t>Endenergiebedarf</t>
  </si>
  <si>
    <t>EUI_plugloads</t>
  </si>
  <si>
    <t>Heizen</t>
  </si>
  <si>
    <t>EUIh_el</t>
  </si>
  <si>
    <t>Kühlen</t>
  </si>
  <si>
    <t>EUIc_el</t>
  </si>
  <si>
    <t>Warmwasser</t>
  </si>
  <si>
    <t>EUIdhw_el</t>
  </si>
  <si>
    <t>EUIv_el</t>
  </si>
  <si>
    <t>WW
E-Stab</t>
  </si>
  <si>
    <t>EUIdhwdirect_el</t>
  </si>
  <si>
    <t>e-Speicher Beladung</t>
  </si>
  <si>
    <t>Batt_total_charge_input</t>
  </si>
  <si>
    <t>MIV</t>
  </si>
  <si>
    <t>EUIev_el</t>
  </si>
  <si>
    <t>PV Direktdeckung</t>
  </si>
  <si>
    <t>PV_to_plugloads</t>
  </si>
  <si>
    <t>PV_to_Eh_min</t>
  </si>
  <si>
    <t>PV_to_Ec_min</t>
  </si>
  <si>
    <t>PV_to_Edhw_min</t>
  </si>
  <si>
    <t>PV_to_Ev_min</t>
  </si>
  <si>
    <t>PV_to_Eev_min</t>
  </si>
  <si>
    <t>PV_total_direct</t>
  </si>
  <si>
    <t>PV Überdeckung</t>
  </si>
  <si>
    <t>PV_to_Eh_flex</t>
  </si>
  <si>
    <t>PV_to_Ec_flex</t>
  </si>
  <si>
    <t>PV_to_Edhw</t>
  </si>
  <si>
    <t>PV_to_Edhw_direct</t>
  </si>
  <si>
    <t>PV_to_Batt</t>
  </si>
  <si>
    <t>PV_to_Eev_flex</t>
  </si>
  <si>
    <t>PV_total_flex</t>
  </si>
  <si>
    <t>PV Netzeinspeisung</t>
  </si>
  <si>
    <t>PV_to_Egrid</t>
  </si>
  <si>
    <t>E-Batterie</t>
  </si>
  <si>
    <t>Batt_to_plugloads</t>
  </si>
  <si>
    <t>Batt_to_Eh_min</t>
  </si>
  <si>
    <t>Batt_to_Ec_min</t>
  </si>
  <si>
    <t>Batt_to_Edhw_min</t>
  </si>
  <si>
    <t>Batt_to_Ev_min</t>
  </si>
  <si>
    <t>Batt_to_Eev_min</t>
  </si>
  <si>
    <t>Flexible Direktdeckung</t>
  </si>
  <si>
    <t>VRGrid_to_plugloads</t>
  </si>
  <si>
    <t>VRGrid_to_Eh_min</t>
  </si>
  <si>
    <t>VRGrid_to_Ec_min</t>
  </si>
  <si>
    <t>VRGrid_to_Edhw_min</t>
  </si>
  <si>
    <t>VRGrid_to_Ev_min</t>
  </si>
  <si>
    <t>VRGrid_to_Eev_min</t>
  </si>
  <si>
    <t>VRGrid_to_min</t>
  </si>
  <si>
    <t>Flexible Überdeckung</t>
  </si>
  <si>
    <t>VRGrid_to_Eh_flex</t>
  </si>
  <si>
    <t>VRGrid_to_Ec_flex</t>
  </si>
  <si>
    <t>VRGrid_to_Edhw_flex</t>
  </si>
  <si>
    <t>VRGrid_to_Batt</t>
  </si>
  <si>
    <t>VRGrid_to_Eev_flex</t>
  </si>
  <si>
    <t>VRGrid_to_flex</t>
  </si>
  <si>
    <t>Netzstrom</t>
  </si>
  <si>
    <t>🔌</t>
  </si>
  <si>
    <t>Grid_to_plugloads</t>
  </si>
  <si>
    <t>Grid_to_Eh_min</t>
  </si>
  <si>
    <t>Grid_to_Ec_min</t>
  </si>
  <si>
    <t>Grid_to_Edhw_min</t>
  </si>
  <si>
    <t>Grid_to_Ev_min</t>
  </si>
  <si>
    <t>Grid_to_Eev_min</t>
  </si>
  <si>
    <t>Grid_to_min</t>
  </si>
  <si>
    <t>Fernwärme</t>
  </si>
  <si>
    <t>EUIh_district_heating</t>
  </si>
  <si>
    <t>EUIdhw_district_heating</t>
  </si>
  <si>
    <t>EUI_district_heating</t>
  </si>
  <si>
    <t>Gas</t>
  </si>
  <si>
    <t>EUIh_natural_gas</t>
  </si>
  <si>
    <t>EUIdhw_natural_gas</t>
  </si>
  <si>
    <t>EUI_natural_gas</t>
  </si>
  <si>
    <t>Biomasse</t>
  </si>
  <si>
    <t>EUIh_biomass</t>
  </si>
  <si>
    <t>EUIdhw_biomass</t>
  </si>
  <si>
    <t>EUI_biomass</t>
  </si>
  <si>
    <t>Sonstige</t>
  </si>
  <si>
    <t>EUIh_other</t>
  </si>
  <si>
    <t>EUIc_other</t>
  </si>
  <si>
    <t>EUIdhw_other</t>
  </si>
  <si>
    <t>EUI_other</t>
  </si>
  <si>
    <t>MIV Fossil</t>
  </si>
  <si>
    <t>EUI_mob_fossil</t>
  </si>
  <si>
    <t>Abwärme</t>
  </si>
  <si>
    <t>Netzdienlichkeit der Energieflexibilität</t>
  </si>
  <si>
    <t>Stunden mit Freigabe, Jahr</t>
  </si>
  <si>
    <t>Stunden mit Freigabe, Winter (Okt-Apr)</t>
  </si>
  <si>
    <t>Stunden mit Freigabe, Sommer (Mai-Sep)</t>
  </si>
  <si>
    <t>Längster Freigabezeitraum, Winter</t>
  </si>
  <si>
    <t>Längster Freigabezeitraum, Sommer</t>
  </si>
  <si>
    <t>Batterienutzung</t>
  </si>
  <si>
    <t>Batterie in Verwendung</t>
  </si>
  <si>
    <t>Jährliche Beladung</t>
  </si>
  <si>
    <t>Batt_total_charge</t>
  </si>
  <si>
    <r>
      <t>kWh/m²</t>
    </r>
    <r>
      <rPr>
        <vertAlign val="subscript"/>
        <sz val="11"/>
        <color theme="1"/>
        <rFont val="Aptos Narrow"/>
        <family val="2"/>
        <scheme val="minor"/>
      </rPr>
      <t>NGF</t>
    </r>
    <r>
      <rPr>
        <sz val="11"/>
        <color theme="1"/>
        <rFont val="Aptos Narrow"/>
        <family val="2"/>
        <scheme val="minor"/>
      </rPr>
      <t>a</t>
    </r>
  </si>
  <si>
    <t>Jährliche Entladung</t>
  </si>
  <si>
    <t>Batt_total_discharge</t>
  </si>
  <si>
    <t>Verluste Beladung</t>
  </si>
  <si>
    <t>Batt_charge_losses</t>
  </si>
  <si>
    <t>Verluste Entladung</t>
  </si>
  <si>
    <t>Batt_discharge_losses</t>
  </si>
  <si>
    <t>Round-Trip- Efficiency</t>
  </si>
  <si>
    <t>Batt_RTE</t>
  </si>
  <si>
    <t>Volladezyklen</t>
  </si>
  <si>
    <t>Batt_FEC</t>
  </si>
  <si>
    <t>x</t>
  </si>
  <si>
    <t>Primärenergie-Bilanz</t>
  </si>
  <si>
    <t>Kontextfaktor bauliche Dichte</t>
  </si>
  <si>
    <t>context_factor_density</t>
  </si>
  <si>
    <r>
      <t>kWhPE</t>
    </r>
    <r>
      <rPr>
        <i/>
        <vertAlign val="subscript"/>
        <sz val="10"/>
        <color theme="2" tint="-0.749961851863155"/>
        <rFont val="Calibri"/>
        <family val="2"/>
      </rPr>
      <t>ges.</t>
    </r>
    <r>
      <rPr>
        <i/>
        <sz val="10"/>
        <color theme="2" tint="-0.749961851863155"/>
        <rFont val="Calibri"/>
        <family val="2"/>
      </rPr>
      <t>/m²</t>
    </r>
    <r>
      <rPr>
        <i/>
        <vertAlign val="subscript"/>
        <sz val="10"/>
        <color theme="2" tint="-0.749961851863155"/>
        <rFont val="Calibri"/>
        <family val="2"/>
      </rPr>
      <t>NGF</t>
    </r>
    <r>
      <rPr>
        <i/>
        <sz val="10"/>
        <color theme="2" tint="-0.749961851863155"/>
        <rFont val="Calibri"/>
        <family val="2"/>
      </rPr>
      <t>a</t>
    </r>
  </si>
  <si>
    <t>Kontextfaktor Mobilität</t>
  </si>
  <si>
    <t>context_factor_mobility</t>
  </si>
  <si>
    <t>Betriebsenergie</t>
  </si>
  <si>
    <t>PEI_demand</t>
  </si>
  <si>
    <t>PEI_el_plugloads</t>
  </si>
  <si>
    <t>HKLS Strom</t>
  </si>
  <si>
    <t>PEI_el_hvac</t>
  </si>
  <si>
    <t>HKLS Fernwärme</t>
  </si>
  <si>
    <t>PEI_district_heating</t>
  </si>
  <si>
    <t>HKLS Erdgas</t>
  </si>
  <si>
    <t>PEI_natural_gas</t>
  </si>
  <si>
    <t>HKLS Biomasse</t>
  </si>
  <si>
    <t>PEI_biomass</t>
  </si>
  <si>
    <t>HKLS Sonstige</t>
  </si>
  <si>
    <t>PEI_other</t>
  </si>
  <si>
    <t>Mobilität (MIV)</t>
  </si>
  <si>
    <t>PEI_mob_total</t>
  </si>
  <si>
    <t>PEI_mob_fossile</t>
  </si>
  <si>
    <t>MIV Elektrisch</t>
  </si>
  <si>
    <t>PEI_mob_el</t>
  </si>
  <si>
    <t>Kontext bauliche Dichte</t>
  </si>
  <si>
    <t>PEI_cf_density</t>
  </si>
  <si>
    <t>Kontext Mobilität</t>
  </si>
  <si>
    <t>PEI_cf_mobility</t>
  </si>
  <si>
    <t>Kontext Sanierung</t>
  </si>
  <si>
    <t>PEI_cf_renovation</t>
  </si>
  <si>
    <r>
      <t xml:space="preserve">Lokale Erneuerbare </t>
    </r>
    <r>
      <rPr>
        <sz val="11"/>
        <color theme="1"/>
        <rFont val="Aptos Narrow"/>
        <family val="2"/>
        <scheme val="minor"/>
      </rPr>
      <t>(Netzstrom Substitutionsäquivalent)</t>
    </r>
  </si>
  <si>
    <t>PEI_sub_PV</t>
  </si>
  <si>
    <r>
      <t xml:space="preserve">Energieflexibilität </t>
    </r>
    <r>
      <rPr>
        <sz val="11"/>
        <color theme="1"/>
        <rFont val="Aptos Narrow"/>
        <family val="2"/>
        <scheme val="minor"/>
      </rPr>
      <t>(Netzstrom Substitutionsäquivalent)</t>
    </r>
  </si>
  <si>
    <t>PEI_sub_flex</t>
  </si>
  <si>
    <t>Bilanz-Saldo</t>
  </si>
  <si>
    <t>PEI_balance</t>
  </si>
  <si>
    <t>Treibhausgas-Bilanz</t>
  </si>
  <si>
    <t>GWP_ee_lc_walls</t>
  </si>
  <si>
    <r>
      <t>GWP 100S (kg</t>
    </r>
    <r>
      <rPr>
        <vertAlign val="subscript"/>
        <sz val="9"/>
        <color theme="2" tint="-0.749961851863155"/>
        <rFont val="Calibri"/>
        <family val="2"/>
      </rPr>
      <t>CO2equiv</t>
    </r>
    <r>
      <rPr>
        <sz val="9"/>
        <color theme="2" tint="-0.749961851863155"/>
        <rFont val="Calibri"/>
        <family val="2"/>
      </rPr>
      <t>/m²</t>
    </r>
    <r>
      <rPr>
        <vertAlign val="subscript"/>
        <sz val="9"/>
        <color theme="2" tint="-0.749961851863155"/>
        <rFont val="Calibri"/>
        <family val="2"/>
      </rPr>
      <t>NGF</t>
    </r>
    <r>
      <rPr>
        <sz val="9"/>
        <color theme="2" tint="-0.749961851863155"/>
        <rFont val="Calibri"/>
        <family val="2"/>
      </rPr>
      <t>50a)</t>
    </r>
  </si>
  <si>
    <t>GWP_ee_lc_windows</t>
  </si>
  <si>
    <t>GWP_ee_lc_roof</t>
  </si>
  <si>
    <t>GWP_ee_lc_ground</t>
  </si>
  <si>
    <t>GWP_ee_lc_ceil</t>
  </si>
  <si>
    <t>GWP_ee_lc_other</t>
  </si>
  <si>
    <t>Emissionen Errichtung Baulich</t>
  </si>
  <si>
    <t>GWP_ee_lc_construction</t>
  </si>
  <si>
    <t>GWP_ee_lc_pv</t>
  </si>
  <si>
    <t>GWP_ee_lc_boreholes</t>
  </si>
  <si>
    <t>GWP_ee_lc_mechvent</t>
  </si>
  <si>
    <t>GWP_ee_lc_solarthermal</t>
  </si>
  <si>
    <t>GWP_ee_lc_other_hvac</t>
  </si>
  <si>
    <t>Emissionen Errichtung Haustechnik</t>
  </si>
  <si>
    <t>GWP_ee_lc_hvac</t>
  </si>
  <si>
    <t>Emissionen Errichtung Mobilität</t>
  </si>
  <si>
    <t>GWP Operation MIV fossil</t>
  </si>
  <si>
    <t>GWP Operation MIV elektrisch</t>
  </si>
  <si>
    <t>Betrieb Mobilität</t>
  </si>
  <si>
    <t>GWP Betrieb Netzstrom</t>
  </si>
  <si>
    <t>GWP Betrieb HKLS elektrisch</t>
  </si>
  <si>
    <t>GWP Betrieb HKLS thermisch</t>
  </si>
  <si>
    <t>Betrieb Gebäude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</si>
</sst>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"/>
    <numFmt numFmtId="165" formatCode="#,##0.0"/>
    <numFmt numFmtId="166" formatCode="0.000"/>
    <numFmt numFmtId="167" formatCode="_-* #,##0.00\ _€_-;\-* #,##0.00\ _€_-;_-* &quot;-&quot;??\ _€_-;_-@_-"/>
    <numFmt numFmtId="168" formatCode="_-* #,##0.0\ _€_-;\-* #,##0.0\ _€_-;_-* &quot;-&quot;??\ _€_-;_-@_-"/>
    <numFmt numFmtId="169" formatCode="0.00000"/>
    <numFmt numFmtId="170" formatCode="0.0%"/>
    <numFmt numFmtId="171" formatCode="0.000000000"/>
    <numFmt numFmtId="172" formatCode="0.0000000"/>
    <numFmt numFmtId="173" formatCode="0.000%"/>
    <numFmt numFmtId="174" formatCode="0.0000"/>
    <numFmt numFmtId="175" formatCode="#,##0.000"/>
    <numFmt numFmtId="176" formatCode="0.0&quot; kWh/m²a&quot;"/>
    <numFmt numFmtId="177" formatCode="_(* #,##0.0_);_(* \(#,##0.0\);_(* &quot;-&quot;??_);_(@_)"/>
  </numFmts>
  <fonts count="15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color theme="0" tint="-0.499984740745262"/>
      <name val="Aptos Narrow"/>
      <family val="2"/>
      <scheme val="minor"/>
    </font>
    <font>
      <sz val="11"/>
      <color rgb="FF632423"/>
      <name val="Calibri"/>
      <family val="2"/>
    </font>
    <font>
      <b/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Consolas"/>
      <family val="3"/>
    </font>
    <font>
      <sz val="9"/>
      <color theme="0" tint="-0.34998626667073579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11"/>
      <color theme="7" tint="-0.499984740745262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9"/>
      <color rgb="FFC00000"/>
      <name val="Aptos Narrow"/>
      <family val="2"/>
      <scheme val="minor"/>
    </font>
    <font>
      <sz val="9"/>
      <color rgb="FFC00000"/>
      <name val="Consolas"/>
      <family val="3"/>
    </font>
    <font>
      <sz val="11"/>
      <color rgb="FFFFC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name val="Arial"/>
      <family val="2"/>
    </font>
    <font>
      <sz val="9"/>
      <name val="Consolas"/>
      <family val="3"/>
    </font>
    <font>
      <sz val="11"/>
      <color indexed="62"/>
      <name val="Calibri"/>
      <family val="2"/>
    </font>
    <font>
      <sz val="9"/>
      <name val="Aptos Narrow"/>
      <family val="2"/>
      <scheme val="minor"/>
    </font>
    <font>
      <u/>
      <sz val="9"/>
      <color theme="10"/>
      <name val="Aptos Narrow"/>
      <family val="2"/>
      <scheme val="minor"/>
    </font>
    <font>
      <u/>
      <sz val="9"/>
      <color theme="10"/>
      <name val="Consolas"/>
      <family val="3"/>
    </font>
    <font>
      <sz val="11"/>
      <color theme="0" tint="-0.14999847407452621"/>
      <name val="Aptos Narrow"/>
      <family val="2"/>
      <scheme val="minor"/>
    </font>
    <font>
      <sz val="11"/>
      <color theme="0" tint="-0.14999847407452621"/>
      <name val="Consolas"/>
      <family val="3"/>
    </font>
    <font>
      <sz val="9"/>
      <color theme="0" tint="-0.14999847407452621"/>
      <name val="Aptos Narrow"/>
      <family val="2"/>
      <scheme val="minor"/>
    </font>
    <font>
      <sz val="12"/>
      <color theme="4"/>
      <name val="Aptos Narrow"/>
      <family val="2"/>
      <scheme val="minor"/>
    </font>
    <font>
      <b/>
      <sz val="11"/>
      <color theme="3"/>
      <name val="Calibri"/>
      <family val="2"/>
    </font>
    <font>
      <b/>
      <sz val="11"/>
      <color theme="5" tint="-0.24994659260841701"/>
      <name val="Calibri"/>
      <family val="2"/>
    </font>
    <font>
      <sz val="11"/>
      <color theme="5" tint="-0.499984740745262"/>
      <name val="Aptos Narrow"/>
      <family val="2"/>
      <scheme val="minor"/>
    </font>
    <font>
      <sz val="9"/>
      <name val="Calibri"/>
      <family val="2"/>
    </font>
    <font>
      <b/>
      <sz val="11"/>
      <color theme="5" tint="-0.499984740745262"/>
      <name val="Aptos Narrow"/>
      <family val="2"/>
      <scheme val="minor"/>
    </font>
    <font>
      <sz val="20"/>
      <color theme="5" tint="-0.499984740745262"/>
      <name val="Aptos Narrow"/>
      <family val="2"/>
      <scheme val="minor"/>
    </font>
    <font>
      <sz val="11"/>
      <color theme="5" tint="-0.499984740745262"/>
      <name val="Consolas"/>
      <family val="3"/>
    </font>
    <font>
      <sz val="9"/>
      <color theme="5" tint="-0.499984740745262"/>
      <name val="Aptos Narrow"/>
      <family val="2"/>
      <scheme val="minor"/>
    </font>
    <font>
      <b/>
      <sz val="16"/>
      <color theme="5"/>
      <name val="Aptos Narrow"/>
      <family val="2"/>
      <scheme val="minor"/>
    </font>
    <font>
      <sz val="22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22"/>
      <color theme="0"/>
      <name val="Consolas"/>
      <family val="3"/>
    </font>
    <font>
      <sz val="9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6"/>
      <color theme="2" tint="-0.749992370372631"/>
      <name val="Aptos Narrow"/>
      <family val="2"/>
      <scheme val="minor"/>
    </font>
    <font>
      <sz val="36"/>
      <color theme="4"/>
      <name val="Aptos Narrow"/>
      <family val="2"/>
      <scheme val="minor"/>
    </font>
    <font>
      <sz val="20"/>
      <color theme="4"/>
      <name val="Aptos Narrow"/>
      <family val="2"/>
      <scheme val="minor"/>
    </font>
    <font>
      <sz val="36"/>
      <color theme="4"/>
      <name val="Consolas"/>
      <family val="3"/>
    </font>
    <font>
      <sz val="9"/>
      <color theme="4"/>
      <name val="Aptos Narrow"/>
      <family val="2"/>
      <scheme val="minor"/>
    </font>
    <font>
      <b/>
      <sz val="16"/>
      <color theme="4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sz val="20"/>
      <color theme="2" tint="-0.749992370372631"/>
      <name val="Aptos Narrow"/>
      <family val="2"/>
      <scheme val="minor"/>
    </font>
    <font>
      <b/>
      <sz val="16"/>
      <color theme="2" tint="-0.749992370372631"/>
      <name val="Consolas"/>
      <family val="3"/>
    </font>
    <font>
      <b/>
      <sz val="9"/>
      <color theme="2" tint="-0.74999237037263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36"/>
      <color rgb="FF00B050"/>
      <name val="Aptos Narrow"/>
      <family val="2"/>
      <scheme val="minor"/>
    </font>
    <font>
      <sz val="20"/>
      <color rgb="FF00B050"/>
      <name val="Aptos Narrow"/>
      <family val="2"/>
      <scheme val="minor"/>
    </font>
    <font>
      <sz val="36"/>
      <color rgb="FF00B050"/>
      <name val="Consolas"/>
      <family val="3"/>
    </font>
    <font>
      <sz val="9"/>
      <color rgb="FF00B050"/>
      <name val="Aptos Narrow"/>
      <family val="2"/>
      <scheme val="minor"/>
    </font>
    <font>
      <b/>
      <sz val="16"/>
      <color rgb="FF00B05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0"/>
      <name val="Consolas"/>
      <family val="3"/>
    </font>
    <font>
      <sz val="8"/>
      <color theme="0"/>
      <name val="Aptos Narrow"/>
      <family val="2"/>
      <scheme val="minor"/>
    </font>
    <font>
      <sz val="9"/>
      <color theme="0"/>
      <name val="Consolas"/>
      <family val="3"/>
    </font>
    <font>
      <b/>
      <sz val="16"/>
      <color theme="7"/>
      <name val="Aptos Narrow"/>
      <family val="2"/>
      <scheme val="minor"/>
    </font>
    <font>
      <sz val="20"/>
      <color theme="7"/>
      <name val="Aptos Narrow"/>
      <family val="2"/>
      <scheme val="minor"/>
    </font>
    <font>
      <b/>
      <sz val="16"/>
      <color theme="7"/>
      <name val="Consolas"/>
      <family val="3"/>
    </font>
    <font>
      <b/>
      <sz val="9"/>
      <color theme="7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16"/>
      <color rgb="FF00B0F0"/>
      <name val="Aptos Narrow"/>
      <family val="2"/>
      <scheme val="minor"/>
    </font>
    <font>
      <sz val="20"/>
      <color rgb="FF00B0F0"/>
      <name val="Aptos Narrow"/>
      <family val="2"/>
      <scheme val="minor"/>
    </font>
    <font>
      <b/>
      <sz val="16"/>
      <color rgb="FF00B0F0"/>
      <name val="Consolas"/>
      <family val="3"/>
    </font>
    <font>
      <b/>
      <sz val="9"/>
      <color rgb="FF00B0F0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  <font>
      <sz val="16"/>
      <color theme="8" tint="-0.499984740745262"/>
      <name val="Aptos Narrow"/>
      <family val="2"/>
      <scheme val="minor"/>
    </font>
    <font>
      <sz val="20"/>
      <color theme="8" tint="-0.499984740745262"/>
      <name val="Aptos Narrow"/>
      <family val="2"/>
      <scheme val="minor"/>
    </font>
    <font>
      <sz val="16"/>
      <color theme="8" tint="-0.499984740745262"/>
      <name val="Consolas"/>
      <family val="3"/>
    </font>
    <font>
      <sz val="9"/>
      <color theme="8" tint="-0.499984740745262"/>
      <name val="Aptos Narrow"/>
      <family val="2"/>
      <scheme val="minor"/>
    </font>
    <font>
      <sz val="10"/>
      <color theme="5" tint="-0.499984740745262"/>
      <name val="Arial"/>
      <family val="2"/>
    </font>
    <font>
      <sz val="9"/>
      <color theme="1"/>
      <name val="Courier New"/>
      <family val="3"/>
    </font>
    <font>
      <sz val="22"/>
      <color rgb="FFC00000"/>
      <name val="Aptos Narrow"/>
      <family val="2"/>
      <scheme val="minor"/>
    </font>
    <font>
      <sz val="20"/>
      <color rgb="FFC00000"/>
      <name val="Aptos Narrow"/>
      <family val="2"/>
      <scheme val="minor"/>
    </font>
    <font>
      <sz val="22"/>
      <color rgb="FFC00000"/>
      <name val="Consolas"/>
      <family val="3"/>
    </font>
    <font>
      <b/>
      <sz val="16"/>
      <color rgb="FFC00000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6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sz val="16"/>
      <color theme="3"/>
      <name val="Consolas"/>
      <family val="3"/>
    </font>
    <font>
      <sz val="9"/>
      <color theme="3"/>
      <name val="Aptos Narrow"/>
      <family val="2"/>
      <scheme val="minor"/>
    </font>
    <font>
      <sz val="20"/>
      <color rgb="FFFF0000"/>
      <name val="Aptos Narrow"/>
      <family val="2"/>
      <scheme val="minor"/>
    </font>
    <font>
      <sz val="11"/>
      <color rgb="FFFF0000"/>
      <name val="Consolas"/>
      <family val="3"/>
    </font>
    <font>
      <sz val="9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1"/>
      <color theme="7" tint="0.39997558519241921"/>
      <name val="Aptos Narrow"/>
      <family val="2"/>
      <scheme val="minor"/>
    </font>
    <font>
      <sz val="20"/>
      <color theme="7" tint="0.39997558519241921"/>
      <name val="Aptos Narrow"/>
      <family val="2"/>
      <scheme val="minor"/>
    </font>
    <font>
      <sz val="11"/>
      <color theme="7" tint="0.39997558519241921"/>
      <name val="Consolas"/>
      <family val="3"/>
    </font>
    <font>
      <b/>
      <sz val="9"/>
      <color theme="7" tint="0.39997558519241921"/>
      <name val="Aptos Narrow"/>
      <family val="2"/>
      <scheme val="minor"/>
    </font>
    <font>
      <b/>
      <sz val="16"/>
      <color theme="7" tint="0.39997558519241921"/>
      <name val="Aptos Narrow"/>
      <family val="2"/>
      <scheme val="minor"/>
    </font>
    <font>
      <b/>
      <sz val="11"/>
      <color theme="9" tint="-0.24994659260841701"/>
      <name val="Calibri"/>
      <family val="2"/>
    </font>
    <font>
      <b/>
      <sz val="9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sz val="20"/>
      <color theme="9" tint="-0.249977111117893"/>
      <name val="Aptos Narrow"/>
      <family val="2"/>
      <scheme val="minor"/>
    </font>
    <font>
      <b/>
      <sz val="16"/>
      <color theme="9" tint="-0.249977111117893"/>
      <name val="Consolas"/>
      <family val="3"/>
    </font>
    <font>
      <b/>
      <sz val="9"/>
      <color theme="9" tint="-0.249977111117893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sz val="20"/>
      <color theme="7" tint="-0.249977111117893"/>
      <name val="Aptos Narrow"/>
      <family val="2"/>
      <scheme val="minor"/>
    </font>
    <font>
      <sz val="11"/>
      <color theme="7" tint="-0.249977111117893"/>
      <name val="Consolas"/>
      <family val="3"/>
    </font>
    <font>
      <sz val="9"/>
      <color theme="7" tint="-0.249977111117893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10"/>
      <color theme="2" tint="-0.749961851863155"/>
      <name val="Calibri"/>
      <family val="2"/>
    </font>
    <font>
      <sz val="9"/>
      <color theme="2" tint="-0.749961851863155"/>
      <name val="Calibri"/>
      <family val="2"/>
    </font>
    <font>
      <vertAlign val="subscript"/>
      <sz val="9"/>
      <color theme="2" tint="-0.749961851863155"/>
      <name val="Calibri"/>
      <family val="2"/>
    </font>
    <font>
      <sz val="9"/>
      <color theme="8" tint="-0.249977111117893"/>
      <name val="Aptos Narrow"/>
      <family val="2"/>
      <scheme val="minor"/>
    </font>
    <font>
      <sz val="8"/>
      <color theme="8" tint="-0.249977111117893"/>
      <name val="Aptos Narrow"/>
      <family val="2"/>
      <scheme val="minor"/>
    </font>
    <font>
      <sz val="9"/>
      <color theme="8" tint="-0.249977111117893"/>
      <name val="Consolas"/>
      <family val="3"/>
    </font>
    <font>
      <sz val="9"/>
      <color theme="8" tint="-0.249977111117893"/>
      <name val="Courier New"/>
      <family val="3"/>
    </font>
    <font>
      <sz val="11"/>
      <color theme="1"/>
      <name val="Consolas"/>
      <family val="3"/>
    </font>
    <font>
      <b/>
      <sz val="9"/>
      <color rgb="FFFF0000"/>
      <name val="Aptos Narrow"/>
      <family val="2"/>
      <scheme val="minor"/>
    </font>
    <font>
      <sz val="8"/>
      <color theme="1"/>
      <name val="Consolas"/>
      <family val="3"/>
    </font>
    <font>
      <sz val="10"/>
      <color theme="1"/>
      <name val="Trebuchet MS"/>
      <family val="2"/>
    </font>
    <font>
      <vertAlign val="subscript"/>
      <sz val="10"/>
      <color theme="1"/>
      <name val="Trebuchet MS"/>
      <family val="2"/>
    </font>
    <font>
      <b/>
      <sz val="12"/>
      <color theme="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0"/>
      <color theme="2" tint="-0.749961851863155"/>
      <name val="Calibri"/>
      <family val="2"/>
    </font>
    <font>
      <sz val="9"/>
      <color theme="4"/>
      <name val="Consolas"/>
      <family val="3"/>
    </font>
    <font>
      <sz val="9"/>
      <color theme="5" tint="-0.499984740745262"/>
      <name val="Consolas"/>
      <family val="3"/>
    </font>
    <font>
      <vertAlign val="subscript"/>
      <sz val="11"/>
      <color theme="1"/>
      <name val="Aptos Narrow"/>
      <family val="2"/>
      <scheme val="minor"/>
    </font>
    <font>
      <i/>
      <vertAlign val="subscript"/>
      <sz val="10"/>
      <color theme="2" tint="-0.749961851863155"/>
      <name val="Calibri"/>
      <family val="2"/>
    </font>
    <font>
      <b/>
      <sz val="12"/>
      <color theme="3"/>
      <name val="Aptos Narrow"/>
      <family val="2"/>
      <scheme val="minor"/>
    </font>
    <font>
      <sz val="12"/>
      <color theme="3"/>
      <name val="Aptos Narrow"/>
      <family val="2"/>
      <scheme val="minor"/>
    </font>
    <font>
      <b/>
      <sz val="12"/>
      <color rgb="FF00B0F0"/>
      <name val="Aptos Narrow"/>
      <family val="2"/>
      <scheme val="minor"/>
    </font>
    <font>
      <sz val="12"/>
      <color rgb="FF00B0F0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name val="Aptos Narrow"/>
      <family val="2"/>
      <scheme val="minor"/>
    </font>
    <font>
      <b/>
      <sz val="9"/>
      <name val="Consolas"/>
      <family val="3"/>
    </font>
    <font>
      <b/>
      <sz val="11"/>
      <color theme="8" tint="-0.249977111117893"/>
      <name val="Aptos Narrow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42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B7B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7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B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9FFE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9F1FF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3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2" applyNumberFormat="0" applyAlignment="0" applyProtection="0"/>
    <xf numFmtId="0" fontId="1" fillId="5" borderId="4" applyNumberFormat="0" applyFont="0" applyAlignment="0" applyProtection="0"/>
    <xf numFmtId="0" fontId="8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0" borderId="0" applyNumberFormat="0" applyFill="0" applyBorder="0" applyAlignment="0" applyProtection="0"/>
    <xf numFmtId="0" fontId="42" fillId="38" borderId="8" applyNumberFormat="0" applyAlignment="0">
      <alignment horizontal="center" vertical="center"/>
      <protection locked="0"/>
    </xf>
    <xf numFmtId="165" fontId="1" fillId="0" borderId="0" applyFont="0" applyFill="0" applyBorder="0" applyAlignment="0" applyProtection="0"/>
    <xf numFmtId="0" fontId="111" fillId="50" borderId="13" applyAlignment="0">
      <alignment horizontal="center"/>
      <protection locked="0"/>
    </xf>
    <xf numFmtId="0" fontId="122" fillId="0" borderId="0" applyAlignment="0">
      <alignment horizontal="justify" vertical="top"/>
    </xf>
    <xf numFmtId="176" fontId="1" fillId="0" borderId="15" applyFont="0" applyFill="0" applyBorder="0" applyAlignment="0" applyProtection="0">
      <alignment horizontal="right"/>
    </xf>
  </cellStyleXfs>
  <cellXfs count="572">
    <xf numFmtId="0" fontId="0" fillId="0" borderId="0" xfId="0"/>
    <xf numFmtId="0" fontId="0" fillId="0" borderId="0" xfId="0" quotePrefix="1" applyAlignment="1">
      <alignment horizontal="center"/>
    </xf>
    <xf numFmtId="0" fontId="13" fillId="0" borderId="0" xfId="11" applyFont="1"/>
    <xf numFmtId="0" fontId="0" fillId="0" borderId="0" xfId="0" quotePrefix="1"/>
    <xf numFmtId="164" fontId="0" fillId="0" borderId="5" xfId="11" applyNumberFormat="1" applyFont="1" applyBorder="1" applyAlignment="1">
      <alignment horizontal="center"/>
    </xf>
    <xf numFmtId="164" fontId="14" fillId="8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14" fillId="9" borderId="0" xfId="0" applyNumberFormat="1" applyFont="1" applyFill="1" applyAlignment="1">
      <alignment horizontal="center"/>
    </xf>
    <xf numFmtId="0" fontId="15" fillId="10" borderId="0" xfId="0" applyFont="1" applyFill="1"/>
    <xf numFmtId="0" fontId="14" fillId="11" borderId="0" xfId="0" applyFont="1" applyFill="1"/>
    <xf numFmtId="165" fontId="14" fillId="12" borderId="0" xfId="0" applyNumberFormat="1" applyFont="1" applyFill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0" fillId="10" borderId="0" xfId="0" applyFill="1" applyAlignment="1">
      <alignment horizontal="center"/>
    </xf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8" fillId="10" borderId="0" xfId="0" applyFont="1" applyFill="1"/>
    <xf numFmtId="0" fontId="21" fillId="0" borderId="0" xfId="0" applyFont="1" applyAlignment="1">
      <alignment horizontal="center" vertical="top"/>
    </xf>
    <xf numFmtId="165" fontId="0" fillId="8" borderId="0" xfId="0" applyNumberFormat="1" applyFill="1" applyAlignment="1">
      <alignment vertical="top"/>
    </xf>
    <xf numFmtId="165" fontId="14" fillId="13" borderId="0" xfId="0" applyNumberFormat="1" applyFont="1" applyFill="1" applyAlignment="1">
      <alignment horizontal="center"/>
    </xf>
    <xf numFmtId="165" fontId="17" fillId="13" borderId="0" xfId="0" applyNumberFormat="1" applyFont="1" applyFill="1" applyAlignment="1">
      <alignment horizontal="center"/>
    </xf>
    <xf numFmtId="165" fontId="14" fillId="14" borderId="0" xfId="0" applyNumberFormat="1" applyFont="1" applyFill="1" applyAlignment="1">
      <alignment horizontal="center"/>
    </xf>
    <xf numFmtId="0" fontId="14" fillId="15" borderId="0" xfId="0" applyFont="1" applyFill="1"/>
    <xf numFmtId="164" fontId="0" fillId="0" borderId="5" xfId="0" applyNumberFormat="1" applyBorder="1"/>
    <xf numFmtId="2" fontId="0" fillId="0" borderId="0" xfId="0" applyNumberFormat="1"/>
    <xf numFmtId="165" fontId="0" fillId="0" borderId="0" xfId="0" applyNumberFormat="1" applyAlignment="1">
      <alignment vertical="top"/>
    </xf>
    <xf numFmtId="164" fontId="0" fillId="0" borderId="0" xfId="0" applyNumberFormat="1"/>
    <xf numFmtId="0" fontId="0" fillId="16" borderId="0" xfId="0" applyFill="1" applyAlignment="1">
      <alignment horizontal="center"/>
    </xf>
    <xf numFmtId="0" fontId="22" fillId="17" borderId="0" xfId="0" applyFont="1" applyFill="1" applyAlignment="1">
      <alignment vertical="top"/>
    </xf>
    <xf numFmtId="0" fontId="18" fillId="16" borderId="0" xfId="0" applyFont="1" applyFill="1"/>
    <xf numFmtId="165" fontId="14" fillId="18" borderId="0" xfId="0" applyNumberFormat="1" applyFont="1" applyFill="1" applyAlignment="1">
      <alignment horizontal="center"/>
    </xf>
    <xf numFmtId="165" fontId="17" fillId="18" borderId="0" xfId="0" applyNumberFormat="1" applyFont="1" applyFill="1" applyAlignment="1">
      <alignment horizontal="center"/>
    </xf>
    <xf numFmtId="2" fontId="14" fillId="15" borderId="0" xfId="0" applyNumberFormat="1" applyFont="1" applyFill="1"/>
    <xf numFmtId="166" fontId="14" fillId="15" borderId="0" xfId="0" applyNumberFormat="1" applyFont="1" applyFill="1"/>
    <xf numFmtId="0" fontId="18" fillId="0" borderId="0" xfId="0" applyFont="1"/>
    <xf numFmtId="165" fontId="14" fillId="19" borderId="0" xfId="0" applyNumberFormat="1" applyFont="1" applyFill="1" applyAlignment="1">
      <alignment horizontal="center"/>
    </xf>
    <xf numFmtId="2" fontId="14" fillId="19" borderId="0" xfId="0" applyNumberFormat="1" applyFont="1" applyFill="1"/>
    <xf numFmtId="2" fontId="23" fillId="0" borderId="0" xfId="0" applyNumberFormat="1" applyFont="1"/>
    <xf numFmtId="0" fontId="11" fillId="20" borderId="0" xfId="0" applyFont="1" applyFill="1" applyAlignment="1">
      <alignment horizontal="center"/>
    </xf>
    <xf numFmtId="0" fontId="24" fillId="20" borderId="0" xfId="0" applyFont="1" applyFill="1"/>
    <xf numFmtId="9" fontId="14" fillId="15" borderId="0" xfId="0" applyNumberFormat="1" applyFont="1" applyFill="1"/>
    <xf numFmtId="165" fontId="14" fillId="21" borderId="0" xfId="0" applyNumberFormat="1" applyFont="1" applyFill="1" applyAlignment="1">
      <alignment horizontal="center"/>
    </xf>
    <xf numFmtId="4" fontId="14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0" fontId="18" fillId="22" borderId="0" xfId="0" applyFont="1" applyFill="1"/>
    <xf numFmtId="0" fontId="0" fillId="23" borderId="0" xfId="0" applyFill="1" applyAlignment="1">
      <alignment vertical="top"/>
    </xf>
    <xf numFmtId="0" fontId="18" fillId="23" borderId="0" xfId="0" applyFont="1" applyFill="1" applyAlignment="1">
      <alignment vertical="top"/>
    </xf>
    <xf numFmtId="0" fontId="20" fillId="23" borderId="0" xfId="0" applyFont="1" applyFill="1" applyAlignment="1">
      <alignment vertical="top"/>
    </xf>
    <xf numFmtId="0" fontId="18" fillId="23" borderId="0" xfId="0" applyFont="1" applyFill="1"/>
    <xf numFmtId="165" fontId="14" fillId="14" borderId="0" xfId="0" quotePrefix="1" applyNumberFormat="1" applyFont="1" applyFill="1" applyAlignment="1">
      <alignment horizontal="center"/>
    </xf>
    <xf numFmtId="0" fontId="14" fillId="23" borderId="0" xfId="0" quotePrefix="1" applyFont="1" applyFill="1"/>
    <xf numFmtId="2" fontId="0" fillId="0" borderId="0" xfId="0" quotePrefix="1" applyNumberFormat="1"/>
    <xf numFmtId="167" fontId="14" fillId="15" borderId="0" xfId="0" applyNumberFormat="1" applyFont="1" applyFill="1"/>
    <xf numFmtId="167" fontId="14" fillId="21" borderId="0" xfId="0" applyNumberFormat="1" applyFont="1" applyFill="1"/>
    <xf numFmtId="2" fontId="9" fillId="0" borderId="0" xfId="0" applyNumberFormat="1" applyFont="1"/>
    <xf numFmtId="0" fontId="0" fillId="24" borderId="0" xfId="0" applyFill="1" applyAlignment="1">
      <alignment horizontal="center"/>
    </xf>
    <xf numFmtId="0" fontId="18" fillId="24" borderId="0" xfId="0" applyFont="1" applyFill="1"/>
    <xf numFmtId="2" fontId="25" fillId="0" borderId="0" xfId="0" applyNumberFormat="1" applyFont="1"/>
    <xf numFmtId="168" fontId="14" fillId="21" borderId="0" xfId="0" applyNumberFormat="1" applyFont="1" applyFill="1" applyAlignment="1">
      <alignment horizontal="right"/>
    </xf>
    <xf numFmtId="164" fontId="14" fillId="21" borderId="0" xfId="0" applyNumberFormat="1" applyFont="1" applyFill="1"/>
    <xf numFmtId="0" fontId="0" fillId="25" borderId="0" xfId="0" applyFill="1" applyAlignment="1">
      <alignment horizontal="center"/>
    </xf>
    <xf numFmtId="0" fontId="18" fillId="25" borderId="0" xfId="0" applyFont="1" applyFill="1"/>
    <xf numFmtId="0" fontId="0" fillId="26" borderId="0" xfId="0" applyFill="1" applyAlignment="1">
      <alignment horizontal="center"/>
    </xf>
    <xf numFmtId="0" fontId="18" fillId="26" borderId="0" xfId="0" applyFont="1" applyFill="1"/>
    <xf numFmtId="0" fontId="0" fillId="27" borderId="0" xfId="0" applyFill="1" applyAlignment="1">
      <alignment horizontal="center"/>
    </xf>
    <xf numFmtId="0" fontId="18" fillId="27" borderId="0" xfId="0" applyFont="1" applyFill="1"/>
    <xf numFmtId="0" fontId="18" fillId="20" borderId="0" xfId="0" applyFont="1" applyFill="1"/>
    <xf numFmtId="165" fontId="14" fillId="25" borderId="0" xfId="0" applyNumberFormat="1" applyFont="1" applyFill="1" applyAlignment="1">
      <alignment horizontal="center"/>
    </xf>
    <xf numFmtId="165" fontId="17" fillId="25" borderId="0" xfId="0" applyNumberFormat="1" applyFont="1" applyFill="1" applyAlignment="1">
      <alignment horizontal="center"/>
    </xf>
    <xf numFmtId="2" fontId="0" fillId="0" borderId="0" xfId="2" applyNumberFormat="1" applyFont="1" applyFill="1" applyAlignment="1"/>
    <xf numFmtId="0" fontId="0" fillId="28" borderId="0" xfId="0" applyFill="1" applyAlignment="1">
      <alignment horizontal="center"/>
    </xf>
    <xf numFmtId="0" fontId="18" fillId="28" borderId="0" xfId="0" applyFont="1" applyFill="1"/>
    <xf numFmtId="0" fontId="20" fillId="0" borderId="0" xfId="0" applyFont="1"/>
    <xf numFmtId="0" fontId="0" fillId="29" borderId="0" xfId="0" applyFill="1" applyAlignment="1">
      <alignment horizontal="center"/>
    </xf>
    <xf numFmtId="0" fontId="18" fillId="29" borderId="0" xfId="0" applyFont="1" applyFill="1"/>
    <xf numFmtId="0" fontId="26" fillId="30" borderId="0" xfId="0" applyFont="1" applyFill="1" applyAlignment="1">
      <alignment horizontal="center" vertical="top"/>
    </xf>
    <xf numFmtId="0" fontId="26" fillId="30" borderId="0" xfId="0" applyFont="1" applyFill="1" applyAlignment="1">
      <alignment horizontal="left" vertical="top"/>
    </xf>
    <xf numFmtId="0" fontId="27" fillId="30" borderId="0" xfId="0" applyFont="1" applyFill="1" applyAlignment="1">
      <alignment vertical="top"/>
    </xf>
    <xf numFmtId="0" fontId="28" fillId="30" borderId="0" xfId="0" applyFont="1" applyFill="1" applyAlignment="1">
      <alignment horizontal="left" vertical="top"/>
    </xf>
    <xf numFmtId="0" fontId="27" fillId="30" borderId="0" xfId="0" applyFont="1" applyFill="1" applyAlignment="1">
      <alignment horizontal="left" vertical="top"/>
    </xf>
    <xf numFmtId="165" fontId="14" fillId="18" borderId="0" xfId="0" applyNumberFormat="1" applyFont="1" applyFill="1" applyAlignment="1">
      <alignment horizontal="center" vertical="top"/>
    </xf>
    <xf numFmtId="165" fontId="17" fillId="18" borderId="0" xfId="0" applyNumberFormat="1" applyFont="1" applyFill="1" applyAlignment="1">
      <alignment horizontal="center" vertical="top"/>
    </xf>
    <xf numFmtId="165" fontId="14" fillId="14" borderId="0" xfId="0" applyNumberFormat="1" applyFont="1" applyFill="1" applyAlignment="1">
      <alignment horizontal="center" vertical="top"/>
    </xf>
    <xf numFmtId="0" fontId="15" fillId="10" borderId="0" xfId="0" applyFont="1" applyFill="1" applyAlignment="1">
      <alignment horizontal="left" vertical="top"/>
    </xf>
    <xf numFmtId="167" fontId="14" fillId="15" borderId="0" xfId="0" applyNumberFormat="1" applyFont="1" applyFill="1" applyAlignment="1">
      <alignment horizontal="left" vertical="top"/>
    </xf>
    <xf numFmtId="2" fontId="26" fillId="0" borderId="0" xfId="0" applyNumberFormat="1" applyFont="1" applyAlignment="1">
      <alignment horizontal="left" vertical="top"/>
    </xf>
    <xf numFmtId="0" fontId="26" fillId="30" borderId="0" xfId="0" applyFont="1" applyFill="1" applyAlignment="1">
      <alignment horizontal="center"/>
    </xf>
    <xf numFmtId="0" fontId="27" fillId="30" borderId="0" xfId="0" applyFont="1" applyFill="1"/>
    <xf numFmtId="2" fontId="26" fillId="0" borderId="0" xfId="0" applyNumberFormat="1" applyFont="1"/>
    <xf numFmtId="0" fontId="29" fillId="31" borderId="0" xfId="0" applyFont="1" applyFill="1"/>
    <xf numFmtId="0" fontId="30" fillId="0" borderId="0" xfId="0" applyFont="1"/>
    <xf numFmtId="164" fontId="31" fillId="0" borderId="0" xfId="0" applyNumberFormat="1" applyFont="1" applyAlignment="1">
      <alignment vertical="top"/>
    </xf>
    <xf numFmtId="164" fontId="32" fillId="0" borderId="0" xfId="0" applyNumberFormat="1" applyFont="1"/>
    <xf numFmtId="0" fontId="31" fillId="0" borderId="0" xfId="0" applyFont="1" applyAlignment="1">
      <alignment vertical="top"/>
    </xf>
    <xf numFmtId="0" fontId="32" fillId="0" borderId="0" xfId="0" applyFont="1"/>
    <xf numFmtId="0" fontId="18" fillId="0" borderId="0" xfId="0" applyFont="1" applyAlignment="1">
      <alignment horizontal="center"/>
    </xf>
    <xf numFmtId="164" fontId="33" fillId="0" borderId="6" xfId="2" applyNumberFormat="1" applyFont="1" applyFill="1" applyBorder="1" applyAlignment="1" applyProtection="1"/>
    <xf numFmtId="2" fontId="0" fillId="0" borderId="0" xfId="2" applyNumberFormat="1" applyFont="1" applyFill="1" applyBorder="1" applyAlignment="1"/>
    <xf numFmtId="0" fontId="14" fillId="32" borderId="0" xfId="0" applyFont="1" applyFill="1"/>
    <xf numFmtId="2" fontId="0" fillId="0" borderId="6" xfId="0" applyNumberFormat="1" applyBorder="1"/>
    <xf numFmtId="164" fontId="33" fillId="0" borderId="0" xfId="2" applyNumberFormat="1" applyFont="1" applyFill="1" applyBorder="1" applyAlignment="1" applyProtection="1"/>
    <xf numFmtId="164" fontId="34" fillId="8" borderId="0" xfId="0" applyNumberFormat="1" applyFont="1" applyFill="1" applyAlignment="1">
      <alignment horizontal="center"/>
    </xf>
    <xf numFmtId="0" fontId="14" fillId="0" borderId="0" xfId="0" applyFont="1"/>
    <xf numFmtId="164" fontId="34" fillId="0" borderId="0" xfId="0" applyNumberFormat="1" applyFont="1" applyAlignment="1">
      <alignment horizontal="center"/>
    </xf>
    <xf numFmtId="1" fontId="33" fillId="0" borderId="0" xfId="2" applyNumberFormat="1" applyFont="1" applyFill="1" applyBorder="1" applyAlignment="1" applyProtection="1"/>
    <xf numFmtId="0" fontId="26" fillId="29" borderId="0" xfId="0" applyFont="1" applyFill="1" applyAlignment="1">
      <alignment horizontal="center"/>
    </xf>
    <xf numFmtId="0" fontId="27" fillId="29" borderId="0" xfId="0" applyFont="1" applyFill="1"/>
    <xf numFmtId="0" fontId="0" fillId="33" borderId="0" xfId="0" applyFill="1" applyAlignment="1">
      <alignment horizontal="center"/>
    </xf>
    <xf numFmtId="0" fontId="18" fillId="33" borderId="0" xfId="0" applyFont="1" applyFill="1"/>
    <xf numFmtId="9" fontId="14" fillId="0" borderId="0" xfId="0" applyNumberFormat="1" applyFont="1"/>
    <xf numFmtId="9" fontId="33" fillId="0" borderId="0" xfId="2" applyFont="1" applyFill="1" applyBorder="1" applyAlignment="1" applyProtection="1"/>
    <xf numFmtId="1" fontId="15" fillId="10" borderId="0" xfId="0" applyNumberFormat="1" applyFont="1" applyFill="1"/>
    <xf numFmtId="0" fontId="27" fillId="30" borderId="0" xfId="0" applyFont="1" applyFill="1" applyAlignment="1">
      <alignment horizontal="center"/>
    </xf>
    <xf numFmtId="1" fontId="14" fillId="0" borderId="0" xfId="0" applyNumberFormat="1" applyFont="1"/>
    <xf numFmtId="0" fontId="12" fillId="0" borderId="0" xfId="11" applyAlignment="1">
      <alignment vertical="top"/>
    </xf>
    <xf numFmtId="0" fontId="35" fillId="0" borderId="0" xfId="11" applyFont="1" applyAlignment="1">
      <alignment vertical="top"/>
    </xf>
    <xf numFmtId="0" fontId="36" fillId="0" borderId="0" xfId="11" applyFont="1" applyAlignment="1">
      <alignment vertical="top"/>
    </xf>
    <xf numFmtId="164" fontId="0" fillId="34" borderId="0" xfId="0" applyNumberFormat="1" applyFill="1" applyProtection="1">
      <protection locked="0"/>
    </xf>
    <xf numFmtId="164" fontId="31" fillId="34" borderId="0" xfId="0" applyNumberFormat="1" applyFont="1" applyFill="1" applyAlignment="1" applyProtection="1">
      <alignment vertical="top"/>
      <protection locked="0"/>
    </xf>
    <xf numFmtId="164" fontId="32" fillId="34" borderId="0" xfId="0" applyNumberFormat="1" applyFont="1" applyFill="1" applyProtection="1">
      <protection locked="0"/>
    </xf>
    <xf numFmtId="1" fontId="14" fillId="34" borderId="0" xfId="0" applyNumberFormat="1" applyFont="1" applyFill="1" applyProtection="1">
      <protection locked="0"/>
    </xf>
    <xf numFmtId="2" fontId="33" fillId="0" borderId="0" xfId="2" applyNumberFormat="1" applyFont="1" applyFill="1" applyBorder="1" applyAlignment="1" applyProtection="1">
      <protection locked="0"/>
    </xf>
    <xf numFmtId="0" fontId="37" fillId="35" borderId="0" xfId="0" applyFont="1" applyFill="1"/>
    <xf numFmtId="0" fontId="38" fillId="35" borderId="0" xfId="0" applyFont="1" applyFill="1"/>
    <xf numFmtId="0" fontId="39" fillId="35" borderId="0" xfId="0" applyFont="1" applyFill="1"/>
    <xf numFmtId="0" fontId="37" fillId="35" borderId="0" xfId="0" applyFont="1" applyFill="1" applyAlignment="1">
      <alignment horizontal="center"/>
    </xf>
    <xf numFmtId="0" fontId="37" fillId="0" borderId="0" xfId="0" applyFont="1"/>
    <xf numFmtId="165" fontId="14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0" fontId="14" fillId="25" borderId="0" xfId="0" applyFont="1" applyFill="1"/>
    <xf numFmtId="0" fontId="40" fillId="36" borderId="0" xfId="0" applyFont="1" applyFill="1"/>
    <xf numFmtId="0" fontId="18" fillId="5" borderId="4" xfId="7" applyFont="1"/>
    <xf numFmtId="165" fontId="34" fillId="8" borderId="0" xfId="0" applyNumberFormat="1" applyFont="1" applyFill="1" applyAlignment="1">
      <alignment horizontal="center"/>
    </xf>
    <xf numFmtId="0" fontId="5" fillId="4" borderId="2" xfId="6" applyAlignment="1">
      <alignment horizontal="right" vertical="top"/>
    </xf>
    <xf numFmtId="165" fontId="14" fillId="37" borderId="0" xfId="0" applyNumberFormat="1" applyFont="1" applyFill="1" applyAlignment="1">
      <alignment horizontal="center"/>
    </xf>
    <xf numFmtId="0" fontId="42" fillId="38" borderId="8" xfId="12" applyAlignment="1">
      <alignment horizontal="center" vertical="top" wrapText="1"/>
      <protection locked="0"/>
    </xf>
    <xf numFmtId="0" fontId="43" fillId="38" borderId="0" xfId="0" applyFont="1" applyFill="1" applyAlignment="1">
      <alignment horizontal="center"/>
    </xf>
    <xf numFmtId="0" fontId="43" fillId="38" borderId="0" xfId="0" applyFont="1" applyFill="1" applyAlignment="1">
      <alignment vertical="top"/>
    </xf>
    <xf numFmtId="14" fontId="34" fillId="8" borderId="0" xfId="0" applyNumberFormat="1" applyFont="1" applyFill="1" applyAlignment="1">
      <alignment horizontal="center"/>
    </xf>
    <xf numFmtId="14" fontId="0" fillId="0" borderId="0" xfId="0" applyNumberFormat="1"/>
    <xf numFmtId="14" fontId="34" fillId="0" borderId="0" xfId="0" applyNumberFormat="1" applyFont="1" applyAlignment="1">
      <alignment horizontal="center"/>
    </xf>
    <xf numFmtId="0" fontId="18" fillId="5" borderId="4" xfId="11" applyFont="1" applyFill="1" applyBorder="1"/>
    <xf numFmtId="169" fontId="44" fillId="8" borderId="0" xfId="0" applyNumberFormat="1" applyFont="1" applyFill="1" applyAlignment="1">
      <alignment horizontal="center"/>
    </xf>
    <xf numFmtId="0" fontId="0" fillId="39" borderId="0" xfId="0" applyFill="1"/>
    <xf numFmtId="0" fontId="18" fillId="25" borderId="4" xfId="7" applyFont="1" applyFill="1" applyAlignment="1">
      <alignment vertical="top"/>
    </xf>
    <xf numFmtId="0" fontId="17" fillId="38" borderId="8" xfId="12" applyFont="1" applyAlignment="1">
      <alignment horizontal="center" vertical="top"/>
      <protection locked="0"/>
    </xf>
    <xf numFmtId="0" fontId="45" fillId="38" borderId="0" xfId="0" applyFont="1" applyFill="1" applyAlignment="1">
      <alignment vertical="top"/>
    </xf>
    <xf numFmtId="0" fontId="46" fillId="38" borderId="0" xfId="0" applyFont="1" applyFill="1" applyAlignment="1">
      <alignment horizontal="left" vertical="top"/>
    </xf>
    <xf numFmtId="0" fontId="47" fillId="38" borderId="0" xfId="0" applyFont="1" applyFill="1" applyAlignment="1">
      <alignment vertical="top"/>
    </xf>
    <xf numFmtId="0" fontId="48" fillId="38" borderId="0" xfId="0" applyFont="1" applyFill="1" applyAlignment="1">
      <alignment vertical="top"/>
    </xf>
    <xf numFmtId="0" fontId="43" fillId="38" borderId="0" xfId="0" applyFont="1" applyFill="1" applyAlignment="1">
      <alignment horizontal="center" vertical="top"/>
    </xf>
    <xf numFmtId="0" fontId="49" fillId="38" borderId="0" xfId="0" applyFont="1" applyFill="1" applyAlignment="1">
      <alignment vertical="center"/>
    </xf>
    <xf numFmtId="0" fontId="43" fillId="0" borderId="0" xfId="0" applyFont="1" applyAlignment="1">
      <alignment vertical="top"/>
    </xf>
    <xf numFmtId="0" fontId="49" fillId="0" borderId="0" xfId="0" applyFont="1" applyAlignment="1">
      <alignment vertical="center"/>
    </xf>
    <xf numFmtId="0" fontId="10" fillId="27" borderId="0" xfId="0" applyFont="1" applyFill="1"/>
    <xf numFmtId="0" fontId="5" fillId="4" borderId="2" xfId="6" applyAlignment="1">
      <alignment horizontal="center" vertical="top"/>
    </xf>
    <xf numFmtId="0" fontId="17" fillId="0" borderId="0" xfId="0" applyFont="1" applyAlignment="1">
      <alignment horizontal="center"/>
    </xf>
    <xf numFmtId="0" fontId="50" fillId="27" borderId="0" xfId="0" applyFont="1" applyFill="1"/>
    <xf numFmtId="0" fontId="51" fillId="27" borderId="0" xfId="0" applyFont="1" applyFill="1" applyAlignment="1">
      <alignment horizontal="left"/>
    </xf>
    <xf numFmtId="0" fontId="52" fillId="27" borderId="0" xfId="0" applyFont="1" applyFill="1"/>
    <xf numFmtId="0" fontId="53" fillId="27" borderId="0" xfId="0" applyFont="1" applyFill="1"/>
    <xf numFmtId="0" fontId="50" fillId="27" borderId="0" xfId="0" applyFont="1" applyFill="1" applyAlignment="1">
      <alignment horizontal="center"/>
    </xf>
    <xf numFmtId="0" fontId="54" fillId="27" borderId="0" xfId="0" applyFont="1" applyFill="1"/>
    <xf numFmtId="0" fontId="50" fillId="0" borderId="0" xfId="0" applyFont="1"/>
    <xf numFmtId="0" fontId="54" fillId="0" borderId="0" xfId="0" applyFont="1"/>
    <xf numFmtId="0" fontId="55" fillId="36" borderId="0" xfId="0" applyFont="1" applyFill="1" applyAlignment="1">
      <alignment horizontal="center"/>
    </xf>
    <xf numFmtId="0" fontId="0" fillId="0" borderId="9" xfId="0" applyBorder="1"/>
    <xf numFmtId="0" fontId="18" fillId="0" borderId="9" xfId="0" applyFont="1" applyBorder="1" applyAlignment="1">
      <alignment vertical="top"/>
    </xf>
    <xf numFmtId="0" fontId="20" fillId="0" borderId="9" xfId="0" applyFont="1" applyBorder="1"/>
    <xf numFmtId="165" fontId="14" fillId="8" borderId="0" xfId="0" applyNumberFormat="1" applyFont="1" applyFill="1" applyAlignment="1">
      <alignment horizontal="center"/>
    </xf>
    <xf numFmtId="165" fontId="5" fillId="4" borderId="2" xfId="6" applyNumberFormat="1" applyAlignment="1">
      <alignment horizontal="center" vertical="top"/>
    </xf>
    <xf numFmtId="2" fontId="17" fillId="0" borderId="0" xfId="0" applyNumberFormat="1" applyFont="1" applyAlignment="1">
      <alignment horizontal="center"/>
    </xf>
    <xf numFmtId="170" fontId="34" fillId="8" borderId="3" xfId="2" applyNumberFormat="1" applyFont="1" applyFill="1" applyBorder="1" applyAlignment="1">
      <alignment horizontal="center"/>
    </xf>
    <xf numFmtId="9" fontId="41" fillId="0" borderId="7" xfId="2" applyFont="1" applyBorder="1" applyAlignment="1">
      <alignment horizontal="center" vertical="top"/>
    </xf>
    <xf numFmtId="2" fontId="14" fillId="0" borderId="0" xfId="0" applyNumberFormat="1" applyFont="1" applyAlignment="1">
      <alignment horizontal="center"/>
    </xf>
    <xf numFmtId="170" fontId="34" fillId="0" borderId="3" xfId="2" applyNumberFormat="1" applyFont="1" applyFill="1" applyBorder="1" applyAlignment="1">
      <alignment horizontal="center"/>
    </xf>
    <xf numFmtId="0" fontId="56" fillId="40" borderId="0" xfId="0" applyFont="1" applyFill="1" applyAlignment="1">
      <alignment horizontal="center" vertical="center"/>
    </xf>
    <xf numFmtId="171" fontId="34" fillId="8" borderId="0" xfId="0" applyNumberFormat="1" applyFont="1" applyFill="1" applyAlignment="1">
      <alignment horizontal="center"/>
    </xf>
    <xf numFmtId="171" fontId="34" fillId="0" borderId="0" xfId="0" applyNumberFormat="1" applyFont="1" applyAlignment="1">
      <alignment horizontal="center"/>
    </xf>
    <xf numFmtId="165" fontId="17" fillId="4" borderId="2" xfId="6" applyNumberFormat="1" applyFont="1" applyAlignment="1">
      <alignment horizontal="center" vertical="top"/>
    </xf>
    <xf numFmtId="9" fontId="34" fillId="8" borderId="0" xfId="2" applyFont="1" applyFill="1" applyAlignment="1">
      <alignment horizontal="center"/>
    </xf>
    <xf numFmtId="9" fontId="34" fillId="0" borderId="0" xfId="2" applyFont="1" applyFill="1" applyAlignment="1">
      <alignment horizontal="center"/>
    </xf>
    <xf numFmtId="164" fontId="42" fillId="38" borderId="8" xfId="12" applyNumberFormat="1" applyAlignment="1">
      <alignment horizontal="center"/>
      <protection locked="0"/>
    </xf>
    <xf numFmtId="0" fontId="57" fillId="36" borderId="0" xfId="0" applyFont="1" applyFill="1" applyAlignment="1">
      <alignment vertical="center"/>
    </xf>
    <xf numFmtId="0" fontId="58" fillId="36" borderId="0" xfId="0" applyFont="1" applyFill="1" applyAlignment="1">
      <alignment horizontal="left" vertical="center"/>
    </xf>
    <xf numFmtId="0" fontId="59" fillId="36" borderId="0" xfId="0" applyFont="1" applyFill="1" applyAlignment="1">
      <alignment vertical="center"/>
    </xf>
    <xf numFmtId="0" fontId="60" fillId="36" borderId="0" xfId="0" applyFont="1" applyFill="1" applyAlignment="1">
      <alignment vertical="center"/>
    </xf>
    <xf numFmtId="0" fontId="57" fillId="36" borderId="0" xfId="0" applyFont="1" applyFill="1" applyAlignment="1">
      <alignment horizontal="center" vertical="center"/>
    </xf>
    <xf numFmtId="0" fontId="61" fillId="36" borderId="0" xfId="0" applyFont="1" applyFill="1" applyAlignment="1">
      <alignment vertical="center"/>
    </xf>
    <xf numFmtId="0" fontId="57" fillId="0" borderId="0" xfId="0" applyFont="1" applyAlignment="1">
      <alignment vertical="center"/>
    </xf>
    <xf numFmtId="0" fontId="61" fillId="0" borderId="0" xfId="0" applyFont="1" applyAlignment="1">
      <alignment vertical="center"/>
    </xf>
    <xf numFmtId="0" fontId="62" fillId="40" borderId="0" xfId="0" applyFont="1" applyFill="1" applyAlignment="1">
      <alignment horizontal="center"/>
    </xf>
    <xf numFmtId="166" fontId="34" fillId="8" borderId="3" xfId="2" applyNumberFormat="1" applyFont="1" applyFill="1" applyBorder="1" applyAlignment="1">
      <alignment horizontal="center"/>
    </xf>
    <xf numFmtId="166" fontId="34" fillId="0" borderId="3" xfId="2" applyNumberFormat="1" applyFont="1" applyFill="1" applyBorder="1" applyAlignment="1">
      <alignment horizontal="center"/>
    </xf>
    <xf numFmtId="164" fontId="5" fillId="4" borderId="2" xfId="6" applyNumberFormat="1" applyAlignment="1">
      <alignment horizontal="right" vertical="top"/>
    </xf>
    <xf numFmtId="169" fontId="44" fillId="8" borderId="0" xfId="2" applyNumberFormat="1" applyFont="1" applyFill="1" applyBorder="1" applyAlignment="1">
      <alignment horizontal="center"/>
    </xf>
    <xf numFmtId="164" fontId="42" fillId="0" borderId="8" xfId="12" applyNumberFormat="1" applyFill="1" applyAlignment="1">
      <alignment horizontal="center"/>
      <protection locked="0"/>
    </xf>
    <xf numFmtId="164" fontId="34" fillId="8" borderId="0" xfId="2" applyNumberFormat="1" applyFont="1" applyFill="1" applyBorder="1" applyAlignment="1">
      <alignment horizontal="center"/>
    </xf>
    <xf numFmtId="164" fontId="34" fillId="0" borderId="0" xfId="2" applyNumberFormat="1" applyFont="1" applyFill="1" applyBorder="1" applyAlignment="1">
      <alignment horizontal="center"/>
    </xf>
    <xf numFmtId="0" fontId="56" fillId="40" borderId="0" xfId="0" applyFont="1" applyFill="1" applyAlignment="1">
      <alignment vertical="center"/>
    </xf>
    <xf numFmtId="0" fontId="63" fillId="40" borderId="0" xfId="0" applyFont="1" applyFill="1" applyAlignment="1">
      <alignment horizontal="left" vertical="center"/>
    </xf>
    <xf numFmtId="0" fontId="64" fillId="40" borderId="0" xfId="0" applyFont="1" applyFill="1" applyAlignment="1">
      <alignment vertical="center"/>
    </xf>
    <xf numFmtId="0" fontId="65" fillId="40" borderId="0" xfId="0" applyFont="1" applyFill="1" applyAlignment="1">
      <alignment vertical="center"/>
    </xf>
    <xf numFmtId="0" fontId="56" fillId="0" borderId="0" xfId="0" applyFont="1" applyAlignment="1">
      <alignment vertical="center"/>
    </xf>
    <xf numFmtId="0" fontId="66" fillId="0" borderId="0" xfId="0" applyFont="1"/>
    <xf numFmtId="0" fontId="67" fillId="41" borderId="0" xfId="0" applyFont="1" applyFill="1" applyAlignment="1">
      <alignment horizontal="center"/>
    </xf>
    <xf numFmtId="164" fontId="0" fillId="0" borderId="0" xfId="0" applyNumberFormat="1" applyAlignment="1">
      <alignment vertical="top"/>
    </xf>
    <xf numFmtId="165" fontId="5" fillId="4" borderId="2" xfId="6" applyNumberFormat="1" applyAlignment="1">
      <alignment horizontal="right" vertical="top"/>
    </xf>
    <xf numFmtId="9" fontId="34" fillId="8" borderId="3" xfId="2" applyFont="1" applyFill="1" applyBorder="1" applyAlignment="1">
      <alignment horizontal="center"/>
    </xf>
    <xf numFmtId="9" fontId="34" fillId="0" borderId="3" xfId="2" applyFont="1" applyFill="1" applyBorder="1" applyAlignment="1">
      <alignment horizontal="center"/>
    </xf>
    <xf numFmtId="0" fontId="68" fillId="41" borderId="0" xfId="0" applyFont="1" applyFill="1" applyAlignment="1">
      <alignment vertical="center"/>
    </xf>
    <xf numFmtId="0" fontId="69" fillId="41" borderId="0" xfId="0" applyFont="1" applyFill="1" applyAlignment="1">
      <alignment horizontal="left" vertical="center"/>
    </xf>
    <xf numFmtId="0" fontId="70" fillId="41" borderId="0" xfId="0" applyFont="1" applyFill="1" applyAlignment="1">
      <alignment vertical="center"/>
    </xf>
    <xf numFmtId="0" fontId="71" fillId="41" borderId="0" xfId="0" applyFont="1" applyFill="1" applyAlignment="1">
      <alignment vertical="center"/>
    </xf>
    <xf numFmtId="0" fontId="68" fillId="41" borderId="0" xfId="0" applyFont="1" applyFill="1" applyAlignment="1">
      <alignment horizontal="center" vertical="center"/>
    </xf>
    <xf numFmtId="0" fontId="72" fillId="41" borderId="0" xfId="0" applyFont="1" applyFill="1" applyAlignment="1">
      <alignment vertical="center"/>
    </xf>
    <xf numFmtId="0" fontId="68" fillId="0" borderId="0" xfId="0" applyFont="1" applyAlignment="1">
      <alignment vertical="center"/>
    </xf>
    <xf numFmtId="0" fontId="72" fillId="0" borderId="0" xfId="0" applyFont="1" applyAlignment="1">
      <alignment vertical="center"/>
    </xf>
    <xf numFmtId="0" fontId="73" fillId="42" borderId="0" xfId="0" applyFont="1" applyFill="1" applyAlignment="1">
      <alignment horizontal="center"/>
    </xf>
    <xf numFmtId="2" fontId="34" fillId="8" borderId="0" xfId="0" applyNumberFormat="1" applyFont="1" applyFill="1" applyAlignment="1">
      <alignment horizontal="center"/>
    </xf>
    <xf numFmtId="2" fontId="5" fillId="4" borderId="2" xfId="6" applyNumberFormat="1" applyAlignment="1">
      <alignment horizontal="right" vertical="top"/>
    </xf>
    <xf numFmtId="2" fontId="34" fillId="0" borderId="0" xfId="0" applyNumberFormat="1" applyFont="1" applyAlignment="1">
      <alignment horizontal="center"/>
    </xf>
    <xf numFmtId="169" fontId="34" fillId="8" borderId="0" xfId="0" applyNumberFormat="1" applyFont="1" applyFill="1" applyAlignment="1">
      <alignment horizontal="center"/>
    </xf>
    <xf numFmtId="2" fontId="17" fillId="4" borderId="2" xfId="6" applyNumberFormat="1" applyFont="1" applyAlignment="1">
      <alignment horizontal="center" vertical="top"/>
    </xf>
    <xf numFmtId="169" fontId="34" fillId="0" borderId="0" xfId="0" applyNumberFormat="1" applyFont="1" applyAlignment="1">
      <alignment horizontal="center"/>
    </xf>
    <xf numFmtId="166" fontId="34" fillId="8" borderId="0" xfId="0" applyNumberFormat="1" applyFont="1" applyFill="1" applyAlignment="1">
      <alignment horizontal="center"/>
    </xf>
    <xf numFmtId="172" fontId="34" fillId="8" borderId="0" xfId="0" applyNumberFormat="1" applyFont="1" applyFill="1" applyAlignment="1">
      <alignment horizontal="center"/>
    </xf>
    <xf numFmtId="0" fontId="18" fillId="43" borderId="0" xfId="0" applyFont="1" applyFill="1" applyAlignment="1">
      <alignment vertical="top"/>
    </xf>
    <xf numFmtId="0" fontId="10" fillId="6" borderId="0" xfId="9" applyAlignment="1">
      <alignment vertical="top"/>
    </xf>
    <xf numFmtId="0" fontId="74" fillId="6" borderId="0" xfId="9" applyFont="1" applyAlignment="1">
      <alignment vertical="top"/>
    </xf>
    <xf numFmtId="0" fontId="53" fillId="6" borderId="4" xfId="9" applyFont="1" applyBorder="1"/>
    <xf numFmtId="0" fontId="10" fillId="6" borderId="0" xfId="9" applyAlignment="1">
      <alignment horizontal="center" vertical="top"/>
    </xf>
    <xf numFmtId="164" fontId="10" fillId="6" borderId="0" xfId="9" applyNumberFormat="1" applyAlignment="1">
      <alignment horizontal="center"/>
    </xf>
    <xf numFmtId="164" fontId="10" fillId="0" borderId="0" xfId="9" applyNumberFormat="1" applyFill="1" applyAlignment="1">
      <alignment horizontal="center"/>
    </xf>
    <xf numFmtId="0" fontId="75" fillId="6" borderId="0" xfId="9" applyFont="1" applyAlignment="1">
      <alignment vertical="top"/>
    </xf>
    <xf numFmtId="0" fontId="76" fillId="6" borderId="0" xfId="9" applyFont="1" applyAlignment="1">
      <alignment vertical="top"/>
    </xf>
    <xf numFmtId="0" fontId="53" fillId="25" borderId="0" xfId="9" applyFont="1" applyFill="1" applyBorder="1" applyAlignment="1">
      <alignment vertical="top"/>
    </xf>
    <xf numFmtId="0" fontId="21" fillId="6" borderId="0" xfId="9" applyFont="1" applyAlignment="1">
      <alignment horizontal="center" vertical="top"/>
    </xf>
    <xf numFmtId="164" fontId="34" fillId="8" borderId="0" xfId="9" applyNumberFormat="1" applyFont="1" applyFill="1" applyAlignment="1">
      <alignment horizontal="center"/>
    </xf>
    <xf numFmtId="164" fontId="34" fillId="0" borderId="0" xfId="9" applyNumberFormat="1" applyFont="1" applyFill="1" applyAlignment="1">
      <alignment horizontal="center"/>
    </xf>
    <xf numFmtId="0" fontId="77" fillId="42" borderId="0" xfId="0" applyFont="1" applyFill="1" applyAlignment="1">
      <alignment vertical="center"/>
    </xf>
    <xf numFmtId="0" fontId="78" fillId="42" borderId="0" xfId="0" applyFont="1" applyFill="1" applyAlignment="1">
      <alignment horizontal="left" vertical="center"/>
    </xf>
    <xf numFmtId="0" fontId="79" fillId="42" borderId="0" xfId="0" applyFont="1" applyFill="1" applyAlignment="1">
      <alignment vertical="center"/>
    </xf>
    <xf numFmtId="0" fontId="80" fillId="42" borderId="0" xfId="0" applyFont="1" applyFill="1" applyAlignment="1">
      <alignment vertical="center"/>
    </xf>
    <xf numFmtId="0" fontId="77" fillId="42" borderId="0" xfId="0" applyFont="1" applyFill="1" applyAlignment="1">
      <alignment horizontal="center" vertical="center"/>
    </xf>
    <xf numFmtId="0" fontId="77" fillId="0" borderId="0" xfId="0" applyFont="1" applyAlignment="1">
      <alignment vertical="center"/>
    </xf>
    <xf numFmtId="0" fontId="81" fillId="44" borderId="0" xfId="0" applyFont="1" applyFill="1" applyAlignment="1">
      <alignment horizontal="center" vertical="center"/>
    </xf>
    <xf numFmtId="2" fontId="0" fillId="8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32" fillId="0" borderId="0" xfId="0" applyNumberFormat="1" applyFont="1" applyAlignment="1">
      <alignment vertical="top"/>
    </xf>
    <xf numFmtId="166" fontId="34" fillId="0" borderId="0" xfId="0" applyNumberFormat="1" applyFont="1" applyAlignment="1">
      <alignment horizontal="center"/>
    </xf>
    <xf numFmtId="0" fontId="42" fillId="38" borderId="8" xfId="12" applyAlignment="1">
      <protection locked="0"/>
    </xf>
    <xf numFmtId="167" fontId="14" fillId="0" borderId="0" xfId="0" applyNumberFormat="1" applyFont="1"/>
    <xf numFmtId="2" fontId="0" fillId="0" borderId="0" xfId="0" applyNumberFormat="1" applyAlignment="1">
      <alignment horizontal="center"/>
    </xf>
    <xf numFmtId="2" fontId="42" fillId="38" borderId="8" xfId="12" applyNumberFormat="1" applyAlignment="1">
      <alignment horizontal="center"/>
      <protection locked="0"/>
    </xf>
    <xf numFmtId="2" fontId="42" fillId="0" borderId="8" xfId="12" applyNumberFormat="1" applyFill="1" applyAlignment="1">
      <protection locked="0"/>
    </xf>
    <xf numFmtId="2" fontId="17" fillId="38" borderId="8" xfId="12" applyNumberFormat="1" applyFont="1" applyAlignment="1">
      <alignment horizontal="center"/>
      <protection locked="0"/>
    </xf>
    <xf numFmtId="0" fontId="82" fillId="44" borderId="0" xfId="0" applyFont="1" applyFill="1" applyAlignment="1">
      <alignment vertical="center"/>
    </xf>
    <xf numFmtId="0" fontId="83" fillId="44" borderId="0" xfId="0" applyFont="1" applyFill="1" applyAlignment="1">
      <alignment horizontal="left" vertical="center"/>
    </xf>
    <xf numFmtId="0" fontId="84" fillId="44" borderId="0" xfId="0" applyFont="1" applyFill="1" applyAlignment="1">
      <alignment vertical="center"/>
    </xf>
    <xf numFmtId="0" fontId="85" fillId="44" borderId="0" xfId="0" applyFont="1" applyFill="1" applyAlignment="1">
      <alignment vertical="center"/>
    </xf>
    <xf numFmtId="0" fontId="82" fillId="44" borderId="0" xfId="0" applyFont="1" applyFill="1" applyAlignment="1">
      <alignment horizontal="center" vertical="center"/>
    </xf>
    <xf numFmtId="0" fontId="82" fillId="0" borderId="0" xfId="0" applyFont="1" applyAlignment="1">
      <alignment vertical="center"/>
    </xf>
    <xf numFmtId="0" fontId="86" fillId="44" borderId="0" xfId="0" applyFont="1" applyFill="1" applyAlignment="1">
      <alignment horizontal="center"/>
    </xf>
    <xf numFmtId="165" fontId="1" fillId="7" borderId="0" xfId="10" applyNumberFormat="1" applyAlignment="1">
      <alignment horizontal="center"/>
    </xf>
    <xf numFmtId="165" fontId="17" fillId="7" borderId="0" xfId="10" applyNumberFormat="1" applyFont="1" applyAlignment="1">
      <alignment horizontal="center"/>
    </xf>
    <xf numFmtId="0" fontId="0" fillId="43" borderId="0" xfId="0" applyFill="1" applyAlignment="1">
      <alignment vertical="top"/>
    </xf>
    <xf numFmtId="0" fontId="19" fillId="43" borderId="0" xfId="0" applyFont="1" applyFill="1" applyAlignment="1">
      <alignment vertical="top"/>
    </xf>
    <xf numFmtId="2" fontId="42" fillId="0" borderId="8" xfId="12" applyNumberFormat="1" applyFill="1" applyAlignment="1">
      <alignment horizontal="center"/>
      <protection locked="0"/>
    </xf>
    <xf numFmtId="0" fontId="42" fillId="0" borderId="8" xfId="12" applyFill="1" applyAlignment="1">
      <protection locked="0"/>
    </xf>
    <xf numFmtId="0" fontId="42" fillId="0" borderId="8" xfId="12" applyFill="1" applyAlignment="1">
      <alignment horizontal="center"/>
      <protection locked="0"/>
    </xf>
    <xf numFmtId="0" fontId="20" fillId="0" borderId="0" xfId="0" applyFont="1" applyAlignment="1">
      <alignment horizontal="center"/>
    </xf>
    <xf numFmtId="0" fontId="42" fillId="38" borderId="8" xfId="12" applyAlignment="1">
      <alignment horizontal="center"/>
      <protection locked="0"/>
    </xf>
    <xf numFmtId="0" fontId="21" fillId="0" borderId="0" xfId="0" applyFont="1"/>
    <xf numFmtId="164" fontId="14" fillId="8" borderId="0" xfId="0" applyNumberFormat="1" applyFont="1" applyFill="1"/>
    <xf numFmtId="165" fontId="42" fillId="0" borderId="8" xfId="12" applyNumberFormat="1" applyFill="1" applyAlignment="1">
      <alignment horizontal="center"/>
      <protection locked="0"/>
    </xf>
    <xf numFmtId="0" fontId="15" fillId="10" borderId="0" xfId="0" applyFont="1" applyFill="1" applyAlignment="1">
      <alignment horizontal="center"/>
    </xf>
    <xf numFmtId="164" fontId="14" fillId="0" borderId="0" xfId="0" applyNumberFormat="1" applyFont="1"/>
    <xf numFmtId="0" fontId="15" fillId="0" borderId="0" xfId="0" applyFont="1"/>
    <xf numFmtId="0" fontId="86" fillId="44" borderId="0" xfId="0" applyFont="1" applyFill="1" applyAlignment="1">
      <alignment horizontal="center" vertical="top"/>
    </xf>
    <xf numFmtId="0" fontId="18" fillId="5" borderId="4" xfId="7" applyFont="1" applyAlignment="1">
      <alignment vertical="top"/>
    </xf>
    <xf numFmtId="164" fontId="34" fillId="8" borderId="0" xfId="0" applyNumberFormat="1" applyFont="1" applyFill="1" applyAlignment="1">
      <alignment horizontal="center" vertical="top"/>
    </xf>
    <xf numFmtId="165" fontId="34" fillId="8" borderId="0" xfId="0" applyNumberFormat="1" applyFont="1" applyFill="1" applyAlignment="1">
      <alignment horizontal="center" vertical="top"/>
    </xf>
    <xf numFmtId="165" fontId="14" fillId="0" borderId="0" xfId="0" applyNumberFormat="1" applyFont="1" applyAlignment="1">
      <alignment horizontal="center" vertical="top"/>
    </xf>
    <xf numFmtId="0" fontId="15" fillId="10" borderId="0" xfId="0" applyFont="1" applyFill="1" applyAlignment="1">
      <alignment vertical="top"/>
    </xf>
    <xf numFmtId="0" fontId="14" fillId="0" borderId="0" xfId="0" applyFont="1" applyAlignment="1">
      <alignment vertical="top"/>
    </xf>
    <xf numFmtId="165" fontId="14" fillId="37" borderId="0" xfId="0" applyNumberFormat="1" applyFont="1" applyFill="1" applyAlignment="1">
      <alignment horizontal="center" vertical="top"/>
    </xf>
    <xf numFmtId="165" fontId="14" fillId="12" borderId="0" xfId="0" applyNumberFormat="1" applyFont="1" applyFill="1" applyAlignment="1">
      <alignment horizontal="center" vertical="top"/>
    </xf>
    <xf numFmtId="0" fontId="16" fillId="0" borderId="0" xfId="0" applyFont="1" applyAlignment="1">
      <alignment vertical="top"/>
    </xf>
    <xf numFmtId="165" fontId="17" fillId="0" borderId="0" xfId="0" applyNumberFormat="1" applyFont="1" applyAlignment="1">
      <alignment horizontal="center" vertical="top"/>
    </xf>
    <xf numFmtId="2" fontId="17" fillId="0" borderId="0" xfId="0" applyNumberFormat="1" applyFont="1" applyAlignment="1">
      <alignment horizontal="center" vertical="top"/>
    </xf>
    <xf numFmtId="164" fontId="34" fillId="0" borderId="0" xfId="0" applyNumberFormat="1" applyFont="1" applyAlignment="1">
      <alignment horizontal="center" vertical="top"/>
    </xf>
    <xf numFmtId="173" fontId="34" fillId="8" borderId="0" xfId="2" applyNumberFormat="1" applyFont="1" applyFill="1" applyAlignment="1">
      <alignment horizontal="center"/>
    </xf>
    <xf numFmtId="173" fontId="34" fillId="0" borderId="0" xfId="2" applyNumberFormat="1" applyFont="1" applyFill="1" applyAlignment="1">
      <alignment horizontal="center"/>
    </xf>
    <xf numFmtId="10" fontId="34" fillId="8" borderId="0" xfId="2" applyNumberFormat="1" applyFont="1" applyFill="1" applyAlignment="1">
      <alignment horizontal="center"/>
    </xf>
    <xf numFmtId="10" fontId="34" fillId="0" borderId="0" xfId="2" applyNumberFormat="1" applyFont="1" applyFill="1" applyAlignment="1">
      <alignment horizontal="center"/>
    </xf>
    <xf numFmtId="164" fontId="34" fillId="8" borderId="0" xfId="2" applyNumberFormat="1" applyFont="1" applyFill="1" applyAlignment="1">
      <alignment horizontal="center"/>
    </xf>
    <xf numFmtId="164" fontId="34" fillId="0" borderId="0" xfId="2" applyNumberFormat="1" applyFont="1" applyFill="1" applyAlignment="1">
      <alignment horizontal="center"/>
    </xf>
    <xf numFmtId="0" fontId="87" fillId="0" borderId="0" xfId="0" applyFont="1" applyAlignment="1">
      <alignment vertical="center"/>
    </xf>
    <xf numFmtId="0" fontId="88" fillId="0" borderId="0" xfId="0" applyFont="1" applyAlignment="1">
      <alignment horizontal="left" vertical="center"/>
    </xf>
    <xf numFmtId="0" fontId="89" fillId="0" borderId="0" xfId="0" applyFont="1" applyAlignment="1">
      <alignment vertical="center"/>
    </xf>
    <xf numFmtId="0" fontId="90" fillId="0" borderId="0" xfId="0" applyFont="1" applyAlignment="1">
      <alignment vertical="center"/>
    </xf>
    <xf numFmtId="0" fontId="87" fillId="0" borderId="0" xfId="0" applyFont="1" applyAlignment="1">
      <alignment horizontal="center" vertical="center"/>
    </xf>
    <xf numFmtId="164" fontId="91" fillId="38" borderId="0" xfId="0" applyNumberFormat="1" applyFont="1" applyFill="1"/>
    <xf numFmtId="0" fontId="42" fillId="38" borderId="8" xfId="12" applyAlignment="1">
      <alignment vertical="top"/>
      <protection locked="0"/>
    </xf>
    <xf numFmtId="165" fontId="42" fillId="38" borderId="8" xfId="12" applyNumberFormat="1" applyAlignment="1">
      <alignment horizontal="center"/>
      <protection locked="0"/>
    </xf>
    <xf numFmtId="164" fontId="91" fillId="38" borderId="0" xfId="0" applyNumberFormat="1" applyFont="1" applyFill="1" applyAlignment="1">
      <alignment vertical="top"/>
    </xf>
    <xf numFmtId="0" fontId="92" fillId="0" borderId="0" xfId="0" applyFont="1" applyAlignment="1">
      <alignment vertical="top"/>
    </xf>
    <xf numFmtId="0" fontId="93" fillId="38" borderId="0" xfId="0" applyFont="1" applyFill="1" applyAlignment="1">
      <alignment vertical="center"/>
    </xf>
    <xf numFmtId="0" fontId="94" fillId="38" borderId="0" xfId="0" applyFont="1" applyFill="1" applyAlignment="1">
      <alignment horizontal="left" vertical="center"/>
    </xf>
    <xf numFmtId="0" fontId="95" fillId="38" borderId="0" xfId="0" applyFont="1" applyFill="1" applyAlignment="1">
      <alignment vertical="center"/>
    </xf>
    <xf numFmtId="0" fontId="27" fillId="38" borderId="0" xfId="0" applyFont="1" applyFill="1" applyAlignment="1">
      <alignment vertical="center"/>
    </xf>
    <xf numFmtId="0" fontId="93" fillId="38" borderId="0" xfId="0" applyFont="1" applyFill="1" applyAlignment="1">
      <alignment horizontal="center" vertical="center"/>
    </xf>
    <xf numFmtId="0" fontId="96" fillId="38" borderId="0" xfId="0" applyFont="1" applyFill="1" applyAlignment="1">
      <alignment vertical="center"/>
    </xf>
    <xf numFmtId="0" fontId="93" fillId="0" borderId="0" xfId="0" applyFont="1" applyAlignment="1">
      <alignment vertical="center"/>
    </xf>
    <xf numFmtId="0" fontId="96" fillId="0" borderId="0" xfId="0" applyFont="1" applyAlignment="1">
      <alignment vertical="center"/>
    </xf>
    <xf numFmtId="0" fontId="97" fillId="45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64" fontId="15" fillId="0" borderId="0" xfId="0" applyNumberFormat="1" applyFont="1"/>
    <xf numFmtId="2" fontId="15" fillId="0" borderId="0" xfId="0" applyNumberFormat="1" applyFont="1"/>
    <xf numFmtId="164" fontId="3" fillId="2" borderId="7" xfId="4" applyNumberFormat="1" applyBorder="1" applyAlignment="1">
      <alignment horizontal="right" vertical="top"/>
    </xf>
    <xf numFmtId="164" fontId="42" fillId="38" borderId="8" xfId="12" applyNumberFormat="1" applyAlignment="1">
      <alignment horizontal="right" vertical="top"/>
      <protection locked="0"/>
    </xf>
    <xf numFmtId="9" fontId="16" fillId="0" borderId="0" xfId="0" applyNumberFormat="1" applyFont="1"/>
    <xf numFmtId="164" fontId="34" fillId="8" borderId="3" xfId="2" applyNumberFormat="1" applyFont="1" applyFill="1" applyBorder="1" applyAlignment="1">
      <alignment horizontal="center"/>
    </xf>
    <xf numFmtId="164" fontId="34" fillId="0" borderId="3" xfId="2" applyNumberFormat="1" applyFont="1" applyFill="1" applyBorder="1" applyAlignment="1">
      <alignment horizontal="center"/>
    </xf>
    <xf numFmtId="9" fontId="42" fillId="38" borderId="8" xfId="2" applyFont="1" applyFill="1" applyBorder="1" applyAlignment="1" applyProtection="1">
      <alignment horizontal="center"/>
      <protection locked="0"/>
    </xf>
    <xf numFmtId="9" fontId="42" fillId="38" borderId="8" xfId="12" applyNumberFormat="1" applyAlignment="1">
      <alignment horizontal="center"/>
      <protection locked="0"/>
    </xf>
    <xf numFmtId="169" fontId="44" fillId="8" borderId="3" xfId="2" applyNumberFormat="1" applyFont="1" applyFill="1" applyBorder="1" applyAlignment="1">
      <alignment horizontal="center"/>
    </xf>
    <xf numFmtId="9" fontId="42" fillId="0" borderId="8" xfId="2" applyFont="1" applyFill="1" applyBorder="1" applyAlignment="1" applyProtection="1">
      <alignment horizontal="center"/>
      <protection locked="0"/>
    </xf>
    <xf numFmtId="170" fontId="34" fillId="8" borderId="0" xfId="2" applyNumberFormat="1" applyFont="1" applyFill="1" applyBorder="1" applyAlignment="1">
      <alignment horizontal="center"/>
    </xf>
    <xf numFmtId="0" fontId="16" fillId="0" borderId="10" xfId="0" applyFont="1" applyBorder="1"/>
    <xf numFmtId="170" fontId="34" fillId="0" borderId="0" xfId="2" applyNumberFormat="1" applyFont="1" applyFill="1" applyBorder="1" applyAlignment="1">
      <alignment horizontal="center"/>
    </xf>
    <xf numFmtId="0" fontId="0" fillId="46" borderId="0" xfId="0" applyFill="1" applyAlignment="1">
      <alignment vertical="top"/>
    </xf>
    <xf numFmtId="0" fontId="18" fillId="46" borderId="0" xfId="0" applyFont="1" applyFill="1" applyAlignment="1">
      <alignment vertical="top"/>
    </xf>
    <xf numFmtId="0" fontId="17" fillId="38" borderId="8" xfId="12" applyFont="1" applyAlignment="1">
      <alignment horizontal="center"/>
      <protection locked="0"/>
    </xf>
    <xf numFmtId="0" fontId="98" fillId="45" borderId="0" xfId="0" applyFont="1" applyFill="1" applyAlignment="1">
      <alignment horizontal="center" vertical="center"/>
    </xf>
    <xf numFmtId="0" fontId="99" fillId="45" borderId="0" xfId="0" applyFont="1" applyFill="1" applyAlignment="1">
      <alignment horizontal="left" vertical="center"/>
    </xf>
    <xf numFmtId="0" fontId="100" fillId="45" borderId="0" xfId="0" applyFont="1" applyFill="1" applyAlignment="1">
      <alignment horizontal="center" vertical="center"/>
    </xf>
    <xf numFmtId="0" fontId="101" fillId="45" borderId="0" xfId="0" applyFont="1" applyFill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81" fillId="47" borderId="0" xfId="0" applyFont="1" applyFill="1" applyAlignment="1">
      <alignment horizontal="center"/>
    </xf>
    <xf numFmtId="2" fontId="34" fillId="8" borderId="0" xfId="13" applyNumberFormat="1" applyFont="1" applyFill="1" applyAlignment="1">
      <alignment horizontal="center"/>
    </xf>
    <xf numFmtId="2" fontId="34" fillId="0" borderId="0" xfId="13" applyNumberFormat="1" applyFont="1" applyFill="1" applyAlignment="1">
      <alignment horizontal="center"/>
    </xf>
    <xf numFmtId="2" fontId="0" fillId="8" borderId="0" xfId="0" applyNumberFormat="1" applyFill="1" applyAlignment="1">
      <alignment vertical="top"/>
    </xf>
    <xf numFmtId="164" fontId="17" fillId="4" borderId="2" xfId="6" applyNumberFormat="1" applyFont="1" applyAlignment="1">
      <alignment horizontal="center" vertical="top"/>
    </xf>
    <xf numFmtId="174" fontId="42" fillId="38" borderId="8" xfId="12" applyNumberFormat="1" applyAlignment="1">
      <alignment horizontal="center"/>
      <protection locked="0"/>
    </xf>
    <xf numFmtId="174" fontId="34" fillId="8" borderId="0" xfId="0" applyNumberFormat="1" applyFont="1" applyFill="1" applyAlignment="1">
      <alignment horizontal="center"/>
    </xf>
    <xf numFmtId="174" fontId="42" fillId="0" borderId="8" xfId="12" applyNumberFormat="1" applyFill="1" applyAlignment="1">
      <alignment horizontal="center"/>
      <protection locked="0"/>
    </xf>
    <xf numFmtId="0" fontId="19" fillId="46" borderId="0" xfId="0" applyFont="1" applyFill="1" applyAlignment="1">
      <alignment vertical="top"/>
    </xf>
    <xf numFmtId="0" fontId="3" fillId="2" borderId="0" xfId="4" applyAlignment="1">
      <alignment horizontal="center"/>
    </xf>
    <xf numFmtId="175" fontId="5" fillId="4" borderId="2" xfId="6" applyNumberFormat="1" applyAlignment="1">
      <alignment horizontal="right" vertical="top"/>
    </xf>
    <xf numFmtId="0" fontId="82" fillId="47" borderId="0" xfId="0" applyFont="1" applyFill="1" applyAlignment="1">
      <alignment vertical="center"/>
    </xf>
    <xf numFmtId="0" fontId="83" fillId="47" borderId="0" xfId="0" applyFont="1" applyFill="1" applyAlignment="1">
      <alignment horizontal="left" vertical="center"/>
    </xf>
    <xf numFmtId="0" fontId="84" fillId="47" borderId="0" xfId="0" applyFont="1" applyFill="1" applyAlignment="1">
      <alignment vertical="center"/>
    </xf>
    <xf numFmtId="0" fontId="85" fillId="47" borderId="0" xfId="0" applyFont="1" applyFill="1" applyAlignment="1">
      <alignment vertical="center"/>
    </xf>
    <xf numFmtId="0" fontId="82" fillId="47" borderId="0" xfId="0" applyFont="1" applyFill="1" applyAlignment="1">
      <alignment horizontal="center" vertical="center"/>
    </xf>
    <xf numFmtId="0" fontId="7" fillId="48" borderId="0" xfId="0" applyFont="1" applyFill="1" applyAlignment="1">
      <alignment horizontal="center"/>
    </xf>
    <xf numFmtId="0" fontId="17" fillId="4" borderId="2" xfId="6" applyFont="1" applyAlignment="1">
      <alignment horizontal="center" vertical="top"/>
    </xf>
    <xf numFmtId="2" fontId="16" fillId="0" borderId="0" xfId="0" applyNumberFormat="1" applyFont="1"/>
    <xf numFmtId="0" fontId="9" fillId="0" borderId="0" xfId="0" applyFont="1" applyAlignment="1">
      <alignment vertical="top"/>
    </xf>
    <xf numFmtId="0" fontId="17" fillId="10" borderId="0" xfId="0" applyFont="1" applyFill="1" applyAlignment="1">
      <alignment horizontal="center"/>
    </xf>
    <xf numFmtId="0" fontId="20" fillId="46" borderId="0" xfId="0" applyFont="1" applyFill="1" applyAlignment="1">
      <alignment vertical="top"/>
    </xf>
    <xf numFmtId="165" fontId="16" fillId="0" borderId="0" xfId="0" applyNumberFormat="1" applyFont="1"/>
    <xf numFmtId="0" fontId="102" fillId="48" borderId="0" xfId="0" applyFont="1" applyFill="1" applyAlignment="1">
      <alignment horizontal="left"/>
    </xf>
    <xf numFmtId="0" fontId="103" fillId="48" borderId="0" xfId="0" applyFont="1" applyFill="1" applyAlignment="1">
      <alignment horizontal="center"/>
    </xf>
    <xf numFmtId="0" fontId="104" fillId="48" borderId="0" xfId="0" applyFont="1" applyFill="1" applyAlignment="1">
      <alignment horizontal="center"/>
    </xf>
    <xf numFmtId="0" fontId="105" fillId="48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105" fillId="0" borderId="0" xfId="0" applyFont="1" applyAlignment="1">
      <alignment horizontal="left"/>
    </xf>
    <xf numFmtId="0" fontId="106" fillId="49" borderId="0" xfId="0" applyFont="1" applyFill="1"/>
    <xf numFmtId="0" fontId="106" fillId="49" borderId="0" xfId="0" applyFont="1" applyFill="1" applyAlignment="1">
      <alignment vertical="top"/>
    </xf>
    <xf numFmtId="165" fontId="14" fillId="12" borderId="0" xfId="0" applyNumberFormat="1" applyFont="1" applyFill="1" applyAlignment="1">
      <alignment horizontal="center" wrapText="1"/>
    </xf>
    <xf numFmtId="0" fontId="16" fillId="0" borderId="0" xfId="0" applyFont="1" applyAlignment="1">
      <alignment wrapText="1"/>
    </xf>
    <xf numFmtId="164" fontId="34" fillId="0" borderId="0" xfId="0" applyNumberFormat="1" applyFont="1" applyAlignment="1">
      <alignment horizontal="center" wrapText="1"/>
    </xf>
    <xf numFmtId="0" fontId="18" fillId="5" borderId="11" xfId="7" applyFont="1" applyBorder="1"/>
    <xf numFmtId="2" fontId="5" fillId="4" borderId="0" xfId="6" applyNumberFormat="1" applyBorder="1" applyAlignment="1">
      <alignment horizontal="right" vertical="top"/>
    </xf>
    <xf numFmtId="0" fontId="18" fillId="25" borderId="0" xfId="7" applyFont="1" applyFill="1" applyBorder="1" applyAlignment="1">
      <alignment vertical="top"/>
    </xf>
    <xf numFmtId="2" fontId="17" fillId="4" borderId="0" xfId="6" applyNumberFormat="1" applyFont="1" applyBorder="1" applyAlignment="1">
      <alignment horizontal="center" vertical="top"/>
    </xf>
    <xf numFmtId="0" fontId="107" fillId="49" borderId="0" xfId="0" applyFont="1" applyFill="1" applyAlignment="1">
      <alignment horizontal="left"/>
    </xf>
    <xf numFmtId="0" fontId="108" fillId="49" borderId="0" xfId="0" applyFont="1" applyFill="1"/>
    <xf numFmtId="0" fontId="109" fillId="49" borderId="0" xfId="0" applyFont="1" applyFill="1"/>
    <xf numFmtId="0" fontId="106" fillId="49" borderId="0" xfId="0" applyFont="1" applyFill="1" applyAlignment="1">
      <alignment horizontal="center"/>
    </xf>
    <xf numFmtId="0" fontId="110" fillId="49" borderId="0" xfId="0" applyFont="1" applyFill="1"/>
    <xf numFmtId="0" fontId="106" fillId="0" borderId="0" xfId="0" applyFont="1"/>
    <xf numFmtId="0" fontId="110" fillId="0" borderId="0" xfId="0" applyFont="1"/>
    <xf numFmtId="0" fontId="0" fillId="50" borderId="0" xfId="0" applyFill="1" applyAlignment="1">
      <alignment horizontal="center"/>
    </xf>
    <xf numFmtId="0" fontId="18" fillId="5" borderId="12" xfId="7" applyFont="1" applyBorder="1"/>
    <xf numFmtId="0" fontId="111" fillId="50" borderId="13" xfId="14" applyAlignment="1">
      <alignment vertical="top"/>
      <protection locked="0"/>
    </xf>
    <xf numFmtId="0" fontId="111" fillId="50" borderId="13" xfId="14" applyAlignment="1">
      <alignment horizontal="center"/>
      <protection locked="0"/>
    </xf>
    <xf numFmtId="0" fontId="111" fillId="0" borderId="13" xfId="14" applyFill="1" applyAlignment="1">
      <alignment horizontal="center"/>
      <protection locked="0"/>
    </xf>
    <xf numFmtId="164" fontId="112" fillId="8" borderId="13" xfId="14" applyNumberFormat="1" applyFont="1" applyFill="1" applyAlignment="1">
      <alignment horizontal="center"/>
      <protection locked="0"/>
    </xf>
    <xf numFmtId="164" fontId="42" fillId="38" borderId="8" xfId="12" applyNumberFormat="1" applyAlignment="1">
      <alignment horizontal="center" vertical="top"/>
      <protection locked="0"/>
    </xf>
    <xf numFmtId="169" fontId="44" fillId="8" borderId="13" xfId="14" applyNumberFormat="1" applyFont="1" applyFill="1" applyAlignment="1">
      <alignment horizontal="center"/>
      <protection locked="0"/>
    </xf>
    <xf numFmtId="164" fontId="112" fillId="0" borderId="13" xfId="14" applyNumberFormat="1" applyFont="1" applyFill="1" applyAlignment="1">
      <alignment horizontal="center"/>
      <protection locked="0"/>
    </xf>
    <xf numFmtId="0" fontId="10" fillId="27" borderId="0" xfId="0" applyFont="1" applyFill="1" applyAlignment="1">
      <alignment horizontal="center"/>
    </xf>
    <xf numFmtId="164" fontId="16" fillId="0" borderId="10" xfId="0" applyNumberFormat="1" applyFont="1" applyBorder="1"/>
    <xf numFmtId="164" fontId="16" fillId="0" borderId="0" xfId="0" applyNumberFormat="1" applyFont="1"/>
    <xf numFmtId="0" fontId="16" fillId="0" borderId="10" xfId="0" applyFont="1" applyBorder="1" applyAlignment="1">
      <alignment horizontal="center"/>
    </xf>
    <xf numFmtId="0" fontId="104" fillId="0" borderId="0" xfId="0" applyFont="1" applyAlignment="1">
      <alignment vertical="top"/>
    </xf>
    <xf numFmtId="166" fontId="5" fillId="4" borderId="2" xfId="6" applyNumberFormat="1" applyAlignment="1">
      <alignment horizontal="right" vertical="top"/>
    </xf>
    <xf numFmtId="166" fontId="16" fillId="0" borderId="10" xfId="0" applyNumberFormat="1" applyFont="1" applyBorder="1"/>
    <xf numFmtId="166" fontId="16" fillId="0" borderId="0" xfId="0" applyNumberFormat="1" applyFont="1"/>
    <xf numFmtId="0" fontId="18" fillId="25" borderId="11" xfId="7" applyFont="1" applyFill="1" applyBorder="1" applyAlignment="1">
      <alignment vertical="top"/>
    </xf>
    <xf numFmtId="0" fontId="113" fillId="50" borderId="0" xfId="0" applyFont="1" applyFill="1" applyAlignment="1">
      <alignment horizontal="left"/>
    </xf>
    <xf numFmtId="0" fontId="114" fillId="50" borderId="0" xfId="0" applyFont="1" applyFill="1" applyAlignment="1">
      <alignment horizontal="left"/>
    </xf>
    <xf numFmtId="0" fontId="115" fillId="50" borderId="0" xfId="0" applyFont="1" applyFill="1" applyAlignment="1">
      <alignment horizontal="left"/>
    </xf>
    <xf numFmtId="0" fontId="116" fillId="50" borderId="0" xfId="0" applyFont="1" applyFill="1" applyAlignment="1">
      <alignment horizontal="left"/>
    </xf>
    <xf numFmtId="0" fontId="113" fillId="50" borderId="0" xfId="0" applyFont="1" applyFill="1" applyAlignment="1">
      <alignment horizontal="center"/>
    </xf>
    <xf numFmtId="0" fontId="113" fillId="0" borderId="0" xfId="0" applyFont="1" applyAlignment="1">
      <alignment horizontal="left"/>
    </xf>
    <xf numFmtId="0" fontId="117" fillId="42" borderId="0" xfId="0" applyFont="1" applyFill="1" applyAlignment="1">
      <alignment horizontal="center"/>
    </xf>
    <xf numFmtId="165" fontId="17" fillId="12" borderId="0" xfId="0" applyNumberFormat="1" applyFont="1" applyFill="1" applyAlignment="1">
      <alignment horizontal="center"/>
    </xf>
    <xf numFmtId="0" fontId="0" fillId="0" borderId="14" xfId="0" applyBorder="1" applyAlignment="1">
      <alignment vertical="top" wrapText="1"/>
    </xf>
    <xf numFmtId="3" fontId="34" fillId="8" borderId="0" xfId="13" applyNumberFormat="1" applyFont="1" applyFill="1" applyAlignment="1">
      <alignment horizontal="center"/>
    </xf>
    <xf numFmtId="3" fontId="34" fillId="0" borderId="0" xfId="13" applyNumberFormat="1" applyFont="1" applyFill="1" applyAlignment="1">
      <alignment horizontal="center"/>
    </xf>
    <xf numFmtId="0" fontId="0" fillId="0" borderId="0" xfId="0" applyAlignment="1">
      <alignment vertical="top" wrapText="1"/>
    </xf>
    <xf numFmtId="9" fontId="5" fillId="4" borderId="2" xfId="6" applyNumberFormat="1" applyAlignment="1">
      <alignment horizontal="right" vertical="top"/>
    </xf>
    <xf numFmtId="10" fontId="17" fillId="0" borderId="0" xfId="2" applyNumberFormat="1" applyFont="1" applyAlignment="1">
      <alignment horizontal="center"/>
    </xf>
    <xf numFmtId="4" fontId="17" fillId="0" borderId="0" xfId="0" applyNumberFormat="1" applyFont="1" applyAlignment="1">
      <alignment horizontal="center"/>
    </xf>
    <xf numFmtId="164" fontId="4" fillId="3" borderId="2" xfId="5" applyNumberFormat="1" applyAlignment="1" applyProtection="1">
      <alignment horizontal="center"/>
      <protection locked="0"/>
    </xf>
    <xf numFmtId="0" fontId="118" fillId="42" borderId="0" xfId="0" applyFont="1" applyFill="1" applyAlignment="1">
      <alignment horizontal="left"/>
    </xf>
    <xf numFmtId="0" fontId="119" fillId="42" borderId="0" xfId="0" applyFont="1" applyFill="1" applyAlignment="1">
      <alignment horizontal="center"/>
    </xf>
    <xf numFmtId="0" fontId="120" fillId="42" borderId="0" xfId="0" applyFont="1" applyFill="1" applyAlignment="1">
      <alignment horizontal="center"/>
    </xf>
    <xf numFmtId="0" fontId="121" fillId="44" borderId="0" xfId="0" applyFont="1" applyFill="1" applyAlignment="1">
      <alignment horizontal="center"/>
    </xf>
    <xf numFmtId="0" fontId="121" fillId="44" borderId="0" xfId="0" applyFont="1" applyFill="1" applyAlignment="1">
      <alignment vertical="top"/>
    </xf>
    <xf numFmtId="0" fontId="123" fillId="44" borderId="0" xfId="15" applyFont="1" applyFill="1" applyAlignment="1"/>
    <xf numFmtId="0" fontId="125" fillId="44" borderId="0" xfId="0" applyFont="1" applyFill="1" applyAlignment="1">
      <alignment vertical="top"/>
    </xf>
    <xf numFmtId="0" fontId="126" fillId="44" borderId="0" xfId="0" applyFont="1" applyFill="1" applyAlignment="1">
      <alignment vertical="top"/>
    </xf>
    <xf numFmtId="0" fontId="127" fillId="44" borderId="0" xfId="0" applyFont="1" applyFill="1" applyAlignment="1">
      <alignment vertical="top"/>
    </xf>
    <xf numFmtId="0" fontId="17" fillId="42" borderId="0" xfId="0" applyFont="1" applyFill="1" applyAlignment="1">
      <alignment horizontal="center"/>
    </xf>
    <xf numFmtId="165" fontId="14" fillId="42" borderId="0" xfId="0" applyNumberFormat="1" applyFont="1" applyFill="1" applyAlignment="1">
      <alignment horizontal="center"/>
    </xf>
    <xf numFmtId="0" fontId="14" fillId="42" borderId="0" xfId="0" applyFont="1" applyFill="1" applyAlignment="1">
      <alignment horizontal="center"/>
    </xf>
    <xf numFmtId="0" fontId="117" fillId="0" borderId="0" xfId="0" applyFont="1" applyAlignment="1">
      <alignment horizontal="center"/>
    </xf>
    <xf numFmtId="2" fontId="117" fillId="0" borderId="0" xfId="0" applyNumberFormat="1" applyFont="1" applyAlignment="1">
      <alignment horizontal="center"/>
    </xf>
    <xf numFmtId="164" fontId="34" fillId="43" borderId="0" xfId="0" applyNumberFormat="1" applyFont="1" applyFill="1" applyAlignment="1">
      <alignment horizontal="center"/>
    </xf>
    <xf numFmtId="0" fontId="111" fillId="50" borderId="13" xfId="14" applyAlignment="1">
      <alignment vertical="top" wrapText="1"/>
      <protection locked="0"/>
    </xf>
    <xf numFmtId="0" fontId="128" fillId="44" borderId="0" xfId="0" applyFont="1" applyFill="1" applyAlignment="1">
      <alignment vertical="top"/>
    </xf>
    <xf numFmtId="0" fontId="10" fillId="17" borderId="0" xfId="0" applyFont="1" applyFill="1"/>
    <xf numFmtId="0" fontId="111" fillId="50" borderId="13" xfId="14" applyAlignment="1">
      <alignment horizontal="center" wrapText="1"/>
      <protection locked="0"/>
    </xf>
    <xf numFmtId="0" fontId="111" fillId="0" borderId="13" xfId="14" applyFill="1" applyAlignment="1">
      <alignment wrapText="1"/>
      <protection locked="0"/>
    </xf>
    <xf numFmtId="164" fontId="4" fillId="0" borderId="2" xfId="5" applyNumberFormat="1" applyFill="1" applyAlignment="1" applyProtection="1">
      <alignment horizontal="center"/>
      <protection locked="0"/>
    </xf>
    <xf numFmtId="0" fontId="10" fillId="51" borderId="0" xfId="0" applyFont="1" applyFill="1"/>
    <xf numFmtId="0" fontId="0" fillId="51" borderId="0" xfId="0" applyFill="1" applyAlignment="1">
      <alignment vertical="top"/>
    </xf>
    <xf numFmtId="0" fontId="18" fillId="51" borderId="0" xfId="0" applyFont="1" applyFill="1" applyAlignment="1">
      <alignment vertical="top"/>
    </xf>
    <xf numFmtId="0" fontId="19" fillId="51" borderId="0" xfId="0" applyFont="1" applyFill="1" applyAlignment="1">
      <alignment vertical="top"/>
    </xf>
    <xf numFmtId="0" fontId="20" fillId="51" borderId="0" xfId="0" applyFont="1" applyFill="1" applyAlignment="1">
      <alignment vertical="top"/>
    </xf>
    <xf numFmtId="0" fontId="18" fillId="51" borderId="4" xfId="7" applyFont="1" applyFill="1"/>
    <xf numFmtId="0" fontId="21" fillId="51" borderId="0" xfId="0" applyFont="1" applyFill="1" applyAlignment="1">
      <alignment horizontal="center" vertical="top"/>
    </xf>
    <xf numFmtId="1" fontId="5" fillId="51" borderId="2" xfId="6" applyNumberFormat="1" applyFill="1" applyAlignment="1">
      <alignment horizontal="right" vertical="top"/>
    </xf>
    <xf numFmtId="165" fontId="34" fillId="51" borderId="0" xfId="0" applyNumberFormat="1" applyFont="1" applyFill="1" applyAlignment="1">
      <alignment horizontal="center"/>
    </xf>
    <xf numFmtId="0" fontId="17" fillId="51" borderId="0" xfId="0" applyFont="1" applyFill="1" applyAlignment="1">
      <alignment horizontal="center"/>
    </xf>
    <xf numFmtId="165" fontId="14" fillId="51" borderId="0" xfId="0" applyNumberFormat="1" applyFont="1" applyFill="1" applyAlignment="1">
      <alignment horizontal="center"/>
    </xf>
    <xf numFmtId="0" fontId="15" fillId="51" borderId="0" xfId="0" applyFont="1" applyFill="1"/>
    <xf numFmtId="164" fontId="14" fillId="51" borderId="0" xfId="0" applyNumberFormat="1" applyFont="1" applyFill="1"/>
    <xf numFmtId="165" fontId="17" fillId="51" borderId="0" xfId="0" applyNumberFormat="1" applyFont="1" applyFill="1" applyAlignment="1">
      <alignment horizontal="center"/>
    </xf>
    <xf numFmtId="169" fontId="44" fillId="51" borderId="0" xfId="0" applyNumberFormat="1" applyFont="1" applyFill="1" applyAlignment="1">
      <alignment horizontal="center"/>
    </xf>
    <xf numFmtId="1" fontId="5" fillId="4" borderId="2" xfId="6" applyNumberFormat="1" applyAlignment="1">
      <alignment horizontal="right" vertical="top"/>
    </xf>
    <xf numFmtId="174" fontId="5" fillId="4" borderId="2" xfId="6" applyNumberFormat="1" applyAlignment="1">
      <alignment horizontal="right" vertical="top"/>
    </xf>
    <xf numFmtId="0" fontId="10" fillId="52" borderId="0" xfId="0" applyFont="1" applyFill="1" applyAlignment="1">
      <alignment horizontal="center"/>
    </xf>
    <xf numFmtId="0" fontId="129" fillId="0" borderId="0" xfId="0" applyFont="1"/>
    <xf numFmtId="0" fontId="131" fillId="0" borderId="0" xfId="0" applyFont="1" applyAlignment="1">
      <alignment vertical="top"/>
    </xf>
    <xf numFmtId="0" fontId="132" fillId="0" borderId="0" xfId="0" applyFont="1"/>
    <xf numFmtId="0" fontId="14" fillId="53" borderId="0" xfId="0" applyFont="1" applyFill="1" applyAlignment="1">
      <alignment horizontal="center"/>
    </xf>
    <xf numFmtId="2" fontId="111" fillId="50" borderId="13" xfId="14" applyNumberFormat="1" applyAlignment="1">
      <alignment horizontal="center"/>
      <protection locked="0"/>
    </xf>
    <xf numFmtId="2" fontId="111" fillId="0" borderId="13" xfId="14" applyNumberFormat="1" applyFill="1" applyAlignment="1">
      <alignment horizontal="center"/>
      <protection locked="0"/>
    </xf>
    <xf numFmtId="0" fontId="14" fillId="54" borderId="0" xfId="0" applyFont="1" applyFill="1" applyAlignment="1">
      <alignment horizontal="center"/>
    </xf>
    <xf numFmtId="0" fontId="18" fillId="25" borderId="0" xfId="0" applyFont="1" applyFill="1" applyAlignment="1">
      <alignment vertical="top"/>
    </xf>
    <xf numFmtId="0" fontId="0" fillId="51" borderId="0" xfId="0" applyFill="1" applyAlignment="1">
      <alignment horizontal="center"/>
    </xf>
    <xf numFmtId="164" fontId="34" fillId="51" borderId="0" xfId="0" applyNumberFormat="1" applyFont="1" applyFill="1" applyAlignment="1">
      <alignment horizontal="center"/>
    </xf>
    <xf numFmtId="0" fontId="134" fillId="55" borderId="0" xfId="0" applyFont="1" applyFill="1" applyProtection="1">
      <protection locked="0"/>
    </xf>
    <xf numFmtId="174" fontId="21" fillId="0" borderId="0" xfId="0" applyNumberFormat="1" applyFont="1" applyAlignment="1">
      <alignment horizontal="left"/>
    </xf>
    <xf numFmtId="0" fontId="8" fillId="0" borderId="0" xfId="8" applyNumberFormat="1" applyAlignment="1" applyProtection="1">
      <alignment horizontal="center" vertical="top"/>
      <protection locked="0"/>
    </xf>
    <xf numFmtId="0" fontId="8" fillId="0" borderId="0" xfId="8" applyNumberFormat="1" applyAlignment="1" applyProtection="1">
      <alignment horizontal="left" vertical="top"/>
      <protection locked="0"/>
    </xf>
    <xf numFmtId="0" fontId="138" fillId="36" borderId="0" xfId="0" applyFont="1" applyFill="1"/>
    <xf numFmtId="2" fontId="9" fillId="0" borderId="0" xfId="0" applyNumberFormat="1" applyFont="1" applyProtection="1">
      <protection locked="0"/>
    </xf>
    <xf numFmtId="0" fontId="34" fillId="0" borderId="0" xfId="0" applyFont="1" applyAlignment="1" applyProtection="1">
      <alignment horizontal="left"/>
      <protection locked="0"/>
    </xf>
    <xf numFmtId="174" fontId="21" fillId="0" borderId="0" xfId="0" applyNumberFormat="1" applyFont="1" applyAlignment="1" applyProtection="1">
      <alignment horizontal="left"/>
      <protection locked="0"/>
    </xf>
    <xf numFmtId="0" fontId="8" fillId="0" borderId="0" xfId="8" applyNumberFormat="1" applyBorder="1" applyAlignment="1" applyProtection="1">
      <alignment horizontal="center" vertical="top"/>
      <protection locked="0"/>
    </xf>
    <xf numFmtId="0" fontId="8" fillId="0" borderId="0" xfId="8" applyNumberFormat="1" applyBorder="1" applyAlignment="1" applyProtection="1">
      <alignment horizontal="left" vertical="top"/>
      <protection locked="0"/>
    </xf>
    <xf numFmtId="0" fontId="139" fillId="38" borderId="0" xfId="0" applyFont="1" applyFill="1" applyAlignment="1">
      <alignment vertical="top"/>
    </xf>
    <xf numFmtId="2" fontId="17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0" fontId="8" fillId="0" borderId="0" xfId="8" applyNumberFormat="1" applyBorder="1" applyAlignment="1" applyProtection="1">
      <alignment horizontal="center"/>
      <protection locked="0"/>
    </xf>
    <xf numFmtId="14" fontId="17" fillId="0" borderId="0" xfId="0" applyNumberFormat="1" applyFont="1" applyProtection="1">
      <protection locked="0"/>
    </xf>
    <xf numFmtId="0" fontId="14" fillId="36" borderId="0" xfId="0" applyFont="1" applyFill="1" applyProtection="1">
      <protection locked="0"/>
    </xf>
    <xf numFmtId="0" fontId="32" fillId="36" borderId="0" xfId="0" applyFont="1" applyFill="1" applyProtection="1">
      <protection locked="0"/>
    </xf>
    <xf numFmtId="174" fontId="14" fillId="0" borderId="0" xfId="0" applyNumberFormat="1" applyFont="1" applyAlignment="1" applyProtection="1">
      <alignment horizontal="left"/>
      <protection locked="0"/>
    </xf>
    <xf numFmtId="2" fontId="2" fillId="0" borderId="0" xfId="3" applyNumberFormat="1" applyBorder="1" applyAlignment="1">
      <alignment horizontal="center" wrapText="1"/>
    </xf>
    <xf numFmtId="0" fontId="2" fillId="0" borderId="0" xfId="3" applyBorder="1" applyAlignment="1">
      <alignment horizontal="left" wrapText="1"/>
    </xf>
    <xf numFmtId="9" fontId="2" fillId="0" borderId="0" xfId="2" applyFont="1" applyBorder="1" applyAlignment="1">
      <alignment horizontal="center" wrapText="1"/>
    </xf>
    <xf numFmtId="0" fontId="2" fillId="0" borderId="0" xfId="3" applyBorder="1" applyAlignment="1">
      <alignment horizontal="center" wrapText="1"/>
    </xf>
    <xf numFmtId="0" fontId="8" fillId="0" borderId="0" xfId="8" applyNumberFormat="1" applyBorder="1" applyAlignment="1" applyProtection="1">
      <alignment horizontal="left"/>
      <protection locked="0"/>
    </xf>
    <xf numFmtId="0" fontId="32" fillId="0" borderId="0" xfId="0" applyFont="1" applyProtection="1">
      <protection locked="0"/>
    </xf>
    <xf numFmtId="2" fontId="9" fillId="45" borderId="0" xfId="0" applyNumberFormat="1" applyFont="1" applyFill="1"/>
    <xf numFmtId="2" fontId="9" fillId="44" borderId="0" xfId="0" applyNumberFormat="1" applyFont="1" applyFill="1"/>
    <xf numFmtId="0" fontId="17" fillId="0" borderId="0" xfId="0" applyFont="1" applyProtection="1">
      <protection locked="0"/>
    </xf>
    <xf numFmtId="0" fontId="122" fillId="0" borderId="0" xfId="15" applyAlignment="1"/>
    <xf numFmtId="164" fontId="9" fillId="0" borderId="16" xfId="16" applyNumberFormat="1" applyFont="1" applyBorder="1" applyAlignment="1">
      <alignment horizontal="right"/>
    </xf>
    <xf numFmtId="164" fontId="9" fillId="0" borderId="0" xfId="16" applyNumberFormat="1" applyFont="1" applyBorder="1" applyAlignment="1"/>
    <xf numFmtId="164" fontId="142" fillId="45" borderId="17" xfId="16" applyNumberFormat="1" applyFont="1" applyFill="1" applyBorder="1" applyAlignment="1">
      <alignment horizontal="right"/>
    </xf>
    <xf numFmtId="0" fontId="142" fillId="45" borderId="17" xfId="0" applyFont="1" applyFill="1" applyBorder="1"/>
    <xf numFmtId="164" fontId="144" fillId="47" borderId="18" xfId="16" applyNumberFormat="1" applyFont="1" applyFill="1" applyBorder="1" applyAlignment="1">
      <alignment horizontal="right"/>
    </xf>
    <xf numFmtId="0" fontId="144" fillId="47" borderId="17" xfId="0" applyFont="1" applyFill="1" applyBorder="1"/>
    <xf numFmtId="0" fontId="146" fillId="36" borderId="0" xfId="0" applyFont="1" applyFill="1" applyProtection="1">
      <protection locked="0"/>
    </xf>
    <xf numFmtId="2" fontId="146" fillId="36" borderId="0" xfId="16" applyNumberFormat="1" applyFont="1" applyFill="1" applyBorder="1" applyAlignment="1" applyProtection="1">
      <protection locked="0"/>
    </xf>
    <xf numFmtId="2" fontId="34" fillId="36" borderId="0" xfId="15" applyNumberFormat="1" applyFont="1" applyFill="1" applyAlignment="1" applyProtection="1">
      <alignment horizontal="left"/>
      <protection locked="0"/>
    </xf>
    <xf numFmtId="174" fontId="147" fillId="36" borderId="0" xfId="0" applyNumberFormat="1" applyFont="1" applyFill="1" applyAlignment="1" applyProtection="1">
      <alignment horizontal="left"/>
      <protection locked="0"/>
    </xf>
    <xf numFmtId="0" fontId="14" fillId="45" borderId="0" xfId="0" applyFont="1" applyFill="1" applyProtection="1">
      <protection locked="0"/>
    </xf>
    <xf numFmtId="164" fontId="142" fillId="45" borderId="17" xfId="0" applyNumberFormat="1" applyFont="1" applyFill="1" applyBorder="1"/>
    <xf numFmtId="0" fontId="14" fillId="47" borderId="0" xfId="0" applyFont="1" applyFill="1" applyProtection="1">
      <protection locked="0"/>
    </xf>
    <xf numFmtId="164" fontId="144" fillId="47" borderId="17" xfId="0" applyNumberFormat="1" applyFont="1" applyFill="1" applyBorder="1"/>
    <xf numFmtId="0" fontId="0" fillId="0" borderId="0" xfId="0" applyAlignment="1">
      <alignment horizontal="left" vertical="top"/>
    </xf>
    <xf numFmtId="2" fontId="17" fillId="56" borderId="0" xfId="0" applyNumberFormat="1" applyFont="1" applyFill="1" applyProtection="1">
      <protection locked="0"/>
    </xf>
    <xf numFmtId="0" fontId="13" fillId="42" borderId="0" xfId="11" applyFont="1" applyFill="1" applyAlignment="1">
      <alignment horizontal="left" vertical="top"/>
    </xf>
    <xf numFmtId="0" fontId="9" fillId="0" borderId="19" xfId="0" applyFont="1" applyBorder="1" applyAlignment="1">
      <alignment horizontal="left" vertical="top"/>
    </xf>
    <xf numFmtId="0" fontId="14" fillId="55" borderId="0" xfId="0" applyFont="1" applyFill="1"/>
    <xf numFmtId="0" fontId="14" fillId="55" borderId="0" xfId="0" applyFont="1" applyFill="1" applyAlignment="1">
      <alignment wrapText="1"/>
    </xf>
    <xf numFmtId="177" fontId="0" fillId="55" borderId="0" xfId="1" applyNumberFormat="1" applyFont="1" applyFill="1" applyAlignment="1">
      <alignment horizontal="center"/>
    </xf>
    <xf numFmtId="0" fontId="17" fillId="55" borderId="0" xfId="0" applyFont="1" applyFill="1"/>
    <xf numFmtId="0" fontId="17" fillId="55" borderId="0" xfId="0" applyFont="1" applyFill="1" applyAlignment="1">
      <alignment wrapText="1"/>
    </xf>
    <xf numFmtId="0" fontId="148" fillId="0" borderId="0" xfId="0" applyFont="1" applyProtection="1">
      <protection locked="0"/>
    </xf>
    <xf numFmtId="2" fontId="17" fillId="55" borderId="0" xfId="0" applyNumberFormat="1" applyFont="1" applyFill="1" applyProtection="1">
      <protection locked="0"/>
    </xf>
    <xf numFmtId="0" fontId="14" fillId="57" borderId="0" xfId="0" applyFont="1" applyFill="1"/>
    <xf numFmtId="177" fontId="0" fillId="57" borderId="0" xfId="1" applyNumberFormat="1" applyFont="1" applyFill="1" applyAlignment="1">
      <alignment horizontal="center"/>
    </xf>
    <xf numFmtId="2" fontId="17" fillId="43" borderId="0" xfId="0" applyNumberFormat="1" applyFont="1" applyFill="1" applyProtection="1">
      <protection locked="0"/>
    </xf>
    <xf numFmtId="2" fontId="17" fillId="57" borderId="0" xfId="0" applyNumberFormat="1" applyFont="1" applyFill="1" applyProtection="1">
      <protection locked="0"/>
    </xf>
    <xf numFmtId="0" fontId="17" fillId="57" borderId="0" xfId="0" applyFont="1" applyFill="1"/>
    <xf numFmtId="0" fontId="17" fillId="38" borderId="0" xfId="0" applyFont="1" applyFill="1"/>
    <xf numFmtId="177" fontId="9" fillId="38" borderId="20" xfId="1" applyNumberFormat="1" applyFont="1" applyFill="1" applyBorder="1" applyAlignment="1">
      <alignment horizontal="right"/>
    </xf>
    <xf numFmtId="0" fontId="0" fillId="24" borderId="0" xfId="0" applyFill="1" applyAlignment="1">
      <alignment horizontal="left"/>
    </xf>
    <xf numFmtId="177" fontId="9" fillId="24" borderId="0" xfId="1" applyNumberFormat="1" applyFont="1" applyFill="1" applyAlignment="1">
      <alignment horizontal="center"/>
    </xf>
    <xf numFmtId="0" fontId="9" fillId="24" borderId="0" xfId="0" applyFont="1" applyFill="1" applyAlignment="1">
      <alignment horizontal="left"/>
    </xf>
    <xf numFmtId="177" fontId="9" fillId="24" borderId="16" xfId="1" applyNumberFormat="1" applyFont="1" applyFill="1" applyBorder="1" applyAlignment="1">
      <alignment horizontal="center"/>
    </xf>
    <xf numFmtId="0" fontId="0" fillId="58" borderId="0" xfId="0" applyFill="1" applyAlignment="1">
      <alignment horizontal="left"/>
    </xf>
    <xf numFmtId="177" fontId="9" fillId="58" borderId="0" xfId="1" applyNumberFormat="1" applyFont="1" applyFill="1" applyAlignment="1">
      <alignment horizontal="center"/>
    </xf>
    <xf numFmtId="0" fontId="9" fillId="58" borderId="0" xfId="0" applyFont="1" applyFill="1" applyAlignment="1">
      <alignment horizontal="left"/>
    </xf>
    <xf numFmtId="177" fontId="9" fillId="58" borderId="16" xfId="1" applyNumberFormat="1" applyFont="1" applyFill="1" applyBorder="1" applyAlignment="1">
      <alignment horizontal="center"/>
    </xf>
    <xf numFmtId="0" fontId="0" fillId="59" borderId="0" xfId="0" applyFill="1" applyAlignment="1">
      <alignment horizontal="left"/>
    </xf>
    <xf numFmtId="177" fontId="9" fillId="59" borderId="0" xfId="1" applyNumberFormat="1" applyFont="1" applyFill="1" applyAlignment="1">
      <alignment horizontal="center"/>
    </xf>
    <xf numFmtId="0" fontId="9" fillId="59" borderId="0" xfId="0" applyFont="1" applyFill="1" applyAlignment="1">
      <alignment horizontal="left"/>
    </xf>
    <xf numFmtId="177" fontId="9" fillId="59" borderId="16" xfId="1" applyNumberFormat="1" applyFont="1" applyFill="1" applyBorder="1" applyAlignment="1">
      <alignment horizontal="center"/>
    </xf>
    <xf numFmtId="0" fontId="10" fillId="52" borderId="0" xfId="0" applyFont="1" applyFill="1" applyAlignment="1">
      <alignment horizontal="left"/>
    </xf>
    <xf numFmtId="177" fontId="6" fillId="52" borderId="0" xfId="1" applyNumberFormat="1" applyFont="1" applyFill="1" applyAlignment="1">
      <alignment horizontal="center"/>
    </xf>
    <xf numFmtId="0" fontId="6" fillId="52" borderId="0" xfId="0" applyFont="1" applyFill="1" applyAlignment="1">
      <alignment horizontal="left"/>
    </xf>
    <xf numFmtId="164" fontId="10" fillId="31" borderId="0" xfId="0" applyNumberFormat="1" applyFont="1" applyFill="1" applyAlignment="1">
      <alignment horizontal="left" wrapText="1"/>
    </xf>
    <xf numFmtId="164" fontId="10" fillId="31" borderId="0" xfId="0" applyNumberFormat="1" applyFont="1" applyFill="1" applyAlignment="1">
      <alignment horizontal="right" wrapText="1"/>
    </xf>
    <xf numFmtId="164" fontId="10" fillId="60" borderId="0" xfId="0" applyNumberFormat="1" applyFont="1" applyFill="1" applyAlignment="1">
      <alignment horizontal="left" wrapText="1"/>
    </xf>
    <xf numFmtId="164" fontId="10" fillId="60" borderId="0" xfId="0" applyNumberFormat="1" applyFont="1" applyFill="1" applyAlignment="1">
      <alignment horizontal="right" wrapText="1"/>
    </xf>
    <xf numFmtId="164" fontId="10" fillId="61" borderId="0" xfId="0" applyNumberFormat="1" applyFont="1" applyFill="1" applyAlignment="1">
      <alignment horizontal="left" wrapText="1"/>
    </xf>
    <xf numFmtId="164" fontId="10" fillId="61" borderId="0" xfId="0" applyNumberFormat="1" applyFont="1" applyFill="1" applyAlignment="1">
      <alignment horizontal="right" wrapText="1"/>
    </xf>
    <xf numFmtId="164" fontId="10" fillId="49" borderId="0" xfId="0" applyNumberFormat="1" applyFont="1" applyFill="1" applyAlignment="1">
      <alignment horizontal="left" wrapText="1"/>
    </xf>
    <xf numFmtId="164" fontId="10" fillId="49" borderId="0" xfId="0" applyNumberFormat="1" applyFont="1" applyFill="1" applyAlignment="1">
      <alignment horizontal="right" wrapText="1"/>
    </xf>
    <xf numFmtId="0" fontId="14" fillId="0" borderId="0" xfId="0" applyFont="1" applyAlignment="1" applyProtection="1">
      <alignment horizontal="left" vertical="top"/>
      <protection locked="0"/>
    </xf>
    <xf numFmtId="2" fontId="34" fillId="0" borderId="0" xfId="15" applyNumberFormat="1" applyFont="1" applyAlignment="1" applyProtection="1">
      <alignment horizontal="left"/>
      <protection locked="0"/>
    </xf>
    <xf numFmtId="164" fontId="10" fillId="62" borderId="0" xfId="0" applyNumberFormat="1" applyFont="1" applyFill="1" applyAlignment="1">
      <alignment horizontal="left" wrapText="1"/>
    </xf>
    <xf numFmtId="177" fontId="6" fillId="62" borderId="0" xfId="1" applyNumberFormat="1" applyFont="1" applyFill="1" applyBorder="1" applyAlignment="1">
      <alignment horizontal="right"/>
    </xf>
    <xf numFmtId="0" fontId="9" fillId="0" borderId="21" xfId="0" applyFont="1" applyBorder="1" applyAlignment="1">
      <alignment horizontal="left"/>
    </xf>
    <xf numFmtId="0" fontId="0" fillId="0" borderId="0" xfId="0" applyAlignment="1">
      <alignment horizontal="left"/>
    </xf>
    <xf numFmtId="2" fontId="34" fillId="0" borderId="0" xfId="0" applyNumberFormat="1" applyFont="1" applyAlignment="1" applyProtection="1">
      <alignment horizontal="left"/>
      <protection locked="0"/>
    </xf>
    <xf numFmtId="0" fontId="14" fillId="0" borderId="0" xfId="0" applyFont="1" applyAlignment="1" applyProtection="1">
      <alignment horizontal="left"/>
      <protection locked="0"/>
    </xf>
    <xf numFmtId="9" fontId="17" fillId="0" borderId="0" xfId="2" applyFont="1" applyAlignment="1" applyProtection="1">
      <protection locked="0"/>
    </xf>
    <xf numFmtId="1" fontId="17" fillId="0" borderId="0" xfId="0" applyNumberFormat="1" applyFont="1" applyProtection="1">
      <protection locked="0"/>
    </xf>
    <xf numFmtId="0" fontId="9" fillId="0" borderId="0" xfId="0" applyFont="1"/>
    <xf numFmtId="0" fontId="122" fillId="0" borderId="0" xfId="15" applyAlignment="1">
      <alignment vertical="center"/>
    </xf>
    <xf numFmtId="164" fontId="9" fillId="0" borderId="0" xfId="0" applyNumberFormat="1" applyFont="1"/>
    <xf numFmtId="164" fontId="0" fillId="56" borderId="0" xfId="0" applyNumberFormat="1" applyFill="1"/>
    <xf numFmtId="0" fontId="121" fillId="44" borderId="0" xfId="0" applyFont="1" applyFill="1" applyProtection="1">
      <protection locked="0"/>
    </xf>
    <xf numFmtId="0" fontId="149" fillId="44" borderId="0" xfId="0" applyFont="1" applyFill="1" applyAlignment="1">
      <alignment vertical="top"/>
    </xf>
    <xf numFmtId="2" fontId="149" fillId="44" borderId="0" xfId="0" applyNumberFormat="1" applyFont="1" applyFill="1" applyProtection="1">
      <protection locked="0"/>
    </xf>
    <xf numFmtId="0" fontId="14" fillId="44" borderId="0" xfId="0" applyFont="1" applyFill="1" applyProtection="1">
      <protection locked="0"/>
    </xf>
  </cellXfs>
  <cellStyles count="17">
    <cellStyle name="20 % - Akzent5" xfId="10" builtinId="46"/>
    <cellStyle name="Akzent3" xfId="9" builtinId="37"/>
    <cellStyle name="Berechnung" xfId="6" builtinId="22"/>
    <cellStyle name="Defaultwert" xfId="12" xr:uid="{071CE6C0-4FFA-4C3E-8CD6-067E7A6C5C95}"/>
    <cellStyle name="Deklarationswert" xfId="14" xr:uid="{17ABF703-8EA3-4D79-A356-B620436E61C3}"/>
    <cellStyle name="Eingabe" xfId="5" builtinId="20"/>
    <cellStyle name="Einheit" xfId="15" xr:uid="{1E24A041-F147-4E73-99AA-DB427668323B}"/>
    <cellStyle name="Erklärender Text" xfId="8" builtinId="53"/>
    <cellStyle name="Komma" xfId="1" builtinId="3"/>
    <cellStyle name="Link" xfId="11" builtinId="8"/>
    <cellStyle name="Notiz" xfId="7" builtinId="10"/>
    <cellStyle name="Prozent" xfId="2" builtinId="5"/>
    <cellStyle name="Schlecht" xfId="4" builtinId="27"/>
    <cellStyle name="Sim Wh" xfId="13" xr:uid="{E35B79A9-85A6-4BF0-87C7-40EF54C32524}"/>
    <cellStyle name="Standard" xfId="0" builtinId="0"/>
    <cellStyle name="Überschrift 3" xfId="3" builtinId="18"/>
    <cellStyle name="X,X kWh/m²NGFa" xfId="16" xr:uid="{734C6955-0FCE-4FFA-AF7C-786F8B8DE8FE}"/>
  </cellStyles>
  <dxfs count="89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74" formatCode="0.0000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numFmt numFmtId="2" formatCode="0.00"/>
      <alignment horizontal="left" vertical="bottom" textRotation="0" wrapText="0" indent="0" justifyLastLine="0" shrinkToFit="0" readingOrder="0"/>
      <protection locked="0" hidden="0"/>
    </dxf>
    <dxf>
      <font>
        <b/>
        <color auto="1"/>
      </font>
      <numFmt numFmtId="2" formatCode="0.00"/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nsolas"/>
        <family val="3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textRotation="0" wrapText="0" indent="0" justifyLastLine="0" shrinkToFit="0" readingOrder="0"/>
      <protection locked="0" hidden="0"/>
    </dxf>
    <dxf>
      <numFmt numFmtId="0" formatCode="General"/>
      <alignment horizontal="center" vertical="top" textRotation="0" wrapText="0" indent="0" justifyLastLine="0" shrinkToFit="0" readingOrder="0"/>
      <protection locked="0" hidden="0"/>
    </dxf>
    <dxf>
      <numFmt numFmtId="0" formatCode="General"/>
      <alignment horizontal="left" vertical="top" textRotation="0" wrapText="0" indent="0" justifyLastLine="0" shrinkToFit="0" readingOrder="0"/>
      <protection locked="0" hidden="0"/>
    </dxf>
    <dxf>
      <numFmt numFmtId="0" formatCode="General"/>
      <alignment horizontal="center" vertical="top" textRotation="0" wrapText="0" indent="0" justifyLastLine="0" shrinkToFit="0" readingOrder="0"/>
      <protection locked="0" hidden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5"/>
        </patternFill>
      </fill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z val="9"/>
        <color auto="1"/>
      </font>
      <numFmt numFmtId="164" formatCode="0.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69" formatCode="0.00000"/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</dxf>
    <dxf>
      <font>
        <b val="0"/>
      </font>
      <alignment textRotation="0" wrapText="0" indent="0" justifyLastLine="0" shrinkToFit="0" readingOrder="0"/>
    </dxf>
    <dxf>
      <font>
        <color auto="1"/>
      </font>
      <numFmt numFmtId="165" formatCode="#,##0.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#,##0.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#,##0.0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Aptos Narrow"/>
        <family val="2"/>
        <scheme val="minor"/>
      </font>
      <fill>
        <patternFill patternType="solid">
          <fgColor indexed="64"/>
          <bgColor theme="0" tint="-0.249977111117893"/>
        </patternFill>
      </fill>
    </dxf>
    <dxf>
      <font>
        <strike val="0"/>
        <outline val="0"/>
        <shadow val="0"/>
        <u val="none"/>
        <vertAlign val="baseline"/>
        <sz val="9"/>
        <color theme="0" tint="-0.499984740745262"/>
        <name val="Aptos Narrow"/>
        <family val="2"/>
        <scheme val="minor"/>
      </font>
      <fill>
        <patternFill>
          <fgColor indexed="64"/>
          <bgColor theme="0" tint="-0.249977111117893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#,##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#,##0.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numFmt numFmtId="165" formatCode="#,##0.0"/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numFmt numFmtId="164" formatCode="0.0"/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9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ptos Narrow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9"/>
      </font>
      <alignment horizontal="general" vertical="top" textRotation="0" wrapText="0" indent="0" justifyLastLine="0" shrinkToFit="0" readingOrder="0"/>
    </dxf>
    <dxf>
      <font>
        <i val="0"/>
        <strike val="0"/>
        <outline val="0"/>
        <shadow val="0"/>
        <vertAlign val="baseline"/>
        <sz val="9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4</xdr:col>
          <xdr:colOff>219075</xdr:colOff>
          <xdr:row>0</xdr:row>
          <xdr:rowOff>200025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65C9C81-AC35-4A8B-A9F5-A874D4B1F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de-AT" sz="1100" b="0" i="0" u="none" strike="noStrike" baseline="0">
                  <a:solidFill>
                    <a:srgbClr val="000000"/>
                  </a:solidFill>
                  <a:latin typeface="Aptos Narrow"/>
                </a:rPr>
                <a:t>Variante auswählen</a:t>
              </a:r>
            </a:p>
            <a:p>
              <a:pPr algn="ctr" rtl="0">
                <a:defRPr sz="1000"/>
              </a:pPr>
              <a:endParaRPr lang="de-AT" sz="1100" b="0" i="0" u="none" strike="noStrike" baseline="0">
                <a:solidFill>
                  <a:srgbClr val="000000"/>
                </a:solidFill>
                <a:latin typeface="Aptos Narrow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imon%20Schneider\Code\peexcel\peexcel\ka_PEQ_Nachweistool.xlsb" TargetMode="External"/><Relationship Id="rId1" Type="http://schemas.openxmlformats.org/officeDocument/2006/relationships/externalLinkPath" Target="ka_PEQ_Nachweistoo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▶"/>
      <sheetName val="ℹ"/>
      <sheetName val="🏙️"/>
      <sheetName val="🌦️"/>
      <sheetName val="🧱"/>
      <sheetName val="🔥H"/>
      <sheetName val="❄️K"/>
      <sheetName val="💨L"/>
      <sheetName val="💧WW"/>
      <sheetName val="🌞PV"/>
      <sheetName val="PVimport"/>
      <sheetName val="🔋"/>
      <sheetName val="🚗"/>
      <sheetName val="☁"/>
      <sheetName val="👤P"/>
      <sheetName val="⚖"/>
      <sheetName val="👤ZR"/>
      <sheetName val="English Input"/>
      <sheetName val="Solar"/>
      <sheetName val="ECars"/>
      <sheetName val="🚗🔌Ecar"/>
      <sheetName val="Scale"/>
      <sheetName val="Pkm"/>
      <sheetName val="⚙"/>
      <sheetName val="RANGES"/>
      <sheetName val="IN"/>
      <sheetName val="Bauteile"/>
      <sheetName val="Mobilität"/>
      <sheetName val="PECO2"/>
      <sheetName val="Varianten"/>
      <sheetName val="SIM2"/>
      <sheetName val="SIM"/>
      <sheetName val="KontextD"/>
      <sheetName val="KontextM"/>
      <sheetName val="KontextO"/>
      <sheetName val="OUT"/>
      <sheetName val="📈"/>
      <sheetName val="📊Ergebnisse"/>
      <sheetName val="Dashboard"/>
      <sheetName val="📊FW-GAS-WP"/>
      <sheetName val="📊Vergleich"/>
      <sheetName val="🧪Daily"/>
      <sheetName val="🏆 PEQ"/>
      <sheetName val="🏆PEQ+M"/>
      <sheetName val="🏆KN PEQ"/>
      <sheetName val="🧪TSD"/>
      <sheetName val="Namen"/>
      <sheetName val="log"/>
    </sheetNames>
    <definedNames>
      <definedName name="ShowColumnSelectionDialog"/>
    </definedNames>
    <sheetDataSet>
      <sheetData sheetId="0"/>
      <sheetData sheetId="1"/>
      <sheetData sheetId="2">
        <row r="5">
          <cell r="D5" t="str">
            <v>WieNeu+ Alliiertenviertel</v>
          </cell>
        </row>
        <row r="7">
          <cell r="D7">
            <v>45350</v>
          </cell>
        </row>
        <row r="8">
          <cell r="D8">
            <v>0</v>
          </cell>
        </row>
        <row r="12">
          <cell r="D12">
            <v>1020</v>
          </cell>
        </row>
        <row r="15">
          <cell r="D15">
            <v>0</v>
          </cell>
        </row>
        <row r="19">
          <cell r="D19" t="str">
            <v>Wien 2050</v>
          </cell>
        </row>
        <row r="28">
          <cell r="E28">
            <v>0.90574651508100079</v>
          </cell>
        </row>
        <row r="29">
          <cell r="E29">
            <v>9.4253484918999181E-2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42">
          <cell r="D42">
            <v>3.2</v>
          </cell>
        </row>
        <row r="43">
          <cell r="D43">
            <v>3.5</v>
          </cell>
        </row>
        <row r="44">
          <cell r="D44">
            <v>2.5</v>
          </cell>
        </row>
        <row r="45">
          <cell r="D45">
            <v>2.5</v>
          </cell>
        </row>
        <row r="46">
          <cell r="D46">
            <v>4</v>
          </cell>
        </row>
        <row r="47">
          <cell r="D47">
            <v>3.2</v>
          </cell>
        </row>
        <row r="48">
          <cell r="D48">
            <v>2.5</v>
          </cell>
        </row>
        <row r="55">
          <cell r="M55" t="str">
            <v>Alltagsmobilität</v>
          </cell>
        </row>
      </sheetData>
      <sheetData sheetId="3">
        <row r="25">
          <cell r="G25" t="str">
            <v>Hohe Warte 2010</v>
          </cell>
        </row>
        <row r="26">
          <cell r="G26" t="str">
            <v>Graz2020</v>
          </cell>
        </row>
        <row r="27">
          <cell r="G27" t="str">
            <v>Graz 2050</v>
          </cell>
        </row>
        <row r="28">
          <cell r="G28" t="str">
            <v>Hamburg 2020</v>
          </cell>
        </row>
        <row r="29">
          <cell r="G29" t="str">
            <v>Innsbruck 2020</v>
          </cell>
        </row>
        <row r="30">
          <cell r="G30" t="str">
            <v>Wien 2020</v>
          </cell>
        </row>
        <row r="31">
          <cell r="G31" t="str">
            <v>Wien 2050</v>
          </cell>
        </row>
        <row r="32">
          <cell r="G32" t="str">
            <v>Klagenfurt</v>
          </cell>
        </row>
        <row r="33">
          <cell r="G33" t="str">
            <v>Salzburg</v>
          </cell>
        </row>
        <row r="34">
          <cell r="G34">
            <v>0</v>
          </cell>
        </row>
      </sheetData>
      <sheetData sheetId="4">
        <row r="11">
          <cell r="D11">
            <v>112841.86911353406</v>
          </cell>
        </row>
        <row r="12">
          <cell r="D12">
            <v>33823.92617996128</v>
          </cell>
        </row>
        <row r="13">
          <cell r="D13">
            <v>33823.92617996128</v>
          </cell>
        </row>
        <row r="27">
          <cell r="D27">
            <v>0.6</v>
          </cell>
        </row>
        <row r="28">
          <cell r="D28">
            <v>0.6</v>
          </cell>
        </row>
        <row r="29">
          <cell r="D29">
            <v>0.6</v>
          </cell>
        </row>
        <row r="30">
          <cell r="D30">
            <v>0.6</v>
          </cell>
        </row>
        <row r="31">
          <cell r="D31">
            <v>0.6</v>
          </cell>
        </row>
        <row r="54">
          <cell r="D54">
            <v>0.40000000000000008</v>
          </cell>
        </row>
        <row r="55">
          <cell r="D55">
            <v>0.40000000000000008</v>
          </cell>
          <cell r="O55" t="str">
            <v>Fc</v>
          </cell>
        </row>
        <row r="56">
          <cell r="D56">
            <v>0.40000000000000008</v>
          </cell>
          <cell r="O56">
            <v>1</v>
          </cell>
        </row>
        <row r="57">
          <cell r="D57">
            <v>0.40000000000000008</v>
          </cell>
          <cell r="O57">
            <v>0.8</v>
          </cell>
        </row>
        <row r="58">
          <cell r="D58">
            <v>0</v>
          </cell>
          <cell r="O58">
            <v>0.7</v>
          </cell>
        </row>
      </sheetData>
      <sheetData sheetId="5"/>
      <sheetData sheetId="6"/>
      <sheetData sheetId="7">
        <row r="30">
          <cell r="C30" t="str">
            <v>Wohnen</v>
          </cell>
          <cell r="D30">
            <v>0</v>
          </cell>
        </row>
        <row r="31">
          <cell r="C31" t="str">
            <v>Büro</v>
          </cell>
          <cell r="D31">
            <v>0.8</v>
          </cell>
        </row>
        <row r="32">
          <cell r="C32" t="str">
            <v xml:space="preserve">Kindergarten und Primäre Bildundseinrichtung </v>
          </cell>
          <cell r="D32">
            <v>0</v>
          </cell>
        </row>
        <row r="33">
          <cell r="C33" t="str">
            <v>Sekundäre Bildungseinrichtung oder Universität</v>
          </cell>
          <cell r="D33">
            <v>0</v>
          </cell>
        </row>
        <row r="34">
          <cell r="C34" t="str">
            <v>Lebensmittelhandel</v>
          </cell>
          <cell r="D34">
            <v>0</v>
          </cell>
        </row>
        <row r="35">
          <cell r="C35" t="str">
            <v>Handel</v>
          </cell>
          <cell r="D35">
            <v>0</v>
          </cell>
        </row>
        <row r="36">
          <cell r="C36" t="str">
            <v>Sonstige Nutzungen</v>
          </cell>
          <cell r="D36">
            <v>0</v>
          </cell>
        </row>
      </sheetData>
      <sheetData sheetId="8"/>
      <sheetData sheetId="9"/>
      <sheetData sheetId="10">
        <row r="9">
          <cell r="B9" t="str">
            <v>Standard PV-Profil Fassade</v>
          </cell>
          <cell r="C9" t="str">
            <v>Standard PV-Profil Fassade</v>
          </cell>
          <cell r="D9" t="str">
            <v>Custom combination</v>
          </cell>
          <cell r="E9" t="str">
            <v>Azi24Tilt27Wp460</v>
          </cell>
          <cell r="F9" t="str">
            <v>Azi-66Tilt27Wp460</v>
          </cell>
          <cell r="G9" t="str">
            <v>Azi114Tilt27Wp460</v>
          </cell>
          <cell r="H9" t="str">
            <v>Azi-100Tilt27Wp460</v>
          </cell>
          <cell r="I9" t="str">
            <v>Azi80Tilt27Wp460</v>
          </cell>
          <cell r="J9" t="str">
            <v>Azi-100Tilt15Wp460</v>
          </cell>
          <cell r="K9" t="str">
            <v>Azi80Tilt15Wp460</v>
          </cell>
          <cell r="L9" t="str">
            <v>Gesamtquartier</v>
          </cell>
          <cell r="M9" t="str">
            <v>CB März 2023 reduziert modelliert (589kWp)</v>
          </cell>
          <cell r="N9" t="str">
            <v>Var_Planstand_Pilzgasse</v>
          </cell>
          <cell r="O9" t="str">
            <v>MinPEQ</v>
          </cell>
          <cell r="P9" t="str">
            <v>AICH_PV NO/SW 10,2 kWp</v>
          </cell>
          <cell r="Q9" t="str">
            <v>AICH_PV Dach &amp; Fass 13,8 kWp</v>
          </cell>
          <cell r="R9" t="str">
            <v>AICH_PV Max
16,4 kWp</v>
          </cell>
          <cell r="S9" t="str">
            <v>AICH_PV Min 15,2</v>
          </cell>
          <cell r="T9" t="str">
            <v>BICHL_100 kWp 90%</v>
          </cell>
          <cell r="U9" t="str">
            <v>BICHL_V1_Dach_Ost-West 240 kWp</v>
          </cell>
          <cell r="V9" t="str">
            <v>BICHL_V2_Ost-West+B 309 kWp</v>
          </cell>
          <cell r="W9" t="str">
            <v>BICHL_V1_Dach_Ost-West 250 kWp (skalierbar)</v>
          </cell>
          <cell r="X9" t="str">
            <v>GLAN_Dach OW
(2412 kWp)</v>
          </cell>
          <cell r="Y9" t="str">
            <v>GLAN_Dach OW + Fass (3635 kWp)</v>
          </cell>
          <cell r="Z9" t="str">
            <v>GLAN_Dach OW + Fass (3555 kWp)</v>
          </cell>
          <cell r="AA9" t="str">
            <v>GNEIS_Dach OW 315</v>
          </cell>
          <cell r="AB9" t="str">
            <v>GNEIS_Dach &amp; Fass 1225</v>
          </cell>
          <cell r="AC9" t="str">
            <v>GNEIS_Dach&amp;Fass 1426</v>
          </cell>
          <cell r="AD9" t="str">
            <v>GNEIS_Dach &amp; Fass OW 800</v>
          </cell>
          <cell r="AE9" t="str">
            <v>DEGEN_Flachdach
Steildach
Terrassen DG1</v>
          </cell>
          <cell r="AF9" t="str">
            <v>DEGEN_Flachdach
Steildach
Terrassen DG1
Geländer/Brüstungen</v>
          </cell>
          <cell r="AG9" t="str">
            <v>Rugier_Flachdach
Steildach
Terrassen DG1</v>
          </cell>
          <cell r="AH9" t="str">
            <v>Rugier_Flachdach
Steildach
Terrassen DG1
Geländer/Brüstungen</v>
          </cell>
          <cell r="AI9" t="str">
            <v>AICH_PV NO/SW 10,2 kWp</v>
          </cell>
          <cell r="AJ9" t="str">
            <v>AICH_PV Dach &amp; Fass 13,8 kWp</v>
          </cell>
          <cell r="AK9" t="str">
            <v>AICH_PV Max
16,4 kWp</v>
          </cell>
          <cell r="AL9" t="str">
            <v>AICH_PV Min 15,2</v>
          </cell>
          <cell r="AM9" t="str">
            <v>Bestand Geblergasse 11</v>
          </cell>
          <cell r="AN9" t="str">
            <v>PE-optimiert Geblergasse 11</v>
          </cell>
          <cell r="AO9" t="str">
            <v>Roof tilt: 0° (Vienna)</v>
          </cell>
          <cell r="AP9" t="str">
            <v>Roof tilt: 15° (Vienna)</v>
          </cell>
          <cell r="AQ9" t="str">
            <v>Roof tilt: 30° South (Vienna)</v>
          </cell>
          <cell r="AR9" t="str">
            <v>Facade south vertical</v>
          </cell>
          <cell r="AS9" t="str">
            <v>Facade south 30°Tilt</v>
          </cell>
          <cell r="AT9" t="str">
            <v>Aggregate profile</v>
          </cell>
        </row>
        <row r="10">
          <cell r="AX10">
            <v>1</v>
          </cell>
          <cell r="AY10" t="str">
            <v>Standard PV-Profil Fassade</v>
          </cell>
          <cell r="BM10">
            <v>1</v>
          </cell>
          <cell r="BN10" t="str">
            <v>Wind 2013</v>
          </cell>
        </row>
        <row r="11">
          <cell r="AX11">
            <v>2</v>
          </cell>
          <cell r="AY11" t="str">
            <v>Standard PV-Profil Fassade</v>
          </cell>
          <cell r="BM11">
            <v>2</v>
          </cell>
          <cell r="BN11" t="str">
            <v>Wind 2015</v>
          </cell>
        </row>
        <row r="12">
          <cell r="AX12">
            <v>3</v>
          </cell>
          <cell r="AY12" t="str">
            <v>Custom combination</v>
          </cell>
          <cell r="BM12">
            <v>3</v>
          </cell>
          <cell r="BN12" t="str">
            <v>Wind 2016</v>
          </cell>
        </row>
        <row r="13">
          <cell r="AX13">
            <v>4</v>
          </cell>
          <cell r="AY13" t="str">
            <v>Azi24Tilt27Wp460</v>
          </cell>
          <cell r="BM13">
            <v>4</v>
          </cell>
          <cell r="BN13" t="str">
            <v>Wind 2030, TU EEG, "Stromzukunft"</v>
          </cell>
        </row>
        <row r="14">
          <cell r="AX14">
            <v>5</v>
          </cell>
          <cell r="AY14" t="str">
            <v>Azi-66Tilt27Wp460</v>
          </cell>
          <cell r="BM14">
            <v>5</v>
          </cell>
          <cell r="BN14" t="str">
            <v>WEB 2015 Umgebung Wien</v>
          </cell>
        </row>
        <row r="15">
          <cell r="AX15">
            <v>6</v>
          </cell>
          <cell r="AY15" t="str">
            <v>Azi114Tilt27Wp460</v>
          </cell>
          <cell r="BM15">
            <v>6</v>
          </cell>
          <cell r="BN15" t="str">
            <v>Hochrechnung Überschuss 2050</v>
          </cell>
        </row>
        <row r="16">
          <cell r="AX16">
            <v>7</v>
          </cell>
          <cell r="AY16" t="str">
            <v>Azi-100Tilt27Wp460</v>
          </cell>
          <cell r="BM16">
            <v>7</v>
          </cell>
          <cell r="BN16" t="str">
            <v>Wind AT 2017</v>
          </cell>
        </row>
        <row r="17">
          <cell r="AX17">
            <v>8</v>
          </cell>
          <cell r="AY17" t="str">
            <v>Azi80Tilt27Wp460</v>
          </cell>
          <cell r="BM17">
            <v>8</v>
          </cell>
          <cell r="BN17" t="str">
            <v>Wind AT 2018</v>
          </cell>
        </row>
        <row r="18">
          <cell r="AX18">
            <v>9</v>
          </cell>
          <cell r="AY18" t="str">
            <v>Azi-100Tilt15Wp460</v>
          </cell>
          <cell r="BM18">
            <v>9</v>
          </cell>
          <cell r="BN18" t="str">
            <v>Wind AT 2019</v>
          </cell>
        </row>
        <row r="19">
          <cell r="AX19">
            <v>10</v>
          </cell>
          <cell r="AY19" t="str">
            <v>Azi80Tilt15Wp460</v>
          </cell>
          <cell r="BM19">
            <v>10</v>
          </cell>
          <cell r="BN19" t="str">
            <v>Wind AT 2020</v>
          </cell>
        </row>
        <row r="20">
          <cell r="AX20">
            <v>11</v>
          </cell>
          <cell r="AY20" t="str">
            <v>Gesamtquartier</v>
          </cell>
        </row>
        <row r="21">
          <cell r="AX21">
            <v>12</v>
          </cell>
          <cell r="AY21" t="str">
            <v>CB März 2023 reduziert modelliert (589kWp)</v>
          </cell>
        </row>
        <row r="22">
          <cell r="AX22">
            <v>13</v>
          </cell>
          <cell r="AY22" t="str">
            <v>Var_Planstand_Pilzgasse</v>
          </cell>
        </row>
        <row r="23">
          <cell r="AX23">
            <v>14</v>
          </cell>
          <cell r="AY23" t="str">
            <v>MinPEQ</v>
          </cell>
        </row>
        <row r="24">
          <cell r="AX24">
            <v>15</v>
          </cell>
          <cell r="AY24" t="str">
            <v>AICH_PV NO/SW 10,2 kWp</v>
          </cell>
        </row>
        <row r="25">
          <cell r="AX25">
            <v>16</v>
          </cell>
          <cell r="AY25" t="str">
            <v>AICH_PV Dach &amp; Fass 13,8 kWp</v>
          </cell>
        </row>
        <row r="26">
          <cell r="AX26">
            <v>17</v>
          </cell>
          <cell r="AY26" t="str">
            <v>AICH_PV Max
16,4 kWp</v>
          </cell>
        </row>
        <row r="27">
          <cell r="AX27">
            <v>18</v>
          </cell>
          <cell r="AY27" t="str">
            <v>AICH_PV Min 15,2</v>
          </cell>
        </row>
        <row r="28">
          <cell r="AX28">
            <v>19</v>
          </cell>
          <cell r="AY28" t="str">
            <v>BICHL_100 kWp 90%</v>
          </cell>
        </row>
        <row r="29">
          <cell r="AX29">
            <v>20</v>
          </cell>
          <cell r="AY29" t="str">
            <v>BICHL_V1_Dach_Ost-West 240 kWp</v>
          </cell>
        </row>
        <row r="30">
          <cell r="AX30">
            <v>21</v>
          </cell>
          <cell r="AY30" t="str">
            <v>BICHL_V2_Ost-West+B 309 kWp</v>
          </cell>
        </row>
        <row r="31">
          <cell r="AX31">
            <v>22</v>
          </cell>
          <cell r="AY31" t="str">
            <v>BICHL_V1_Dach_Ost-West 250 kWp (skalierbar)</v>
          </cell>
        </row>
        <row r="32">
          <cell r="AX32">
            <v>23</v>
          </cell>
          <cell r="AY32" t="str">
            <v>GLAN_Dach OW
(2412 kWp)</v>
          </cell>
        </row>
        <row r="33">
          <cell r="AX33">
            <v>24</v>
          </cell>
          <cell r="AY33" t="str">
            <v>GLAN_Dach OW + Fass (3635 kWp)</v>
          </cell>
        </row>
        <row r="34">
          <cell r="AX34">
            <v>25</v>
          </cell>
          <cell r="AY34" t="str">
            <v>GLAN_Dach OW + Fass (3555 kWp)</v>
          </cell>
        </row>
        <row r="35">
          <cell r="AX35">
            <v>26</v>
          </cell>
          <cell r="AY35" t="str">
            <v>GNEIS_Dach OW 315</v>
          </cell>
        </row>
        <row r="36">
          <cell r="AX36">
            <v>27</v>
          </cell>
          <cell r="AY36" t="str">
            <v>GNEIS_Dach &amp; Fass 1225</v>
          </cell>
        </row>
        <row r="37">
          <cell r="AX37">
            <v>28</v>
          </cell>
          <cell r="AY37" t="str">
            <v>GNEIS_Dach&amp;Fass 1426</v>
          </cell>
        </row>
        <row r="38">
          <cell r="AX38">
            <v>29</v>
          </cell>
          <cell r="AY38" t="str">
            <v>GNEIS_Dach &amp; Fass OW 800</v>
          </cell>
        </row>
        <row r="39">
          <cell r="AX39">
            <v>30</v>
          </cell>
          <cell r="AY39" t="str">
            <v>DEGEN_Flachdach
Steildach
Terrassen DG1</v>
          </cell>
        </row>
        <row r="40">
          <cell r="AX40">
            <v>31</v>
          </cell>
          <cell r="AY40" t="str">
            <v>DEGEN_Flachdach
Steildach
Terrassen DG1
Geländer/Brüstungen</v>
          </cell>
        </row>
        <row r="41">
          <cell r="AX41">
            <v>32</v>
          </cell>
          <cell r="AY41" t="str">
            <v>Rugier_Flachdach
Steildach
Terrassen DG1</v>
          </cell>
        </row>
        <row r="42">
          <cell r="AX42">
            <v>33</v>
          </cell>
          <cell r="AY42" t="str">
            <v>Rugier_Flachdach
Steildach
Terrassen DG1
Geländer/Brüstungen</v>
          </cell>
        </row>
        <row r="43">
          <cell r="AX43">
            <v>34</v>
          </cell>
          <cell r="AY43" t="str">
            <v>AICH_PV NO/SW 10,2 kWp</v>
          </cell>
        </row>
        <row r="44">
          <cell r="AX44">
            <v>35</v>
          </cell>
          <cell r="AY44" t="str">
            <v>AICH_PV Dach &amp; Fass 13,8 kWp</v>
          </cell>
        </row>
        <row r="45">
          <cell r="AX45">
            <v>36</v>
          </cell>
          <cell r="AY45" t="str">
            <v>AICH_PV Max
16,4 kWp</v>
          </cell>
        </row>
        <row r="46">
          <cell r="AX46">
            <v>37</v>
          </cell>
          <cell r="AY46" t="str">
            <v>AICH_PV Min 15,2</v>
          </cell>
        </row>
        <row r="47">
          <cell r="AX47">
            <v>38</v>
          </cell>
          <cell r="AY47" t="str">
            <v>Bestand Geblergasse 11</v>
          </cell>
        </row>
        <row r="48">
          <cell r="AX48">
            <v>39</v>
          </cell>
          <cell r="AY48" t="str">
            <v>PE-optimiert Geblergasse 11</v>
          </cell>
        </row>
        <row r="49">
          <cell r="AX49">
            <v>40</v>
          </cell>
        </row>
      </sheetData>
      <sheetData sheetId="11"/>
      <sheetData sheetId="12">
        <row r="4">
          <cell r="B4" t="str">
            <v>❓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D6" t="b">
            <v>1</v>
          </cell>
          <cell r="E6" t="b">
            <v>1</v>
          </cell>
          <cell r="F6" t="b">
            <v>1</v>
          </cell>
          <cell r="G6" t="b">
            <v>0</v>
          </cell>
          <cell r="H6" t="b">
            <v>0</v>
          </cell>
          <cell r="I6" t="b">
            <v>0</v>
          </cell>
          <cell r="J6" t="b">
            <v>0</v>
          </cell>
          <cell r="K6" t="b">
            <v>0</v>
          </cell>
          <cell r="L6" t="b">
            <v>0</v>
          </cell>
          <cell r="M6" t="b">
            <v>1</v>
          </cell>
          <cell r="N6" t="b">
            <v>1</v>
          </cell>
          <cell r="O6" t="b">
            <v>1</v>
          </cell>
        </row>
        <row r="7">
          <cell r="D7" t="b">
            <v>1</v>
          </cell>
          <cell r="E7" t="b">
            <v>1</v>
          </cell>
          <cell r="F7" t="b">
            <v>1</v>
          </cell>
          <cell r="G7" t="b">
            <v>1</v>
          </cell>
          <cell r="H7" t="b">
            <v>1</v>
          </cell>
          <cell r="I7" t="b">
            <v>0</v>
          </cell>
          <cell r="J7" t="b">
            <v>0</v>
          </cell>
          <cell r="K7" t="b">
            <v>0</v>
          </cell>
          <cell r="L7" t="b">
            <v>1</v>
          </cell>
          <cell r="M7" t="b">
            <v>1</v>
          </cell>
          <cell r="N7" t="b">
            <v>1</v>
          </cell>
          <cell r="O7" t="b">
            <v>1</v>
          </cell>
        </row>
        <row r="8">
          <cell r="D8" t="b">
            <v>1</v>
          </cell>
          <cell r="E8" t="b">
            <v>1</v>
          </cell>
          <cell r="F8" t="b">
            <v>1</v>
          </cell>
          <cell r="G8" t="b">
            <v>0</v>
          </cell>
          <cell r="H8" t="b">
            <v>0</v>
          </cell>
          <cell r="I8" t="b">
            <v>0</v>
          </cell>
          <cell r="J8" t="b">
            <v>0</v>
          </cell>
          <cell r="K8" t="b">
            <v>0</v>
          </cell>
          <cell r="L8" t="b">
            <v>0</v>
          </cell>
          <cell r="M8" t="b">
            <v>0</v>
          </cell>
          <cell r="N8" t="b">
            <v>1</v>
          </cell>
          <cell r="O8" t="b">
            <v>1</v>
          </cell>
        </row>
        <row r="9">
          <cell r="D9" t="b">
            <v>1</v>
          </cell>
          <cell r="E9" t="b">
            <v>1</v>
          </cell>
          <cell r="F9" t="b">
            <v>1</v>
          </cell>
          <cell r="G9" t="b">
            <v>1</v>
          </cell>
          <cell r="H9" t="b">
            <v>1</v>
          </cell>
          <cell r="I9" t="b">
            <v>1</v>
          </cell>
          <cell r="J9" t="b">
            <v>1</v>
          </cell>
          <cell r="K9" t="b">
            <v>1</v>
          </cell>
          <cell r="L9" t="b">
            <v>1</v>
          </cell>
          <cell r="M9" t="b">
            <v>1</v>
          </cell>
          <cell r="N9" t="b">
            <v>1</v>
          </cell>
          <cell r="O9" t="b">
            <v>1</v>
          </cell>
        </row>
        <row r="10">
          <cell r="D10" t="b">
            <v>0</v>
          </cell>
          <cell r="E10" t="b">
            <v>0</v>
          </cell>
          <cell r="F10" t="b">
            <v>0</v>
          </cell>
          <cell r="G10" t="b">
            <v>0</v>
          </cell>
          <cell r="H10" t="b">
            <v>0</v>
          </cell>
          <cell r="I10" t="b">
            <v>0</v>
          </cell>
          <cell r="J10" t="b">
            <v>0</v>
          </cell>
          <cell r="K10" t="b">
            <v>0</v>
          </cell>
          <cell r="L10" t="b">
            <v>0</v>
          </cell>
          <cell r="M10" t="b">
            <v>0</v>
          </cell>
          <cell r="N10" t="b">
            <v>0</v>
          </cell>
          <cell r="O10" t="b">
            <v>0</v>
          </cell>
        </row>
        <row r="13">
          <cell r="D13" t="b">
            <v>0</v>
          </cell>
          <cell r="E13" t="b">
            <v>0</v>
          </cell>
          <cell r="F13" t="b">
            <v>0</v>
          </cell>
          <cell r="G13" t="b">
            <v>0</v>
          </cell>
          <cell r="H13" t="b">
            <v>1</v>
          </cell>
          <cell r="I13" t="b">
            <v>1</v>
          </cell>
          <cell r="J13" t="b">
            <v>1</v>
          </cell>
          <cell r="K13" t="b">
            <v>1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</row>
        <row r="14">
          <cell r="D14" t="b">
            <v>0</v>
          </cell>
          <cell r="E14" t="b">
            <v>0</v>
          </cell>
          <cell r="F14" t="b">
            <v>0</v>
          </cell>
          <cell r="G14" t="b">
            <v>0</v>
          </cell>
          <cell r="H14" t="b">
            <v>1</v>
          </cell>
          <cell r="I14" t="b">
            <v>1</v>
          </cell>
          <cell r="J14" t="b">
            <v>1</v>
          </cell>
          <cell r="K14" t="b">
            <v>1</v>
          </cell>
          <cell r="L14" t="b">
            <v>1</v>
          </cell>
          <cell r="M14" t="b">
            <v>0</v>
          </cell>
          <cell r="N14" t="b">
            <v>0</v>
          </cell>
          <cell r="O14" t="b">
            <v>0</v>
          </cell>
        </row>
        <row r="15">
          <cell r="D15" t="b">
            <v>1</v>
          </cell>
          <cell r="E15" t="b">
            <v>1</v>
          </cell>
          <cell r="F15" t="b">
            <v>1</v>
          </cell>
          <cell r="G15" t="b">
            <v>1</v>
          </cell>
          <cell r="H15" t="b">
            <v>1</v>
          </cell>
          <cell r="I15" t="b">
            <v>1</v>
          </cell>
          <cell r="J15" t="b">
            <v>1</v>
          </cell>
          <cell r="K15" t="b">
            <v>1</v>
          </cell>
          <cell r="L15" t="b">
            <v>1</v>
          </cell>
          <cell r="M15" t="b">
            <v>1</v>
          </cell>
          <cell r="N15" t="b">
            <v>1</v>
          </cell>
          <cell r="O15" t="b">
            <v>1</v>
          </cell>
        </row>
        <row r="16">
          <cell r="D16" t="b">
            <v>0</v>
          </cell>
          <cell r="E16" t="b">
            <v>0</v>
          </cell>
          <cell r="F16" t="b">
            <v>0</v>
          </cell>
          <cell r="G16" t="b">
            <v>1</v>
          </cell>
          <cell r="H16" t="b">
            <v>1</v>
          </cell>
          <cell r="I16" t="b">
            <v>1</v>
          </cell>
          <cell r="J16" t="b">
            <v>1</v>
          </cell>
          <cell r="K16" t="b">
            <v>1</v>
          </cell>
          <cell r="L16" t="b">
            <v>1</v>
          </cell>
          <cell r="M16" t="b">
            <v>1</v>
          </cell>
          <cell r="N16" t="b">
            <v>0</v>
          </cell>
          <cell r="O16" t="b">
            <v>0</v>
          </cell>
        </row>
        <row r="17">
          <cell r="D17" t="b">
            <v>1</v>
          </cell>
          <cell r="E17" t="b">
            <v>1</v>
          </cell>
          <cell r="F17" t="b">
            <v>1</v>
          </cell>
          <cell r="G17" t="b">
            <v>1</v>
          </cell>
          <cell r="H17" t="b">
            <v>1</v>
          </cell>
          <cell r="I17" t="b">
            <v>1</v>
          </cell>
          <cell r="J17" t="b">
            <v>1</v>
          </cell>
          <cell r="K17" t="b">
            <v>1</v>
          </cell>
          <cell r="L17" t="b">
            <v>1</v>
          </cell>
          <cell r="M17" t="b">
            <v>1</v>
          </cell>
          <cell r="N17" t="b">
            <v>1</v>
          </cell>
          <cell r="O17" t="b">
            <v>1</v>
          </cell>
        </row>
        <row r="23">
          <cell r="C23">
            <v>1</v>
          </cell>
          <cell r="D23">
            <v>1</v>
          </cell>
          <cell r="E23">
            <v>1</v>
          </cell>
          <cell r="F23">
            <v>1</v>
          </cell>
          <cell r="G23">
            <v>1</v>
          </cell>
          <cell r="H23">
            <v>1</v>
          </cell>
        </row>
        <row r="24">
          <cell r="C24">
            <v>1</v>
          </cell>
          <cell r="D24">
            <v>1</v>
          </cell>
          <cell r="E24">
            <v>1</v>
          </cell>
          <cell r="F24">
            <v>1</v>
          </cell>
          <cell r="G24">
            <v>1</v>
          </cell>
          <cell r="H24">
            <v>1</v>
          </cell>
        </row>
        <row r="25">
          <cell r="C25">
            <v>1</v>
          </cell>
          <cell r="D25">
            <v>1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</row>
        <row r="26">
          <cell r="C26">
            <v>1</v>
          </cell>
          <cell r="D26">
            <v>1</v>
          </cell>
          <cell r="E26">
            <v>1</v>
          </cell>
          <cell r="F26">
            <v>1</v>
          </cell>
          <cell r="G26">
            <v>1</v>
          </cell>
          <cell r="H26">
            <v>1</v>
          </cell>
        </row>
        <row r="27">
          <cell r="C27">
            <v>0.2</v>
          </cell>
          <cell r="D27">
            <v>0.7</v>
          </cell>
          <cell r="E27">
            <v>0.7</v>
          </cell>
          <cell r="F27">
            <v>0.7</v>
          </cell>
          <cell r="G27">
            <v>0.7</v>
          </cell>
          <cell r="H27">
            <v>0.7</v>
          </cell>
        </row>
        <row r="31">
          <cell r="C31">
            <v>1</v>
          </cell>
          <cell r="E31">
            <v>1</v>
          </cell>
          <cell r="F31">
            <v>1</v>
          </cell>
          <cell r="G31">
            <v>1</v>
          </cell>
          <cell r="H31">
            <v>1</v>
          </cell>
        </row>
        <row r="32">
          <cell r="C32">
            <v>1</v>
          </cell>
          <cell r="E32">
            <v>1</v>
          </cell>
          <cell r="F32">
            <v>1</v>
          </cell>
          <cell r="G32">
            <v>1</v>
          </cell>
          <cell r="H32">
            <v>1</v>
          </cell>
        </row>
        <row r="33">
          <cell r="C33">
            <v>1</v>
          </cell>
          <cell r="E33">
            <v>1</v>
          </cell>
          <cell r="F33">
            <v>1</v>
          </cell>
          <cell r="G33">
            <v>1</v>
          </cell>
          <cell r="H33">
            <v>1</v>
          </cell>
        </row>
        <row r="34">
          <cell r="C34">
            <v>1</v>
          </cell>
          <cell r="E34">
            <v>1</v>
          </cell>
          <cell r="F34">
            <v>1</v>
          </cell>
          <cell r="G34">
            <v>1</v>
          </cell>
          <cell r="H34">
            <v>1</v>
          </cell>
        </row>
        <row r="35">
          <cell r="C35">
            <v>0.5</v>
          </cell>
          <cell r="E35">
            <v>0.5</v>
          </cell>
          <cell r="F35">
            <v>0.5</v>
          </cell>
          <cell r="G35">
            <v>0.5</v>
          </cell>
          <cell r="H35">
            <v>0.5</v>
          </cell>
        </row>
        <row r="39">
          <cell r="C39">
            <v>0.80004323001553301</v>
          </cell>
          <cell r="D39">
            <v>0.58961956895755041</v>
          </cell>
          <cell r="E39">
            <v>0.58956039963345164</v>
          </cell>
          <cell r="F39">
            <v>0.58956039963345164</v>
          </cell>
          <cell r="G39">
            <v>0.69479350253550554</v>
          </cell>
          <cell r="H39">
            <v>0.69479350253550554</v>
          </cell>
        </row>
        <row r="40">
          <cell r="C40">
            <v>1</v>
          </cell>
          <cell r="D40">
            <v>1</v>
          </cell>
          <cell r="E40">
            <v>1</v>
          </cell>
          <cell r="F40">
            <v>1</v>
          </cell>
          <cell r="G40">
            <v>1</v>
          </cell>
          <cell r="H40">
            <v>1</v>
          </cell>
        </row>
        <row r="41">
          <cell r="C41">
            <v>1.2308357384854354</v>
          </cell>
          <cell r="D41">
            <v>0.62065217785005311</v>
          </cell>
          <cell r="E41">
            <v>0.90701599943607936</v>
          </cell>
          <cell r="F41">
            <v>0.90701599943607936</v>
          </cell>
          <cell r="G41">
            <v>0.7313615816163217</v>
          </cell>
          <cell r="H41">
            <v>0.7313615816163217</v>
          </cell>
        </row>
        <row r="42">
          <cell r="C42">
            <v>1.8</v>
          </cell>
          <cell r="D42">
            <v>0.62065217785005311</v>
          </cell>
          <cell r="E42">
            <v>0.90701599943607936</v>
          </cell>
          <cell r="F42">
            <v>0.90701599943607936</v>
          </cell>
          <cell r="G42">
            <v>0.7313615816163217</v>
          </cell>
          <cell r="H42">
            <v>0.7313615816163217</v>
          </cell>
        </row>
        <row r="43">
          <cell r="C43">
            <v>1</v>
          </cell>
          <cell r="D43">
            <v>1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</row>
        <row r="48">
          <cell r="C48">
            <v>1</v>
          </cell>
        </row>
        <row r="49">
          <cell r="C49">
            <v>1</v>
          </cell>
        </row>
        <row r="50">
          <cell r="C50">
            <v>1</v>
          </cell>
        </row>
        <row r="51">
          <cell r="C51">
            <v>0</v>
          </cell>
        </row>
        <row r="52">
          <cell r="C52">
            <v>0.99999999999999989</v>
          </cell>
        </row>
        <row r="66">
          <cell r="C66">
            <v>1.3015151343559628</v>
          </cell>
          <cell r="D66">
            <v>0.78936564206950655</v>
          </cell>
          <cell r="E66">
            <v>0.27472455325248202</v>
          </cell>
          <cell r="F66">
            <v>0.19808744383450383</v>
          </cell>
          <cell r="G66">
            <v>1</v>
          </cell>
          <cell r="H66">
            <v>0.14364001266964546</v>
          </cell>
        </row>
        <row r="67">
          <cell r="C67">
            <v>1</v>
          </cell>
          <cell r="D67">
            <v>1</v>
          </cell>
          <cell r="E67">
            <v>1</v>
          </cell>
          <cell r="F67">
            <v>1</v>
          </cell>
          <cell r="G67">
            <v>1</v>
          </cell>
          <cell r="H67">
            <v>1</v>
          </cell>
        </row>
        <row r="68">
          <cell r="C68">
            <v>1.3015151343559628</v>
          </cell>
          <cell r="D68">
            <v>0.78936564206950655</v>
          </cell>
          <cell r="E68">
            <v>0.22897783010909109</v>
          </cell>
          <cell r="F68">
            <v>0.21926295960703446</v>
          </cell>
          <cell r="G68">
            <v>1</v>
          </cell>
          <cell r="H68">
            <v>0.14364001266964546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</row>
        <row r="70">
          <cell r="C70">
            <v>1</v>
          </cell>
          <cell r="D70">
            <v>1</v>
          </cell>
          <cell r="E70">
            <v>0.99999999999999989</v>
          </cell>
          <cell r="F70">
            <v>1</v>
          </cell>
          <cell r="G70">
            <v>0.99999999999999989</v>
          </cell>
          <cell r="H70">
            <v>0.99999999999999989</v>
          </cell>
        </row>
        <row r="86">
          <cell r="C86">
            <v>1</v>
          </cell>
          <cell r="D86">
            <v>0.2</v>
          </cell>
          <cell r="E86">
            <v>1</v>
          </cell>
          <cell r="F86">
            <v>1</v>
          </cell>
          <cell r="G86">
            <v>0.3</v>
          </cell>
          <cell r="H86">
            <v>0.3</v>
          </cell>
        </row>
        <row r="87">
          <cell r="C87">
            <v>1</v>
          </cell>
          <cell r="D87">
            <v>1</v>
          </cell>
          <cell r="E87">
            <v>1</v>
          </cell>
          <cell r="F87">
            <v>1</v>
          </cell>
          <cell r="G87">
            <v>1</v>
          </cell>
          <cell r="H87">
            <v>1</v>
          </cell>
        </row>
        <row r="88">
          <cell r="C88">
            <v>1</v>
          </cell>
          <cell r="D88">
            <v>0.2</v>
          </cell>
          <cell r="E88">
            <v>1</v>
          </cell>
          <cell r="F88">
            <v>1</v>
          </cell>
          <cell r="G88">
            <v>0.3</v>
          </cell>
          <cell r="H88">
            <v>0.3</v>
          </cell>
        </row>
        <row r="89">
          <cell r="C89">
            <v>0.15</v>
          </cell>
          <cell r="D89">
            <v>0.15</v>
          </cell>
          <cell r="E89">
            <v>0.15</v>
          </cell>
          <cell r="F89">
            <v>0.15</v>
          </cell>
          <cell r="G89">
            <v>0.15</v>
          </cell>
          <cell r="H89">
            <v>0.15</v>
          </cell>
        </row>
        <row r="90">
          <cell r="C90">
            <v>0.15</v>
          </cell>
          <cell r="D90">
            <v>0.2</v>
          </cell>
          <cell r="E90">
            <v>0.2</v>
          </cell>
          <cell r="F90">
            <v>0.2</v>
          </cell>
          <cell r="G90">
            <v>0.2</v>
          </cell>
          <cell r="H90">
            <v>0.2</v>
          </cell>
        </row>
        <row r="91">
          <cell r="C91">
            <v>0.19999999999999996</v>
          </cell>
          <cell r="D91">
            <v>0.19999999999999996</v>
          </cell>
          <cell r="E91">
            <v>0.19999999999999996</v>
          </cell>
          <cell r="F91">
            <v>0.19999999999999996</v>
          </cell>
          <cell r="G91">
            <v>0.19999999999999996</v>
          </cell>
          <cell r="H91">
            <v>0.19999999999999996</v>
          </cell>
        </row>
      </sheetData>
      <sheetData sheetId="22"/>
      <sheetData sheetId="23">
        <row r="7">
          <cell r="B7">
            <v>56.931735467605122</v>
          </cell>
        </row>
        <row r="8">
          <cell r="B8">
            <v>28.465867733802561</v>
          </cell>
        </row>
        <row r="9">
          <cell r="B9">
            <v>75.337928683515102</v>
          </cell>
        </row>
        <row r="10">
          <cell r="B10">
            <v>37.668964341757551</v>
          </cell>
        </row>
        <row r="11">
          <cell r="B11">
            <v>106.54271012281082</v>
          </cell>
        </row>
        <row r="12">
          <cell r="B12">
            <v>53.271355061405409</v>
          </cell>
        </row>
        <row r="13">
          <cell r="B13">
            <v>53.99825258791175</v>
          </cell>
        </row>
        <row r="14">
          <cell r="B14">
            <v>26.999126293955875</v>
          </cell>
        </row>
        <row r="15">
          <cell r="B15">
            <v>80.818341466503</v>
          </cell>
        </row>
        <row r="16">
          <cell r="B16">
            <v>40.4091707332515</v>
          </cell>
        </row>
        <row r="17">
          <cell r="B17">
            <v>80.818341466503</v>
          </cell>
        </row>
        <row r="18">
          <cell r="B18">
            <v>40.4091707332515</v>
          </cell>
        </row>
        <row r="21">
          <cell r="B21">
            <v>15.967903915984497</v>
          </cell>
        </row>
        <row r="22">
          <cell r="B22">
            <v>5.1328124999998206</v>
          </cell>
        </row>
        <row r="23">
          <cell r="B23">
            <v>5.7031250000002185</v>
          </cell>
        </row>
        <row r="24">
          <cell r="B24">
            <v>5.7031250000002185</v>
          </cell>
        </row>
        <row r="25">
          <cell r="B25">
            <v>9.1249999999997602</v>
          </cell>
        </row>
        <row r="26">
          <cell r="B26">
            <v>9.1249999999997602</v>
          </cell>
        </row>
        <row r="28">
          <cell r="B28">
            <v>1.7520000000002613</v>
          </cell>
        </row>
        <row r="29">
          <cell r="B29">
            <v>1.7520000000002613</v>
          </cell>
        </row>
        <row r="30">
          <cell r="B30">
            <v>0.87600000000013067</v>
          </cell>
        </row>
        <row r="31">
          <cell r="B31">
            <v>0.87600000000013067</v>
          </cell>
        </row>
        <row r="32">
          <cell r="B32">
            <v>1.7520000000002613</v>
          </cell>
        </row>
        <row r="33">
          <cell r="B33">
            <v>1.7520000000002613</v>
          </cell>
        </row>
        <row r="35">
          <cell r="B35">
            <v>20.528603115343714</v>
          </cell>
        </row>
        <row r="36">
          <cell r="B36">
            <v>24.636542311280923</v>
          </cell>
        </row>
        <row r="37">
          <cell r="B37">
            <v>51.324134785439362</v>
          </cell>
        </row>
        <row r="38">
          <cell r="B38">
            <v>30.794480871267986</v>
          </cell>
        </row>
        <row r="39">
          <cell r="B39">
            <v>30.795677889102926</v>
          </cell>
        </row>
        <row r="40">
          <cell r="B40">
            <v>30.795677889102926</v>
          </cell>
        </row>
        <row r="42">
          <cell r="B42">
            <v>10</v>
          </cell>
        </row>
        <row r="43">
          <cell r="B43">
            <v>0.34</v>
          </cell>
        </row>
        <row r="44">
          <cell r="B44">
            <v>1.1611111111111112</v>
          </cell>
        </row>
        <row r="45">
          <cell r="B45">
            <v>4.18</v>
          </cell>
        </row>
        <row r="46">
          <cell r="B46">
            <v>1.0656015703573898</v>
          </cell>
        </row>
        <row r="53">
          <cell r="B53">
            <v>50</v>
          </cell>
        </row>
        <row r="55">
          <cell r="B55">
            <v>70</v>
          </cell>
        </row>
        <row r="57">
          <cell r="B57">
            <v>0.3</v>
          </cell>
        </row>
      </sheetData>
      <sheetData sheetId="24">
        <row r="2">
          <cell r="K2" t="str">
            <v>Abfaltersbach</v>
          </cell>
          <cell r="L2" t="str">
            <v>Tirol</v>
          </cell>
          <cell r="M2">
            <v>22</v>
          </cell>
        </row>
        <row r="3">
          <cell r="K3" t="str">
            <v>Absam</v>
          </cell>
          <cell r="L3" t="str">
            <v>Tirol</v>
          </cell>
          <cell r="M3">
            <v>12</v>
          </cell>
        </row>
        <row r="4">
          <cell r="K4" t="str">
            <v>Absdorf</v>
          </cell>
          <cell r="L4" t="str">
            <v>Niederösterreich</v>
          </cell>
          <cell r="M4">
            <v>22</v>
          </cell>
        </row>
        <row r="5">
          <cell r="K5" t="str">
            <v>Abtenau</v>
          </cell>
          <cell r="L5" t="str">
            <v>Salzburg</v>
          </cell>
          <cell r="M5">
            <v>33</v>
          </cell>
        </row>
        <row r="6">
          <cell r="K6" t="str">
            <v>Achau</v>
          </cell>
          <cell r="L6" t="str">
            <v>Niederösterreich</v>
          </cell>
          <cell r="M6">
            <v>22</v>
          </cell>
        </row>
        <row r="7">
          <cell r="K7" t="str">
            <v>Achenkirch</v>
          </cell>
          <cell r="L7" t="str">
            <v>Tirol</v>
          </cell>
          <cell r="M7">
            <v>34</v>
          </cell>
        </row>
        <row r="8">
          <cell r="K8" t="str">
            <v>Aderklaa</v>
          </cell>
          <cell r="L8" t="str">
            <v>Niederösterreich</v>
          </cell>
          <cell r="M8">
            <v>24</v>
          </cell>
        </row>
        <row r="9">
          <cell r="K9" t="str">
            <v>Adlwang</v>
          </cell>
          <cell r="L9" t="str">
            <v>Oberösterreich</v>
          </cell>
          <cell r="M9">
            <v>23</v>
          </cell>
        </row>
        <row r="10">
          <cell r="K10" t="str">
            <v>Admont</v>
          </cell>
          <cell r="L10" t="str">
            <v>Steiermark</v>
          </cell>
          <cell r="M10">
            <v>33</v>
          </cell>
        </row>
        <row r="11">
          <cell r="K11" t="str">
            <v>Adnet</v>
          </cell>
          <cell r="L11" t="str">
            <v>Salzburg</v>
          </cell>
          <cell r="M11">
            <v>12</v>
          </cell>
        </row>
        <row r="12">
          <cell r="K12" t="str">
            <v>Afiesl</v>
          </cell>
          <cell r="L12" t="str">
            <v>Oberösterreich</v>
          </cell>
          <cell r="M12">
            <v>34</v>
          </cell>
        </row>
        <row r="13">
          <cell r="K13" t="str">
            <v>Aflenz</v>
          </cell>
          <cell r="L13" t="str">
            <v>Steiermark</v>
          </cell>
          <cell r="M13">
            <v>24</v>
          </cell>
        </row>
        <row r="14">
          <cell r="K14" t="str">
            <v>Afritz am See</v>
          </cell>
          <cell r="L14" t="str">
            <v>Kärnten</v>
          </cell>
          <cell r="M14">
            <v>24</v>
          </cell>
        </row>
        <row r="15">
          <cell r="K15" t="str">
            <v>Aggsbach</v>
          </cell>
          <cell r="L15" t="str">
            <v>Niederösterreich</v>
          </cell>
          <cell r="M15">
            <v>23</v>
          </cell>
        </row>
        <row r="16">
          <cell r="K16" t="str">
            <v>Ahorn</v>
          </cell>
          <cell r="L16" t="str">
            <v>Oberösterreich</v>
          </cell>
          <cell r="M16">
            <v>33</v>
          </cell>
        </row>
        <row r="17">
          <cell r="K17" t="str">
            <v>Aich</v>
          </cell>
          <cell r="L17" t="str">
            <v>Steiermark</v>
          </cell>
          <cell r="M17">
            <v>33</v>
          </cell>
        </row>
        <row r="18">
          <cell r="K18" t="str">
            <v>Aichkirchen</v>
          </cell>
          <cell r="L18" t="str">
            <v>Oberösterreich</v>
          </cell>
          <cell r="M18">
            <v>24</v>
          </cell>
        </row>
        <row r="19">
          <cell r="K19" t="str">
            <v>Aigen im Ennstal</v>
          </cell>
          <cell r="L19" t="str">
            <v>Steiermark</v>
          </cell>
          <cell r="M19">
            <v>33</v>
          </cell>
        </row>
        <row r="20">
          <cell r="K20" t="str">
            <v>Aigen-Schlägl</v>
          </cell>
          <cell r="L20" t="str">
            <v>Oberösterreich</v>
          </cell>
          <cell r="M20">
            <v>34</v>
          </cell>
        </row>
        <row r="21">
          <cell r="K21" t="str">
            <v>Ainet</v>
          </cell>
          <cell r="L21" t="str">
            <v>Tirol</v>
          </cell>
          <cell r="M21">
            <v>23</v>
          </cell>
        </row>
        <row r="22">
          <cell r="K22" t="str">
            <v>Aistersheim</v>
          </cell>
          <cell r="L22" t="str">
            <v>Oberösterreich</v>
          </cell>
          <cell r="M22">
            <v>23</v>
          </cell>
        </row>
        <row r="23">
          <cell r="K23" t="str">
            <v>Albeck</v>
          </cell>
          <cell r="L23" t="str">
            <v>Kärnten</v>
          </cell>
          <cell r="M23">
            <v>34</v>
          </cell>
        </row>
        <row r="24">
          <cell r="K24" t="str">
            <v>Alberndorf im Pulkautal</v>
          </cell>
          <cell r="L24" t="str">
            <v>Niederösterreich</v>
          </cell>
          <cell r="M24">
            <v>34</v>
          </cell>
        </row>
        <row r="25">
          <cell r="K25" t="str">
            <v>Alberndorf in der Riedmark</v>
          </cell>
          <cell r="L25" t="str">
            <v>Oberösterreich</v>
          </cell>
          <cell r="M25">
            <v>23</v>
          </cell>
        </row>
        <row r="26">
          <cell r="K26" t="str">
            <v>Alberschwende</v>
          </cell>
          <cell r="L26" t="str">
            <v>Vorarlberg</v>
          </cell>
          <cell r="M26">
            <v>22</v>
          </cell>
        </row>
        <row r="27">
          <cell r="K27" t="str">
            <v>Albersdorf-Prebuch</v>
          </cell>
          <cell r="L27" t="str">
            <v>Steiermark</v>
          </cell>
          <cell r="M27">
            <v>22</v>
          </cell>
        </row>
        <row r="28">
          <cell r="K28" t="str">
            <v>Albrechtsberg an der Großen Krems</v>
          </cell>
          <cell r="L28" t="str">
            <v>Niederösterreich</v>
          </cell>
          <cell r="M28">
            <v>34</v>
          </cell>
        </row>
        <row r="29">
          <cell r="K29" t="str">
            <v>Aldrans</v>
          </cell>
          <cell r="L29" t="str">
            <v>Tirol</v>
          </cell>
          <cell r="M29">
            <v>12</v>
          </cell>
        </row>
        <row r="30">
          <cell r="K30" t="str">
            <v>Alkoven</v>
          </cell>
          <cell r="L30" t="str">
            <v>Oberösterreich</v>
          </cell>
          <cell r="M30">
            <v>22</v>
          </cell>
        </row>
        <row r="31">
          <cell r="K31" t="str">
            <v>Alland</v>
          </cell>
          <cell r="L31" t="str">
            <v>Niederösterreich</v>
          </cell>
          <cell r="M31">
            <v>23</v>
          </cell>
        </row>
        <row r="32">
          <cell r="K32" t="str">
            <v>Allentsteig</v>
          </cell>
          <cell r="L32" t="str">
            <v>Niederösterreich</v>
          </cell>
          <cell r="M32">
            <v>33</v>
          </cell>
        </row>
        <row r="33">
          <cell r="K33" t="str">
            <v>Allerheiligen bei Wildon</v>
          </cell>
          <cell r="L33" t="str">
            <v>Steiermark</v>
          </cell>
          <cell r="M33">
            <v>24</v>
          </cell>
        </row>
        <row r="34">
          <cell r="K34" t="str">
            <v>Allerheiligen im Mühlkreis</v>
          </cell>
          <cell r="L34" t="str">
            <v>Oberösterreich</v>
          </cell>
          <cell r="M34">
            <v>23</v>
          </cell>
        </row>
        <row r="35">
          <cell r="K35" t="str">
            <v>Allhaming</v>
          </cell>
          <cell r="L35" t="str">
            <v>Oberösterreich</v>
          </cell>
          <cell r="M35">
            <v>24</v>
          </cell>
        </row>
        <row r="36">
          <cell r="K36" t="str">
            <v>Allhartsberg</v>
          </cell>
          <cell r="L36" t="str">
            <v>Niederösterreich</v>
          </cell>
          <cell r="M36">
            <v>23</v>
          </cell>
        </row>
        <row r="37">
          <cell r="K37" t="str">
            <v>Alpbach</v>
          </cell>
          <cell r="L37" t="str">
            <v>Tirol</v>
          </cell>
          <cell r="M37">
            <v>23</v>
          </cell>
        </row>
        <row r="38">
          <cell r="K38" t="str">
            <v>Altach</v>
          </cell>
          <cell r="L38" t="str">
            <v>Vorarlberg</v>
          </cell>
          <cell r="M38">
            <v>12</v>
          </cell>
        </row>
        <row r="39">
          <cell r="K39" t="str">
            <v>Altaussee</v>
          </cell>
          <cell r="L39" t="str">
            <v>Steiermark</v>
          </cell>
          <cell r="M39">
            <v>34</v>
          </cell>
        </row>
        <row r="40">
          <cell r="K40" t="str">
            <v>Altenberg bei Linz</v>
          </cell>
          <cell r="L40" t="str">
            <v>Oberösterreich</v>
          </cell>
          <cell r="M40">
            <v>23</v>
          </cell>
        </row>
        <row r="41">
          <cell r="K41" t="str">
            <v>Altenburg</v>
          </cell>
          <cell r="L41" t="str">
            <v>Niederösterreich</v>
          </cell>
          <cell r="M41">
            <v>34</v>
          </cell>
        </row>
        <row r="42">
          <cell r="K42" t="str">
            <v>Altendorf</v>
          </cell>
          <cell r="L42" t="str">
            <v>Niederösterreich</v>
          </cell>
          <cell r="M42">
            <v>24</v>
          </cell>
        </row>
        <row r="43">
          <cell r="K43" t="str">
            <v>Altenfelden</v>
          </cell>
          <cell r="L43" t="str">
            <v>Oberösterreich</v>
          </cell>
          <cell r="M43">
            <v>32</v>
          </cell>
        </row>
        <row r="44">
          <cell r="K44" t="str">
            <v>Altenmarkt an der Triesting</v>
          </cell>
          <cell r="L44" t="str">
            <v>Niederösterreich</v>
          </cell>
          <cell r="M44">
            <v>24</v>
          </cell>
        </row>
        <row r="45">
          <cell r="K45" t="str">
            <v>Altenmarkt bei Sankt Gallen</v>
          </cell>
          <cell r="L45" t="str">
            <v>Steiermark</v>
          </cell>
          <cell r="M45">
            <v>34</v>
          </cell>
        </row>
        <row r="46">
          <cell r="K46" t="str">
            <v>Altenmarkt im Pongau</v>
          </cell>
          <cell r="L46" t="str">
            <v>Salzburg</v>
          </cell>
          <cell r="M46">
            <v>32</v>
          </cell>
        </row>
        <row r="47">
          <cell r="K47" t="str">
            <v>Altheim</v>
          </cell>
          <cell r="L47" t="str">
            <v>Oberösterreich</v>
          </cell>
          <cell r="M47">
            <v>22</v>
          </cell>
        </row>
        <row r="48">
          <cell r="K48" t="str">
            <v>Althofen</v>
          </cell>
          <cell r="L48" t="str">
            <v>Kärnten</v>
          </cell>
          <cell r="M48">
            <v>22</v>
          </cell>
        </row>
        <row r="49">
          <cell r="K49" t="str">
            <v>Altlengbach</v>
          </cell>
          <cell r="L49" t="str">
            <v>Niederösterreich</v>
          </cell>
          <cell r="M49">
            <v>23</v>
          </cell>
        </row>
        <row r="50">
          <cell r="K50" t="str">
            <v>Altlichtenwarth</v>
          </cell>
          <cell r="L50" t="str">
            <v>Niederösterreich</v>
          </cell>
          <cell r="M50">
            <v>34</v>
          </cell>
        </row>
        <row r="51">
          <cell r="K51" t="str">
            <v>Altmelon</v>
          </cell>
          <cell r="L51" t="str">
            <v>Niederösterreich</v>
          </cell>
          <cell r="M51">
            <v>34</v>
          </cell>
        </row>
        <row r="52">
          <cell r="K52" t="str">
            <v>Altmünster</v>
          </cell>
          <cell r="L52" t="str">
            <v>Oberösterreich</v>
          </cell>
          <cell r="M52">
            <v>12</v>
          </cell>
        </row>
        <row r="53">
          <cell r="K53" t="str">
            <v>Altschwendt</v>
          </cell>
          <cell r="L53" t="str">
            <v>Oberösterreich</v>
          </cell>
          <cell r="M53">
            <v>34</v>
          </cell>
        </row>
        <row r="54">
          <cell r="K54" t="str">
            <v>Amaliendorf-Aalfang</v>
          </cell>
          <cell r="L54" t="str">
            <v>Niederösterreich</v>
          </cell>
          <cell r="M54">
            <v>34</v>
          </cell>
        </row>
        <row r="55">
          <cell r="K55" t="str">
            <v>Amlach</v>
          </cell>
          <cell r="L55" t="str">
            <v>Tirol</v>
          </cell>
          <cell r="M55">
            <v>12</v>
          </cell>
        </row>
        <row r="56">
          <cell r="K56" t="str">
            <v>Ampass</v>
          </cell>
          <cell r="L56" t="str">
            <v>Tirol</v>
          </cell>
          <cell r="M56">
            <v>22</v>
          </cell>
        </row>
        <row r="57">
          <cell r="K57" t="str">
            <v>Ampflwang im Hausruckwald</v>
          </cell>
          <cell r="L57" t="str">
            <v>Oberösterreich</v>
          </cell>
          <cell r="M57">
            <v>23</v>
          </cell>
        </row>
        <row r="58">
          <cell r="K58" t="str">
            <v>Amstetten</v>
          </cell>
          <cell r="L58" t="str">
            <v>Niederösterreich</v>
          </cell>
          <cell r="M58">
            <v>11</v>
          </cell>
        </row>
        <row r="59">
          <cell r="K59" t="str">
            <v>Andau</v>
          </cell>
          <cell r="L59" t="str">
            <v>Burgenland</v>
          </cell>
          <cell r="M59">
            <v>34</v>
          </cell>
        </row>
        <row r="60">
          <cell r="K60" t="str">
            <v>Andelsbuch</v>
          </cell>
          <cell r="L60" t="str">
            <v>Vorarlberg</v>
          </cell>
          <cell r="M60">
            <v>22</v>
          </cell>
        </row>
        <row r="61">
          <cell r="K61" t="str">
            <v>Andlersdorf</v>
          </cell>
          <cell r="L61" t="str">
            <v>Niederösterreich</v>
          </cell>
          <cell r="M61">
            <v>24</v>
          </cell>
        </row>
        <row r="62">
          <cell r="K62" t="str">
            <v>Andorf</v>
          </cell>
          <cell r="L62" t="str">
            <v>Oberösterreich</v>
          </cell>
          <cell r="M62">
            <v>22</v>
          </cell>
        </row>
        <row r="63">
          <cell r="K63" t="str">
            <v>Andrichsfurt</v>
          </cell>
          <cell r="L63" t="str">
            <v>Oberösterreich</v>
          </cell>
          <cell r="M63">
            <v>24</v>
          </cell>
        </row>
        <row r="64">
          <cell r="K64" t="str">
            <v>Angath</v>
          </cell>
          <cell r="L64" t="str">
            <v>Tirol</v>
          </cell>
          <cell r="M64">
            <v>12</v>
          </cell>
        </row>
        <row r="65">
          <cell r="K65" t="str">
            <v>Anger</v>
          </cell>
          <cell r="L65" t="str">
            <v>Steiermark</v>
          </cell>
          <cell r="M65">
            <v>23</v>
          </cell>
        </row>
        <row r="66">
          <cell r="K66" t="str">
            <v>Angerberg</v>
          </cell>
          <cell r="L66" t="str">
            <v>Tirol</v>
          </cell>
          <cell r="M66">
            <v>22</v>
          </cell>
        </row>
        <row r="67">
          <cell r="K67" t="str">
            <v>Angern an der March</v>
          </cell>
          <cell r="L67" t="str">
            <v>Niederösterreich</v>
          </cell>
          <cell r="M67">
            <v>33</v>
          </cell>
        </row>
        <row r="68">
          <cell r="K68" t="str">
            <v>Anif</v>
          </cell>
          <cell r="L68" t="str">
            <v>Salzburg</v>
          </cell>
          <cell r="M68">
            <v>12</v>
          </cell>
        </row>
        <row r="69">
          <cell r="K69" t="str">
            <v>Annaberg</v>
          </cell>
          <cell r="L69" t="str">
            <v>Niederösterreich</v>
          </cell>
          <cell r="M69">
            <v>33</v>
          </cell>
        </row>
        <row r="70">
          <cell r="K70" t="str">
            <v>Annaberg-Lungötz</v>
          </cell>
          <cell r="L70" t="str">
            <v>Salzburg</v>
          </cell>
          <cell r="M70">
            <v>34</v>
          </cell>
        </row>
        <row r="71">
          <cell r="K71" t="str">
            <v>Anras</v>
          </cell>
          <cell r="L71" t="str">
            <v>Tirol</v>
          </cell>
          <cell r="M71">
            <v>22</v>
          </cell>
        </row>
        <row r="72">
          <cell r="K72" t="str">
            <v>Ansfelden</v>
          </cell>
          <cell r="L72" t="str">
            <v>Oberösterreich</v>
          </cell>
          <cell r="M72">
            <v>12</v>
          </cell>
        </row>
        <row r="73">
          <cell r="K73" t="str">
            <v>Antau</v>
          </cell>
          <cell r="L73" t="str">
            <v>Burgenland</v>
          </cell>
          <cell r="M73">
            <v>22</v>
          </cell>
        </row>
        <row r="74">
          <cell r="K74" t="str">
            <v>Anthering</v>
          </cell>
          <cell r="L74" t="str">
            <v>Salzburg</v>
          </cell>
          <cell r="M74">
            <v>22</v>
          </cell>
        </row>
        <row r="75">
          <cell r="K75" t="str">
            <v>Antiesenhofen</v>
          </cell>
          <cell r="L75" t="str">
            <v>Oberösterreich</v>
          </cell>
          <cell r="M75">
            <v>23</v>
          </cell>
        </row>
        <row r="76">
          <cell r="K76" t="str">
            <v>Apetlon</v>
          </cell>
          <cell r="L76" t="str">
            <v>Burgenland</v>
          </cell>
          <cell r="M76">
            <v>33</v>
          </cell>
        </row>
        <row r="77">
          <cell r="K77" t="str">
            <v>Arbesbach</v>
          </cell>
          <cell r="L77" t="str">
            <v>Niederösterreich</v>
          </cell>
          <cell r="M77">
            <v>34</v>
          </cell>
        </row>
        <row r="78">
          <cell r="K78" t="str">
            <v>Arbing</v>
          </cell>
          <cell r="L78" t="str">
            <v>Oberösterreich</v>
          </cell>
          <cell r="M78">
            <v>22</v>
          </cell>
        </row>
        <row r="79">
          <cell r="K79" t="str">
            <v>Ardagger</v>
          </cell>
          <cell r="L79" t="str">
            <v>Niederösterreich</v>
          </cell>
          <cell r="M79">
            <v>23</v>
          </cell>
        </row>
        <row r="80">
          <cell r="K80" t="str">
            <v>Ardning</v>
          </cell>
          <cell r="L80" t="str">
            <v>Steiermark</v>
          </cell>
          <cell r="M80">
            <v>33</v>
          </cell>
        </row>
        <row r="81">
          <cell r="K81" t="str">
            <v>Arnfels</v>
          </cell>
          <cell r="L81" t="str">
            <v>Steiermark</v>
          </cell>
          <cell r="M81">
            <v>34</v>
          </cell>
        </row>
        <row r="82">
          <cell r="K82" t="str">
            <v>Arnoldstein</v>
          </cell>
          <cell r="L82" t="str">
            <v>Kärnten</v>
          </cell>
          <cell r="M82">
            <v>23</v>
          </cell>
        </row>
        <row r="83">
          <cell r="K83" t="str">
            <v>Arnreit</v>
          </cell>
          <cell r="L83" t="str">
            <v>Oberösterreich</v>
          </cell>
          <cell r="M83">
            <v>33</v>
          </cell>
        </row>
        <row r="84">
          <cell r="K84" t="str">
            <v>Arriach</v>
          </cell>
          <cell r="L84" t="str">
            <v>Kärnten</v>
          </cell>
          <cell r="M84">
            <v>23</v>
          </cell>
        </row>
        <row r="85">
          <cell r="K85" t="str">
            <v>Artstetten-Pöbring</v>
          </cell>
          <cell r="L85" t="str">
            <v>Niederösterreich</v>
          </cell>
          <cell r="M85">
            <v>34</v>
          </cell>
        </row>
        <row r="86">
          <cell r="K86" t="str">
            <v>Arzl im Pitztal</v>
          </cell>
          <cell r="L86" t="str">
            <v>Tirol</v>
          </cell>
          <cell r="M86">
            <v>11</v>
          </cell>
        </row>
        <row r="87">
          <cell r="K87" t="str">
            <v>Aschach an der Donau</v>
          </cell>
          <cell r="L87" t="str">
            <v>Oberösterreich</v>
          </cell>
          <cell r="M87">
            <v>23</v>
          </cell>
        </row>
        <row r="88">
          <cell r="K88" t="str">
            <v>Aschach an der Steyr</v>
          </cell>
          <cell r="L88" t="str">
            <v>Oberösterreich</v>
          </cell>
          <cell r="M88">
            <v>23</v>
          </cell>
        </row>
        <row r="89">
          <cell r="K89" t="str">
            <v>Aschau im Zillertal</v>
          </cell>
          <cell r="L89" t="str">
            <v>Tirol</v>
          </cell>
          <cell r="M89">
            <v>22</v>
          </cell>
        </row>
        <row r="90">
          <cell r="K90" t="str">
            <v>Aschbach-Markt</v>
          </cell>
          <cell r="L90" t="str">
            <v>Niederösterreich</v>
          </cell>
          <cell r="M90">
            <v>22</v>
          </cell>
        </row>
        <row r="91">
          <cell r="K91" t="str">
            <v>Aspach</v>
          </cell>
          <cell r="L91" t="str">
            <v>Oberösterreich</v>
          </cell>
          <cell r="M91">
            <v>24</v>
          </cell>
        </row>
        <row r="92">
          <cell r="K92" t="str">
            <v>Aspangberg-St. Peter</v>
          </cell>
          <cell r="L92" t="str">
            <v>Niederösterreich</v>
          </cell>
          <cell r="M92">
            <v>23</v>
          </cell>
        </row>
        <row r="93">
          <cell r="K93" t="str">
            <v>Aspang-Markt</v>
          </cell>
          <cell r="L93" t="str">
            <v>Niederösterreich</v>
          </cell>
          <cell r="M93">
            <v>22</v>
          </cell>
        </row>
        <row r="94">
          <cell r="K94" t="str">
            <v>Asparn an der Zaya</v>
          </cell>
          <cell r="L94" t="str">
            <v>Niederösterreich</v>
          </cell>
          <cell r="M94">
            <v>34</v>
          </cell>
        </row>
        <row r="95">
          <cell r="K95" t="str">
            <v>Asperhofen</v>
          </cell>
          <cell r="L95" t="str">
            <v>Niederösterreich</v>
          </cell>
          <cell r="M95">
            <v>24</v>
          </cell>
        </row>
        <row r="96">
          <cell r="K96" t="str">
            <v>Assling</v>
          </cell>
          <cell r="L96" t="str">
            <v>Tirol</v>
          </cell>
          <cell r="M96">
            <v>22</v>
          </cell>
        </row>
        <row r="97">
          <cell r="K97" t="str">
            <v>Asten</v>
          </cell>
          <cell r="L97" t="str">
            <v>Oberösterreich</v>
          </cell>
          <cell r="M97">
            <v>23</v>
          </cell>
        </row>
        <row r="98">
          <cell r="K98" t="str">
            <v>Attersee am Attersee</v>
          </cell>
          <cell r="L98" t="str">
            <v>Oberösterreich</v>
          </cell>
          <cell r="M98">
            <v>23</v>
          </cell>
        </row>
        <row r="99">
          <cell r="K99" t="str">
            <v>Attnang-Puchheim</v>
          </cell>
          <cell r="L99" t="str">
            <v>Oberösterreich</v>
          </cell>
          <cell r="M99">
            <v>11</v>
          </cell>
        </row>
        <row r="100">
          <cell r="K100" t="str">
            <v>Atzbach</v>
          </cell>
          <cell r="L100" t="str">
            <v>Oberösterreich</v>
          </cell>
          <cell r="M100">
            <v>24</v>
          </cell>
        </row>
        <row r="101">
          <cell r="K101" t="str">
            <v>Atzenbrugg</v>
          </cell>
          <cell r="L101" t="str">
            <v>Niederösterreich</v>
          </cell>
          <cell r="M101">
            <v>23</v>
          </cell>
        </row>
        <row r="102">
          <cell r="K102" t="str">
            <v>Atzesberg</v>
          </cell>
          <cell r="L102" t="str">
            <v>Oberösterreich</v>
          </cell>
          <cell r="M102">
            <v>34</v>
          </cell>
        </row>
        <row r="103">
          <cell r="K103" t="str">
            <v>Au</v>
          </cell>
          <cell r="L103" t="str">
            <v>Vorarlberg</v>
          </cell>
          <cell r="M103">
            <v>33</v>
          </cell>
        </row>
        <row r="104">
          <cell r="K104" t="str">
            <v>Au am Leithaberge</v>
          </cell>
          <cell r="L104" t="str">
            <v>Niederösterreich</v>
          </cell>
          <cell r="M104">
            <v>24</v>
          </cell>
        </row>
        <row r="105">
          <cell r="K105" t="str">
            <v>Auberg</v>
          </cell>
          <cell r="L105" t="str">
            <v>Oberösterreich</v>
          </cell>
          <cell r="M105">
            <v>34</v>
          </cell>
        </row>
        <row r="106">
          <cell r="K106" t="str">
            <v>Auerbach</v>
          </cell>
          <cell r="L106" t="str">
            <v>Oberösterreich</v>
          </cell>
          <cell r="M106">
            <v>34</v>
          </cell>
        </row>
        <row r="107">
          <cell r="K107" t="str">
            <v>Auersthal</v>
          </cell>
          <cell r="L107" t="str">
            <v>Niederösterreich</v>
          </cell>
          <cell r="M107">
            <v>32</v>
          </cell>
        </row>
        <row r="108">
          <cell r="K108" t="str">
            <v>Aurach am Hongar</v>
          </cell>
          <cell r="L108" t="str">
            <v>Oberösterreich</v>
          </cell>
          <cell r="M108">
            <v>24</v>
          </cell>
        </row>
        <row r="109">
          <cell r="K109" t="str">
            <v>Aurach bei Kitzbühel</v>
          </cell>
          <cell r="L109" t="str">
            <v>Tirol</v>
          </cell>
          <cell r="M109">
            <v>33</v>
          </cell>
        </row>
        <row r="110">
          <cell r="K110" t="str">
            <v>Aurolzmünster</v>
          </cell>
          <cell r="L110" t="str">
            <v>Oberösterreich</v>
          </cell>
          <cell r="M110">
            <v>12</v>
          </cell>
        </row>
        <row r="111">
          <cell r="K111" t="str">
            <v>Außervillgraten</v>
          </cell>
          <cell r="L111" t="str">
            <v>Tirol</v>
          </cell>
          <cell r="M111">
            <v>34</v>
          </cell>
        </row>
        <row r="112">
          <cell r="K112" t="str">
            <v>Axams</v>
          </cell>
          <cell r="L112" t="str">
            <v>Tirol</v>
          </cell>
          <cell r="M112">
            <v>12</v>
          </cell>
        </row>
        <row r="113">
          <cell r="K113" t="str">
            <v>Bach</v>
          </cell>
          <cell r="L113" t="str">
            <v>Tirol</v>
          </cell>
          <cell r="M113">
            <v>34</v>
          </cell>
        </row>
        <row r="114">
          <cell r="K114" t="str">
            <v>Bachmanning</v>
          </cell>
          <cell r="L114" t="str">
            <v>Oberösterreich</v>
          </cell>
          <cell r="M114">
            <v>23</v>
          </cell>
        </row>
        <row r="115">
          <cell r="K115" t="str">
            <v>Bad Aussee</v>
          </cell>
          <cell r="L115" t="str">
            <v>Steiermark</v>
          </cell>
          <cell r="M115">
            <v>33</v>
          </cell>
        </row>
        <row r="116">
          <cell r="K116" t="str">
            <v>Bad Bleiberg</v>
          </cell>
          <cell r="L116" t="str">
            <v>Kärnten</v>
          </cell>
          <cell r="M116">
            <v>24</v>
          </cell>
        </row>
        <row r="117">
          <cell r="K117" t="str">
            <v>Bad Blumau</v>
          </cell>
          <cell r="L117" t="str">
            <v>Steiermark</v>
          </cell>
          <cell r="M117">
            <v>33</v>
          </cell>
        </row>
        <row r="118">
          <cell r="K118" t="str">
            <v>Bad Deutsch-Altenburg</v>
          </cell>
          <cell r="L118" t="str">
            <v>Niederösterreich</v>
          </cell>
          <cell r="M118">
            <v>32</v>
          </cell>
        </row>
        <row r="119">
          <cell r="K119" t="str">
            <v>Bad Erlach</v>
          </cell>
          <cell r="L119" t="str">
            <v>Niederösterreich</v>
          </cell>
          <cell r="M119">
            <v>22</v>
          </cell>
        </row>
        <row r="120">
          <cell r="K120" t="str">
            <v>Bad Fischau-Brunn</v>
          </cell>
          <cell r="L120" t="str">
            <v>Niederösterreich</v>
          </cell>
          <cell r="M120">
            <v>22</v>
          </cell>
        </row>
        <row r="121">
          <cell r="K121" t="str">
            <v>Bad Gastein</v>
          </cell>
          <cell r="L121" t="str">
            <v>Salzburg</v>
          </cell>
          <cell r="M121">
            <v>32</v>
          </cell>
        </row>
        <row r="122">
          <cell r="K122" t="str">
            <v>Bad Gleichenberg</v>
          </cell>
          <cell r="L122" t="str">
            <v>Steiermark</v>
          </cell>
          <cell r="M122">
            <v>33</v>
          </cell>
        </row>
        <row r="123">
          <cell r="K123" t="str">
            <v>Bad Goisern am Hallstättersee</v>
          </cell>
          <cell r="L123" t="str">
            <v>Oberösterreich</v>
          </cell>
          <cell r="M123">
            <v>32</v>
          </cell>
        </row>
        <row r="124">
          <cell r="K124" t="str">
            <v>Bad Großpertholz</v>
          </cell>
          <cell r="L124" t="str">
            <v>Niederösterreich</v>
          </cell>
          <cell r="M124">
            <v>34</v>
          </cell>
        </row>
        <row r="125">
          <cell r="K125" t="str">
            <v>Bad Hall</v>
          </cell>
          <cell r="L125" t="str">
            <v>Oberösterreich</v>
          </cell>
          <cell r="M125">
            <v>23</v>
          </cell>
        </row>
        <row r="126">
          <cell r="K126" t="str">
            <v>Bad Häring</v>
          </cell>
          <cell r="L126" t="str">
            <v>Tirol</v>
          </cell>
          <cell r="M126">
            <v>12</v>
          </cell>
        </row>
        <row r="127">
          <cell r="K127" t="str">
            <v>Bad Hofgastein</v>
          </cell>
          <cell r="L127" t="str">
            <v>Salzburg</v>
          </cell>
          <cell r="M127">
            <v>32</v>
          </cell>
        </row>
        <row r="128">
          <cell r="K128" t="str">
            <v>Bad Ischl</v>
          </cell>
          <cell r="L128" t="str">
            <v>Oberösterreich</v>
          </cell>
          <cell r="M128">
            <v>32</v>
          </cell>
        </row>
        <row r="129">
          <cell r="K129" t="str">
            <v>Bad Kleinkirchheim</v>
          </cell>
          <cell r="L129" t="str">
            <v>Kärnten</v>
          </cell>
          <cell r="M129">
            <v>33</v>
          </cell>
        </row>
        <row r="130">
          <cell r="K130" t="str">
            <v>Bad Kreuzen</v>
          </cell>
          <cell r="L130" t="str">
            <v>Oberösterreich</v>
          </cell>
          <cell r="M130">
            <v>24</v>
          </cell>
        </row>
        <row r="131">
          <cell r="K131" t="str">
            <v>Bad Leonfelden</v>
          </cell>
          <cell r="L131" t="str">
            <v>Oberösterreich</v>
          </cell>
          <cell r="M131">
            <v>23</v>
          </cell>
        </row>
        <row r="132">
          <cell r="K132" t="str">
            <v>Bad Mitterndorf</v>
          </cell>
          <cell r="L132" t="str">
            <v>Steiermark</v>
          </cell>
          <cell r="M132">
            <v>33</v>
          </cell>
        </row>
        <row r="133">
          <cell r="K133" t="str">
            <v>Bad Pirawarth</v>
          </cell>
          <cell r="L133" t="str">
            <v>Niederösterreich</v>
          </cell>
          <cell r="M133">
            <v>23</v>
          </cell>
        </row>
        <row r="134">
          <cell r="K134" t="str">
            <v>Bad Radkersburg</v>
          </cell>
          <cell r="L134" t="str">
            <v>Steiermark</v>
          </cell>
          <cell r="M134">
            <v>34</v>
          </cell>
        </row>
        <row r="135">
          <cell r="K135" t="str">
            <v>Bad Sauerbrunn</v>
          </cell>
          <cell r="L135" t="str">
            <v>Burgenland</v>
          </cell>
          <cell r="M135">
            <v>22</v>
          </cell>
        </row>
        <row r="136">
          <cell r="K136" t="str">
            <v>Bad Schallerbach</v>
          </cell>
          <cell r="L136" t="str">
            <v>Oberösterreich</v>
          </cell>
          <cell r="M136">
            <v>22</v>
          </cell>
        </row>
        <row r="137">
          <cell r="K137" t="str">
            <v>Bad Schönau</v>
          </cell>
          <cell r="L137" t="str">
            <v>Niederösterreich</v>
          </cell>
          <cell r="M137">
            <v>34</v>
          </cell>
        </row>
        <row r="138">
          <cell r="K138" t="str">
            <v>Bad St. Leonhard im Lavanttal</v>
          </cell>
          <cell r="L138" t="str">
            <v>Kärnten</v>
          </cell>
          <cell r="M138">
            <v>24</v>
          </cell>
        </row>
        <row r="139">
          <cell r="K139" t="str">
            <v>Bad Tatzmannsdorf</v>
          </cell>
          <cell r="L139" t="str">
            <v>Burgenland</v>
          </cell>
          <cell r="M139">
            <v>34</v>
          </cell>
        </row>
        <row r="140">
          <cell r="K140" t="str">
            <v>Bad Traunstein</v>
          </cell>
          <cell r="L140" t="str">
            <v>Niederösterreich</v>
          </cell>
          <cell r="M140">
            <v>34</v>
          </cell>
        </row>
        <row r="141">
          <cell r="K141" t="str">
            <v>Bad Vigaun</v>
          </cell>
          <cell r="L141" t="str">
            <v>Salzburg</v>
          </cell>
          <cell r="M141">
            <v>12</v>
          </cell>
        </row>
        <row r="142">
          <cell r="K142" t="str">
            <v>Bad Vöslau</v>
          </cell>
          <cell r="L142" t="str">
            <v>Niederösterreich</v>
          </cell>
          <cell r="M142">
            <v>12</v>
          </cell>
        </row>
        <row r="143">
          <cell r="K143" t="str">
            <v>Bad Waltersdorf</v>
          </cell>
          <cell r="L143" t="str">
            <v>Steiermark</v>
          </cell>
          <cell r="M143">
            <v>34</v>
          </cell>
        </row>
        <row r="144">
          <cell r="K144" t="str">
            <v>Bad Wimsbach-Neydharting</v>
          </cell>
          <cell r="L144" t="str">
            <v>Oberösterreich</v>
          </cell>
          <cell r="M144">
            <v>22</v>
          </cell>
        </row>
        <row r="145">
          <cell r="K145" t="str">
            <v>Bad Zell</v>
          </cell>
          <cell r="L145" t="str">
            <v>Oberösterreich</v>
          </cell>
          <cell r="M145">
            <v>33</v>
          </cell>
        </row>
        <row r="146">
          <cell r="K146" t="str">
            <v>Baden</v>
          </cell>
          <cell r="L146" t="str">
            <v>Niederösterreich</v>
          </cell>
          <cell r="M146">
            <v>11</v>
          </cell>
        </row>
        <row r="147">
          <cell r="K147" t="str">
            <v>Badersdorf</v>
          </cell>
          <cell r="L147" t="str">
            <v>Burgenland</v>
          </cell>
          <cell r="M147">
            <v>34</v>
          </cell>
        </row>
        <row r="148">
          <cell r="K148" t="str">
            <v>Baldramsdorf</v>
          </cell>
          <cell r="L148" t="str">
            <v>Kärnten</v>
          </cell>
          <cell r="M148">
            <v>23</v>
          </cell>
        </row>
        <row r="149">
          <cell r="K149" t="str">
            <v>Bärnbach</v>
          </cell>
          <cell r="L149" t="str">
            <v>Steiermark</v>
          </cell>
          <cell r="M149">
            <v>12</v>
          </cell>
        </row>
        <row r="150">
          <cell r="K150" t="str">
            <v>Bärnkopf</v>
          </cell>
          <cell r="L150" t="str">
            <v>Niederösterreich</v>
          </cell>
          <cell r="M150">
            <v>34</v>
          </cell>
        </row>
        <row r="151">
          <cell r="K151" t="str">
            <v>Bartholomäberg</v>
          </cell>
          <cell r="L151" t="str">
            <v>Vorarlberg</v>
          </cell>
          <cell r="M151">
            <v>22</v>
          </cell>
        </row>
        <row r="152">
          <cell r="K152" t="str">
            <v>Baumgarten</v>
          </cell>
          <cell r="L152" t="str">
            <v>Burgenland</v>
          </cell>
          <cell r="M152">
            <v>23</v>
          </cell>
        </row>
        <row r="153">
          <cell r="K153" t="str">
            <v>Baumgartenberg</v>
          </cell>
          <cell r="L153" t="str">
            <v>Oberösterreich</v>
          </cell>
          <cell r="M153">
            <v>22</v>
          </cell>
        </row>
        <row r="154">
          <cell r="K154" t="str">
            <v>Baumkirchen</v>
          </cell>
          <cell r="L154" t="str">
            <v>Tirol</v>
          </cell>
          <cell r="M154">
            <v>12</v>
          </cell>
        </row>
        <row r="155">
          <cell r="K155" t="str">
            <v>Behamberg</v>
          </cell>
          <cell r="L155" t="str">
            <v>Niederösterreich</v>
          </cell>
          <cell r="M155">
            <v>23</v>
          </cell>
        </row>
        <row r="156">
          <cell r="K156" t="str">
            <v>Berg</v>
          </cell>
          <cell r="L156" t="str">
            <v>Niederösterreich</v>
          </cell>
          <cell r="M156">
            <v>34</v>
          </cell>
        </row>
        <row r="157">
          <cell r="K157" t="str">
            <v>Berg im Attergau</v>
          </cell>
          <cell r="L157" t="str">
            <v>Oberösterreich</v>
          </cell>
          <cell r="M157">
            <v>23</v>
          </cell>
        </row>
        <row r="158">
          <cell r="K158" t="str">
            <v>Berg im Drautal</v>
          </cell>
          <cell r="L158" t="str">
            <v>Kärnten</v>
          </cell>
          <cell r="M158">
            <v>22</v>
          </cell>
        </row>
        <row r="159">
          <cell r="K159" t="str">
            <v>Bergern im Dunkelsteinerwald</v>
          </cell>
          <cell r="L159" t="str">
            <v>Niederösterreich</v>
          </cell>
          <cell r="M159">
            <v>24</v>
          </cell>
        </row>
        <row r="160">
          <cell r="K160" t="str">
            <v>Bergheim</v>
          </cell>
          <cell r="L160" t="str">
            <v>Salzburg</v>
          </cell>
          <cell r="M160">
            <v>12</v>
          </cell>
        </row>
        <row r="161">
          <cell r="K161" t="str">
            <v>Bergland</v>
          </cell>
          <cell r="L161" t="str">
            <v>Niederösterreich</v>
          </cell>
          <cell r="M161">
            <v>22</v>
          </cell>
        </row>
        <row r="162">
          <cell r="K162" t="str">
            <v>Berndorf</v>
          </cell>
          <cell r="L162" t="str">
            <v>Niederösterreich</v>
          </cell>
          <cell r="M162">
            <v>12</v>
          </cell>
        </row>
        <row r="163">
          <cell r="K163" t="str">
            <v>Berndorf bei Salzburg</v>
          </cell>
          <cell r="L163" t="str">
            <v>Salzburg</v>
          </cell>
          <cell r="M163">
            <v>23</v>
          </cell>
        </row>
        <row r="164">
          <cell r="K164" t="str">
            <v>Bernhardsthal</v>
          </cell>
          <cell r="L164" t="str">
            <v>Niederösterreich</v>
          </cell>
          <cell r="M164">
            <v>33</v>
          </cell>
        </row>
        <row r="165">
          <cell r="K165" t="str">
            <v>Bernstein</v>
          </cell>
          <cell r="L165" t="str">
            <v>Burgenland</v>
          </cell>
          <cell r="M165">
            <v>34</v>
          </cell>
        </row>
        <row r="166">
          <cell r="K166" t="str">
            <v>Berwang</v>
          </cell>
          <cell r="L166" t="str">
            <v>Tirol</v>
          </cell>
          <cell r="M166">
            <v>24</v>
          </cell>
        </row>
        <row r="167">
          <cell r="K167" t="str">
            <v>Bezau</v>
          </cell>
          <cell r="L167" t="str">
            <v>Vorarlberg</v>
          </cell>
          <cell r="M167">
            <v>22</v>
          </cell>
        </row>
        <row r="168">
          <cell r="K168" t="str">
            <v>Biberbach</v>
          </cell>
          <cell r="L168" t="str">
            <v>Niederösterreich</v>
          </cell>
          <cell r="M168">
            <v>22</v>
          </cell>
        </row>
        <row r="169">
          <cell r="K169" t="str">
            <v>Biberwier</v>
          </cell>
          <cell r="L169" t="str">
            <v>Tirol</v>
          </cell>
          <cell r="M169">
            <v>24</v>
          </cell>
        </row>
        <row r="170">
          <cell r="K170" t="str">
            <v>Bichlbach</v>
          </cell>
          <cell r="L170" t="str">
            <v>Tirol</v>
          </cell>
          <cell r="M170">
            <v>22</v>
          </cell>
        </row>
        <row r="171">
          <cell r="K171" t="str">
            <v>Biedermannsdorf</v>
          </cell>
          <cell r="L171" t="str">
            <v>Niederösterreich</v>
          </cell>
          <cell r="M171">
            <v>12</v>
          </cell>
        </row>
        <row r="172">
          <cell r="K172" t="str">
            <v>Bildein</v>
          </cell>
          <cell r="L172" t="str">
            <v>Burgenland</v>
          </cell>
          <cell r="M172">
            <v>34</v>
          </cell>
        </row>
        <row r="173">
          <cell r="K173" t="str">
            <v>Bildstein</v>
          </cell>
          <cell r="L173" t="str">
            <v>Vorarlberg</v>
          </cell>
          <cell r="M173">
            <v>23</v>
          </cell>
        </row>
        <row r="174">
          <cell r="K174" t="str">
            <v>Birgitz</v>
          </cell>
          <cell r="L174" t="str">
            <v>Tirol</v>
          </cell>
          <cell r="M174">
            <v>12</v>
          </cell>
        </row>
        <row r="175">
          <cell r="K175" t="str">
            <v>Birkfeld</v>
          </cell>
          <cell r="L175" t="str">
            <v>Steiermark</v>
          </cell>
          <cell r="M175">
            <v>23</v>
          </cell>
        </row>
        <row r="176">
          <cell r="K176" t="str">
            <v>Bisamberg</v>
          </cell>
          <cell r="L176" t="str">
            <v>Niederösterreich</v>
          </cell>
          <cell r="M176">
            <v>12</v>
          </cell>
        </row>
        <row r="177">
          <cell r="K177" t="str">
            <v>Bischofshofen</v>
          </cell>
          <cell r="L177" t="str">
            <v>Salzburg</v>
          </cell>
          <cell r="M177">
            <v>22</v>
          </cell>
        </row>
        <row r="178">
          <cell r="K178" t="str">
            <v>Bischofstetten</v>
          </cell>
          <cell r="L178" t="str">
            <v>Niederösterreich</v>
          </cell>
          <cell r="M178">
            <v>24</v>
          </cell>
        </row>
        <row r="179">
          <cell r="K179" t="str">
            <v>Bizau</v>
          </cell>
          <cell r="L179" t="str">
            <v>Vorarlberg</v>
          </cell>
          <cell r="M179">
            <v>33</v>
          </cell>
        </row>
        <row r="180">
          <cell r="K180" t="str">
            <v>Bleiburg</v>
          </cell>
          <cell r="L180" t="str">
            <v>Kärnten</v>
          </cell>
          <cell r="M180">
            <v>22</v>
          </cell>
        </row>
        <row r="181">
          <cell r="K181" t="str">
            <v>Blindenmarkt</v>
          </cell>
          <cell r="L181" t="str">
            <v>Niederösterreich</v>
          </cell>
          <cell r="M181">
            <v>22</v>
          </cell>
        </row>
        <row r="182">
          <cell r="K182" t="str">
            <v>Blons</v>
          </cell>
          <cell r="L182" t="str">
            <v>Vorarlberg</v>
          </cell>
          <cell r="M182">
            <v>23</v>
          </cell>
        </row>
        <row r="183">
          <cell r="K183" t="str">
            <v>Bludenz</v>
          </cell>
          <cell r="L183" t="str">
            <v>Vorarlberg</v>
          </cell>
          <cell r="M183">
            <v>11</v>
          </cell>
        </row>
        <row r="184">
          <cell r="K184" t="str">
            <v>Bludesch</v>
          </cell>
          <cell r="L184" t="str">
            <v>Vorarlberg</v>
          </cell>
          <cell r="M184">
            <v>11</v>
          </cell>
        </row>
        <row r="185">
          <cell r="K185" t="str">
            <v>Blumau-Neurißhof</v>
          </cell>
          <cell r="L185" t="str">
            <v>Niederösterreich</v>
          </cell>
          <cell r="M185">
            <v>24</v>
          </cell>
        </row>
        <row r="186">
          <cell r="K186" t="str">
            <v>Bockfließ</v>
          </cell>
          <cell r="L186" t="str">
            <v>Niederösterreich</v>
          </cell>
          <cell r="M186">
            <v>22</v>
          </cell>
        </row>
        <row r="187">
          <cell r="K187" t="str">
            <v>Bocksdorf</v>
          </cell>
          <cell r="L187" t="str">
            <v>Burgenland</v>
          </cell>
          <cell r="M187">
            <v>34</v>
          </cell>
        </row>
        <row r="188">
          <cell r="K188" t="str">
            <v>Böheimkirchen</v>
          </cell>
          <cell r="L188" t="str">
            <v>Niederösterreich</v>
          </cell>
          <cell r="M188">
            <v>22</v>
          </cell>
        </row>
        <row r="189">
          <cell r="K189" t="str">
            <v>Bramberg am Wildkogel</v>
          </cell>
          <cell r="L189" t="str">
            <v>Salzburg</v>
          </cell>
          <cell r="M189">
            <v>32</v>
          </cell>
        </row>
        <row r="190">
          <cell r="K190" t="str">
            <v>Brand</v>
          </cell>
          <cell r="L190" t="str">
            <v>Vorarlberg</v>
          </cell>
          <cell r="M190">
            <v>24</v>
          </cell>
        </row>
        <row r="191">
          <cell r="K191" t="str">
            <v>Brandberg</v>
          </cell>
          <cell r="L191" t="str">
            <v>Tirol</v>
          </cell>
          <cell r="M191">
            <v>34</v>
          </cell>
        </row>
        <row r="192">
          <cell r="K192" t="str">
            <v>Brandenberg</v>
          </cell>
          <cell r="L192" t="str">
            <v>Tirol</v>
          </cell>
          <cell r="M192">
            <v>24</v>
          </cell>
        </row>
        <row r="193">
          <cell r="K193" t="str">
            <v>Brand-Laaben</v>
          </cell>
          <cell r="L193" t="str">
            <v>Niederösterreich</v>
          </cell>
          <cell r="M193">
            <v>23</v>
          </cell>
        </row>
        <row r="194">
          <cell r="K194" t="str">
            <v>Brand-Nagelberg</v>
          </cell>
          <cell r="L194" t="str">
            <v>Niederösterreich</v>
          </cell>
          <cell r="M194">
            <v>34</v>
          </cell>
        </row>
        <row r="195">
          <cell r="K195" t="str">
            <v>Braunau am Inn</v>
          </cell>
          <cell r="L195" t="str">
            <v>Oberösterreich</v>
          </cell>
          <cell r="M195">
            <v>11</v>
          </cell>
        </row>
        <row r="196">
          <cell r="K196" t="str">
            <v>Bregenz</v>
          </cell>
          <cell r="L196" t="str">
            <v>Vorarlberg</v>
          </cell>
          <cell r="M196">
            <v>11</v>
          </cell>
        </row>
        <row r="197">
          <cell r="K197" t="str">
            <v>Breitenau</v>
          </cell>
          <cell r="L197" t="str">
            <v>Niederösterreich</v>
          </cell>
          <cell r="M197">
            <v>22</v>
          </cell>
        </row>
        <row r="198">
          <cell r="K198" t="str">
            <v>Breitenau am Hochlantsch</v>
          </cell>
          <cell r="L198" t="str">
            <v>Steiermark</v>
          </cell>
          <cell r="M198">
            <v>24</v>
          </cell>
        </row>
        <row r="199">
          <cell r="K199" t="str">
            <v>Breitenbach am Inn</v>
          </cell>
          <cell r="L199" t="str">
            <v>Tirol</v>
          </cell>
          <cell r="M199">
            <v>23</v>
          </cell>
        </row>
        <row r="200">
          <cell r="K200" t="str">
            <v>Breitenbrunn am Neusiedler See</v>
          </cell>
          <cell r="L200" t="str">
            <v>Burgenland</v>
          </cell>
          <cell r="M200">
            <v>22</v>
          </cell>
        </row>
        <row r="201">
          <cell r="K201" t="str">
            <v>Breitenfurt bei Wien</v>
          </cell>
          <cell r="L201" t="str">
            <v>Niederösterreich</v>
          </cell>
          <cell r="M201">
            <v>22</v>
          </cell>
        </row>
        <row r="202">
          <cell r="K202" t="str">
            <v>Breitenstein</v>
          </cell>
          <cell r="L202" t="str">
            <v>Niederösterreich</v>
          </cell>
          <cell r="M202">
            <v>23</v>
          </cell>
        </row>
        <row r="203">
          <cell r="K203" t="str">
            <v>Breitenwang</v>
          </cell>
          <cell r="L203" t="str">
            <v>Tirol</v>
          </cell>
          <cell r="M203">
            <v>12</v>
          </cell>
        </row>
        <row r="204">
          <cell r="K204" t="str">
            <v>Brixen im Thale</v>
          </cell>
          <cell r="L204" t="str">
            <v>Tirol</v>
          </cell>
          <cell r="M204">
            <v>22</v>
          </cell>
        </row>
        <row r="205">
          <cell r="K205" t="str">
            <v>Brixlegg</v>
          </cell>
          <cell r="L205" t="str">
            <v>Tirol</v>
          </cell>
          <cell r="M205">
            <v>22</v>
          </cell>
        </row>
        <row r="206">
          <cell r="K206" t="str">
            <v>Bromberg</v>
          </cell>
          <cell r="L206" t="str">
            <v>Niederösterreich</v>
          </cell>
          <cell r="M206">
            <v>24</v>
          </cell>
        </row>
        <row r="207">
          <cell r="K207" t="str">
            <v>Bruck am Ziller</v>
          </cell>
          <cell r="L207" t="str">
            <v>Tirol</v>
          </cell>
          <cell r="M207">
            <v>24</v>
          </cell>
        </row>
        <row r="208">
          <cell r="K208" t="str">
            <v>Bruck an der Großglocknerstraße</v>
          </cell>
          <cell r="L208" t="str">
            <v>Salzburg</v>
          </cell>
          <cell r="M208">
            <v>32</v>
          </cell>
        </row>
        <row r="209">
          <cell r="K209" t="str">
            <v>Bruck an der Leitha</v>
          </cell>
          <cell r="L209" t="str">
            <v>Niederösterreich</v>
          </cell>
          <cell r="M209">
            <v>22</v>
          </cell>
        </row>
        <row r="210">
          <cell r="K210" t="str">
            <v>Bruck an der Mur</v>
          </cell>
          <cell r="L210" t="str">
            <v>Steiermark</v>
          </cell>
          <cell r="M210">
            <v>11</v>
          </cell>
        </row>
        <row r="211">
          <cell r="K211" t="str">
            <v>Brückl</v>
          </cell>
          <cell r="L211" t="str">
            <v>Kärnten</v>
          </cell>
          <cell r="M211">
            <v>24</v>
          </cell>
        </row>
        <row r="212">
          <cell r="K212" t="str">
            <v>Bruckneudorf</v>
          </cell>
          <cell r="L212" t="str">
            <v>Burgenland</v>
          </cell>
          <cell r="M212">
            <v>22</v>
          </cell>
        </row>
        <row r="213">
          <cell r="K213" t="str">
            <v>Bruck-Waasen</v>
          </cell>
          <cell r="L213" t="str">
            <v>Oberösterreich</v>
          </cell>
          <cell r="M213">
            <v>32</v>
          </cell>
        </row>
        <row r="214">
          <cell r="K214" t="str">
            <v>Brunn am Gebirge</v>
          </cell>
          <cell r="L214" t="str">
            <v>Niederösterreich</v>
          </cell>
          <cell r="M214">
            <v>11</v>
          </cell>
        </row>
        <row r="215">
          <cell r="K215" t="str">
            <v>Brunn an der Wild</v>
          </cell>
          <cell r="L215" t="str">
            <v>Niederösterreich</v>
          </cell>
          <cell r="M215">
            <v>33</v>
          </cell>
        </row>
        <row r="216">
          <cell r="K216" t="str">
            <v>Brunnenthal</v>
          </cell>
          <cell r="L216" t="str">
            <v>Oberösterreich</v>
          </cell>
          <cell r="M216">
            <v>33</v>
          </cell>
        </row>
        <row r="217">
          <cell r="K217" t="str">
            <v>Buch</v>
          </cell>
          <cell r="L217" t="str">
            <v>Vorarlberg</v>
          </cell>
          <cell r="M217">
            <v>24</v>
          </cell>
        </row>
        <row r="218">
          <cell r="K218" t="str">
            <v>Buch in Tirol</v>
          </cell>
          <cell r="L218" t="str">
            <v>Tirol</v>
          </cell>
          <cell r="M218">
            <v>22</v>
          </cell>
        </row>
        <row r="219">
          <cell r="K219" t="str">
            <v>Buchbach</v>
          </cell>
          <cell r="L219" t="str">
            <v>Niederösterreich</v>
          </cell>
          <cell r="M219">
            <v>24</v>
          </cell>
        </row>
        <row r="220">
          <cell r="K220" t="str">
            <v>Buchkirchen</v>
          </cell>
          <cell r="L220" t="str">
            <v>Oberösterreich</v>
          </cell>
          <cell r="M220">
            <v>23</v>
          </cell>
        </row>
        <row r="221">
          <cell r="K221" t="str">
            <v>Buch-St. Magdalena</v>
          </cell>
          <cell r="L221" t="str">
            <v>Steiermark</v>
          </cell>
          <cell r="M221">
            <v>34</v>
          </cell>
        </row>
        <row r="222">
          <cell r="K222" t="str">
            <v>Burgau</v>
          </cell>
          <cell r="L222" t="str">
            <v>Steiermark</v>
          </cell>
          <cell r="M222">
            <v>34</v>
          </cell>
        </row>
        <row r="223">
          <cell r="K223" t="str">
            <v>Burgauberg-Neudauberg</v>
          </cell>
          <cell r="L223" t="str">
            <v>Burgenland</v>
          </cell>
          <cell r="M223">
            <v>34</v>
          </cell>
        </row>
        <row r="224">
          <cell r="K224" t="str">
            <v>Burgkirchen</v>
          </cell>
          <cell r="L224" t="str">
            <v>Oberösterreich</v>
          </cell>
          <cell r="M224">
            <v>23</v>
          </cell>
        </row>
        <row r="225">
          <cell r="K225" t="str">
            <v>Burgschleinitz-Kühnring</v>
          </cell>
          <cell r="L225" t="str">
            <v>Niederösterreich</v>
          </cell>
          <cell r="M225">
            <v>34</v>
          </cell>
        </row>
        <row r="226">
          <cell r="K226" t="str">
            <v>Bürg-Vöstenhof</v>
          </cell>
          <cell r="L226" t="str">
            <v>Niederösterreich</v>
          </cell>
          <cell r="M226">
            <v>24</v>
          </cell>
        </row>
        <row r="227">
          <cell r="K227" t="str">
            <v>Bürmoos</v>
          </cell>
          <cell r="L227" t="str">
            <v>Salzburg</v>
          </cell>
          <cell r="M227">
            <v>22</v>
          </cell>
        </row>
        <row r="228">
          <cell r="K228" t="str">
            <v>Bürs</v>
          </cell>
          <cell r="L228" t="str">
            <v>Vorarlberg</v>
          </cell>
          <cell r="M228">
            <v>11</v>
          </cell>
        </row>
        <row r="229">
          <cell r="K229" t="str">
            <v>Bürserberg</v>
          </cell>
          <cell r="L229" t="str">
            <v>Vorarlberg</v>
          </cell>
          <cell r="M229">
            <v>24</v>
          </cell>
        </row>
        <row r="230">
          <cell r="K230" t="str">
            <v>Dalaas</v>
          </cell>
          <cell r="L230" t="str">
            <v>Vorarlberg</v>
          </cell>
          <cell r="M230">
            <v>23</v>
          </cell>
        </row>
        <row r="231">
          <cell r="K231" t="str">
            <v>Damüls</v>
          </cell>
          <cell r="L231" t="str">
            <v>Vorarlberg</v>
          </cell>
          <cell r="M231">
            <v>24</v>
          </cell>
        </row>
        <row r="232">
          <cell r="K232" t="str">
            <v>Dechantskirchen</v>
          </cell>
          <cell r="L232" t="str">
            <v>Steiermark</v>
          </cell>
          <cell r="M232">
            <v>33</v>
          </cell>
        </row>
        <row r="233">
          <cell r="K233" t="str">
            <v>Dellach</v>
          </cell>
          <cell r="L233" t="str">
            <v>Kärnten</v>
          </cell>
          <cell r="M233">
            <v>33</v>
          </cell>
        </row>
        <row r="234">
          <cell r="K234" t="str">
            <v>Dellach im Drautal</v>
          </cell>
          <cell r="L234" t="str">
            <v>Kärnten</v>
          </cell>
          <cell r="M234">
            <v>22</v>
          </cell>
        </row>
        <row r="235">
          <cell r="K235" t="str">
            <v>Desselbrunn</v>
          </cell>
          <cell r="L235" t="str">
            <v>Oberösterreich</v>
          </cell>
          <cell r="M235">
            <v>22</v>
          </cell>
        </row>
        <row r="236">
          <cell r="K236" t="str">
            <v>Deutsch Goritz</v>
          </cell>
          <cell r="L236" t="str">
            <v>Steiermark</v>
          </cell>
          <cell r="M236">
            <v>34</v>
          </cell>
        </row>
        <row r="237">
          <cell r="K237" t="str">
            <v>Deutsch Jahrndorf</v>
          </cell>
          <cell r="L237" t="str">
            <v>Burgenland</v>
          </cell>
          <cell r="M237">
            <v>34</v>
          </cell>
        </row>
        <row r="238">
          <cell r="K238" t="str">
            <v>Deutsch Kaltenbrunn</v>
          </cell>
          <cell r="L238" t="str">
            <v>Burgenland</v>
          </cell>
          <cell r="M238">
            <v>34</v>
          </cell>
        </row>
        <row r="239">
          <cell r="K239" t="str">
            <v>Deutsch Schützen-Eisenberg</v>
          </cell>
          <cell r="L239" t="str">
            <v>Burgenland</v>
          </cell>
          <cell r="M239">
            <v>34</v>
          </cell>
        </row>
        <row r="240">
          <cell r="K240" t="str">
            <v>Deutschfeistritz</v>
          </cell>
          <cell r="L240" t="str">
            <v>Steiermark</v>
          </cell>
          <cell r="M240">
            <v>22</v>
          </cell>
        </row>
        <row r="241">
          <cell r="K241" t="str">
            <v>Deutsch-Griffen</v>
          </cell>
          <cell r="L241" t="str">
            <v>Kärnten</v>
          </cell>
          <cell r="M241">
            <v>34</v>
          </cell>
        </row>
        <row r="242">
          <cell r="K242" t="str">
            <v>Deutschkreutz</v>
          </cell>
          <cell r="L242" t="str">
            <v>Burgenland</v>
          </cell>
          <cell r="M242">
            <v>32</v>
          </cell>
        </row>
        <row r="243">
          <cell r="K243" t="str">
            <v>Deutschlandsberg</v>
          </cell>
          <cell r="L243" t="str">
            <v>Steiermark</v>
          </cell>
          <cell r="M243">
            <v>33</v>
          </cell>
        </row>
        <row r="244">
          <cell r="K244" t="str">
            <v>Deutsch-Wagram</v>
          </cell>
          <cell r="L244" t="str">
            <v>Niederösterreich</v>
          </cell>
          <cell r="M244">
            <v>22</v>
          </cell>
        </row>
        <row r="245">
          <cell r="K245" t="str">
            <v>Dienten am Hochkönig</v>
          </cell>
          <cell r="L245" t="str">
            <v>Salzburg</v>
          </cell>
          <cell r="M245">
            <v>34</v>
          </cell>
        </row>
        <row r="246">
          <cell r="K246" t="str">
            <v>Diersbach</v>
          </cell>
          <cell r="L246" t="str">
            <v>Oberösterreich</v>
          </cell>
          <cell r="M246">
            <v>34</v>
          </cell>
        </row>
        <row r="247">
          <cell r="K247" t="str">
            <v>Dietach</v>
          </cell>
          <cell r="L247" t="str">
            <v>Oberösterreich</v>
          </cell>
          <cell r="M247">
            <v>12</v>
          </cell>
        </row>
        <row r="248">
          <cell r="K248" t="str">
            <v>Dietmanns</v>
          </cell>
          <cell r="L248" t="str">
            <v>Niederösterreich</v>
          </cell>
          <cell r="M248">
            <v>34</v>
          </cell>
        </row>
        <row r="249">
          <cell r="K249" t="str">
            <v>Diex</v>
          </cell>
          <cell r="L249" t="str">
            <v>Kärnten</v>
          </cell>
          <cell r="M249">
            <v>24</v>
          </cell>
        </row>
        <row r="250">
          <cell r="K250" t="str">
            <v>Dimbach</v>
          </cell>
          <cell r="L250" t="str">
            <v>Oberösterreich</v>
          </cell>
          <cell r="M250">
            <v>34</v>
          </cell>
        </row>
        <row r="251">
          <cell r="K251" t="str">
            <v>Dobersberg</v>
          </cell>
          <cell r="L251" t="str">
            <v>Niederösterreich</v>
          </cell>
          <cell r="M251">
            <v>34</v>
          </cell>
        </row>
        <row r="252">
          <cell r="K252" t="str">
            <v>Dobl-Zwaring</v>
          </cell>
          <cell r="L252" t="str">
            <v>Steiermark</v>
          </cell>
          <cell r="M252">
            <v>24</v>
          </cell>
        </row>
        <row r="253">
          <cell r="K253" t="str">
            <v>Dölsach</v>
          </cell>
          <cell r="L253" t="str">
            <v>Tirol</v>
          </cell>
          <cell r="M253">
            <v>12</v>
          </cell>
        </row>
        <row r="254">
          <cell r="K254" t="str">
            <v>Donnerskirchen</v>
          </cell>
          <cell r="L254" t="str">
            <v>Burgenland</v>
          </cell>
          <cell r="M254">
            <v>22</v>
          </cell>
        </row>
        <row r="255">
          <cell r="K255" t="str">
            <v>Doren</v>
          </cell>
          <cell r="L255" t="str">
            <v>Vorarlberg</v>
          </cell>
          <cell r="M255">
            <v>23</v>
          </cell>
        </row>
        <row r="256">
          <cell r="K256" t="str">
            <v>Dorf an der Pram</v>
          </cell>
          <cell r="L256" t="str">
            <v>Oberösterreich</v>
          </cell>
          <cell r="M256">
            <v>23</v>
          </cell>
        </row>
        <row r="257">
          <cell r="K257" t="str">
            <v>Dorfbeuern</v>
          </cell>
          <cell r="L257" t="str">
            <v>Salzburg</v>
          </cell>
          <cell r="M257">
            <v>24</v>
          </cell>
        </row>
        <row r="258">
          <cell r="K258" t="str">
            <v>Dorfgastein</v>
          </cell>
          <cell r="L258" t="str">
            <v>Salzburg</v>
          </cell>
          <cell r="M258">
            <v>33</v>
          </cell>
        </row>
        <row r="259">
          <cell r="K259" t="str">
            <v>Dorfstetten</v>
          </cell>
          <cell r="L259" t="str">
            <v>Niederösterreich</v>
          </cell>
          <cell r="M259">
            <v>34</v>
          </cell>
        </row>
        <row r="260">
          <cell r="K260" t="str">
            <v>Dornbirn</v>
          </cell>
          <cell r="L260" t="str">
            <v>Vorarlberg</v>
          </cell>
          <cell r="M260">
            <v>11</v>
          </cell>
        </row>
        <row r="261">
          <cell r="K261" t="str">
            <v>Drasenhofen</v>
          </cell>
          <cell r="L261" t="str">
            <v>Niederösterreich</v>
          </cell>
          <cell r="M261">
            <v>34</v>
          </cell>
        </row>
        <row r="262">
          <cell r="K262" t="str">
            <v>Draßburg</v>
          </cell>
          <cell r="L262" t="str">
            <v>Burgenland</v>
          </cell>
          <cell r="M262">
            <v>22</v>
          </cell>
        </row>
        <row r="263">
          <cell r="K263" t="str">
            <v>Draßmarkt</v>
          </cell>
          <cell r="L263" t="str">
            <v>Burgenland</v>
          </cell>
          <cell r="M263">
            <v>34</v>
          </cell>
        </row>
        <row r="264">
          <cell r="K264" t="str">
            <v>Drosendorf-Zissersdorf</v>
          </cell>
          <cell r="L264" t="str">
            <v>Niederösterreich</v>
          </cell>
          <cell r="M264">
            <v>34</v>
          </cell>
        </row>
        <row r="265">
          <cell r="K265" t="str">
            <v>Drösing</v>
          </cell>
          <cell r="L265" t="str">
            <v>Niederösterreich</v>
          </cell>
          <cell r="M265">
            <v>32</v>
          </cell>
        </row>
        <row r="266">
          <cell r="K266" t="str">
            <v>Droß</v>
          </cell>
          <cell r="L266" t="str">
            <v>Niederösterreich</v>
          </cell>
          <cell r="M266">
            <v>24</v>
          </cell>
        </row>
        <row r="267">
          <cell r="K267" t="str">
            <v>Dunkelsteinerwald</v>
          </cell>
          <cell r="L267" t="str">
            <v>Niederösterreich</v>
          </cell>
          <cell r="M267">
            <v>24</v>
          </cell>
        </row>
        <row r="268">
          <cell r="K268" t="str">
            <v>Düns</v>
          </cell>
          <cell r="L268" t="str">
            <v>Vorarlberg</v>
          </cell>
          <cell r="M268">
            <v>24</v>
          </cell>
        </row>
        <row r="269">
          <cell r="K269" t="str">
            <v>Dünserberg</v>
          </cell>
          <cell r="L269" t="str">
            <v>Vorarlberg</v>
          </cell>
          <cell r="M269">
            <v>24</v>
          </cell>
        </row>
        <row r="270">
          <cell r="K270" t="str">
            <v>Dürnkrut</v>
          </cell>
          <cell r="L270" t="str">
            <v>Niederösterreich</v>
          </cell>
          <cell r="M270">
            <v>33</v>
          </cell>
        </row>
        <row r="271">
          <cell r="K271" t="str">
            <v>Dürnstein</v>
          </cell>
          <cell r="L271" t="str">
            <v>Niederösterreich</v>
          </cell>
          <cell r="M271">
            <v>23</v>
          </cell>
        </row>
        <row r="272">
          <cell r="K272" t="str">
            <v>Ebbs</v>
          </cell>
          <cell r="L272" t="str">
            <v>Tirol</v>
          </cell>
          <cell r="M272">
            <v>23</v>
          </cell>
        </row>
        <row r="273">
          <cell r="K273" t="str">
            <v>Eben am Achensee</v>
          </cell>
          <cell r="L273" t="str">
            <v>Tirol</v>
          </cell>
          <cell r="M273">
            <v>23</v>
          </cell>
        </row>
        <row r="274">
          <cell r="K274" t="str">
            <v>Eben im Pongau</v>
          </cell>
          <cell r="L274" t="str">
            <v>Salzburg</v>
          </cell>
          <cell r="M274">
            <v>22</v>
          </cell>
        </row>
        <row r="275">
          <cell r="K275" t="str">
            <v>Ebenau</v>
          </cell>
          <cell r="L275" t="str">
            <v>Salzburg</v>
          </cell>
          <cell r="M275">
            <v>24</v>
          </cell>
        </row>
        <row r="276">
          <cell r="K276" t="str">
            <v>Ebenfurth</v>
          </cell>
          <cell r="L276" t="str">
            <v>Niederösterreich</v>
          </cell>
          <cell r="M276">
            <v>22</v>
          </cell>
        </row>
        <row r="277">
          <cell r="K277" t="str">
            <v>Ebensee</v>
          </cell>
          <cell r="L277" t="str">
            <v>Oberösterreich</v>
          </cell>
          <cell r="M277">
            <v>22</v>
          </cell>
        </row>
        <row r="278">
          <cell r="K278" t="str">
            <v>Ebenthal</v>
          </cell>
          <cell r="L278" t="str">
            <v>Niederösterreich</v>
          </cell>
          <cell r="M278">
            <v>34</v>
          </cell>
        </row>
        <row r="279">
          <cell r="K279" t="str">
            <v>Ebenthal in Kärnten</v>
          </cell>
          <cell r="L279" t="str">
            <v>Kärnten</v>
          </cell>
          <cell r="M279">
            <v>22</v>
          </cell>
        </row>
        <row r="280">
          <cell r="K280" t="str">
            <v>Eberau</v>
          </cell>
          <cell r="L280" t="str">
            <v>Burgenland</v>
          </cell>
          <cell r="M280">
            <v>34</v>
          </cell>
        </row>
        <row r="281">
          <cell r="K281" t="str">
            <v>Ebergassing</v>
          </cell>
          <cell r="L281" t="str">
            <v>Niederösterreich</v>
          </cell>
          <cell r="M281">
            <v>23</v>
          </cell>
        </row>
        <row r="282">
          <cell r="K282" t="str">
            <v>Eberndorf</v>
          </cell>
          <cell r="L282" t="str">
            <v>Kärnten</v>
          </cell>
          <cell r="M282">
            <v>22</v>
          </cell>
        </row>
        <row r="283">
          <cell r="K283" t="str">
            <v>Eberschwang</v>
          </cell>
          <cell r="L283" t="str">
            <v>Oberösterreich</v>
          </cell>
          <cell r="M283">
            <v>23</v>
          </cell>
        </row>
        <row r="284">
          <cell r="K284" t="str">
            <v>Ebersdorf</v>
          </cell>
          <cell r="L284" t="str">
            <v>Steiermark</v>
          </cell>
          <cell r="M284">
            <v>34</v>
          </cell>
        </row>
        <row r="285">
          <cell r="K285" t="str">
            <v>Eberstalzell</v>
          </cell>
          <cell r="L285" t="str">
            <v>Oberösterreich</v>
          </cell>
          <cell r="M285">
            <v>24</v>
          </cell>
        </row>
        <row r="286">
          <cell r="K286" t="str">
            <v>Eberstein</v>
          </cell>
          <cell r="L286" t="str">
            <v>Kärnten</v>
          </cell>
          <cell r="M286">
            <v>24</v>
          </cell>
        </row>
        <row r="287">
          <cell r="K287" t="str">
            <v>Ebreichsdorf</v>
          </cell>
          <cell r="L287" t="str">
            <v>Niederösterreich</v>
          </cell>
          <cell r="M287">
            <v>22</v>
          </cell>
        </row>
        <row r="288">
          <cell r="K288" t="str">
            <v>Echsenbach</v>
          </cell>
          <cell r="L288" t="str">
            <v>Niederösterreich</v>
          </cell>
          <cell r="M288">
            <v>34</v>
          </cell>
        </row>
        <row r="289">
          <cell r="K289" t="str">
            <v>Eckartsau</v>
          </cell>
          <cell r="L289" t="str">
            <v>Niederösterreich</v>
          </cell>
          <cell r="M289">
            <v>23</v>
          </cell>
        </row>
        <row r="290">
          <cell r="K290" t="str">
            <v>Edelsbach bei Feldbach</v>
          </cell>
          <cell r="L290" t="str">
            <v>Steiermark</v>
          </cell>
          <cell r="M290">
            <v>33</v>
          </cell>
        </row>
        <row r="291">
          <cell r="K291" t="str">
            <v>Edelschrott</v>
          </cell>
          <cell r="L291" t="str">
            <v>Steiermark</v>
          </cell>
          <cell r="M291">
            <v>24</v>
          </cell>
        </row>
        <row r="292">
          <cell r="K292" t="str">
            <v>Edelstal</v>
          </cell>
          <cell r="L292" t="str">
            <v>Burgenland</v>
          </cell>
          <cell r="M292">
            <v>34</v>
          </cell>
        </row>
        <row r="293">
          <cell r="K293" t="str">
            <v>Edlbach</v>
          </cell>
          <cell r="L293" t="str">
            <v>Oberösterreich</v>
          </cell>
          <cell r="M293">
            <v>33</v>
          </cell>
        </row>
        <row r="294">
          <cell r="K294" t="str">
            <v>Edlitz</v>
          </cell>
          <cell r="L294" t="str">
            <v>Niederösterreich</v>
          </cell>
          <cell r="M294">
            <v>22</v>
          </cell>
        </row>
        <row r="295">
          <cell r="K295" t="str">
            <v>Edt bei Lambach</v>
          </cell>
          <cell r="L295" t="str">
            <v>Oberösterreich</v>
          </cell>
          <cell r="M295">
            <v>22</v>
          </cell>
        </row>
        <row r="296">
          <cell r="K296" t="str">
            <v>Eferding</v>
          </cell>
          <cell r="L296" t="str">
            <v>Oberösterreich</v>
          </cell>
          <cell r="M296">
            <v>22</v>
          </cell>
        </row>
        <row r="297">
          <cell r="K297" t="str">
            <v>Egg</v>
          </cell>
          <cell r="L297" t="str">
            <v>Vorarlberg</v>
          </cell>
          <cell r="M297">
            <v>22</v>
          </cell>
        </row>
        <row r="298">
          <cell r="K298" t="str">
            <v>Eggelsberg</v>
          </cell>
          <cell r="L298" t="str">
            <v>Oberösterreich</v>
          </cell>
          <cell r="M298">
            <v>24</v>
          </cell>
        </row>
        <row r="299">
          <cell r="K299" t="str">
            <v>Eggenburg</v>
          </cell>
          <cell r="L299" t="str">
            <v>Niederösterreich</v>
          </cell>
          <cell r="M299">
            <v>32</v>
          </cell>
        </row>
        <row r="300">
          <cell r="K300" t="str">
            <v>Eggendorf</v>
          </cell>
          <cell r="L300" t="str">
            <v>Niederösterreich</v>
          </cell>
          <cell r="M300">
            <v>12</v>
          </cell>
        </row>
        <row r="301">
          <cell r="K301" t="str">
            <v>Eggendorf im Traunkreis</v>
          </cell>
          <cell r="L301" t="str">
            <v>Oberösterreich</v>
          </cell>
          <cell r="M301">
            <v>24</v>
          </cell>
        </row>
        <row r="302">
          <cell r="K302" t="str">
            <v>Eggerding</v>
          </cell>
          <cell r="L302" t="str">
            <v>Oberösterreich</v>
          </cell>
          <cell r="M302">
            <v>24</v>
          </cell>
        </row>
        <row r="303">
          <cell r="K303" t="str">
            <v>Eggern</v>
          </cell>
          <cell r="L303" t="str">
            <v>Niederösterreich</v>
          </cell>
          <cell r="M303">
            <v>34</v>
          </cell>
        </row>
        <row r="304">
          <cell r="K304" t="str">
            <v>Eggersdorf bei Graz</v>
          </cell>
          <cell r="L304" t="str">
            <v>Steiermark</v>
          </cell>
          <cell r="M304">
            <v>22</v>
          </cell>
        </row>
        <row r="305">
          <cell r="K305" t="str">
            <v>Ehenbichl</v>
          </cell>
          <cell r="L305" t="str">
            <v>Tirol</v>
          </cell>
          <cell r="M305">
            <v>12</v>
          </cell>
        </row>
        <row r="306">
          <cell r="K306" t="str">
            <v>Ehrenhausen an der Weinstraße</v>
          </cell>
          <cell r="L306" t="str">
            <v>Steiermark</v>
          </cell>
          <cell r="M306">
            <v>22</v>
          </cell>
        </row>
        <row r="307">
          <cell r="K307" t="str">
            <v>Ehrwald</v>
          </cell>
          <cell r="L307" t="str">
            <v>Tirol</v>
          </cell>
          <cell r="M307">
            <v>22</v>
          </cell>
        </row>
        <row r="308">
          <cell r="K308" t="str">
            <v>Eibiswald</v>
          </cell>
          <cell r="L308" t="str">
            <v>Steiermark</v>
          </cell>
          <cell r="M308">
            <v>34</v>
          </cell>
        </row>
        <row r="309">
          <cell r="K309" t="str">
            <v>Eichenberg</v>
          </cell>
          <cell r="L309" t="str">
            <v>Vorarlberg</v>
          </cell>
          <cell r="M309">
            <v>24</v>
          </cell>
        </row>
        <row r="310">
          <cell r="K310" t="str">
            <v>Eichgraben</v>
          </cell>
          <cell r="L310" t="str">
            <v>Niederösterreich</v>
          </cell>
          <cell r="M310">
            <v>22</v>
          </cell>
        </row>
        <row r="311">
          <cell r="K311" t="str">
            <v>Eichkögl</v>
          </cell>
          <cell r="L311" t="str">
            <v>Steiermark</v>
          </cell>
          <cell r="M311">
            <v>23</v>
          </cell>
        </row>
        <row r="312">
          <cell r="K312" t="str">
            <v>Eidenberg</v>
          </cell>
          <cell r="L312" t="str">
            <v>Oberösterreich</v>
          </cell>
          <cell r="M312">
            <v>24</v>
          </cell>
        </row>
        <row r="313">
          <cell r="K313" t="str">
            <v>Eisenerz</v>
          </cell>
          <cell r="L313" t="str">
            <v>Steiermark</v>
          </cell>
          <cell r="M313">
            <v>23</v>
          </cell>
        </row>
        <row r="314">
          <cell r="K314" t="str">
            <v>Eisenkappel-Vellach</v>
          </cell>
          <cell r="L314" t="str">
            <v>Kärnten</v>
          </cell>
          <cell r="M314">
            <v>33</v>
          </cell>
        </row>
        <row r="315">
          <cell r="K315" t="str">
            <v>Eisenstadt</v>
          </cell>
          <cell r="L315" t="str">
            <v>Burgenland</v>
          </cell>
          <cell r="M315">
            <v>12</v>
          </cell>
        </row>
        <row r="316">
          <cell r="K316" t="str">
            <v>Eisgarn</v>
          </cell>
          <cell r="L316" t="str">
            <v>Niederösterreich</v>
          </cell>
          <cell r="M316">
            <v>34</v>
          </cell>
        </row>
        <row r="317">
          <cell r="K317" t="str">
            <v>Eitzing</v>
          </cell>
          <cell r="L317" t="str">
            <v>Oberösterreich</v>
          </cell>
          <cell r="M317">
            <v>12</v>
          </cell>
        </row>
        <row r="318">
          <cell r="K318" t="str">
            <v>Elbigenalp</v>
          </cell>
          <cell r="L318" t="str">
            <v>Tirol</v>
          </cell>
          <cell r="M318">
            <v>34</v>
          </cell>
        </row>
        <row r="319">
          <cell r="K319" t="str">
            <v>Elixhausen</v>
          </cell>
          <cell r="L319" t="str">
            <v>Salzburg</v>
          </cell>
          <cell r="M319">
            <v>23</v>
          </cell>
        </row>
        <row r="320">
          <cell r="K320" t="str">
            <v>Ellbögen</v>
          </cell>
          <cell r="L320" t="str">
            <v>Tirol</v>
          </cell>
          <cell r="M320">
            <v>24</v>
          </cell>
        </row>
        <row r="321">
          <cell r="K321" t="str">
            <v>Ellmau</v>
          </cell>
          <cell r="L321" t="str">
            <v>Tirol</v>
          </cell>
          <cell r="M321">
            <v>23</v>
          </cell>
        </row>
        <row r="322">
          <cell r="K322" t="str">
            <v>Elmen</v>
          </cell>
          <cell r="L322" t="str">
            <v>Tirol</v>
          </cell>
          <cell r="M322">
            <v>24</v>
          </cell>
        </row>
        <row r="323">
          <cell r="K323" t="str">
            <v>Elsbethen</v>
          </cell>
          <cell r="L323" t="str">
            <v>Salzburg</v>
          </cell>
          <cell r="M323">
            <v>11</v>
          </cell>
        </row>
        <row r="324">
          <cell r="K324" t="str">
            <v>Eltendorf</v>
          </cell>
          <cell r="L324" t="str">
            <v>Burgenland</v>
          </cell>
          <cell r="M324">
            <v>34</v>
          </cell>
        </row>
        <row r="325">
          <cell r="K325" t="str">
            <v>Emmersdorf an der Donau</v>
          </cell>
          <cell r="L325" t="str">
            <v>Niederösterreich</v>
          </cell>
          <cell r="M325">
            <v>23</v>
          </cell>
        </row>
        <row r="326">
          <cell r="K326" t="str">
            <v>Empersdorf</v>
          </cell>
          <cell r="L326" t="str">
            <v>Steiermark</v>
          </cell>
          <cell r="M326">
            <v>24</v>
          </cell>
        </row>
        <row r="327">
          <cell r="K327" t="str">
            <v>Engelhartstetten</v>
          </cell>
          <cell r="L327" t="str">
            <v>Niederösterreich</v>
          </cell>
          <cell r="M327">
            <v>34</v>
          </cell>
        </row>
        <row r="328">
          <cell r="K328" t="str">
            <v>Engelhartszell</v>
          </cell>
          <cell r="L328" t="str">
            <v>Oberösterreich</v>
          </cell>
          <cell r="M328">
            <v>34</v>
          </cell>
        </row>
        <row r="329">
          <cell r="K329" t="str">
            <v>Engerwitzdorf</v>
          </cell>
          <cell r="L329" t="str">
            <v>Oberösterreich</v>
          </cell>
          <cell r="M329">
            <v>22</v>
          </cell>
        </row>
        <row r="330">
          <cell r="K330" t="str">
            <v>Enns</v>
          </cell>
          <cell r="L330" t="str">
            <v>Oberösterreich</v>
          </cell>
          <cell r="M330">
            <v>11</v>
          </cell>
        </row>
        <row r="331">
          <cell r="K331" t="str">
            <v>Ennsdorf</v>
          </cell>
          <cell r="L331" t="str">
            <v>Niederösterreich</v>
          </cell>
          <cell r="M331">
            <v>12</v>
          </cell>
        </row>
        <row r="332">
          <cell r="K332" t="str">
            <v>Enzenkirchen</v>
          </cell>
          <cell r="L332" t="str">
            <v>Oberösterreich</v>
          </cell>
          <cell r="M332">
            <v>34</v>
          </cell>
        </row>
        <row r="333">
          <cell r="K333" t="str">
            <v>Enzenreith</v>
          </cell>
          <cell r="L333" t="str">
            <v>Niederösterreich</v>
          </cell>
          <cell r="M333">
            <v>22</v>
          </cell>
        </row>
        <row r="334">
          <cell r="K334" t="str">
            <v>Enzersdorf an der Fischa</v>
          </cell>
          <cell r="L334" t="str">
            <v>Niederösterreich</v>
          </cell>
          <cell r="M334">
            <v>22</v>
          </cell>
        </row>
        <row r="335">
          <cell r="K335" t="str">
            <v>Enzersfeld im Weinviertel</v>
          </cell>
          <cell r="L335" t="str">
            <v>Niederösterreich</v>
          </cell>
          <cell r="M335">
            <v>23</v>
          </cell>
        </row>
        <row r="336">
          <cell r="K336" t="str">
            <v>Enzesfeld-Lindabrunn</v>
          </cell>
          <cell r="L336" t="str">
            <v>Niederösterreich</v>
          </cell>
          <cell r="M336">
            <v>12</v>
          </cell>
        </row>
        <row r="337">
          <cell r="K337" t="str">
            <v>Erl</v>
          </cell>
          <cell r="L337" t="str">
            <v>Tirol</v>
          </cell>
          <cell r="M337">
            <v>23</v>
          </cell>
        </row>
        <row r="338">
          <cell r="K338" t="str">
            <v>Erlauf</v>
          </cell>
          <cell r="L338" t="str">
            <v>Niederösterreich</v>
          </cell>
          <cell r="M338">
            <v>23</v>
          </cell>
        </row>
        <row r="339">
          <cell r="K339" t="str">
            <v>Ernstbrunn</v>
          </cell>
          <cell r="L339" t="str">
            <v>Niederösterreich</v>
          </cell>
          <cell r="M339">
            <v>23</v>
          </cell>
        </row>
        <row r="340">
          <cell r="K340" t="str">
            <v>Ernsthofen</v>
          </cell>
          <cell r="L340" t="str">
            <v>Niederösterreich</v>
          </cell>
          <cell r="M340">
            <v>22</v>
          </cell>
        </row>
        <row r="341">
          <cell r="K341" t="str">
            <v>Ertl</v>
          </cell>
          <cell r="L341" t="str">
            <v>Niederösterreich</v>
          </cell>
          <cell r="M341">
            <v>24</v>
          </cell>
        </row>
        <row r="342">
          <cell r="K342" t="str">
            <v>Eschenau</v>
          </cell>
          <cell r="L342" t="str">
            <v>Niederösterreich</v>
          </cell>
          <cell r="M342">
            <v>23</v>
          </cell>
        </row>
        <row r="343">
          <cell r="K343" t="str">
            <v>Eschenau im Hausruckkreis</v>
          </cell>
          <cell r="L343" t="str">
            <v>Oberösterreich</v>
          </cell>
          <cell r="M343">
            <v>34</v>
          </cell>
        </row>
        <row r="344">
          <cell r="K344" t="str">
            <v>Esternberg</v>
          </cell>
          <cell r="L344" t="str">
            <v>Oberösterreich</v>
          </cell>
          <cell r="M344">
            <v>34</v>
          </cell>
        </row>
        <row r="345">
          <cell r="K345" t="str">
            <v>Eugendorf</v>
          </cell>
          <cell r="L345" t="str">
            <v>Salzburg</v>
          </cell>
          <cell r="M345">
            <v>12</v>
          </cell>
        </row>
        <row r="346">
          <cell r="K346" t="str">
            <v>Euratsfeld</v>
          </cell>
          <cell r="L346" t="str">
            <v>Niederösterreich</v>
          </cell>
          <cell r="M346">
            <v>24</v>
          </cell>
        </row>
        <row r="347">
          <cell r="K347" t="str">
            <v>Faggen</v>
          </cell>
          <cell r="L347" t="str">
            <v>Tirol</v>
          </cell>
          <cell r="M347">
            <v>23</v>
          </cell>
        </row>
        <row r="348">
          <cell r="K348" t="str">
            <v>Faistenau</v>
          </cell>
          <cell r="L348" t="str">
            <v>Salzburg</v>
          </cell>
          <cell r="M348">
            <v>23</v>
          </cell>
        </row>
        <row r="349">
          <cell r="K349" t="str">
            <v>Falkenstein</v>
          </cell>
          <cell r="L349" t="str">
            <v>Niederösterreich</v>
          </cell>
          <cell r="M349">
            <v>34</v>
          </cell>
        </row>
        <row r="350">
          <cell r="K350" t="str">
            <v>Fallbach</v>
          </cell>
          <cell r="L350" t="str">
            <v>Niederösterreich</v>
          </cell>
          <cell r="M350">
            <v>34</v>
          </cell>
        </row>
        <row r="351">
          <cell r="K351" t="str">
            <v>Fehring</v>
          </cell>
          <cell r="L351" t="str">
            <v>Steiermark</v>
          </cell>
          <cell r="M351">
            <v>32</v>
          </cell>
        </row>
        <row r="352">
          <cell r="K352" t="str">
            <v>Feistritz am Wechsel</v>
          </cell>
          <cell r="L352" t="str">
            <v>Niederösterreich</v>
          </cell>
          <cell r="M352">
            <v>24</v>
          </cell>
        </row>
        <row r="353">
          <cell r="K353" t="str">
            <v>Feistritz an der Gail</v>
          </cell>
          <cell r="L353" t="str">
            <v>Kärnten</v>
          </cell>
          <cell r="M353">
            <v>24</v>
          </cell>
        </row>
        <row r="354">
          <cell r="K354" t="str">
            <v>Feistritz im Rosental</v>
          </cell>
          <cell r="L354" t="str">
            <v>Kärnten</v>
          </cell>
          <cell r="M354">
            <v>23</v>
          </cell>
        </row>
        <row r="355">
          <cell r="K355" t="str">
            <v>Feistritz ob Bleiburg</v>
          </cell>
          <cell r="L355" t="str">
            <v>Kärnten</v>
          </cell>
          <cell r="M355">
            <v>33</v>
          </cell>
        </row>
        <row r="356">
          <cell r="K356" t="str">
            <v>Feistritztal</v>
          </cell>
          <cell r="L356" t="str">
            <v>Steiermark</v>
          </cell>
          <cell r="M356">
            <v>22</v>
          </cell>
        </row>
        <row r="357">
          <cell r="K357" t="str">
            <v>Feld am See</v>
          </cell>
          <cell r="L357" t="str">
            <v>Kärnten</v>
          </cell>
          <cell r="M357">
            <v>24</v>
          </cell>
        </row>
        <row r="358">
          <cell r="K358" t="str">
            <v>Feldbach</v>
          </cell>
          <cell r="L358" t="str">
            <v>Steiermark</v>
          </cell>
          <cell r="M358">
            <v>32</v>
          </cell>
        </row>
        <row r="359">
          <cell r="K359" t="str">
            <v>Feldkirch</v>
          </cell>
          <cell r="L359" t="str">
            <v>Vorarlberg</v>
          </cell>
          <cell r="M359">
            <v>11</v>
          </cell>
        </row>
        <row r="360">
          <cell r="K360" t="str">
            <v>Feldkirchen an der Donau</v>
          </cell>
          <cell r="L360" t="str">
            <v>Oberösterreich</v>
          </cell>
          <cell r="M360">
            <v>22</v>
          </cell>
        </row>
        <row r="361">
          <cell r="K361" t="str">
            <v>Feldkirchen bei Graz</v>
          </cell>
          <cell r="L361" t="str">
            <v>Steiermark</v>
          </cell>
          <cell r="M361">
            <v>12</v>
          </cell>
        </row>
        <row r="362">
          <cell r="K362" t="str">
            <v>Feldkirchen bei Mattighofen</v>
          </cell>
          <cell r="L362" t="str">
            <v>Oberösterreich</v>
          </cell>
          <cell r="M362">
            <v>24</v>
          </cell>
        </row>
        <row r="363">
          <cell r="K363" t="str">
            <v>Feldkirchen in Kärnten</v>
          </cell>
          <cell r="L363" t="str">
            <v>Kärnten</v>
          </cell>
          <cell r="M363">
            <v>22</v>
          </cell>
        </row>
        <row r="364">
          <cell r="K364" t="str">
            <v>Felixdorf</v>
          </cell>
          <cell r="L364" t="str">
            <v>Niederösterreich</v>
          </cell>
          <cell r="M364">
            <v>12</v>
          </cell>
        </row>
        <row r="365">
          <cell r="K365" t="str">
            <v>Fels am Wagram</v>
          </cell>
          <cell r="L365" t="str">
            <v>Niederösterreich</v>
          </cell>
          <cell r="M365">
            <v>22</v>
          </cell>
        </row>
        <row r="366">
          <cell r="K366" t="str">
            <v>Fendels</v>
          </cell>
          <cell r="L366" t="str">
            <v>Tirol</v>
          </cell>
          <cell r="M366">
            <v>24</v>
          </cell>
        </row>
        <row r="367">
          <cell r="K367" t="str">
            <v>Ferlach</v>
          </cell>
          <cell r="L367" t="str">
            <v>Kärnten</v>
          </cell>
          <cell r="M367">
            <v>22</v>
          </cell>
        </row>
        <row r="368">
          <cell r="K368" t="str">
            <v>Ferndorf</v>
          </cell>
          <cell r="L368" t="str">
            <v>Kärnten</v>
          </cell>
          <cell r="M368">
            <v>23</v>
          </cell>
        </row>
        <row r="369">
          <cell r="K369" t="str">
            <v>Fernitz-Mellach</v>
          </cell>
          <cell r="L369" t="str">
            <v>Steiermark</v>
          </cell>
          <cell r="M369">
            <v>12</v>
          </cell>
        </row>
        <row r="370">
          <cell r="K370" t="str">
            <v>Ferschnitz</v>
          </cell>
          <cell r="L370" t="str">
            <v>Niederösterreich</v>
          </cell>
          <cell r="M370">
            <v>24</v>
          </cell>
        </row>
        <row r="371">
          <cell r="K371" t="str">
            <v>Fieberbrunn</v>
          </cell>
          <cell r="L371" t="str">
            <v>Tirol</v>
          </cell>
          <cell r="M371">
            <v>32</v>
          </cell>
        </row>
        <row r="372">
          <cell r="K372" t="str">
            <v>Filzmoos</v>
          </cell>
          <cell r="L372" t="str">
            <v>Salzburg</v>
          </cell>
          <cell r="M372">
            <v>34</v>
          </cell>
        </row>
        <row r="373">
          <cell r="K373" t="str">
            <v>Finkenberg</v>
          </cell>
          <cell r="L373" t="str">
            <v>Tirol</v>
          </cell>
          <cell r="M373">
            <v>33</v>
          </cell>
        </row>
        <row r="374">
          <cell r="K374" t="str">
            <v>Finkenstein am Faaker See</v>
          </cell>
          <cell r="L374" t="str">
            <v>Kärnten</v>
          </cell>
          <cell r="M374">
            <v>22</v>
          </cell>
        </row>
        <row r="375">
          <cell r="K375" t="str">
            <v>Fischamend</v>
          </cell>
          <cell r="L375" t="str">
            <v>Niederösterreich</v>
          </cell>
          <cell r="M375">
            <v>22</v>
          </cell>
        </row>
        <row r="376">
          <cell r="K376" t="str">
            <v>Fischbach</v>
          </cell>
          <cell r="L376" t="str">
            <v>Steiermark</v>
          </cell>
          <cell r="M376">
            <v>34</v>
          </cell>
        </row>
        <row r="377">
          <cell r="K377" t="str">
            <v>Fischlham</v>
          </cell>
          <cell r="L377" t="str">
            <v>Oberösterreich</v>
          </cell>
          <cell r="M377">
            <v>24</v>
          </cell>
        </row>
        <row r="378">
          <cell r="K378" t="str">
            <v>Fiss</v>
          </cell>
          <cell r="L378" t="str">
            <v>Tirol</v>
          </cell>
          <cell r="M378">
            <v>24</v>
          </cell>
        </row>
        <row r="379">
          <cell r="K379" t="str">
            <v>Flachau</v>
          </cell>
          <cell r="L379" t="str">
            <v>Salzburg</v>
          </cell>
          <cell r="M379">
            <v>33</v>
          </cell>
        </row>
        <row r="380">
          <cell r="K380" t="str">
            <v>Fladnitz an der Teichalm</v>
          </cell>
          <cell r="L380" t="str">
            <v>Steiermark</v>
          </cell>
          <cell r="M380">
            <v>24</v>
          </cell>
        </row>
        <row r="381">
          <cell r="K381" t="str">
            <v>Flattach</v>
          </cell>
          <cell r="L381" t="str">
            <v>Kärnten</v>
          </cell>
          <cell r="M381">
            <v>34</v>
          </cell>
        </row>
        <row r="382">
          <cell r="K382" t="str">
            <v>Flaurling</v>
          </cell>
          <cell r="L382" t="str">
            <v>Tirol</v>
          </cell>
          <cell r="M382">
            <v>22</v>
          </cell>
        </row>
        <row r="383">
          <cell r="K383" t="str">
            <v>Fließ</v>
          </cell>
          <cell r="L383" t="str">
            <v>Tirol</v>
          </cell>
          <cell r="M383">
            <v>23</v>
          </cell>
        </row>
        <row r="384">
          <cell r="K384" t="str">
            <v>Flirsch</v>
          </cell>
          <cell r="L384" t="str">
            <v>Tirol</v>
          </cell>
          <cell r="M384">
            <v>23</v>
          </cell>
        </row>
        <row r="385">
          <cell r="K385" t="str">
            <v>Floing</v>
          </cell>
          <cell r="L385" t="str">
            <v>Steiermark</v>
          </cell>
          <cell r="M385">
            <v>24</v>
          </cell>
        </row>
        <row r="386">
          <cell r="K386" t="str">
            <v>Fohnsdorf</v>
          </cell>
          <cell r="L386" t="str">
            <v>Steiermark</v>
          </cell>
          <cell r="M386">
            <v>12</v>
          </cell>
        </row>
        <row r="387">
          <cell r="K387" t="str">
            <v>Fontanella</v>
          </cell>
          <cell r="L387" t="str">
            <v>Vorarlberg</v>
          </cell>
          <cell r="M387">
            <v>24</v>
          </cell>
        </row>
        <row r="388">
          <cell r="K388" t="str">
            <v>Forchach</v>
          </cell>
          <cell r="L388" t="str">
            <v>Tirol</v>
          </cell>
          <cell r="M388">
            <v>24</v>
          </cell>
        </row>
        <row r="389">
          <cell r="K389" t="str">
            <v>Forchtenstein</v>
          </cell>
          <cell r="L389" t="str">
            <v>Burgenland</v>
          </cell>
          <cell r="M389">
            <v>24</v>
          </cell>
        </row>
        <row r="390">
          <cell r="K390" t="str">
            <v>Fornach</v>
          </cell>
          <cell r="L390" t="str">
            <v>Oberösterreich</v>
          </cell>
          <cell r="M390">
            <v>24</v>
          </cell>
        </row>
        <row r="391">
          <cell r="K391" t="str">
            <v>Forstau</v>
          </cell>
          <cell r="L391" t="str">
            <v>Salzburg</v>
          </cell>
          <cell r="M391">
            <v>34</v>
          </cell>
        </row>
        <row r="392">
          <cell r="K392" t="str">
            <v>Fraham</v>
          </cell>
          <cell r="L392" t="str">
            <v>Oberösterreich</v>
          </cell>
          <cell r="M392">
            <v>22</v>
          </cell>
        </row>
        <row r="393">
          <cell r="K393" t="str">
            <v>Frankenau-Unterpullendorf</v>
          </cell>
          <cell r="L393" t="str">
            <v>Burgenland</v>
          </cell>
          <cell r="M393">
            <v>33</v>
          </cell>
        </row>
        <row r="394">
          <cell r="K394" t="str">
            <v>Frankenburg am Hausruck</v>
          </cell>
          <cell r="L394" t="str">
            <v>Oberösterreich</v>
          </cell>
          <cell r="M394">
            <v>24</v>
          </cell>
        </row>
        <row r="395">
          <cell r="K395" t="str">
            <v>Frankenfels</v>
          </cell>
          <cell r="L395" t="str">
            <v>Niederösterreich</v>
          </cell>
          <cell r="M395">
            <v>33</v>
          </cell>
        </row>
        <row r="396">
          <cell r="K396" t="str">
            <v>Frankenmarkt</v>
          </cell>
          <cell r="L396" t="str">
            <v>Oberösterreich</v>
          </cell>
          <cell r="M396">
            <v>22</v>
          </cell>
        </row>
        <row r="397">
          <cell r="K397" t="str">
            <v>Franking</v>
          </cell>
          <cell r="L397" t="str">
            <v>Oberösterreich</v>
          </cell>
          <cell r="M397">
            <v>34</v>
          </cell>
        </row>
        <row r="398">
          <cell r="K398" t="str">
            <v>Frantschach-St. Gertraud</v>
          </cell>
          <cell r="L398" t="str">
            <v>Kärnten</v>
          </cell>
          <cell r="M398">
            <v>12</v>
          </cell>
        </row>
        <row r="399">
          <cell r="K399" t="str">
            <v>Frastanz</v>
          </cell>
          <cell r="L399" t="str">
            <v>Vorarlberg</v>
          </cell>
          <cell r="M399">
            <v>22</v>
          </cell>
        </row>
        <row r="400">
          <cell r="K400" t="str">
            <v>Frauenkirchen</v>
          </cell>
          <cell r="L400" t="str">
            <v>Burgenland</v>
          </cell>
          <cell r="M400">
            <v>33</v>
          </cell>
        </row>
        <row r="401">
          <cell r="K401" t="str">
            <v>Frauenstein</v>
          </cell>
          <cell r="L401" t="str">
            <v>Kärnten</v>
          </cell>
          <cell r="M401">
            <v>23</v>
          </cell>
        </row>
        <row r="402">
          <cell r="K402" t="str">
            <v>Frauental an der Laßnitz</v>
          </cell>
          <cell r="L402" t="str">
            <v>Steiermark</v>
          </cell>
          <cell r="M402">
            <v>22</v>
          </cell>
        </row>
        <row r="403">
          <cell r="K403" t="str">
            <v>Fraxern</v>
          </cell>
          <cell r="L403" t="str">
            <v>Vorarlberg</v>
          </cell>
          <cell r="M403">
            <v>24</v>
          </cell>
        </row>
        <row r="404">
          <cell r="K404" t="str">
            <v>Freinberg</v>
          </cell>
          <cell r="L404" t="str">
            <v>Oberösterreich</v>
          </cell>
          <cell r="M404">
            <v>34</v>
          </cell>
        </row>
        <row r="405">
          <cell r="K405" t="str">
            <v>Freistadt</v>
          </cell>
          <cell r="L405" t="str">
            <v>Oberösterreich</v>
          </cell>
          <cell r="M405">
            <v>22</v>
          </cell>
        </row>
        <row r="406">
          <cell r="K406" t="str">
            <v>Fresach</v>
          </cell>
          <cell r="L406" t="str">
            <v>Kärnten</v>
          </cell>
          <cell r="M406">
            <v>23</v>
          </cell>
        </row>
        <row r="407">
          <cell r="K407" t="str">
            <v>Friedberg</v>
          </cell>
          <cell r="L407" t="str">
            <v>Steiermark</v>
          </cell>
          <cell r="M407">
            <v>33</v>
          </cell>
        </row>
        <row r="408">
          <cell r="K408" t="str">
            <v>Friesach</v>
          </cell>
          <cell r="L408" t="str">
            <v>Kärnten</v>
          </cell>
          <cell r="M408">
            <v>22</v>
          </cell>
        </row>
        <row r="409">
          <cell r="K409" t="str">
            <v>Fritzens</v>
          </cell>
          <cell r="L409" t="str">
            <v>Tirol</v>
          </cell>
          <cell r="M409">
            <v>12</v>
          </cell>
        </row>
        <row r="410">
          <cell r="K410" t="str">
            <v>Frohnleiten</v>
          </cell>
          <cell r="L410" t="str">
            <v>Steiermark</v>
          </cell>
          <cell r="M410">
            <v>22</v>
          </cell>
        </row>
        <row r="411">
          <cell r="K411" t="str">
            <v>Fügen</v>
          </cell>
          <cell r="L411" t="str">
            <v>Tirol</v>
          </cell>
          <cell r="M411">
            <v>22</v>
          </cell>
        </row>
        <row r="412">
          <cell r="K412" t="str">
            <v>Fügenberg</v>
          </cell>
          <cell r="L412" t="str">
            <v>Tirol</v>
          </cell>
          <cell r="M412">
            <v>24</v>
          </cell>
        </row>
        <row r="413">
          <cell r="K413" t="str">
            <v>Fulpmes</v>
          </cell>
          <cell r="L413" t="str">
            <v>Tirol</v>
          </cell>
          <cell r="M413">
            <v>23</v>
          </cell>
        </row>
        <row r="414">
          <cell r="K414" t="str">
            <v>Fürstenfeld</v>
          </cell>
          <cell r="L414" t="str">
            <v>Steiermark</v>
          </cell>
          <cell r="M414">
            <v>32</v>
          </cell>
        </row>
        <row r="415">
          <cell r="K415" t="str">
            <v>Furth an der Triesting</v>
          </cell>
          <cell r="L415" t="str">
            <v>Niederösterreich</v>
          </cell>
          <cell r="M415">
            <v>24</v>
          </cell>
        </row>
        <row r="416">
          <cell r="K416" t="str">
            <v>Furth bei Göttweig</v>
          </cell>
          <cell r="L416" t="str">
            <v>Niederösterreich</v>
          </cell>
          <cell r="M416">
            <v>22</v>
          </cell>
        </row>
        <row r="417">
          <cell r="K417" t="str">
            <v>Fusch an der Großglocknerstraße</v>
          </cell>
          <cell r="L417" t="str">
            <v>Salzburg</v>
          </cell>
          <cell r="M417">
            <v>34</v>
          </cell>
        </row>
        <row r="418">
          <cell r="K418" t="str">
            <v>Fuschl am See</v>
          </cell>
          <cell r="L418" t="str">
            <v>Salzburg</v>
          </cell>
          <cell r="M418">
            <v>23</v>
          </cell>
        </row>
        <row r="419">
          <cell r="K419" t="str">
            <v>Fußach</v>
          </cell>
          <cell r="L419" t="str">
            <v>Vorarlberg</v>
          </cell>
          <cell r="M419">
            <v>12</v>
          </cell>
        </row>
        <row r="420">
          <cell r="K420" t="str">
            <v>Gaaden</v>
          </cell>
          <cell r="L420" t="str">
            <v>Niederösterreich</v>
          </cell>
          <cell r="M420">
            <v>24</v>
          </cell>
        </row>
        <row r="421">
          <cell r="K421" t="str">
            <v>Gaal</v>
          </cell>
          <cell r="L421" t="str">
            <v>Steiermark</v>
          </cell>
          <cell r="M421">
            <v>24</v>
          </cell>
        </row>
        <row r="422">
          <cell r="K422" t="str">
            <v>Gabersdorf</v>
          </cell>
          <cell r="L422" t="str">
            <v>Steiermark</v>
          </cell>
          <cell r="M422">
            <v>24</v>
          </cell>
        </row>
        <row r="423">
          <cell r="K423" t="str">
            <v>Gablitz</v>
          </cell>
          <cell r="L423" t="str">
            <v>Niederösterreich</v>
          </cell>
          <cell r="M423">
            <v>12</v>
          </cell>
        </row>
        <row r="424">
          <cell r="K424" t="str">
            <v>Gaflenz</v>
          </cell>
          <cell r="L424" t="str">
            <v>Oberösterreich</v>
          </cell>
          <cell r="M424">
            <v>33</v>
          </cell>
        </row>
        <row r="425">
          <cell r="K425" t="str">
            <v>Gaimberg</v>
          </cell>
          <cell r="L425" t="str">
            <v>Tirol</v>
          </cell>
          <cell r="M425">
            <v>12</v>
          </cell>
        </row>
        <row r="426">
          <cell r="K426" t="str">
            <v>Gaishorn am See</v>
          </cell>
          <cell r="L426" t="str">
            <v>Steiermark</v>
          </cell>
          <cell r="M426">
            <v>33</v>
          </cell>
        </row>
        <row r="427">
          <cell r="K427" t="str">
            <v>Gaißau</v>
          </cell>
          <cell r="L427" t="str">
            <v>Vorarlberg</v>
          </cell>
          <cell r="M427">
            <v>22</v>
          </cell>
        </row>
        <row r="428">
          <cell r="K428" t="str">
            <v>Gallizien</v>
          </cell>
          <cell r="L428" t="str">
            <v>Kärnten</v>
          </cell>
          <cell r="M428">
            <v>24</v>
          </cell>
        </row>
        <row r="429">
          <cell r="K429" t="str">
            <v>Gallneukirchen</v>
          </cell>
          <cell r="L429" t="str">
            <v>Oberösterreich</v>
          </cell>
          <cell r="M429">
            <v>22</v>
          </cell>
        </row>
        <row r="430">
          <cell r="K430" t="str">
            <v>Gallspach</v>
          </cell>
          <cell r="L430" t="str">
            <v>Oberösterreich</v>
          </cell>
          <cell r="M430">
            <v>24</v>
          </cell>
        </row>
        <row r="431">
          <cell r="K431" t="str">
            <v>Gallzein</v>
          </cell>
          <cell r="L431" t="str">
            <v>Tirol</v>
          </cell>
          <cell r="M431">
            <v>24</v>
          </cell>
        </row>
        <row r="432">
          <cell r="K432" t="str">
            <v>Galtür</v>
          </cell>
          <cell r="L432" t="str">
            <v>Tirol</v>
          </cell>
          <cell r="M432">
            <v>34</v>
          </cell>
        </row>
        <row r="433">
          <cell r="K433" t="str">
            <v>Gaming</v>
          </cell>
          <cell r="L433" t="str">
            <v>Niederösterreich</v>
          </cell>
          <cell r="M433">
            <v>33</v>
          </cell>
        </row>
        <row r="434">
          <cell r="K434" t="str">
            <v>Gamlitz</v>
          </cell>
          <cell r="L434" t="str">
            <v>Steiermark</v>
          </cell>
          <cell r="M434">
            <v>24</v>
          </cell>
        </row>
        <row r="435">
          <cell r="K435" t="str">
            <v>Gampern</v>
          </cell>
          <cell r="L435" t="str">
            <v>Oberösterreich</v>
          </cell>
          <cell r="M435">
            <v>22</v>
          </cell>
        </row>
        <row r="436">
          <cell r="K436" t="str">
            <v>Gams bei Hieflau</v>
          </cell>
          <cell r="L436" t="str">
            <v>Steiermark</v>
          </cell>
          <cell r="M436">
            <v>33</v>
          </cell>
        </row>
        <row r="437">
          <cell r="K437" t="str">
            <v>Gänserndorf</v>
          </cell>
          <cell r="L437" t="str">
            <v>Niederösterreich</v>
          </cell>
          <cell r="M437">
            <v>22</v>
          </cell>
        </row>
        <row r="438">
          <cell r="K438" t="str">
            <v>Gars am Kamp</v>
          </cell>
          <cell r="L438" t="str">
            <v>Niederösterreich</v>
          </cell>
          <cell r="M438">
            <v>32</v>
          </cell>
        </row>
        <row r="439">
          <cell r="K439" t="str">
            <v>Garsten</v>
          </cell>
          <cell r="L439" t="str">
            <v>Oberösterreich</v>
          </cell>
          <cell r="M439">
            <v>12</v>
          </cell>
        </row>
        <row r="440">
          <cell r="K440" t="str">
            <v>Gaschurn</v>
          </cell>
          <cell r="L440" t="str">
            <v>Vorarlberg</v>
          </cell>
          <cell r="M440">
            <v>33</v>
          </cell>
        </row>
        <row r="441">
          <cell r="K441" t="str">
            <v>Gasen</v>
          </cell>
          <cell r="L441" t="str">
            <v>Steiermark</v>
          </cell>
          <cell r="M441">
            <v>34</v>
          </cell>
        </row>
        <row r="442">
          <cell r="K442" t="str">
            <v>Gaspoltshofen</v>
          </cell>
          <cell r="L442" t="str">
            <v>Oberösterreich</v>
          </cell>
          <cell r="M442">
            <v>23</v>
          </cell>
        </row>
        <row r="443">
          <cell r="K443" t="str">
            <v>Gastern</v>
          </cell>
          <cell r="L443" t="str">
            <v>Niederösterreich</v>
          </cell>
          <cell r="M443">
            <v>34</v>
          </cell>
        </row>
        <row r="444">
          <cell r="K444" t="str">
            <v>Gattendorf</v>
          </cell>
          <cell r="L444" t="str">
            <v>Burgenland</v>
          </cell>
          <cell r="M444">
            <v>32</v>
          </cell>
        </row>
        <row r="445">
          <cell r="K445" t="str">
            <v>Gaubitsch</v>
          </cell>
          <cell r="L445" t="str">
            <v>Niederösterreich</v>
          </cell>
          <cell r="M445">
            <v>34</v>
          </cell>
        </row>
        <row r="446">
          <cell r="K446" t="str">
            <v>Gaweinstal</v>
          </cell>
          <cell r="L446" t="str">
            <v>Niederösterreich</v>
          </cell>
          <cell r="M446">
            <v>23</v>
          </cell>
        </row>
        <row r="447">
          <cell r="K447" t="str">
            <v>Geboltskirchen</v>
          </cell>
          <cell r="L447" t="str">
            <v>Oberösterreich</v>
          </cell>
          <cell r="M447">
            <v>24</v>
          </cell>
        </row>
        <row r="448">
          <cell r="K448" t="str">
            <v>Gedersdorf</v>
          </cell>
          <cell r="L448" t="str">
            <v>Niederösterreich</v>
          </cell>
          <cell r="M448">
            <v>22</v>
          </cell>
        </row>
        <row r="449">
          <cell r="K449" t="str">
            <v>Geiersberg</v>
          </cell>
          <cell r="L449" t="str">
            <v>Oberösterreich</v>
          </cell>
          <cell r="M449">
            <v>24</v>
          </cell>
        </row>
        <row r="450">
          <cell r="K450" t="str">
            <v>Geinberg</v>
          </cell>
          <cell r="L450" t="str">
            <v>Oberösterreich</v>
          </cell>
          <cell r="M450">
            <v>22</v>
          </cell>
        </row>
        <row r="451">
          <cell r="K451" t="str">
            <v>Geistthal-Södingberg</v>
          </cell>
          <cell r="L451" t="str">
            <v>Steiermark</v>
          </cell>
          <cell r="M451">
            <v>24</v>
          </cell>
        </row>
        <row r="452">
          <cell r="K452" t="str">
            <v>Geras</v>
          </cell>
          <cell r="L452" t="str">
            <v>Niederösterreich</v>
          </cell>
          <cell r="M452">
            <v>32</v>
          </cell>
        </row>
        <row r="453">
          <cell r="K453" t="str">
            <v>Gerasdorf bei Wien</v>
          </cell>
          <cell r="L453" t="str">
            <v>Niederösterreich</v>
          </cell>
          <cell r="M453">
            <v>22</v>
          </cell>
        </row>
        <row r="454">
          <cell r="K454" t="str">
            <v>Gerersdorf</v>
          </cell>
          <cell r="L454" t="str">
            <v>Niederösterreich</v>
          </cell>
          <cell r="M454">
            <v>24</v>
          </cell>
        </row>
        <row r="455">
          <cell r="K455" t="str">
            <v>Gerersdorf-Sulz</v>
          </cell>
          <cell r="L455" t="str">
            <v>Burgenland</v>
          </cell>
          <cell r="M455">
            <v>34</v>
          </cell>
        </row>
        <row r="456">
          <cell r="K456" t="str">
            <v>Geretsberg</v>
          </cell>
          <cell r="L456" t="str">
            <v>Oberösterreich</v>
          </cell>
          <cell r="M456">
            <v>24</v>
          </cell>
        </row>
        <row r="457">
          <cell r="K457" t="str">
            <v>Gerlos</v>
          </cell>
          <cell r="L457" t="str">
            <v>Tirol</v>
          </cell>
          <cell r="M457">
            <v>34</v>
          </cell>
        </row>
        <row r="458">
          <cell r="K458" t="str">
            <v>Gerlosberg</v>
          </cell>
          <cell r="L458" t="str">
            <v>Tirol</v>
          </cell>
          <cell r="M458">
            <v>34</v>
          </cell>
        </row>
        <row r="459">
          <cell r="K459" t="str">
            <v>Gersdorf an der Feistritz</v>
          </cell>
          <cell r="L459" t="str">
            <v>Steiermark</v>
          </cell>
          <cell r="M459">
            <v>33</v>
          </cell>
        </row>
        <row r="460">
          <cell r="K460" t="str">
            <v>Gföhl</v>
          </cell>
          <cell r="L460" t="str">
            <v>Niederösterreich</v>
          </cell>
          <cell r="M460">
            <v>23</v>
          </cell>
        </row>
        <row r="461">
          <cell r="K461" t="str">
            <v>Gießhübl</v>
          </cell>
          <cell r="L461" t="str">
            <v>Niederösterreich</v>
          </cell>
          <cell r="M461">
            <v>12</v>
          </cell>
        </row>
        <row r="462">
          <cell r="K462" t="str">
            <v>Gilgenberg am Weilhart</v>
          </cell>
          <cell r="L462" t="str">
            <v>Oberösterreich</v>
          </cell>
          <cell r="M462">
            <v>24</v>
          </cell>
        </row>
        <row r="463">
          <cell r="K463" t="str">
            <v>Gitschtal</v>
          </cell>
          <cell r="L463" t="str">
            <v>Kärnten</v>
          </cell>
          <cell r="M463">
            <v>34</v>
          </cell>
        </row>
        <row r="464">
          <cell r="K464" t="str">
            <v>Glanegg</v>
          </cell>
          <cell r="L464" t="str">
            <v>Kärnten</v>
          </cell>
          <cell r="M464">
            <v>23</v>
          </cell>
        </row>
        <row r="465">
          <cell r="K465" t="str">
            <v>Gleinstätten</v>
          </cell>
          <cell r="L465" t="str">
            <v>Steiermark</v>
          </cell>
          <cell r="M465">
            <v>24</v>
          </cell>
        </row>
        <row r="466">
          <cell r="K466" t="str">
            <v>Gleisdorf</v>
          </cell>
          <cell r="L466" t="str">
            <v>Steiermark</v>
          </cell>
          <cell r="M466">
            <v>22</v>
          </cell>
        </row>
        <row r="467">
          <cell r="K467" t="str">
            <v>Glinzendorf</v>
          </cell>
          <cell r="L467" t="str">
            <v>Niederösterreich</v>
          </cell>
          <cell r="M467">
            <v>23</v>
          </cell>
        </row>
        <row r="468">
          <cell r="K468" t="str">
            <v>Globasnitz</v>
          </cell>
          <cell r="L468" t="str">
            <v>Kärnten</v>
          </cell>
          <cell r="M468">
            <v>34</v>
          </cell>
        </row>
        <row r="469">
          <cell r="K469" t="str">
            <v>Glödnitz</v>
          </cell>
          <cell r="L469" t="str">
            <v>Kärnten</v>
          </cell>
          <cell r="M469">
            <v>34</v>
          </cell>
        </row>
        <row r="470">
          <cell r="K470" t="str">
            <v>Gloggnitz</v>
          </cell>
          <cell r="L470" t="str">
            <v>Niederösterreich</v>
          </cell>
          <cell r="M470">
            <v>22</v>
          </cell>
        </row>
        <row r="471">
          <cell r="K471" t="str">
            <v>Gmünd</v>
          </cell>
          <cell r="L471" t="str">
            <v>Niederösterreich</v>
          </cell>
          <cell r="M471">
            <v>32</v>
          </cell>
        </row>
        <row r="472">
          <cell r="K472" t="str">
            <v>Gmünd in Kärnten</v>
          </cell>
          <cell r="L472" t="str">
            <v>Kärnten</v>
          </cell>
          <cell r="M472">
            <v>23</v>
          </cell>
        </row>
        <row r="473">
          <cell r="K473" t="str">
            <v>Gmunden</v>
          </cell>
          <cell r="L473" t="str">
            <v>Oberösterreich</v>
          </cell>
          <cell r="M473">
            <v>12</v>
          </cell>
        </row>
        <row r="474">
          <cell r="K474" t="str">
            <v>Gnadendorf</v>
          </cell>
          <cell r="L474" t="str">
            <v>Niederösterreich</v>
          </cell>
          <cell r="M474">
            <v>34</v>
          </cell>
        </row>
        <row r="475">
          <cell r="K475" t="str">
            <v>Gnadenwald</v>
          </cell>
          <cell r="L475" t="str">
            <v>Tirol</v>
          </cell>
          <cell r="M475">
            <v>24</v>
          </cell>
        </row>
        <row r="476">
          <cell r="K476" t="str">
            <v>Gnas</v>
          </cell>
          <cell r="L476" t="str">
            <v>Steiermark</v>
          </cell>
          <cell r="M476">
            <v>34</v>
          </cell>
        </row>
        <row r="477">
          <cell r="K477" t="str">
            <v>Gnesau</v>
          </cell>
          <cell r="L477" t="str">
            <v>Kärnten</v>
          </cell>
          <cell r="M477">
            <v>34</v>
          </cell>
        </row>
        <row r="478">
          <cell r="K478" t="str">
            <v>Göfis</v>
          </cell>
          <cell r="L478" t="str">
            <v>Vorarlberg</v>
          </cell>
          <cell r="M478">
            <v>22</v>
          </cell>
        </row>
        <row r="479">
          <cell r="K479" t="str">
            <v>Going am Wilden Kaiser</v>
          </cell>
          <cell r="L479" t="str">
            <v>Tirol</v>
          </cell>
          <cell r="M479">
            <v>23</v>
          </cell>
        </row>
        <row r="480">
          <cell r="K480" t="str">
            <v>Goldegg</v>
          </cell>
          <cell r="L480" t="str">
            <v>Salzburg</v>
          </cell>
          <cell r="M480">
            <v>33</v>
          </cell>
        </row>
        <row r="481">
          <cell r="K481" t="str">
            <v>Goldwörth</v>
          </cell>
          <cell r="L481" t="str">
            <v>Oberösterreich</v>
          </cell>
          <cell r="M481">
            <v>23</v>
          </cell>
        </row>
        <row r="482">
          <cell r="K482" t="str">
            <v>Göllersdorf</v>
          </cell>
          <cell r="L482" t="str">
            <v>Niederösterreich</v>
          </cell>
          <cell r="M482">
            <v>23</v>
          </cell>
        </row>
        <row r="483">
          <cell r="K483" t="str">
            <v>Golling an der Erlauf</v>
          </cell>
          <cell r="L483" t="str">
            <v>Niederösterreich</v>
          </cell>
          <cell r="M483">
            <v>34</v>
          </cell>
        </row>
        <row r="484">
          <cell r="K484" t="str">
            <v>Golling an der Salzach</v>
          </cell>
          <cell r="L484" t="str">
            <v>Salzburg</v>
          </cell>
          <cell r="M484">
            <v>22</v>
          </cell>
        </row>
        <row r="485">
          <cell r="K485" t="str">
            <v>Gols</v>
          </cell>
          <cell r="L485" t="str">
            <v>Burgenland</v>
          </cell>
          <cell r="M485">
            <v>33</v>
          </cell>
        </row>
        <row r="486">
          <cell r="K486" t="str">
            <v>Göming</v>
          </cell>
          <cell r="L486" t="str">
            <v>Salzburg</v>
          </cell>
          <cell r="M486">
            <v>22</v>
          </cell>
        </row>
        <row r="487">
          <cell r="K487" t="str">
            <v>Göpfritz an der Wild</v>
          </cell>
          <cell r="L487" t="str">
            <v>Niederösterreich</v>
          </cell>
          <cell r="M487">
            <v>32</v>
          </cell>
        </row>
        <row r="488">
          <cell r="K488" t="str">
            <v>Göriach</v>
          </cell>
          <cell r="L488" t="str">
            <v>Salzburg</v>
          </cell>
          <cell r="M488">
            <v>34</v>
          </cell>
        </row>
        <row r="489">
          <cell r="K489" t="str">
            <v>Gosau</v>
          </cell>
          <cell r="L489" t="str">
            <v>Oberösterreich</v>
          </cell>
          <cell r="M489">
            <v>33</v>
          </cell>
        </row>
        <row r="490">
          <cell r="K490" t="str">
            <v>Gössendorf</v>
          </cell>
          <cell r="L490" t="str">
            <v>Steiermark</v>
          </cell>
          <cell r="M490">
            <v>12</v>
          </cell>
        </row>
        <row r="491">
          <cell r="K491" t="str">
            <v>Göstling an der Ybbs</v>
          </cell>
          <cell r="L491" t="str">
            <v>Niederösterreich</v>
          </cell>
          <cell r="M491">
            <v>33</v>
          </cell>
        </row>
        <row r="492">
          <cell r="K492" t="str">
            <v>Göttlesbrunn-Arbesthal</v>
          </cell>
          <cell r="L492" t="str">
            <v>Niederösterreich</v>
          </cell>
          <cell r="M492">
            <v>24</v>
          </cell>
        </row>
        <row r="493">
          <cell r="K493" t="str">
            <v>Götzendorf an der Leitha</v>
          </cell>
          <cell r="L493" t="str">
            <v>Niederösterreich</v>
          </cell>
          <cell r="M493">
            <v>22</v>
          </cell>
        </row>
        <row r="494">
          <cell r="K494" t="str">
            <v>Götzens</v>
          </cell>
          <cell r="L494" t="str">
            <v>Tirol</v>
          </cell>
          <cell r="M494">
            <v>12</v>
          </cell>
        </row>
        <row r="495">
          <cell r="K495" t="str">
            <v>Götzis</v>
          </cell>
          <cell r="L495" t="str">
            <v>Vorarlberg</v>
          </cell>
          <cell r="M495">
            <v>11</v>
          </cell>
        </row>
        <row r="496">
          <cell r="K496" t="str">
            <v>Grabern</v>
          </cell>
          <cell r="L496" t="str">
            <v>Niederösterreich</v>
          </cell>
          <cell r="M496">
            <v>23</v>
          </cell>
        </row>
        <row r="497">
          <cell r="K497" t="str">
            <v>Grafenbach-St. Valentin</v>
          </cell>
          <cell r="L497" t="str">
            <v>Niederösterreich</v>
          </cell>
          <cell r="M497">
            <v>12</v>
          </cell>
        </row>
        <row r="498">
          <cell r="K498" t="str">
            <v>Grafendorf bei Hartberg</v>
          </cell>
          <cell r="L498" t="str">
            <v>Steiermark</v>
          </cell>
          <cell r="M498">
            <v>33</v>
          </cell>
        </row>
        <row r="499">
          <cell r="K499" t="str">
            <v>Grafenegg</v>
          </cell>
          <cell r="L499" t="str">
            <v>Niederösterreich</v>
          </cell>
          <cell r="M499">
            <v>22</v>
          </cell>
        </row>
        <row r="500">
          <cell r="K500" t="str">
            <v>Grafenschachen</v>
          </cell>
          <cell r="L500" t="str">
            <v>Burgenland</v>
          </cell>
          <cell r="M500">
            <v>34</v>
          </cell>
        </row>
        <row r="501">
          <cell r="K501" t="str">
            <v>Grafenschlag</v>
          </cell>
          <cell r="L501" t="str">
            <v>Niederösterreich</v>
          </cell>
          <cell r="M501">
            <v>34</v>
          </cell>
        </row>
        <row r="502">
          <cell r="K502" t="str">
            <v>Grafenstein</v>
          </cell>
          <cell r="L502" t="str">
            <v>Kärnten</v>
          </cell>
          <cell r="M502">
            <v>23</v>
          </cell>
        </row>
        <row r="503">
          <cell r="K503" t="str">
            <v>Grafenwörth</v>
          </cell>
          <cell r="L503" t="str">
            <v>Niederösterreich</v>
          </cell>
          <cell r="M503">
            <v>22</v>
          </cell>
        </row>
        <row r="504">
          <cell r="K504" t="str">
            <v>Gralla</v>
          </cell>
          <cell r="L504" t="str">
            <v>Steiermark</v>
          </cell>
          <cell r="M504">
            <v>12</v>
          </cell>
        </row>
        <row r="505">
          <cell r="K505" t="str">
            <v>Gramais</v>
          </cell>
          <cell r="L505" t="str">
            <v>Tirol</v>
          </cell>
          <cell r="M505">
            <v>34</v>
          </cell>
        </row>
        <row r="506">
          <cell r="K506" t="str">
            <v>Gramastetten</v>
          </cell>
          <cell r="L506" t="str">
            <v>Oberösterreich</v>
          </cell>
          <cell r="M506">
            <v>23</v>
          </cell>
        </row>
        <row r="507">
          <cell r="K507" t="str">
            <v>Gramatneusiedl</v>
          </cell>
          <cell r="L507" t="str">
            <v>Niederösterreich</v>
          </cell>
          <cell r="M507">
            <v>22</v>
          </cell>
        </row>
        <row r="508">
          <cell r="K508" t="str">
            <v>Grän</v>
          </cell>
          <cell r="L508" t="str">
            <v>Tirol</v>
          </cell>
          <cell r="M508">
            <v>24</v>
          </cell>
        </row>
        <row r="509">
          <cell r="K509" t="str">
            <v>Gratkorn</v>
          </cell>
          <cell r="L509" t="str">
            <v>Steiermark</v>
          </cell>
          <cell r="M509">
            <v>23</v>
          </cell>
        </row>
        <row r="510">
          <cell r="K510" t="str">
            <v>Gratwein-Straßengel</v>
          </cell>
          <cell r="L510" t="str">
            <v>Steiermark</v>
          </cell>
          <cell r="M510">
            <v>22</v>
          </cell>
        </row>
        <row r="511">
          <cell r="K511" t="str">
            <v>Graz</v>
          </cell>
          <cell r="L511" t="str">
            <v>Steiermark</v>
          </cell>
          <cell r="M511">
            <v>11</v>
          </cell>
        </row>
        <row r="512">
          <cell r="K512" t="str">
            <v>Greifenburg</v>
          </cell>
          <cell r="L512" t="str">
            <v>Kärnten</v>
          </cell>
          <cell r="M512">
            <v>22</v>
          </cell>
        </row>
        <row r="513">
          <cell r="K513" t="str">
            <v>Grein</v>
          </cell>
          <cell r="L513" t="str">
            <v>Oberösterreich</v>
          </cell>
          <cell r="M513">
            <v>22</v>
          </cell>
        </row>
        <row r="514">
          <cell r="K514" t="str">
            <v>Greinbach</v>
          </cell>
          <cell r="L514" t="str">
            <v>Steiermark</v>
          </cell>
          <cell r="M514">
            <v>34</v>
          </cell>
        </row>
        <row r="515">
          <cell r="K515" t="str">
            <v>Gresten</v>
          </cell>
          <cell r="L515" t="str">
            <v>Niederösterreich</v>
          </cell>
          <cell r="M515">
            <v>23</v>
          </cell>
        </row>
        <row r="516">
          <cell r="K516" t="str">
            <v>Gresten-Land</v>
          </cell>
          <cell r="L516" t="str">
            <v>Niederösterreich</v>
          </cell>
          <cell r="M516">
            <v>34</v>
          </cell>
        </row>
        <row r="517">
          <cell r="K517" t="str">
            <v>Gries am Brenner</v>
          </cell>
          <cell r="L517" t="str">
            <v>Tirol</v>
          </cell>
          <cell r="M517">
            <v>23</v>
          </cell>
        </row>
        <row r="518">
          <cell r="K518" t="str">
            <v>Gries im Sellrain</v>
          </cell>
          <cell r="L518" t="str">
            <v>Tirol</v>
          </cell>
          <cell r="M518">
            <v>24</v>
          </cell>
        </row>
        <row r="519">
          <cell r="K519" t="str">
            <v>Grieskirchen</v>
          </cell>
          <cell r="L519" t="str">
            <v>Oberösterreich</v>
          </cell>
          <cell r="M519">
            <v>22</v>
          </cell>
        </row>
        <row r="520">
          <cell r="K520" t="str">
            <v>Griffen</v>
          </cell>
          <cell r="L520" t="str">
            <v>Kärnten</v>
          </cell>
          <cell r="M520">
            <v>24</v>
          </cell>
        </row>
        <row r="521">
          <cell r="K521" t="str">
            <v>Grimmenstein</v>
          </cell>
          <cell r="L521" t="str">
            <v>Niederösterreich</v>
          </cell>
          <cell r="M521">
            <v>22</v>
          </cell>
        </row>
        <row r="522">
          <cell r="K522" t="str">
            <v>Grins</v>
          </cell>
          <cell r="L522" t="str">
            <v>Tirol</v>
          </cell>
          <cell r="M522">
            <v>22</v>
          </cell>
        </row>
        <row r="523">
          <cell r="K523" t="str">
            <v>Grinzens</v>
          </cell>
          <cell r="L523" t="str">
            <v>Tirol</v>
          </cell>
          <cell r="M523">
            <v>12</v>
          </cell>
        </row>
        <row r="524">
          <cell r="K524" t="str">
            <v>Gröbming</v>
          </cell>
          <cell r="L524" t="str">
            <v>Steiermark</v>
          </cell>
          <cell r="M524">
            <v>34</v>
          </cell>
        </row>
        <row r="525">
          <cell r="K525" t="str">
            <v>Grödig</v>
          </cell>
          <cell r="L525" t="str">
            <v>Salzburg</v>
          </cell>
          <cell r="M525">
            <v>12</v>
          </cell>
        </row>
        <row r="526">
          <cell r="K526" t="str">
            <v>Groß Gerungs</v>
          </cell>
          <cell r="L526" t="str">
            <v>Niederösterreich</v>
          </cell>
          <cell r="M526">
            <v>34</v>
          </cell>
        </row>
        <row r="527">
          <cell r="K527" t="str">
            <v>Groß Sankt Florian</v>
          </cell>
          <cell r="L527" t="str">
            <v>Steiermark</v>
          </cell>
          <cell r="M527">
            <v>23</v>
          </cell>
        </row>
        <row r="528">
          <cell r="K528" t="str">
            <v>Großarl</v>
          </cell>
          <cell r="L528" t="str">
            <v>Salzburg</v>
          </cell>
          <cell r="M528">
            <v>33</v>
          </cell>
        </row>
        <row r="529">
          <cell r="K529" t="str">
            <v>Großdietmanns</v>
          </cell>
          <cell r="L529" t="str">
            <v>Niederösterreich</v>
          </cell>
          <cell r="M529">
            <v>33</v>
          </cell>
        </row>
        <row r="530">
          <cell r="K530" t="str">
            <v>Großebersdorf</v>
          </cell>
          <cell r="L530" t="str">
            <v>Niederösterreich</v>
          </cell>
          <cell r="M530">
            <v>23</v>
          </cell>
        </row>
        <row r="531">
          <cell r="K531" t="str">
            <v>Großengersdorf</v>
          </cell>
          <cell r="L531" t="str">
            <v>Niederösterreich</v>
          </cell>
          <cell r="M531">
            <v>22</v>
          </cell>
        </row>
        <row r="532">
          <cell r="K532" t="str">
            <v>Groß-Enzersdorf</v>
          </cell>
          <cell r="L532" t="str">
            <v>Niederösterreich</v>
          </cell>
          <cell r="M532">
            <v>12</v>
          </cell>
        </row>
        <row r="533">
          <cell r="K533" t="str">
            <v>Großgmain</v>
          </cell>
          <cell r="L533" t="str">
            <v>Salzburg</v>
          </cell>
          <cell r="M533">
            <v>23</v>
          </cell>
        </row>
        <row r="534">
          <cell r="K534" t="str">
            <v>Großgöttfritz</v>
          </cell>
          <cell r="L534" t="str">
            <v>Niederösterreich</v>
          </cell>
          <cell r="M534">
            <v>34</v>
          </cell>
        </row>
        <row r="535">
          <cell r="K535" t="str">
            <v>Großharras</v>
          </cell>
          <cell r="L535" t="str">
            <v>Niederösterreich</v>
          </cell>
          <cell r="M535">
            <v>34</v>
          </cell>
        </row>
        <row r="536">
          <cell r="K536" t="str">
            <v>Großhofen</v>
          </cell>
          <cell r="L536" t="str">
            <v>Niederösterreich</v>
          </cell>
          <cell r="M536">
            <v>24</v>
          </cell>
        </row>
        <row r="537">
          <cell r="K537" t="str">
            <v>Großhöflein</v>
          </cell>
          <cell r="L537" t="str">
            <v>Burgenland</v>
          </cell>
          <cell r="M537">
            <v>12</v>
          </cell>
        </row>
        <row r="538">
          <cell r="K538" t="str">
            <v>Großkirchheim</v>
          </cell>
          <cell r="L538" t="str">
            <v>Kärnten</v>
          </cell>
          <cell r="M538">
            <v>24</v>
          </cell>
        </row>
        <row r="539">
          <cell r="K539" t="str">
            <v>Großklein</v>
          </cell>
          <cell r="L539" t="str">
            <v>Steiermark</v>
          </cell>
          <cell r="M539">
            <v>24</v>
          </cell>
        </row>
        <row r="540">
          <cell r="K540" t="str">
            <v>Großkrut</v>
          </cell>
          <cell r="L540" t="str">
            <v>Niederösterreich</v>
          </cell>
          <cell r="M540">
            <v>34</v>
          </cell>
        </row>
        <row r="541">
          <cell r="K541" t="str">
            <v>Großmugl</v>
          </cell>
          <cell r="L541" t="str">
            <v>Niederösterreich</v>
          </cell>
          <cell r="M541">
            <v>24</v>
          </cell>
        </row>
        <row r="542">
          <cell r="K542" t="str">
            <v>Großmürbisch</v>
          </cell>
          <cell r="L542" t="str">
            <v>Burgenland</v>
          </cell>
          <cell r="M542">
            <v>34</v>
          </cell>
        </row>
        <row r="543">
          <cell r="K543" t="str">
            <v>Großpetersdorf</v>
          </cell>
          <cell r="L543" t="str">
            <v>Burgenland</v>
          </cell>
          <cell r="M543">
            <v>33</v>
          </cell>
        </row>
        <row r="544">
          <cell r="K544" t="str">
            <v>Großraming</v>
          </cell>
          <cell r="L544" t="str">
            <v>Oberösterreich</v>
          </cell>
          <cell r="M544">
            <v>33</v>
          </cell>
        </row>
        <row r="545">
          <cell r="K545" t="str">
            <v>Großriedenthal</v>
          </cell>
          <cell r="L545" t="str">
            <v>Niederösterreich</v>
          </cell>
          <cell r="M545">
            <v>24</v>
          </cell>
        </row>
        <row r="546">
          <cell r="K546" t="str">
            <v>Großrußbach</v>
          </cell>
          <cell r="L546" t="str">
            <v>Niederösterreich</v>
          </cell>
          <cell r="M546">
            <v>24</v>
          </cell>
        </row>
        <row r="547">
          <cell r="K547" t="str">
            <v>Großschönau</v>
          </cell>
          <cell r="L547" t="str">
            <v>Niederösterreich</v>
          </cell>
          <cell r="M547">
            <v>34</v>
          </cell>
        </row>
        <row r="548">
          <cell r="K548" t="str">
            <v>Groß-Schweinbarth</v>
          </cell>
          <cell r="L548" t="str">
            <v>Niederösterreich</v>
          </cell>
          <cell r="M548">
            <v>32</v>
          </cell>
        </row>
        <row r="549">
          <cell r="K549" t="str">
            <v>Groß-Siegharts</v>
          </cell>
          <cell r="L549" t="str">
            <v>Niederösterreich</v>
          </cell>
          <cell r="M549">
            <v>33</v>
          </cell>
        </row>
        <row r="550">
          <cell r="K550" t="str">
            <v>Großsteinbach</v>
          </cell>
          <cell r="L550" t="str">
            <v>Steiermark</v>
          </cell>
          <cell r="M550">
            <v>34</v>
          </cell>
        </row>
        <row r="551">
          <cell r="K551" t="str">
            <v>Großwarasdorf</v>
          </cell>
          <cell r="L551" t="str">
            <v>Burgenland</v>
          </cell>
          <cell r="M551">
            <v>34</v>
          </cell>
        </row>
        <row r="552">
          <cell r="K552" t="str">
            <v>Großweikersdorf</v>
          </cell>
          <cell r="L552" t="str">
            <v>Niederösterreich</v>
          </cell>
          <cell r="M552">
            <v>22</v>
          </cell>
        </row>
        <row r="553">
          <cell r="K553" t="str">
            <v>Großwilfersdorf</v>
          </cell>
          <cell r="L553" t="str">
            <v>Steiermark</v>
          </cell>
          <cell r="M553">
            <v>23</v>
          </cell>
        </row>
        <row r="554">
          <cell r="K554" t="str">
            <v>Grünau im Almtal</v>
          </cell>
          <cell r="L554" t="str">
            <v>Oberösterreich</v>
          </cell>
          <cell r="M554">
            <v>23</v>
          </cell>
        </row>
        <row r="555">
          <cell r="K555" t="str">
            <v>Grünbach</v>
          </cell>
          <cell r="L555" t="str">
            <v>Oberösterreich</v>
          </cell>
          <cell r="M555">
            <v>33</v>
          </cell>
        </row>
        <row r="556">
          <cell r="K556" t="str">
            <v>Grünbach am Schneeberg</v>
          </cell>
          <cell r="L556" t="str">
            <v>Niederösterreich</v>
          </cell>
          <cell r="M556">
            <v>23</v>
          </cell>
        </row>
        <row r="557">
          <cell r="K557" t="str">
            <v>Grünburg</v>
          </cell>
          <cell r="L557" t="str">
            <v>Oberösterreich</v>
          </cell>
          <cell r="M557">
            <v>23</v>
          </cell>
        </row>
        <row r="558">
          <cell r="K558" t="str">
            <v>Grundlsee</v>
          </cell>
          <cell r="L558" t="str">
            <v>Steiermark</v>
          </cell>
          <cell r="M558">
            <v>34</v>
          </cell>
        </row>
        <row r="559">
          <cell r="K559" t="str">
            <v>Gschnitz</v>
          </cell>
          <cell r="L559" t="str">
            <v>Tirol</v>
          </cell>
          <cell r="M559">
            <v>34</v>
          </cell>
        </row>
        <row r="560">
          <cell r="K560" t="str">
            <v>Gschwandt</v>
          </cell>
          <cell r="L560" t="str">
            <v>Oberösterreich</v>
          </cell>
          <cell r="M560">
            <v>22</v>
          </cell>
        </row>
        <row r="561">
          <cell r="K561" t="str">
            <v>Gumpoldskirchen</v>
          </cell>
          <cell r="L561" t="str">
            <v>Niederösterreich</v>
          </cell>
          <cell r="M561">
            <v>12</v>
          </cell>
        </row>
        <row r="562">
          <cell r="K562" t="str">
            <v>Günselsdorf</v>
          </cell>
          <cell r="L562" t="str">
            <v>Niederösterreich</v>
          </cell>
          <cell r="M562">
            <v>23</v>
          </cell>
        </row>
        <row r="563">
          <cell r="K563" t="str">
            <v>Gunskirchen</v>
          </cell>
          <cell r="L563" t="str">
            <v>Oberösterreich</v>
          </cell>
          <cell r="M563">
            <v>12</v>
          </cell>
        </row>
        <row r="564">
          <cell r="K564" t="str">
            <v>Guntersdorf</v>
          </cell>
          <cell r="L564" t="str">
            <v>Niederösterreich</v>
          </cell>
          <cell r="M564">
            <v>33</v>
          </cell>
        </row>
        <row r="565">
          <cell r="K565" t="str">
            <v>Guntramsdorf</v>
          </cell>
          <cell r="L565" t="str">
            <v>Niederösterreich</v>
          </cell>
          <cell r="M565">
            <v>12</v>
          </cell>
        </row>
        <row r="566">
          <cell r="K566" t="str">
            <v>Gurk</v>
          </cell>
          <cell r="L566" t="str">
            <v>Kärnten</v>
          </cell>
          <cell r="M566">
            <v>24</v>
          </cell>
        </row>
        <row r="567">
          <cell r="K567" t="str">
            <v>Gurten</v>
          </cell>
          <cell r="L567" t="str">
            <v>Oberösterreich</v>
          </cell>
          <cell r="M567">
            <v>22</v>
          </cell>
        </row>
        <row r="568">
          <cell r="K568" t="str">
            <v>Güssing</v>
          </cell>
          <cell r="L568" t="str">
            <v>Burgenland</v>
          </cell>
          <cell r="M568">
            <v>34</v>
          </cell>
        </row>
        <row r="569">
          <cell r="K569" t="str">
            <v>Gutau</v>
          </cell>
          <cell r="L569" t="str">
            <v>Oberösterreich</v>
          </cell>
          <cell r="M569">
            <v>34</v>
          </cell>
        </row>
        <row r="570">
          <cell r="K570" t="str">
            <v>Gutenberg-Stenzengreith</v>
          </cell>
          <cell r="L570" t="str">
            <v>Steiermark</v>
          </cell>
          <cell r="M570">
            <v>24</v>
          </cell>
        </row>
        <row r="571">
          <cell r="K571" t="str">
            <v>Gutenbrunn</v>
          </cell>
          <cell r="L571" t="str">
            <v>Niederösterreich</v>
          </cell>
          <cell r="M571">
            <v>34</v>
          </cell>
        </row>
        <row r="572">
          <cell r="K572" t="str">
            <v>Gutenstein</v>
          </cell>
          <cell r="L572" t="str">
            <v>Niederösterreich</v>
          </cell>
          <cell r="M572">
            <v>22</v>
          </cell>
        </row>
        <row r="573">
          <cell r="K573" t="str">
            <v>Guttaring</v>
          </cell>
          <cell r="L573" t="str">
            <v>Kärnten</v>
          </cell>
          <cell r="M573">
            <v>24</v>
          </cell>
        </row>
        <row r="574">
          <cell r="K574" t="str">
            <v>Güttenbach</v>
          </cell>
          <cell r="L574" t="str">
            <v>Burgenland</v>
          </cell>
          <cell r="M574">
            <v>34</v>
          </cell>
        </row>
        <row r="575">
          <cell r="K575" t="str">
            <v>Haag</v>
          </cell>
          <cell r="L575" t="str">
            <v>Niederösterreich</v>
          </cell>
          <cell r="M575">
            <v>22</v>
          </cell>
        </row>
        <row r="576">
          <cell r="K576" t="str">
            <v>Haag am Hausruck</v>
          </cell>
          <cell r="L576" t="str">
            <v>Oberösterreich</v>
          </cell>
          <cell r="M576">
            <v>23</v>
          </cell>
        </row>
        <row r="577">
          <cell r="K577" t="str">
            <v>Hackerberg</v>
          </cell>
          <cell r="L577" t="str">
            <v>Burgenland</v>
          </cell>
          <cell r="M577">
            <v>34</v>
          </cell>
        </row>
        <row r="578">
          <cell r="K578" t="str">
            <v>Hadersdorf-Kammern</v>
          </cell>
          <cell r="L578" t="str">
            <v>Niederösterreich</v>
          </cell>
          <cell r="M578">
            <v>22</v>
          </cell>
        </row>
        <row r="579">
          <cell r="K579" t="str">
            <v>Hadres</v>
          </cell>
          <cell r="L579" t="str">
            <v>Niederösterreich</v>
          </cell>
          <cell r="M579">
            <v>34</v>
          </cell>
        </row>
        <row r="580">
          <cell r="K580" t="str">
            <v>Hafnerbach</v>
          </cell>
          <cell r="L580" t="str">
            <v>Niederösterreich</v>
          </cell>
          <cell r="M580">
            <v>23</v>
          </cell>
        </row>
        <row r="581">
          <cell r="K581" t="str">
            <v>Hagenberg im Mühlkreis</v>
          </cell>
          <cell r="L581" t="str">
            <v>Oberösterreich</v>
          </cell>
          <cell r="M581">
            <v>22</v>
          </cell>
        </row>
        <row r="582">
          <cell r="K582" t="str">
            <v>Hagenbrunn</v>
          </cell>
          <cell r="L582" t="str">
            <v>Niederösterreich</v>
          </cell>
          <cell r="M582">
            <v>23</v>
          </cell>
        </row>
        <row r="583">
          <cell r="K583" t="str">
            <v>Haibach im Mühlkreis</v>
          </cell>
          <cell r="L583" t="str">
            <v>Oberösterreich</v>
          </cell>
          <cell r="M583">
            <v>24</v>
          </cell>
        </row>
        <row r="584">
          <cell r="K584" t="str">
            <v>Haibach ob der Donau</v>
          </cell>
          <cell r="L584" t="str">
            <v>Oberösterreich</v>
          </cell>
          <cell r="M584">
            <v>34</v>
          </cell>
        </row>
        <row r="585">
          <cell r="K585" t="str">
            <v>Haidershofen</v>
          </cell>
          <cell r="L585" t="str">
            <v>Niederösterreich</v>
          </cell>
          <cell r="M585">
            <v>23</v>
          </cell>
        </row>
        <row r="586">
          <cell r="K586" t="str">
            <v>Haigermoos</v>
          </cell>
          <cell r="L586" t="str">
            <v>Oberösterreich</v>
          </cell>
          <cell r="M586">
            <v>33</v>
          </cell>
        </row>
        <row r="587">
          <cell r="K587" t="str">
            <v>Haiming</v>
          </cell>
          <cell r="L587" t="str">
            <v>Tirol</v>
          </cell>
          <cell r="M587">
            <v>22</v>
          </cell>
        </row>
        <row r="588">
          <cell r="K588" t="str">
            <v>Hainburg a.d. Donau</v>
          </cell>
          <cell r="L588" t="str">
            <v>Niederösterreich</v>
          </cell>
          <cell r="M588">
            <v>32</v>
          </cell>
        </row>
        <row r="589">
          <cell r="K589" t="str">
            <v>Hainfeld</v>
          </cell>
          <cell r="L589" t="str">
            <v>Niederösterreich</v>
          </cell>
          <cell r="M589">
            <v>33</v>
          </cell>
        </row>
        <row r="590">
          <cell r="K590" t="str">
            <v>Hainzenberg</v>
          </cell>
          <cell r="L590" t="str">
            <v>Tirol</v>
          </cell>
          <cell r="M590">
            <v>32</v>
          </cell>
        </row>
        <row r="591">
          <cell r="K591" t="str">
            <v>Halbenrain</v>
          </cell>
          <cell r="L591" t="str">
            <v>Steiermark</v>
          </cell>
          <cell r="M591">
            <v>33</v>
          </cell>
        </row>
        <row r="592">
          <cell r="K592" t="str">
            <v>Halbturn</v>
          </cell>
          <cell r="L592" t="str">
            <v>Burgenland</v>
          </cell>
          <cell r="M592">
            <v>32</v>
          </cell>
        </row>
        <row r="593">
          <cell r="K593" t="str">
            <v>Hall in Tirol</v>
          </cell>
          <cell r="L593" t="str">
            <v>Tirol</v>
          </cell>
          <cell r="M593">
            <v>11</v>
          </cell>
        </row>
        <row r="594">
          <cell r="K594" t="str">
            <v>Hallein</v>
          </cell>
          <cell r="L594" t="str">
            <v>Salzburg</v>
          </cell>
          <cell r="M594">
            <v>11</v>
          </cell>
        </row>
        <row r="595">
          <cell r="K595" t="str">
            <v>Hallstatt</v>
          </cell>
          <cell r="L595" t="str">
            <v>Oberösterreich</v>
          </cell>
          <cell r="M595">
            <v>32</v>
          </cell>
        </row>
        <row r="596">
          <cell r="K596" t="str">
            <v>Hallwang</v>
          </cell>
          <cell r="L596" t="str">
            <v>Salzburg</v>
          </cell>
          <cell r="M596">
            <v>12</v>
          </cell>
        </row>
        <row r="597">
          <cell r="K597" t="str">
            <v>Handenberg</v>
          </cell>
          <cell r="L597" t="str">
            <v>Oberösterreich</v>
          </cell>
          <cell r="M597">
            <v>24</v>
          </cell>
        </row>
        <row r="598">
          <cell r="K598" t="str">
            <v>Hannersdorf</v>
          </cell>
          <cell r="L598" t="str">
            <v>Burgenland</v>
          </cell>
          <cell r="M598">
            <v>34</v>
          </cell>
        </row>
        <row r="599">
          <cell r="K599" t="str">
            <v>Hard</v>
          </cell>
          <cell r="L599" t="str">
            <v>Vorarlberg</v>
          </cell>
          <cell r="M599">
            <v>12</v>
          </cell>
        </row>
        <row r="600">
          <cell r="K600" t="str">
            <v>Hardegg</v>
          </cell>
          <cell r="L600" t="str">
            <v>Niederösterreich</v>
          </cell>
          <cell r="M600">
            <v>33</v>
          </cell>
        </row>
        <row r="601">
          <cell r="K601" t="str">
            <v>Hargelsberg</v>
          </cell>
          <cell r="L601" t="str">
            <v>Oberösterreich</v>
          </cell>
          <cell r="M601">
            <v>24</v>
          </cell>
        </row>
        <row r="602">
          <cell r="K602" t="str">
            <v>Haringsee</v>
          </cell>
          <cell r="L602" t="str">
            <v>Niederösterreich</v>
          </cell>
          <cell r="M602">
            <v>24</v>
          </cell>
        </row>
        <row r="603">
          <cell r="K603" t="str">
            <v>Harmannsdorf</v>
          </cell>
          <cell r="L603" t="str">
            <v>Niederösterreich</v>
          </cell>
          <cell r="M603">
            <v>23</v>
          </cell>
        </row>
        <row r="604">
          <cell r="K604" t="str">
            <v>Hart bei Graz</v>
          </cell>
          <cell r="L604" t="str">
            <v>Steiermark</v>
          </cell>
          <cell r="M604">
            <v>12</v>
          </cell>
        </row>
        <row r="605">
          <cell r="K605" t="str">
            <v>Hart im Zillertal</v>
          </cell>
          <cell r="L605" t="str">
            <v>Tirol</v>
          </cell>
          <cell r="M605">
            <v>23</v>
          </cell>
        </row>
        <row r="606">
          <cell r="K606" t="str">
            <v>Hartberg</v>
          </cell>
          <cell r="L606" t="str">
            <v>Steiermark</v>
          </cell>
          <cell r="M606">
            <v>32</v>
          </cell>
        </row>
        <row r="607">
          <cell r="K607" t="str">
            <v>Hartberg Umgebung</v>
          </cell>
          <cell r="L607" t="str">
            <v>Steiermark</v>
          </cell>
          <cell r="M607">
            <v>32</v>
          </cell>
        </row>
        <row r="608">
          <cell r="K608" t="str">
            <v>Hartkirchen</v>
          </cell>
          <cell r="L608" t="str">
            <v>Oberösterreich</v>
          </cell>
          <cell r="M608">
            <v>23</v>
          </cell>
        </row>
        <row r="609">
          <cell r="K609" t="str">
            <v>Hartl</v>
          </cell>
          <cell r="L609" t="str">
            <v>Steiermark</v>
          </cell>
          <cell r="M609">
            <v>32</v>
          </cell>
        </row>
        <row r="610">
          <cell r="K610" t="str">
            <v>Häselgehr</v>
          </cell>
          <cell r="L610" t="str">
            <v>Tirol</v>
          </cell>
          <cell r="M610">
            <v>24</v>
          </cell>
        </row>
        <row r="611">
          <cell r="K611" t="str">
            <v>Haselsdorf-Tobelbad</v>
          </cell>
          <cell r="L611" t="str">
            <v>Steiermark</v>
          </cell>
          <cell r="M611">
            <v>23</v>
          </cell>
        </row>
        <row r="612">
          <cell r="K612" t="str">
            <v>Haslach an der Mühl</v>
          </cell>
          <cell r="L612" t="str">
            <v>Oberösterreich</v>
          </cell>
          <cell r="M612">
            <v>33</v>
          </cell>
        </row>
        <row r="613">
          <cell r="K613" t="str">
            <v>Haslau-Maria Ellend</v>
          </cell>
          <cell r="L613" t="str">
            <v>Niederösterreich</v>
          </cell>
          <cell r="M613">
            <v>23</v>
          </cell>
        </row>
        <row r="614">
          <cell r="K614" t="str">
            <v>Hatting</v>
          </cell>
          <cell r="L614" t="str">
            <v>Tirol</v>
          </cell>
          <cell r="M614">
            <v>22</v>
          </cell>
        </row>
        <row r="615">
          <cell r="K615" t="str">
            <v>Haugschlag</v>
          </cell>
          <cell r="L615" t="str">
            <v>Niederösterreich</v>
          </cell>
          <cell r="M615">
            <v>34</v>
          </cell>
        </row>
        <row r="616">
          <cell r="K616" t="str">
            <v>Haugsdorf</v>
          </cell>
          <cell r="L616" t="str">
            <v>Niederösterreich</v>
          </cell>
          <cell r="M616">
            <v>33</v>
          </cell>
        </row>
        <row r="617">
          <cell r="K617" t="str">
            <v>Haunoldstein</v>
          </cell>
          <cell r="L617" t="str">
            <v>Niederösterreich</v>
          </cell>
          <cell r="M617">
            <v>23</v>
          </cell>
        </row>
        <row r="618">
          <cell r="K618" t="str">
            <v>Haus</v>
          </cell>
          <cell r="L618" t="str">
            <v>Steiermark</v>
          </cell>
          <cell r="M618">
            <v>33</v>
          </cell>
        </row>
        <row r="619">
          <cell r="K619" t="str">
            <v>Hausbrunn</v>
          </cell>
          <cell r="L619" t="str">
            <v>Niederösterreich</v>
          </cell>
          <cell r="M619">
            <v>34</v>
          </cell>
        </row>
        <row r="620">
          <cell r="K620" t="str">
            <v>Hauskirchen</v>
          </cell>
          <cell r="L620" t="str">
            <v>Niederösterreich</v>
          </cell>
          <cell r="M620">
            <v>34</v>
          </cell>
        </row>
        <row r="621">
          <cell r="K621" t="str">
            <v>Hausleiten</v>
          </cell>
          <cell r="L621" t="str">
            <v>Niederösterreich</v>
          </cell>
          <cell r="M621">
            <v>23</v>
          </cell>
        </row>
        <row r="622">
          <cell r="K622" t="str">
            <v>Hausmannstätten</v>
          </cell>
          <cell r="L622" t="str">
            <v>Steiermark</v>
          </cell>
          <cell r="M622">
            <v>12</v>
          </cell>
        </row>
        <row r="623">
          <cell r="K623" t="str">
            <v>Heidenreichstein</v>
          </cell>
          <cell r="L623" t="str">
            <v>Niederösterreich</v>
          </cell>
          <cell r="M623">
            <v>33</v>
          </cell>
        </row>
        <row r="624">
          <cell r="K624" t="str">
            <v>Heiligenberg</v>
          </cell>
          <cell r="L624" t="str">
            <v>Oberösterreich</v>
          </cell>
          <cell r="M624">
            <v>34</v>
          </cell>
        </row>
        <row r="625">
          <cell r="K625" t="str">
            <v>Heiligenblut am Großglockner</v>
          </cell>
          <cell r="L625" t="str">
            <v>Kärnten</v>
          </cell>
          <cell r="M625">
            <v>34</v>
          </cell>
        </row>
        <row r="626">
          <cell r="K626" t="str">
            <v>Heiligenbrunn</v>
          </cell>
          <cell r="L626" t="str">
            <v>Burgenland</v>
          </cell>
          <cell r="M626">
            <v>34</v>
          </cell>
        </row>
        <row r="627">
          <cell r="K627" t="str">
            <v>Heiligenkreuz</v>
          </cell>
          <cell r="L627" t="str">
            <v>Niederösterreich</v>
          </cell>
          <cell r="M627">
            <v>23</v>
          </cell>
        </row>
        <row r="628">
          <cell r="K628" t="str">
            <v>Heiligenkreuz am Waasen</v>
          </cell>
          <cell r="L628" t="str">
            <v>Steiermark</v>
          </cell>
          <cell r="M628">
            <v>23</v>
          </cell>
        </row>
        <row r="629">
          <cell r="K629" t="str">
            <v>Heiligenkreuz im Lafnitztal</v>
          </cell>
          <cell r="L629" t="str">
            <v>Burgenland</v>
          </cell>
          <cell r="M629">
            <v>34</v>
          </cell>
        </row>
        <row r="630">
          <cell r="K630" t="str">
            <v>Heimschuh</v>
          </cell>
          <cell r="L630" t="str">
            <v>Steiermark</v>
          </cell>
          <cell r="M630">
            <v>24</v>
          </cell>
        </row>
        <row r="631">
          <cell r="K631" t="str">
            <v>Heinfels</v>
          </cell>
          <cell r="L631" t="str">
            <v>Tirol</v>
          </cell>
          <cell r="M631">
            <v>23</v>
          </cell>
        </row>
        <row r="632">
          <cell r="K632" t="str">
            <v>Heiterwang</v>
          </cell>
          <cell r="L632" t="str">
            <v>Tirol</v>
          </cell>
          <cell r="M632">
            <v>22</v>
          </cell>
        </row>
        <row r="633">
          <cell r="K633" t="str">
            <v>Heldenberg</v>
          </cell>
          <cell r="L633" t="str">
            <v>Niederösterreich</v>
          </cell>
          <cell r="M633">
            <v>24</v>
          </cell>
        </row>
        <row r="634">
          <cell r="K634" t="str">
            <v>Helfenberg</v>
          </cell>
          <cell r="L634" t="str">
            <v>Oberösterreich</v>
          </cell>
          <cell r="M634">
            <v>33</v>
          </cell>
        </row>
        <row r="635">
          <cell r="K635" t="str">
            <v>Hellmonsödt</v>
          </cell>
          <cell r="L635" t="str">
            <v>Oberösterreich</v>
          </cell>
          <cell r="M635">
            <v>23</v>
          </cell>
        </row>
        <row r="636">
          <cell r="K636" t="str">
            <v>Helpfau-Uttendorf</v>
          </cell>
          <cell r="L636" t="str">
            <v>Oberösterreich</v>
          </cell>
          <cell r="M636">
            <v>23</v>
          </cell>
        </row>
        <row r="637">
          <cell r="K637" t="str">
            <v>Hengsberg</v>
          </cell>
          <cell r="L637" t="str">
            <v>Steiermark</v>
          </cell>
          <cell r="M637">
            <v>23</v>
          </cell>
        </row>
        <row r="638">
          <cell r="K638" t="str">
            <v>Henndorf am Wallersee</v>
          </cell>
          <cell r="L638" t="str">
            <v>Salzburg</v>
          </cell>
          <cell r="M638">
            <v>23</v>
          </cell>
        </row>
        <row r="639">
          <cell r="K639" t="str">
            <v>Hennersdorf</v>
          </cell>
          <cell r="L639" t="str">
            <v>Niederösterreich</v>
          </cell>
          <cell r="M639">
            <v>12</v>
          </cell>
        </row>
        <row r="640">
          <cell r="K640" t="str">
            <v>Hermagor-Pressegger See</v>
          </cell>
          <cell r="L640" t="str">
            <v>Kärnten</v>
          </cell>
          <cell r="M640">
            <v>33</v>
          </cell>
        </row>
        <row r="641">
          <cell r="K641" t="str">
            <v>Hernstein</v>
          </cell>
          <cell r="L641" t="str">
            <v>Niederösterreich</v>
          </cell>
          <cell r="M641">
            <v>24</v>
          </cell>
        </row>
        <row r="642">
          <cell r="K642" t="str">
            <v>Herrnbaumgarten</v>
          </cell>
          <cell r="L642" t="str">
            <v>Niederösterreich</v>
          </cell>
          <cell r="M642">
            <v>34</v>
          </cell>
        </row>
        <row r="643">
          <cell r="K643" t="str">
            <v>Herzogenburg</v>
          </cell>
          <cell r="L643" t="str">
            <v>Niederösterreich</v>
          </cell>
          <cell r="M643">
            <v>22</v>
          </cell>
        </row>
        <row r="644">
          <cell r="K644" t="str">
            <v>Herzogsdorf</v>
          </cell>
          <cell r="L644" t="str">
            <v>Oberösterreich</v>
          </cell>
          <cell r="M644">
            <v>22</v>
          </cell>
        </row>
        <row r="645">
          <cell r="K645" t="str">
            <v>Heugraben</v>
          </cell>
          <cell r="L645" t="str">
            <v>Burgenland</v>
          </cell>
          <cell r="M645">
            <v>34</v>
          </cell>
        </row>
        <row r="646">
          <cell r="K646" t="str">
            <v>Himberg</v>
          </cell>
          <cell r="L646" t="str">
            <v>Niederösterreich</v>
          </cell>
          <cell r="M646">
            <v>22</v>
          </cell>
        </row>
        <row r="647">
          <cell r="K647" t="str">
            <v>Himmelberg</v>
          </cell>
          <cell r="L647" t="str">
            <v>Kärnten</v>
          </cell>
          <cell r="M647">
            <v>34</v>
          </cell>
        </row>
        <row r="648">
          <cell r="K648" t="str">
            <v>Hinterbrühl</v>
          </cell>
          <cell r="L648" t="str">
            <v>Niederösterreich</v>
          </cell>
          <cell r="M648">
            <v>12</v>
          </cell>
        </row>
        <row r="649">
          <cell r="K649" t="str">
            <v>Hinterhornbach</v>
          </cell>
          <cell r="L649" t="str">
            <v>Tirol</v>
          </cell>
          <cell r="M649">
            <v>34</v>
          </cell>
        </row>
        <row r="650">
          <cell r="K650" t="str">
            <v>Hintersee</v>
          </cell>
          <cell r="L650" t="str">
            <v>Salzburg</v>
          </cell>
          <cell r="M650">
            <v>24</v>
          </cell>
        </row>
        <row r="651">
          <cell r="K651" t="str">
            <v>Hinterstoder</v>
          </cell>
          <cell r="L651" t="str">
            <v>Oberösterreich</v>
          </cell>
          <cell r="M651">
            <v>33</v>
          </cell>
        </row>
        <row r="652">
          <cell r="K652" t="str">
            <v>Hinzenbach</v>
          </cell>
          <cell r="L652" t="str">
            <v>Oberösterreich</v>
          </cell>
          <cell r="M652">
            <v>22</v>
          </cell>
        </row>
        <row r="653">
          <cell r="K653" t="str">
            <v>Hippach</v>
          </cell>
          <cell r="L653" t="str">
            <v>Tirol</v>
          </cell>
          <cell r="M653">
            <v>32</v>
          </cell>
        </row>
        <row r="654">
          <cell r="K654" t="str">
            <v>Hirm</v>
          </cell>
          <cell r="L654" t="str">
            <v>Burgenland</v>
          </cell>
          <cell r="M654">
            <v>23</v>
          </cell>
        </row>
        <row r="655">
          <cell r="K655" t="str">
            <v>Hirschbach</v>
          </cell>
          <cell r="L655" t="str">
            <v>Niederösterreich</v>
          </cell>
          <cell r="M655">
            <v>33</v>
          </cell>
        </row>
        <row r="656">
          <cell r="K656" t="str">
            <v>Hirschbach im Mühlkreis</v>
          </cell>
          <cell r="L656" t="str">
            <v>Oberösterreich</v>
          </cell>
          <cell r="M656">
            <v>24</v>
          </cell>
        </row>
        <row r="657">
          <cell r="K657" t="str">
            <v>Hirschegg-Pack</v>
          </cell>
          <cell r="L657" t="str">
            <v>Steiermark</v>
          </cell>
          <cell r="M657">
            <v>24</v>
          </cell>
        </row>
        <row r="658">
          <cell r="K658" t="str">
            <v>Hirtenberg</v>
          </cell>
          <cell r="L658" t="str">
            <v>Niederösterreich</v>
          </cell>
          <cell r="M658">
            <v>12</v>
          </cell>
        </row>
        <row r="659">
          <cell r="K659" t="str">
            <v>Hittisau</v>
          </cell>
          <cell r="L659" t="str">
            <v>Vorarlberg</v>
          </cell>
          <cell r="M659">
            <v>23</v>
          </cell>
        </row>
        <row r="660">
          <cell r="K660" t="str">
            <v>Hitzendorf</v>
          </cell>
          <cell r="L660" t="str">
            <v>Steiermark</v>
          </cell>
          <cell r="M660">
            <v>23</v>
          </cell>
        </row>
        <row r="661">
          <cell r="K661" t="str">
            <v>Hochburg-Ach</v>
          </cell>
          <cell r="L661" t="str">
            <v>Oberösterreich</v>
          </cell>
          <cell r="M661">
            <v>24</v>
          </cell>
        </row>
        <row r="662">
          <cell r="K662" t="str">
            <v>Hochfilzen</v>
          </cell>
          <cell r="L662" t="str">
            <v>Tirol</v>
          </cell>
          <cell r="M662">
            <v>32</v>
          </cell>
        </row>
        <row r="663">
          <cell r="K663" t="str">
            <v>Hochleithen</v>
          </cell>
          <cell r="L663" t="str">
            <v>Niederösterreich</v>
          </cell>
          <cell r="M663">
            <v>24</v>
          </cell>
        </row>
        <row r="664">
          <cell r="K664" t="str">
            <v>Hochneukirchen-Gschaidt</v>
          </cell>
          <cell r="L664" t="str">
            <v>Niederösterreich</v>
          </cell>
          <cell r="M664">
            <v>34</v>
          </cell>
        </row>
        <row r="665">
          <cell r="K665" t="str">
            <v>Höchst</v>
          </cell>
          <cell r="L665" t="str">
            <v>Vorarlberg</v>
          </cell>
          <cell r="M665">
            <v>11</v>
          </cell>
        </row>
        <row r="666">
          <cell r="K666" t="str">
            <v>Hochwolkersdorf</v>
          </cell>
          <cell r="L666" t="str">
            <v>Niederösterreich</v>
          </cell>
          <cell r="M666">
            <v>24</v>
          </cell>
        </row>
        <row r="667">
          <cell r="K667" t="str">
            <v>Hof am Leithaberge</v>
          </cell>
          <cell r="L667" t="str">
            <v>Niederösterreich</v>
          </cell>
          <cell r="M667">
            <v>24</v>
          </cell>
        </row>
        <row r="668">
          <cell r="K668" t="str">
            <v>Hof bei Salzburg</v>
          </cell>
          <cell r="L668" t="str">
            <v>Salzburg</v>
          </cell>
          <cell r="M668">
            <v>23</v>
          </cell>
        </row>
        <row r="669">
          <cell r="K669" t="str">
            <v>Hofamt Priel</v>
          </cell>
          <cell r="L669" t="str">
            <v>Niederösterreich</v>
          </cell>
          <cell r="M669">
            <v>23</v>
          </cell>
        </row>
        <row r="670">
          <cell r="K670" t="str">
            <v>Höfen</v>
          </cell>
          <cell r="L670" t="str">
            <v>Tirol</v>
          </cell>
          <cell r="M670">
            <v>12</v>
          </cell>
        </row>
        <row r="671">
          <cell r="K671" t="str">
            <v>Hofkirchen an der Trattnach</v>
          </cell>
          <cell r="L671" t="str">
            <v>Oberösterreich</v>
          </cell>
          <cell r="M671">
            <v>24</v>
          </cell>
        </row>
        <row r="672">
          <cell r="K672" t="str">
            <v>Hofkirchen im Mühlkreis</v>
          </cell>
          <cell r="L672" t="str">
            <v>Oberösterreich</v>
          </cell>
          <cell r="M672">
            <v>34</v>
          </cell>
        </row>
        <row r="673">
          <cell r="K673" t="str">
            <v>Hofkirchen im Traunkreis</v>
          </cell>
          <cell r="L673" t="str">
            <v>Oberösterreich</v>
          </cell>
          <cell r="M673">
            <v>24</v>
          </cell>
        </row>
        <row r="674">
          <cell r="K674" t="str">
            <v>Höflein</v>
          </cell>
          <cell r="L674" t="str">
            <v>Niederösterreich</v>
          </cell>
          <cell r="M674">
            <v>34</v>
          </cell>
        </row>
        <row r="675">
          <cell r="K675" t="str">
            <v>Höflein an der Hohen Wand</v>
          </cell>
          <cell r="L675" t="str">
            <v>Niederösterreich</v>
          </cell>
          <cell r="M675">
            <v>23</v>
          </cell>
        </row>
        <row r="676">
          <cell r="K676" t="str">
            <v>Hofstätten an der Raab</v>
          </cell>
          <cell r="L676" t="str">
            <v>Steiermark</v>
          </cell>
          <cell r="M676">
            <v>23</v>
          </cell>
        </row>
        <row r="677">
          <cell r="K677" t="str">
            <v>Hofstetten-Grünau</v>
          </cell>
          <cell r="L677" t="str">
            <v>Niederösterreich</v>
          </cell>
          <cell r="M677">
            <v>23</v>
          </cell>
        </row>
        <row r="678">
          <cell r="K678" t="str">
            <v>Hohe Wand</v>
          </cell>
          <cell r="L678" t="str">
            <v>Niederösterreich</v>
          </cell>
          <cell r="M678">
            <v>24</v>
          </cell>
        </row>
        <row r="679">
          <cell r="K679" t="str">
            <v>Hohenau an der March</v>
          </cell>
          <cell r="L679" t="str">
            <v>Niederösterreich</v>
          </cell>
          <cell r="M679">
            <v>32</v>
          </cell>
        </row>
        <row r="680">
          <cell r="K680" t="str">
            <v>Hohenberg</v>
          </cell>
          <cell r="L680" t="str">
            <v>Niederösterreich</v>
          </cell>
          <cell r="M680">
            <v>34</v>
          </cell>
        </row>
        <row r="681">
          <cell r="K681" t="str">
            <v>Hoheneich</v>
          </cell>
          <cell r="L681" t="str">
            <v>Niederösterreich</v>
          </cell>
          <cell r="M681">
            <v>33</v>
          </cell>
        </row>
        <row r="682">
          <cell r="K682" t="str">
            <v>Hohenems</v>
          </cell>
          <cell r="L682" t="str">
            <v>Vorarlberg</v>
          </cell>
          <cell r="M682">
            <v>11</v>
          </cell>
        </row>
        <row r="683">
          <cell r="K683" t="str">
            <v>Hohenruppersdorf</v>
          </cell>
          <cell r="L683" t="str">
            <v>Niederösterreich</v>
          </cell>
          <cell r="M683">
            <v>34</v>
          </cell>
        </row>
        <row r="684">
          <cell r="K684" t="str">
            <v>Hohentauern</v>
          </cell>
          <cell r="L684" t="str">
            <v>Steiermark</v>
          </cell>
          <cell r="M684">
            <v>34</v>
          </cell>
        </row>
        <row r="685">
          <cell r="K685" t="str">
            <v>Hohenthurn</v>
          </cell>
          <cell r="L685" t="str">
            <v>Kärnten</v>
          </cell>
          <cell r="M685">
            <v>24</v>
          </cell>
        </row>
        <row r="686">
          <cell r="K686" t="str">
            <v>Hohenwarth-Mühlbach a.M.</v>
          </cell>
          <cell r="L686" t="str">
            <v>Niederösterreich</v>
          </cell>
          <cell r="M686">
            <v>24</v>
          </cell>
        </row>
        <row r="687">
          <cell r="K687" t="str">
            <v>Hohenweiler</v>
          </cell>
          <cell r="L687" t="str">
            <v>Vorarlberg</v>
          </cell>
          <cell r="M687">
            <v>23</v>
          </cell>
        </row>
        <row r="688">
          <cell r="K688" t="str">
            <v>Hohenzell</v>
          </cell>
          <cell r="L688" t="str">
            <v>Oberösterreich</v>
          </cell>
          <cell r="M688">
            <v>23</v>
          </cell>
        </row>
        <row r="689">
          <cell r="K689" t="str">
            <v>Höhnhart</v>
          </cell>
          <cell r="L689" t="str">
            <v>Oberösterreich</v>
          </cell>
          <cell r="M689">
            <v>24</v>
          </cell>
        </row>
        <row r="690">
          <cell r="K690" t="str">
            <v>Hollabrunn</v>
          </cell>
          <cell r="L690" t="str">
            <v>Niederösterreich</v>
          </cell>
          <cell r="M690">
            <v>22</v>
          </cell>
        </row>
        <row r="691">
          <cell r="K691" t="str">
            <v>Hollenstein an der Ybbs</v>
          </cell>
          <cell r="L691" t="str">
            <v>Niederösterreich</v>
          </cell>
          <cell r="M691">
            <v>34</v>
          </cell>
        </row>
        <row r="692">
          <cell r="K692" t="str">
            <v>Hollenthon</v>
          </cell>
          <cell r="L692" t="str">
            <v>Niederösterreich</v>
          </cell>
          <cell r="M692">
            <v>34</v>
          </cell>
        </row>
        <row r="693">
          <cell r="K693" t="str">
            <v>Hollersbach im Pinzgau</v>
          </cell>
          <cell r="L693" t="str">
            <v>Salzburg</v>
          </cell>
          <cell r="M693">
            <v>32</v>
          </cell>
        </row>
        <row r="694">
          <cell r="K694" t="str">
            <v>Holzgau</v>
          </cell>
          <cell r="L694" t="str">
            <v>Tirol</v>
          </cell>
          <cell r="M694">
            <v>34</v>
          </cell>
        </row>
        <row r="695">
          <cell r="K695" t="str">
            <v>Holzhausen</v>
          </cell>
          <cell r="L695" t="str">
            <v>Oberösterreich</v>
          </cell>
          <cell r="M695">
            <v>23</v>
          </cell>
        </row>
        <row r="696">
          <cell r="K696" t="str">
            <v>Hopfgarten im Brixental</v>
          </cell>
          <cell r="L696" t="str">
            <v>Tirol</v>
          </cell>
          <cell r="M696">
            <v>22</v>
          </cell>
        </row>
        <row r="697">
          <cell r="K697" t="str">
            <v>Hopfgarten in Defereggen</v>
          </cell>
          <cell r="L697" t="str">
            <v>Tirol</v>
          </cell>
          <cell r="M697">
            <v>24</v>
          </cell>
        </row>
        <row r="698">
          <cell r="K698" t="str">
            <v>Hörbich</v>
          </cell>
          <cell r="L698" t="str">
            <v>Oberösterreich</v>
          </cell>
          <cell r="M698">
            <v>33</v>
          </cell>
        </row>
        <row r="699">
          <cell r="K699" t="str">
            <v>Hörbranz</v>
          </cell>
          <cell r="L699" t="str">
            <v>Vorarlberg</v>
          </cell>
          <cell r="M699">
            <v>12</v>
          </cell>
        </row>
        <row r="700">
          <cell r="K700" t="str">
            <v>Horitschon</v>
          </cell>
          <cell r="L700" t="str">
            <v>Burgenland</v>
          </cell>
          <cell r="M700">
            <v>33</v>
          </cell>
        </row>
        <row r="701">
          <cell r="K701" t="str">
            <v>Horn</v>
          </cell>
          <cell r="L701" t="str">
            <v>Niederösterreich</v>
          </cell>
          <cell r="M701">
            <v>32</v>
          </cell>
        </row>
        <row r="702">
          <cell r="K702" t="str">
            <v>Hornstein</v>
          </cell>
          <cell r="L702" t="str">
            <v>Burgenland</v>
          </cell>
          <cell r="M702">
            <v>23</v>
          </cell>
        </row>
        <row r="703">
          <cell r="K703" t="str">
            <v>Hörsching</v>
          </cell>
          <cell r="L703" t="str">
            <v>Oberösterreich</v>
          </cell>
          <cell r="M703">
            <v>22</v>
          </cell>
        </row>
        <row r="704">
          <cell r="K704" t="str">
            <v>Hundsheim</v>
          </cell>
          <cell r="L704" t="str">
            <v>Niederösterreich</v>
          </cell>
          <cell r="M704">
            <v>34</v>
          </cell>
        </row>
        <row r="705">
          <cell r="K705" t="str">
            <v>Hürm</v>
          </cell>
          <cell r="L705" t="str">
            <v>Niederösterreich</v>
          </cell>
          <cell r="M705">
            <v>23</v>
          </cell>
        </row>
        <row r="706">
          <cell r="K706" t="str">
            <v>Hüttau</v>
          </cell>
          <cell r="L706" t="str">
            <v>Salzburg</v>
          </cell>
          <cell r="M706">
            <v>33</v>
          </cell>
        </row>
        <row r="707">
          <cell r="K707" t="str">
            <v>Hüttenberg</v>
          </cell>
          <cell r="L707" t="str">
            <v>Kärnten</v>
          </cell>
          <cell r="M707">
            <v>34</v>
          </cell>
        </row>
        <row r="708">
          <cell r="K708" t="str">
            <v>Hüttschlag</v>
          </cell>
          <cell r="L708" t="str">
            <v>Salzburg</v>
          </cell>
          <cell r="M708">
            <v>34</v>
          </cell>
        </row>
        <row r="709">
          <cell r="K709" t="str">
            <v>Illmitz</v>
          </cell>
          <cell r="L709" t="str">
            <v>Burgenland</v>
          </cell>
          <cell r="M709">
            <v>33</v>
          </cell>
        </row>
        <row r="710">
          <cell r="K710" t="str">
            <v>Ilz</v>
          </cell>
          <cell r="L710" t="str">
            <v>Steiermark</v>
          </cell>
          <cell r="M710">
            <v>22</v>
          </cell>
        </row>
        <row r="711">
          <cell r="K711" t="str">
            <v>Ilztal</v>
          </cell>
          <cell r="L711" t="str">
            <v>Steiermark</v>
          </cell>
          <cell r="M711">
            <v>22</v>
          </cell>
        </row>
        <row r="712">
          <cell r="K712" t="str">
            <v>Imst</v>
          </cell>
          <cell r="L712" t="str">
            <v>Tirol</v>
          </cell>
          <cell r="M712">
            <v>12</v>
          </cell>
        </row>
        <row r="713">
          <cell r="K713" t="str">
            <v>Imsterberg</v>
          </cell>
          <cell r="L713" t="str">
            <v>Tirol</v>
          </cell>
          <cell r="M713">
            <v>22</v>
          </cell>
        </row>
        <row r="714">
          <cell r="K714" t="str">
            <v>Innerbraz</v>
          </cell>
          <cell r="L714" t="str">
            <v>Vorarlberg</v>
          </cell>
          <cell r="M714">
            <v>23</v>
          </cell>
        </row>
        <row r="715">
          <cell r="K715" t="str">
            <v>Innerschwand am Mondsee</v>
          </cell>
          <cell r="L715" t="str">
            <v>Oberösterreich</v>
          </cell>
          <cell r="M715">
            <v>24</v>
          </cell>
        </row>
        <row r="716">
          <cell r="K716" t="str">
            <v>Innervillgraten</v>
          </cell>
          <cell r="L716" t="str">
            <v>Tirol</v>
          </cell>
          <cell r="M716">
            <v>34</v>
          </cell>
        </row>
        <row r="717">
          <cell r="K717" t="str">
            <v>Innsbruck</v>
          </cell>
          <cell r="L717" t="str">
            <v>Tirol</v>
          </cell>
          <cell r="M717">
            <v>11</v>
          </cell>
        </row>
        <row r="718">
          <cell r="K718" t="str">
            <v>Inzenhof</v>
          </cell>
          <cell r="L718" t="str">
            <v>Burgenland</v>
          </cell>
          <cell r="M718">
            <v>34</v>
          </cell>
        </row>
        <row r="719">
          <cell r="K719" t="str">
            <v>Inzersdorf im Kremstal</v>
          </cell>
          <cell r="L719" t="str">
            <v>Oberösterreich</v>
          </cell>
          <cell r="M719">
            <v>22</v>
          </cell>
        </row>
        <row r="720">
          <cell r="K720" t="str">
            <v>Inzersdorf-Getzersdorf</v>
          </cell>
          <cell r="L720" t="str">
            <v>Niederösterreich</v>
          </cell>
          <cell r="M720">
            <v>23</v>
          </cell>
        </row>
        <row r="721">
          <cell r="K721" t="str">
            <v>Inzing</v>
          </cell>
          <cell r="L721" t="str">
            <v>Tirol</v>
          </cell>
          <cell r="M721">
            <v>22</v>
          </cell>
        </row>
        <row r="722">
          <cell r="K722" t="str">
            <v>Irdning-Donnersbachtal</v>
          </cell>
          <cell r="L722" t="str">
            <v>Steiermark</v>
          </cell>
          <cell r="M722">
            <v>34</v>
          </cell>
        </row>
        <row r="723">
          <cell r="K723" t="str">
            <v>Irnfritz-Messern</v>
          </cell>
          <cell r="L723" t="str">
            <v>Niederösterreich</v>
          </cell>
          <cell r="M723">
            <v>33</v>
          </cell>
        </row>
        <row r="724">
          <cell r="K724" t="str">
            <v>Irschen</v>
          </cell>
          <cell r="L724" t="str">
            <v>Kärnten</v>
          </cell>
          <cell r="M724">
            <v>22</v>
          </cell>
        </row>
        <row r="725">
          <cell r="K725" t="str">
            <v>Ischgl</v>
          </cell>
          <cell r="L725" t="str">
            <v>Tirol</v>
          </cell>
          <cell r="M725">
            <v>34</v>
          </cell>
        </row>
        <row r="726">
          <cell r="K726" t="str">
            <v>Iselsberg-Stronach</v>
          </cell>
          <cell r="L726" t="str">
            <v>Tirol</v>
          </cell>
          <cell r="M726">
            <v>12</v>
          </cell>
        </row>
        <row r="727">
          <cell r="K727" t="str">
            <v>Itter</v>
          </cell>
          <cell r="L727" t="str">
            <v>Tirol</v>
          </cell>
          <cell r="M727">
            <v>23</v>
          </cell>
        </row>
        <row r="728">
          <cell r="K728" t="str">
            <v>Jabing</v>
          </cell>
          <cell r="L728" t="str">
            <v>Burgenland</v>
          </cell>
          <cell r="M728">
            <v>34</v>
          </cell>
        </row>
        <row r="729">
          <cell r="K729" t="str">
            <v>Jagerberg</v>
          </cell>
          <cell r="L729" t="str">
            <v>Steiermark</v>
          </cell>
          <cell r="M729">
            <v>24</v>
          </cell>
        </row>
        <row r="730">
          <cell r="K730" t="str">
            <v>Jaidhof</v>
          </cell>
          <cell r="L730" t="str">
            <v>Niederösterreich</v>
          </cell>
          <cell r="M730">
            <v>24</v>
          </cell>
        </row>
        <row r="731">
          <cell r="K731" t="str">
            <v>Japons</v>
          </cell>
          <cell r="L731" t="str">
            <v>Niederösterreich</v>
          </cell>
          <cell r="M731">
            <v>34</v>
          </cell>
        </row>
        <row r="732">
          <cell r="K732" t="str">
            <v>Jedenspeigen</v>
          </cell>
          <cell r="L732" t="str">
            <v>Niederösterreich</v>
          </cell>
          <cell r="M732">
            <v>33</v>
          </cell>
        </row>
        <row r="733">
          <cell r="K733" t="str">
            <v>Jeging</v>
          </cell>
          <cell r="L733" t="str">
            <v>Oberösterreich</v>
          </cell>
          <cell r="M733">
            <v>24</v>
          </cell>
        </row>
        <row r="734">
          <cell r="K734" t="str">
            <v>Jenbach</v>
          </cell>
          <cell r="L734" t="str">
            <v>Tirol</v>
          </cell>
          <cell r="M734">
            <v>22</v>
          </cell>
        </row>
        <row r="735">
          <cell r="K735" t="str">
            <v>Jennersdorf</v>
          </cell>
          <cell r="L735" t="str">
            <v>Burgenland</v>
          </cell>
          <cell r="M735">
            <v>33</v>
          </cell>
        </row>
        <row r="736">
          <cell r="K736" t="str">
            <v>Jerzens</v>
          </cell>
          <cell r="L736" t="str">
            <v>Tirol</v>
          </cell>
          <cell r="M736">
            <v>23</v>
          </cell>
        </row>
        <row r="737">
          <cell r="K737" t="str">
            <v>Jochberg</v>
          </cell>
          <cell r="L737" t="str">
            <v>Tirol</v>
          </cell>
          <cell r="M737">
            <v>33</v>
          </cell>
        </row>
        <row r="738">
          <cell r="K738" t="str">
            <v>Jois</v>
          </cell>
          <cell r="L738" t="str">
            <v>Burgenland</v>
          </cell>
          <cell r="M738">
            <v>22</v>
          </cell>
        </row>
        <row r="739">
          <cell r="K739" t="str">
            <v>Judenau-Baumgarten</v>
          </cell>
          <cell r="L739" t="str">
            <v>Niederösterreich</v>
          </cell>
          <cell r="M739">
            <v>22</v>
          </cell>
        </row>
        <row r="740">
          <cell r="K740" t="str">
            <v>Judenburg</v>
          </cell>
          <cell r="L740" t="str">
            <v>Steiermark</v>
          </cell>
          <cell r="M740">
            <v>12</v>
          </cell>
        </row>
        <row r="741">
          <cell r="K741" t="str">
            <v>Julbach</v>
          </cell>
          <cell r="L741" t="str">
            <v>Oberösterreich</v>
          </cell>
          <cell r="M741">
            <v>34</v>
          </cell>
        </row>
        <row r="742">
          <cell r="K742" t="str">
            <v>Jungholz</v>
          </cell>
          <cell r="L742" t="str">
            <v>Tirol</v>
          </cell>
          <cell r="M742">
            <v>34</v>
          </cell>
        </row>
        <row r="743">
          <cell r="K743" t="str">
            <v>Kainach bei Voitsberg</v>
          </cell>
          <cell r="L743" t="str">
            <v>Steiermark</v>
          </cell>
          <cell r="M743">
            <v>24</v>
          </cell>
        </row>
        <row r="744">
          <cell r="K744" t="str">
            <v>Kainbach bei Graz</v>
          </cell>
          <cell r="L744" t="str">
            <v>Steiermark</v>
          </cell>
          <cell r="M744">
            <v>22</v>
          </cell>
        </row>
        <row r="745">
          <cell r="K745" t="str">
            <v>Kaindorf</v>
          </cell>
          <cell r="L745" t="str">
            <v>Steiermark</v>
          </cell>
          <cell r="M745">
            <v>32</v>
          </cell>
        </row>
        <row r="746">
          <cell r="K746" t="str">
            <v>Kaisers</v>
          </cell>
          <cell r="L746" t="str">
            <v>Tirol</v>
          </cell>
          <cell r="M746">
            <v>34</v>
          </cell>
        </row>
        <row r="747">
          <cell r="K747" t="str">
            <v>Kaisersdorf</v>
          </cell>
          <cell r="L747" t="str">
            <v>Burgenland</v>
          </cell>
          <cell r="M747">
            <v>34</v>
          </cell>
        </row>
        <row r="748">
          <cell r="K748" t="str">
            <v>Kallham</v>
          </cell>
          <cell r="L748" t="str">
            <v>Oberösterreich</v>
          </cell>
          <cell r="M748">
            <v>32</v>
          </cell>
        </row>
        <row r="749">
          <cell r="K749" t="str">
            <v>Kals am Großglockner</v>
          </cell>
          <cell r="L749" t="str">
            <v>Tirol</v>
          </cell>
          <cell r="M749">
            <v>34</v>
          </cell>
        </row>
        <row r="750">
          <cell r="K750" t="str">
            <v>Kalsdorf bei Graz</v>
          </cell>
          <cell r="L750" t="str">
            <v>Steiermark</v>
          </cell>
          <cell r="M750">
            <v>12</v>
          </cell>
        </row>
        <row r="751">
          <cell r="K751" t="str">
            <v>Kaltenbach</v>
          </cell>
          <cell r="L751" t="str">
            <v>Tirol</v>
          </cell>
          <cell r="M751">
            <v>22</v>
          </cell>
        </row>
        <row r="752">
          <cell r="K752" t="str">
            <v>Kaltenberg</v>
          </cell>
          <cell r="L752" t="str">
            <v>Oberösterreich</v>
          </cell>
          <cell r="M752">
            <v>33</v>
          </cell>
        </row>
        <row r="753">
          <cell r="K753" t="str">
            <v>Kaltenleutgeben</v>
          </cell>
          <cell r="L753" t="str">
            <v>Niederösterreich</v>
          </cell>
          <cell r="M753">
            <v>23</v>
          </cell>
        </row>
        <row r="754">
          <cell r="K754" t="str">
            <v>Kalwang</v>
          </cell>
          <cell r="L754" t="str">
            <v>Steiermark</v>
          </cell>
          <cell r="M754">
            <v>23</v>
          </cell>
        </row>
        <row r="755">
          <cell r="K755" t="str">
            <v>Kammern im Liesingtal</v>
          </cell>
          <cell r="L755" t="str">
            <v>Steiermark</v>
          </cell>
          <cell r="M755">
            <v>23</v>
          </cell>
        </row>
        <row r="756">
          <cell r="K756" t="str">
            <v>Kapelln</v>
          </cell>
          <cell r="L756" t="str">
            <v>Niederösterreich</v>
          </cell>
          <cell r="M756">
            <v>23</v>
          </cell>
        </row>
        <row r="757">
          <cell r="K757" t="str">
            <v>Kapfenberg</v>
          </cell>
          <cell r="L757" t="str">
            <v>Steiermark</v>
          </cell>
          <cell r="M757">
            <v>12</v>
          </cell>
        </row>
        <row r="758">
          <cell r="K758" t="str">
            <v>Kapfenstein</v>
          </cell>
          <cell r="L758" t="str">
            <v>Steiermark</v>
          </cell>
          <cell r="M758">
            <v>34</v>
          </cell>
        </row>
        <row r="759">
          <cell r="K759" t="str">
            <v>Kappel am Krappfeld</v>
          </cell>
          <cell r="L759" t="str">
            <v>Kärnten</v>
          </cell>
          <cell r="M759">
            <v>22</v>
          </cell>
        </row>
        <row r="760">
          <cell r="K760" t="str">
            <v>Kappl</v>
          </cell>
          <cell r="L760" t="str">
            <v>Tirol</v>
          </cell>
          <cell r="M760">
            <v>34</v>
          </cell>
        </row>
        <row r="761">
          <cell r="K761" t="str">
            <v>Kaprun</v>
          </cell>
          <cell r="L761" t="str">
            <v>Salzburg</v>
          </cell>
          <cell r="M761">
            <v>33</v>
          </cell>
        </row>
        <row r="762">
          <cell r="K762" t="str">
            <v>Karlstein an der Thaya</v>
          </cell>
          <cell r="L762" t="str">
            <v>Niederösterreich</v>
          </cell>
          <cell r="M762">
            <v>34</v>
          </cell>
        </row>
        <row r="763">
          <cell r="K763" t="str">
            <v>Karlstetten</v>
          </cell>
          <cell r="L763" t="str">
            <v>Niederösterreich</v>
          </cell>
          <cell r="M763">
            <v>24</v>
          </cell>
        </row>
        <row r="764">
          <cell r="K764" t="str">
            <v>Karres</v>
          </cell>
          <cell r="L764" t="str">
            <v>Tirol</v>
          </cell>
          <cell r="M764">
            <v>23</v>
          </cell>
        </row>
        <row r="765">
          <cell r="K765" t="str">
            <v>Karrösten</v>
          </cell>
          <cell r="L765" t="str">
            <v>Tirol</v>
          </cell>
          <cell r="M765">
            <v>22</v>
          </cell>
        </row>
        <row r="766">
          <cell r="K766" t="str">
            <v>Kartitsch</v>
          </cell>
          <cell r="L766" t="str">
            <v>Tirol</v>
          </cell>
          <cell r="M766">
            <v>34</v>
          </cell>
        </row>
        <row r="767">
          <cell r="K767" t="str">
            <v>Kasten bei Böheimkirchen</v>
          </cell>
          <cell r="L767" t="str">
            <v>Niederösterreich</v>
          </cell>
          <cell r="M767">
            <v>24</v>
          </cell>
        </row>
        <row r="768">
          <cell r="K768" t="str">
            <v>Katsdorf</v>
          </cell>
          <cell r="L768" t="str">
            <v>Oberösterreich</v>
          </cell>
          <cell r="M768">
            <v>22</v>
          </cell>
        </row>
        <row r="769">
          <cell r="K769" t="str">
            <v>Katzelsdorf</v>
          </cell>
          <cell r="L769" t="str">
            <v>Niederösterreich</v>
          </cell>
          <cell r="M769">
            <v>22</v>
          </cell>
        </row>
        <row r="770">
          <cell r="K770" t="str">
            <v>Kaumberg</v>
          </cell>
          <cell r="L770" t="str">
            <v>Niederösterreich</v>
          </cell>
          <cell r="M770">
            <v>24</v>
          </cell>
        </row>
        <row r="771">
          <cell r="K771" t="str">
            <v>Kaunerberg</v>
          </cell>
          <cell r="L771" t="str">
            <v>Tirol</v>
          </cell>
          <cell r="M771">
            <v>34</v>
          </cell>
        </row>
        <row r="772">
          <cell r="K772" t="str">
            <v>Kaunertal</v>
          </cell>
          <cell r="L772" t="str">
            <v>Tirol</v>
          </cell>
          <cell r="M772">
            <v>34</v>
          </cell>
        </row>
        <row r="773">
          <cell r="K773" t="str">
            <v>Kauns</v>
          </cell>
          <cell r="L773" t="str">
            <v>Tirol</v>
          </cell>
          <cell r="M773">
            <v>24</v>
          </cell>
        </row>
        <row r="774">
          <cell r="K774" t="str">
            <v>Kautzen</v>
          </cell>
          <cell r="L774" t="str">
            <v>Niederösterreich</v>
          </cell>
          <cell r="M774">
            <v>34</v>
          </cell>
        </row>
        <row r="775">
          <cell r="K775" t="str">
            <v>Kefermarkt</v>
          </cell>
          <cell r="L775" t="str">
            <v>Oberösterreich</v>
          </cell>
          <cell r="M775">
            <v>22</v>
          </cell>
        </row>
        <row r="776">
          <cell r="K776" t="str">
            <v>Kematen am Innbach</v>
          </cell>
          <cell r="L776" t="str">
            <v>Oberösterreich</v>
          </cell>
          <cell r="M776">
            <v>23</v>
          </cell>
        </row>
        <row r="777">
          <cell r="K777" t="str">
            <v>Kematen an der Krems</v>
          </cell>
          <cell r="L777" t="str">
            <v>Oberösterreich</v>
          </cell>
          <cell r="M777">
            <v>22</v>
          </cell>
        </row>
        <row r="778">
          <cell r="K778" t="str">
            <v>Kematen an der Ybbs</v>
          </cell>
          <cell r="L778" t="str">
            <v>Niederösterreich</v>
          </cell>
          <cell r="M778">
            <v>23</v>
          </cell>
        </row>
        <row r="779">
          <cell r="K779" t="str">
            <v>Kematen in Tirol</v>
          </cell>
          <cell r="L779" t="str">
            <v>Tirol</v>
          </cell>
          <cell r="M779">
            <v>12</v>
          </cell>
        </row>
        <row r="780">
          <cell r="K780" t="str">
            <v>Kemeten</v>
          </cell>
          <cell r="L780" t="str">
            <v>Burgenland</v>
          </cell>
          <cell r="M780">
            <v>33</v>
          </cell>
        </row>
        <row r="781">
          <cell r="K781" t="str">
            <v>Kennelbach</v>
          </cell>
          <cell r="L781" t="str">
            <v>Vorarlberg</v>
          </cell>
          <cell r="M781">
            <v>12</v>
          </cell>
        </row>
        <row r="782">
          <cell r="K782" t="str">
            <v>Keutschach am See</v>
          </cell>
          <cell r="L782" t="str">
            <v>Kärnten</v>
          </cell>
          <cell r="M782">
            <v>24</v>
          </cell>
        </row>
        <row r="783">
          <cell r="K783" t="str">
            <v>Kilb</v>
          </cell>
          <cell r="L783" t="str">
            <v>Niederösterreich</v>
          </cell>
          <cell r="M783">
            <v>24</v>
          </cell>
        </row>
        <row r="784">
          <cell r="K784" t="str">
            <v>Kindberg</v>
          </cell>
          <cell r="L784" t="str">
            <v>Steiermark</v>
          </cell>
          <cell r="M784">
            <v>22</v>
          </cell>
        </row>
        <row r="785">
          <cell r="K785" t="str">
            <v>Kirchbach</v>
          </cell>
          <cell r="L785" t="str">
            <v>Kärnten</v>
          </cell>
          <cell r="M785">
            <v>33</v>
          </cell>
        </row>
        <row r="786">
          <cell r="K786" t="str">
            <v>Kirchbach-Zerlach</v>
          </cell>
          <cell r="L786" t="str">
            <v>Steiermark</v>
          </cell>
          <cell r="M786">
            <v>24</v>
          </cell>
        </row>
        <row r="787">
          <cell r="K787" t="str">
            <v>Kirchberg am Wagram</v>
          </cell>
          <cell r="L787" t="str">
            <v>Niederösterreich</v>
          </cell>
          <cell r="M787">
            <v>22</v>
          </cell>
        </row>
        <row r="788">
          <cell r="K788" t="str">
            <v>Kirchberg am Walde</v>
          </cell>
          <cell r="L788" t="str">
            <v>Niederösterreich</v>
          </cell>
          <cell r="M788">
            <v>34</v>
          </cell>
        </row>
        <row r="789">
          <cell r="K789" t="str">
            <v>Kirchberg am Wechsel</v>
          </cell>
          <cell r="L789" t="str">
            <v>Niederösterreich</v>
          </cell>
          <cell r="M789">
            <v>24</v>
          </cell>
        </row>
        <row r="790">
          <cell r="K790" t="str">
            <v>Kirchberg an der Pielach</v>
          </cell>
          <cell r="L790" t="str">
            <v>Niederösterreich</v>
          </cell>
          <cell r="M790">
            <v>33</v>
          </cell>
        </row>
        <row r="791">
          <cell r="K791" t="str">
            <v>Kirchberg an der Raab</v>
          </cell>
          <cell r="L791" t="str">
            <v>Steiermark</v>
          </cell>
          <cell r="M791">
            <v>22</v>
          </cell>
        </row>
        <row r="792">
          <cell r="K792" t="str">
            <v>Kirchberg bei Mattighofen</v>
          </cell>
          <cell r="L792" t="str">
            <v>Oberösterreich</v>
          </cell>
          <cell r="M792">
            <v>34</v>
          </cell>
        </row>
        <row r="793">
          <cell r="K793" t="str">
            <v>Kirchberg in Tirol</v>
          </cell>
          <cell r="L793" t="str">
            <v>Tirol</v>
          </cell>
          <cell r="M793">
            <v>22</v>
          </cell>
        </row>
        <row r="794">
          <cell r="K794" t="str">
            <v>Kirchberg ob der Donau</v>
          </cell>
          <cell r="L794" t="str">
            <v>Oberösterreich</v>
          </cell>
          <cell r="M794">
            <v>34</v>
          </cell>
        </row>
        <row r="795">
          <cell r="K795" t="str">
            <v>Kirchberg-Thening</v>
          </cell>
          <cell r="L795" t="str">
            <v>Oberösterreich</v>
          </cell>
          <cell r="M795">
            <v>22</v>
          </cell>
        </row>
        <row r="796">
          <cell r="K796" t="str">
            <v>Kirchbichl</v>
          </cell>
          <cell r="L796" t="str">
            <v>Tirol</v>
          </cell>
          <cell r="M796">
            <v>12</v>
          </cell>
        </row>
        <row r="797">
          <cell r="K797" t="str">
            <v>Kirchdorf am Inn</v>
          </cell>
          <cell r="L797" t="str">
            <v>Oberösterreich</v>
          </cell>
          <cell r="M797">
            <v>24</v>
          </cell>
        </row>
        <row r="798">
          <cell r="K798" t="str">
            <v>Kirchdorf an der Krems</v>
          </cell>
          <cell r="L798" t="str">
            <v>Oberösterreich</v>
          </cell>
          <cell r="M798">
            <v>22</v>
          </cell>
        </row>
        <row r="799">
          <cell r="K799" t="str">
            <v>Kirchdorf in Tirol</v>
          </cell>
          <cell r="L799" t="str">
            <v>Tirol</v>
          </cell>
          <cell r="M799">
            <v>34</v>
          </cell>
        </row>
        <row r="800">
          <cell r="K800" t="str">
            <v>Kirchham</v>
          </cell>
          <cell r="L800" t="str">
            <v>Oberösterreich</v>
          </cell>
          <cell r="M800">
            <v>22</v>
          </cell>
        </row>
        <row r="801">
          <cell r="K801" t="str">
            <v>Kirchheim im Innkreis</v>
          </cell>
          <cell r="L801" t="str">
            <v>Oberösterreich</v>
          </cell>
          <cell r="M801">
            <v>24</v>
          </cell>
        </row>
        <row r="802">
          <cell r="K802" t="str">
            <v>Kirchschlag</v>
          </cell>
          <cell r="L802" t="str">
            <v>Niederösterreich</v>
          </cell>
          <cell r="M802">
            <v>34</v>
          </cell>
        </row>
        <row r="803">
          <cell r="K803" t="str">
            <v>Kirchschlag bei Linz</v>
          </cell>
          <cell r="L803" t="str">
            <v>Oberösterreich</v>
          </cell>
          <cell r="M803">
            <v>23</v>
          </cell>
        </row>
        <row r="804">
          <cell r="K804" t="str">
            <v>Kirchschlag in der Buckligen Welt</v>
          </cell>
          <cell r="L804" t="str">
            <v>Niederösterreich</v>
          </cell>
          <cell r="M804">
            <v>34</v>
          </cell>
        </row>
        <row r="805">
          <cell r="K805" t="str">
            <v>Kirchstetten</v>
          </cell>
          <cell r="L805" t="str">
            <v>Niederösterreich</v>
          </cell>
          <cell r="M805">
            <v>22</v>
          </cell>
        </row>
        <row r="806">
          <cell r="K806" t="str">
            <v>Kirnberg an der Mank</v>
          </cell>
          <cell r="L806" t="str">
            <v>Niederösterreich</v>
          </cell>
          <cell r="M806">
            <v>34</v>
          </cell>
        </row>
        <row r="807">
          <cell r="K807" t="str">
            <v>Kittsee</v>
          </cell>
          <cell r="L807" t="str">
            <v>Burgenland</v>
          </cell>
          <cell r="M807">
            <v>32</v>
          </cell>
        </row>
        <row r="808">
          <cell r="K808" t="str">
            <v>Kitzbühel</v>
          </cell>
          <cell r="L808" t="str">
            <v>Tirol</v>
          </cell>
          <cell r="M808">
            <v>32</v>
          </cell>
        </row>
        <row r="809">
          <cell r="K809" t="str">
            <v>Kitzeck im Sausal</v>
          </cell>
          <cell r="L809" t="str">
            <v>Steiermark</v>
          </cell>
          <cell r="M809">
            <v>24</v>
          </cell>
        </row>
        <row r="810">
          <cell r="K810" t="str">
            <v>Klaffer am Hochficht</v>
          </cell>
          <cell r="L810" t="str">
            <v>Oberösterreich</v>
          </cell>
          <cell r="M810">
            <v>34</v>
          </cell>
        </row>
        <row r="811">
          <cell r="K811" t="str">
            <v>Klagenfurt am Wörthersee</v>
          </cell>
          <cell r="L811" t="str">
            <v>Kärnten</v>
          </cell>
          <cell r="M811">
            <v>11</v>
          </cell>
        </row>
        <row r="812">
          <cell r="K812" t="str">
            <v>Klam</v>
          </cell>
          <cell r="L812" t="str">
            <v>Oberösterreich</v>
          </cell>
          <cell r="M812">
            <v>24</v>
          </cell>
        </row>
        <row r="813">
          <cell r="K813" t="str">
            <v>Klaus</v>
          </cell>
          <cell r="L813" t="str">
            <v>Vorarlberg</v>
          </cell>
          <cell r="M813">
            <v>11</v>
          </cell>
        </row>
        <row r="814">
          <cell r="K814" t="str">
            <v>Klaus an der Pyhrnbahn</v>
          </cell>
          <cell r="L814" t="str">
            <v>Oberösterreich</v>
          </cell>
          <cell r="M814">
            <v>33</v>
          </cell>
        </row>
        <row r="815">
          <cell r="K815" t="str">
            <v>Klausen-Leopoldsdorf</v>
          </cell>
          <cell r="L815" t="str">
            <v>Niederösterreich</v>
          </cell>
          <cell r="M815">
            <v>24</v>
          </cell>
        </row>
        <row r="816">
          <cell r="K816" t="str">
            <v>Kleblach-Lind</v>
          </cell>
          <cell r="L816" t="str">
            <v>Kärnten</v>
          </cell>
          <cell r="M816">
            <v>22</v>
          </cell>
        </row>
        <row r="817">
          <cell r="K817" t="str">
            <v>Klein St. Paul</v>
          </cell>
          <cell r="L817" t="str">
            <v>Kärnten</v>
          </cell>
          <cell r="M817">
            <v>24</v>
          </cell>
        </row>
        <row r="818">
          <cell r="K818" t="str">
            <v>Kleinarl</v>
          </cell>
          <cell r="L818" t="str">
            <v>Salzburg</v>
          </cell>
          <cell r="M818">
            <v>34</v>
          </cell>
        </row>
        <row r="819">
          <cell r="K819" t="str">
            <v>Kleinmürbisch</v>
          </cell>
          <cell r="L819" t="str">
            <v>Burgenland</v>
          </cell>
          <cell r="M819">
            <v>34</v>
          </cell>
        </row>
        <row r="820">
          <cell r="K820" t="str">
            <v>Klein-Neusiedl</v>
          </cell>
          <cell r="L820" t="str">
            <v>Niederösterreich</v>
          </cell>
          <cell r="M820">
            <v>24</v>
          </cell>
        </row>
        <row r="821">
          <cell r="K821" t="str">
            <v>Klein-Pöchlarn</v>
          </cell>
          <cell r="L821" t="str">
            <v>Niederösterreich</v>
          </cell>
          <cell r="M821">
            <v>24</v>
          </cell>
        </row>
        <row r="822">
          <cell r="K822" t="str">
            <v>Kleinzell</v>
          </cell>
          <cell r="L822" t="str">
            <v>Niederösterreich</v>
          </cell>
          <cell r="M822">
            <v>34</v>
          </cell>
        </row>
        <row r="823">
          <cell r="K823" t="str">
            <v>Kleinzell im Mühlkreis</v>
          </cell>
          <cell r="L823" t="str">
            <v>Oberösterreich</v>
          </cell>
          <cell r="M823">
            <v>22</v>
          </cell>
        </row>
        <row r="824">
          <cell r="K824" t="str">
            <v>Klingenbach</v>
          </cell>
          <cell r="L824" t="str">
            <v>Burgenland</v>
          </cell>
          <cell r="M824">
            <v>24</v>
          </cell>
        </row>
        <row r="825">
          <cell r="K825" t="str">
            <v>Klöch</v>
          </cell>
          <cell r="L825" t="str">
            <v>Steiermark</v>
          </cell>
          <cell r="M825">
            <v>34</v>
          </cell>
        </row>
        <row r="826">
          <cell r="K826" t="str">
            <v>Klösterle</v>
          </cell>
          <cell r="L826" t="str">
            <v>Vorarlberg</v>
          </cell>
          <cell r="M826">
            <v>22</v>
          </cell>
        </row>
        <row r="827">
          <cell r="K827" t="str">
            <v>Klosterneuburg</v>
          </cell>
          <cell r="L827" t="str">
            <v>Niederösterreich</v>
          </cell>
          <cell r="M827">
            <v>11</v>
          </cell>
        </row>
        <row r="828">
          <cell r="K828" t="str">
            <v>Knittelfeld</v>
          </cell>
          <cell r="L828" t="str">
            <v>Steiermark</v>
          </cell>
          <cell r="M828">
            <v>11</v>
          </cell>
        </row>
        <row r="829">
          <cell r="K829" t="str">
            <v>Kobenz</v>
          </cell>
          <cell r="L829" t="str">
            <v>Steiermark</v>
          </cell>
          <cell r="M829">
            <v>22</v>
          </cell>
        </row>
        <row r="830">
          <cell r="K830" t="str">
            <v>Kobersdorf</v>
          </cell>
          <cell r="L830" t="str">
            <v>Burgenland</v>
          </cell>
          <cell r="M830">
            <v>33</v>
          </cell>
        </row>
        <row r="831">
          <cell r="K831" t="str">
            <v>Koblach</v>
          </cell>
          <cell r="L831" t="str">
            <v>Vorarlberg</v>
          </cell>
          <cell r="M831">
            <v>22</v>
          </cell>
        </row>
        <row r="832">
          <cell r="K832" t="str">
            <v>Köflach</v>
          </cell>
          <cell r="L832" t="str">
            <v>Steiermark</v>
          </cell>
          <cell r="M832">
            <v>12</v>
          </cell>
        </row>
        <row r="833">
          <cell r="K833" t="str">
            <v>Kohfidisch</v>
          </cell>
          <cell r="L833" t="str">
            <v>Burgenland</v>
          </cell>
          <cell r="M833">
            <v>34</v>
          </cell>
        </row>
        <row r="834">
          <cell r="K834" t="str">
            <v>Kollerschlag</v>
          </cell>
          <cell r="L834" t="str">
            <v>Oberösterreich</v>
          </cell>
          <cell r="M834">
            <v>34</v>
          </cell>
        </row>
        <row r="835">
          <cell r="K835" t="str">
            <v>Kolsass</v>
          </cell>
          <cell r="L835" t="str">
            <v>Tirol</v>
          </cell>
          <cell r="M835">
            <v>23</v>
          </cell>
        </row>
        <row r="836">
          <cell r="K836" t="str">
            <v>Kolsassberg</v>
          </cell>
          <cell r="L836" t="str">
            <v>Tirol</v>
          </cell>
          <cell r="M836">
            <v>23</v>
          </cell>
        </row>
        <row r="837">
          <cell r="K837" t="str">
            <v>Königsbrunn am Wagram</v>
          </cell>
          <cell r="L837" t="str">
            <v>Niederösterreich</v>
          </cell>
          <cell r="M837">
            <v>24</v>
          </cell>
        </row>
        <row r="838">
          <cell r="K838" t="str">
            <v>Königsdorf</v>
          </cell>
          <cell r="L838" t="str">
            <v>Burgenland</v>
          </cell>
          <cell r="M838">
            <v>34</v>
          </cell>
        </row>
        <row r="839">
          <cell r="K839" t="str">
            <v>Königstetten</v>
          </cell>
          <cell r="L839" t="str">
            <v>Niederösterreich</v>
          </cell>
          <cell r="M839">
            <v>23</v>
          </cell>
        </row>
        <row r="840">
          <cell r="K840" t="str">
            <v>Königswiesen</v>
          </cell>
          <cell r="L840" t="str">
            <v>Oberösterreich</v>
          </cell>
          <cell r="M840">
            <v>33</v>
          </cell>
        </row>
        <row r="841">
          <cell r="K841" t="str">
            <v>Kopfing im Innkreis</v>
          </cell>
          <cell r="L841" t="str">
            <v>Oberösterreich</v>
          </cell>
          <cell r="M841">
            <v>34</v>
          </cell>
        </row>
        <row r="842">
          <cell r="K842" t="str">
            <v>Koppl</v>
          </cell>
          <cell r="L842" t="str">
            <v>Salzburg</v>
          </cell>
          <cell r="M842">
            <v>22</v>
          </cell>
        </row>
        <row r="843">
          <cell r="K843" t="str">
            <v>Korneuburg</v>
          </cell>
          <cell r="L843" t="str">
            <v>Niederösterreich</v>
          </cell>
          <cell r="M843">
            <v>11</v>
          </cell>
        </row>
        <row r="844">
          <cell r="K844" t="str">
            <v>Kössen</v>
          </cell>
          <cell r="L844" t="str">
            <v>Tirol</v>
          </cell>
          <cell r="M844">
            <v>23</v>
          </cell>
        </row>
        <row r="845">
          <cell r="K845" t="str">
            <v>Köstendorf</v>
          </cell>
          <cell r="L845" t="str">
            <v>Salzburg</v>
          </cell>
          <cell r="M845">
            <v>22</v>
          </cell>
        </row>
        <row r="846">
          <cell r="K846" t="str">
            <v>Kötschach-Mauthen</v>
          </cell>
          <cell r="L846" t="str">
            <v>Kärnten</v>
          </cell>
          <cell r="M846">
            <v>33</v>
          </cell>
        </row>
        <row r="847">
          <cell r="K847" t="str">
            <v>Kottes-Purk</v>
          </cell>
          <cell r="L847" t="str">
            <v>Niederösterreich</v>
          </cell>
          <cell r="M847">
            <v>34</v>
          </cell>
        </row>
        <row r="848">
          <cell r="K848" t="str">
            <v>Kottingbrunn</v>
          </cell>
          <cell r="L848" t="str">
            <v>Niederösterreich</v>
          </cell>
          <cell r="M848">
            <v>11</v>
          </cell>
        </row>
        <row r="849">
          <cell r="K849" t="str">
            <v>Köttmannsdorf</v>
          </cell>
          <cell r="L849" t="str">
            <v>Kärnten</v>
          </cell>
          <cell r="M849">
            <v>23</v>
          </cell>
        </row>
        <row r="850">
          <cell r="K850" t="str">
            <v>Krakau</v>
          </cell>
          <cell r="L850" t="str">
            <v>Steiermark</v>
          </cell>
          <cell r="M850">
            <v>34</v>
          </cell>
        </row>
        <row r="851">
          <cell r="K851" t="str">
            <v>Kramsach</v>
          </cell>
          <cell r="L851" t="str">
            <v>Tirol</v>
          </cell>
          <cell r="M851">
            <v>22</v>
          </cell>
        </row>
        <row r="852">
          <cell r="K852" t="str">
            <v>Kraubath an der Mur</v>
          </cell>
          <cell r="L852" t="str">
            <v>Steiermark</v>
          </cell>
          <cell r="M852">
            <v>23</v>
          </cell>
        </row>
        <row r="853">
          <cell r="K853" t="str">
            <v>Krems an der Donau</v>
          </cell>
          <cell r="L853" t="str">
            <v>Niederösterreich</v>
          </cell>
          <cell r="M853">
            <v>11</v>
          </cell>
        </row>
        <row r="854">
          <cell r="K854" t="str">
            <v>Krems in Kärnten</v>
          </cell>
          <cell r="L854" t="str">
            <v>Kärnten</v>
          </cell>
          <cell r="M854">
            <v>24</v>
          </cell>
        </row>
        <row r="855">
          <cell r="K855" t="str">
            <v>Kremsmünster</v>
          </cell>
          <cell r="L855" t="str">
            <v>Oberösterreich</v>
          </cell>
          <cell r="M855">
            <v>22</v>
          </cell>
        </row>
        <row r="856">
          <cell r="K856" t="str">
            <v>Krenglbach</v>
          </cell>
          <cell r="L856" t="str">
            <v>Oberösterreich</v>
          </cell>
          <cell r="M856">
            <v>23</v>
          </cell>
        </row>
        <row r="857">
          <cell r="K857" t="str">
            <v>Krensdorf</v>
          </cell>
          <cell r="L857" t="str">
            <v>Burgenland</v>
          </cell>
          <cell r="M857">
            <v>23</v>
          </cell>
        </row>
        <row r="858">
          <cell r="K858" t="str">
            <v>Kreuttal</v>
          </cell>
          <cell r="L858" t="str">
            <v>Niederösterreich</v>
          </cell>
          <cell r="M858">
            <v>23</v>
          </cell>
        </row>
        <row r="859">
          <cell r="K859" t="str">
            <v>Kreuzstetten</v>
          </cell>
          <cell r="L859" t="str">
            <v>Niederösterreich</v>
          </cell>
          <cell r="M859">
            <v>33</v>
          </cell>
        </row>
        <row r="860">
          <cell r="K860" t="str">
            <v>Krieglach</v>
          </cell>
          <cell r="L860" t="str">
            <v>Steiermark</v>
          </cell>
          <cell r="M860">
            <v>23</v>
          </cell>
        </row>
        <row r="861">
          <cell r="K861" t="str">
            <v>Krimml</v>
          </cell>
          <cell r="L861" t="str">
            <v>Salzburg</v>
          </cell>
          <cell r="M861">
            <v>33</v>
          </cell>
        </row>
        <row r="862">
          <cell r="K862" t="str">
            <v>Krispl</v>
          </cell>
          <cell r="L862" t="str">
            <v>Salzburg</v>
          </cell>
          <cell r="M862">
            <v>24</v>
          </cell>
        </row>
        <row r="863">
          <cell r="K863" t="str">
            <v>Kronstorf</v>
          </cell>
          <cell r="L863" t="str">
            <v>Oberösterreich</v>
          </cell>
          <cell r="M863">
            <v>23</v>
          </cell>
        </row>
        <row r="864">
          <cell r="K864" t="str">
            <v>Krottendorf-Gaisfeld</v>
          </cell>
          <cell r="L864" t="str">
            <v>Steiermark</v>
          </cell>
          <cell r="M864">
            <v>22</v>
          </cell>
        </row>
        <row r="865">
          <cell r="K865" t="str">
            <v>Krumau am Kamp</v>
          </cell>
          <cell r="L865" t="str">
            <v>Niederösterreich</v>
          </cell>
          <cell r="M865">
            <v>24</v>
          </cell>
        </row>
        <row r="866">
          <cell r="K866" t="str">
            <v>Krumbach</v>
          </cell>
          <cell r="L866" t="str">
            <v>Niederösterreich</v>
          </cell>
          <cell r="M866">
            <v>24</v>
          </cell>
        </row>
        <row r="867">
          <cell r="K867" t="str">
            <v>Krumbach</v>
          </cell>
          <cell r="L867" t="str">
            <v>Vorarlberg</v>
          </cell>
          <cell r="M867">
            <v>23</v>
          </cell>
        </row>
        <row r="868">
          <cell r="K868" t="str">
            <v>Krummnußbaum</v>
          </cell>
          <cell r="L868" t="str">
            <v>Niederösterreich</v>
          </cell>
          <cell r="M868">
            <v>33</v>
          </cell>
        </row>
        <row r="869">
          <cell r="K869" t="str">
            <v>Krumpendorf am Wörthersee</v>
          </cell>
          <cell r="L869" t="str">
            <v>Kärnten</v>
          </cell>
          <cell r="M869">
            <v>22</v>
          </cell>
        </row>
        <row r="870">
          <cell r="K870" t="str">
            <v>Kuchl</v>
          </cell>
          <cell r="L870" t="str">
            <v>Salzburg</v>
          </cell>
          <cell r="M870">
            <v>22</v>
          </cell>
        </row>
        <row r="871">
          <cell r="K871" t="str">
            <v>Kufstein</v>
          </cell>
          <cell r="L871" t="str">
            <v>Tirol</v>
          </cell>
          <cell r="M871">
            <v>11</v>
          </cell>
        </row>
        <row r="872">
          <cell r="K872" t="str">
            <v>Kukmirn</v>
          </cell>
          <cell r="L872" t="str">
            <v>Burgenland</v>
          </cell>
          <cell r="M872">
            <v>34</v>
          </cell>
        </row>
        <row r="873">
          <cell r="K873" t="str">
            <v>Kumberg</v>
          </cell>
          <cell r="L873" t="str">
            <v>Steiermark</v>
          </cell>
          <cell r="M873">
            <v>22</v>
          </cell>
        </row>
        <row r="874">
          <cell r="K874" t="str">
            <v>Kundl</v>
          </cell>
          <cell r="L874" t="str">
            <v>Tirol</v>
          </cell>
          <cell r="M874">
            <v>22</v>
          </cell>
        </row>
        <row r="875">
          <cell r="K875" t="str">
            <v>Laa an der Thaya</v>
          </cell>
          <cell r="L875" t="str">
            <v>Niederösterreich</v>
          </cell>
          <cell r="M875">
            <v>32</v>
          </cell>
        </row>
        <row r="876">
          <cell r="K876" t="str">
            <v>Laab im Walde</v>
          </cell>
          <cell r="L876" t="str">
            <v>Niederösterreich</v>
          </cell>
          <cell r="M876">
            <v>23</v>
          </cell>
        </row>
        <row r="877">
          <cell r="K877" t="str">
            <v>Laakirchen</v>
          </cell>
          <cell r="L877" t="str">
            <v>Oberösterreich</v>
          </cell>
          <cell r="M877">
            <v>12</v>
          </cell>
        </row>
        <row r="878">
          <cell r="K878" t="str">
            <v>Lackenbach</v>
          </cell>
          <cell r="L878" t="str">
            <v>Burgenland</v>
          </cell>
          <cell r="M878">
            <v>34</v>
          </cell>
        </row>
        <row r="879">
          <cell r="K879" t="str">
            <v>Lackendorf</v>
          </cell>
          <cell r="L879" t="str">
            <v>Burgenland</v>
          </cell>
          <cell r="M879">
            <v>34</v>
          </cell>
        </row>
        <row r="880">
          <cell r="K880" t="str">
            <v>Ladendorf</v>
          </cell>
          <cell r="L880" t="str">
            <v>Niederösterreich</v>
          </cell>
          <cell r="M880">
            <v>32</v>
          </cell>
        </row>
        <row r="881">
          <cell r="K881" t="str">
            <v>Ladis</v>
          </cell>
          <cell r="L881" t="str">
            <v>Tirol</v>
          </cell>
          <cell r="M881">
            <v>24</v>
          </cell>
        </row>
        <row r="882">
          <cell r="K882" t="str">
            <v>Lafnitz</v>
          </cell>
          <cell r="L882" t="str">
            <v>Steiermark</v>
          </cell>
          <cell r="M882">
            <v>34</v>
          </cell>
        </row>
        <row r="883">
          <cell r="K883" t="str">
            <v>Lambach</v>
          </cell>
          <cell r="L883" t="str">
            <v>Oberösterreich</v>
          </cell>
          <cell r="M883">
            <v>22</v>
          </cell>
        </row>
        <row r="884">
          <cell r="K884" t="str">
            <v>Lambrechten</v>
          </cell>
          <cell r="L884" t="str">
            <v>Oberösterreich</v>
          </cell>
          <cell r="M884">
            <v>24</v>
          </cell>
        </row>
        <row r="885">
          <cell r="K885" t="str">
            <v>Lamprechtshausen</v>
          </cell>
          <cell r="L885" t="str">
            <v>Salzburg</v>
          </cell>
          <cell r="M885">
            <v>22</v>
          </cell>
        </row>
        <row r="886">
          <cell r="K886" t="str">
            <v>Landeck</v>
          </cell>
          <cell r="L886" t="str">
            <v>Tirol</v>
          </cell>
          <cell r="M886">
            <v>22</v>
          </cell>
        </row>
        <row r="887">
          <cell r="K887" t="str">
            <v>Lang</v>
          </cell>
          <cell r="L887" t="str">
            <v>Steiermark</v>
          </cell>
          <cell r="M887">
            <v>24</v>
          </cell>
        </row>
        <row r="888">
          <cell r="K888" t="str">
            <v>Langau</v>
          </cell>
          <cell r="L888" t="str">
            <v>Niederösterreich</v>
          </cell>
          <cell r="M888">
            <v>34</v>
          </cell>
        </row>
        <row r="889">
          <cell r="K889" t="str">
            <v>Langen bei Bregenz</v>
          </cell>
          <cell r="L889" t="str">
            <v>Vorarlberg</v>
          </cell>
          <cell r="M889">
            <v>23</v>
          </cell>
        </row>
        <row r="890">
          <cell r="K890" t="str">
            <v>Langenegg</v>
          </cell>
          <cell r="L890" t="str">
            <v>Vorarlberg</v>
          </cell>
          <cell r="M890">
            <v>23</v>
          </cell>
        </row>
        <row r="891">
          <cell r="K891" t="str">
            <v>Längenfeld</v>
          </cell>
          <cell r="L891" t="str">
            <v>Tirol</v>
          </cell>
          <cell r="M891">
            <v>33</v>
          </cell>
        </row>
        <row r="892">
          <cell r="K892" t="str">
            <v>Langenlois</v>
          </cell>
          <cell r="L892" t="str">
            <v>Niederösterreich</v>
          </cell>
          <cell r="M892">
            <v>22</v>
          </cell>
        </row>
        <row r="893">
          <cell r="K893" t="str">
            <v>Langenrohr</v>
          </cell>
          <cell r="L893" t="str">
            <v>Niederösterreich</v>
          </cell>
          <cell r="M893">
            <v>22</v>
          </cell>
        </row>
        <row r="894">
          <cell r="K894" t="str">
            <v>Langenstein</v>
          </cell>
          <cell r="L894" t="str">
            <v>Oberösterreich</v>
          </cell>
          <cell r="M894">
            <v>23</v>
          </cell>
        </row>
        <row r="895">
          <cell r="K895" t="str">
            <v>Langenwang</v>
          </cell>
          <cell r="L895" t="str">
            <v>Steiermark</v>
          </cell>
          <cell r="M895">
            <v>23</v>
          </cell>
        </row>
        <row r="896">
          <cell r="K896" t="str">
            <v>Langenzersdorf</v>
          </cell>
          <cell r="L896" t="str">
            <v>Niederösterreich</v>
          </cell>
          <cell r="M896">
            <v>12</v>
          </cell>
        </row>
        <row r="897">
          <cell r="K897" t="str">
            <v>Langkampfen</v>
          </cell>
          <cell r="L897" t="str">
            <v>Tirol</v>
          </cell>
          <cell r="M897">
            <v>22</v>
          </cell>
        </row>
        <row r="898">
          <cell r="K898" t="str">
            <v>Langschlag</v>
          </cell>
          <cell r="L898" t="str">
            <v>Niederösterreich</v>
          </cell>
          <cell r="M898">
            <v>34</v>
          </cell>
        </row>
        <row r="899">
          <cell r="K899" t="str">
            <v>Lannach</v>
          </cell>
          <cell r="L899" t="str">
            <v>Steiermark</v>
          </cell>
          <cell r="M899">
            <v>23</v>
          </cell>
        </row>
        <row r="900">
          <cell r="K900" t="str">
            <v>Lans</v>
          </cell>
          <cell r="L900" t="str">
            <v>Tirol</v>
          </cell>
          <cell r="M900">
            <v>12</v>
          </cell>
        </row>
        <row r="901">
          <cell r="K901" t="str">
            <v>Lanzendorf</v>
          </cell>
          <cell r="L901" t="str">
            <v>Niederösterreich</v>
          </cell>
          <cell r="M901">
            <v>12</v>
          </cell>
        </row>
        <row r="902">
          <cell r="K902" t="str">
            <v>Lanzenkirchen</v>
          </cell>
          <cell r="L902" t="str">
            <v>Niederösterreich</v>
          </cell>
          <cell r="M902">
            <v>22</v>
          </cell>
        </row>
        <row r="903">
          <cell r="K903" t="str">
            <v>Lasberg</v>
          </cell>
          <cell r="L903" t="str">
            <v>Oberösterreich</v>
          </cell>
          <cell r="M903">
            <v>23</v>
          </cell>
        </row>
        <row r="904">
          <cell r="K904" t="str">
            <v>Lassee</v>
          </cell>
          <cell r="L904" t="str">
            <v>Niederösterreich</v>
          </cell>
          <cell r="M904">
            <v>32</v>
          </cell>
        </row>
        <row r="905">
          <cell r="K905" t="str">
            <v>Lassing</v>
          </cell>
          <cell r="L905" t="str">
            <v>Steiermark</v>
          </cell>
          <cell r="M905">
            <v>34</v>
          </cell>
        </row>
        <row r="906">
          <cell r="K906" t="str">
            <v>Laßnitzhöhe</v>
          </cell>
          <cell r="L906" t="str">
            <v>Steiermark</v>
          </cell>
          <cell r="M906">
            <v>22</v>
          </cell>
        </row>
        <row r="907">
          <cell r="K907" t="str">
            <v>Laterns</v>
          </cell>
          <cell r="L907" t="str">
            <v>Vorarlberg</v>
          </cell>
          <cell r="M907">
            <v>23</v>
          </cell>
        </row>
        <row r="908">
          <cell r="K908" t="str">
            <v>Laussa</v>
          </cell>
          <cell r="L908" t="str">
            <v>Oberösterreich</v>
          </cell>
          <cell r="M908">
            <v>24</v>
          </cell>
        </row>
        <row r="909">
          <cell r="K909" t="str">
            <v>Lauterach</v>
          </cell>
          <cell r="L909" t="str">
            <v>Vorarlberg</v>
          </cell>
          <cell r="M909">
            <v>11</v>
          </cell>
        </row>
        <row r="910">
          <cell r="K910" t="str">
            <v>Lavamünd</v>
          </cell>
          <cell r="L910" t="str">
            <v>Kärnten</v>
          </cell>
          <cell r="M910">
            <v>24</v>
          </cell>
        </row>
        <row r="911">
          <cell r="K911" t="str">
            <v>Lavant</v>
          </cell>
          <cell r="L911" t="str">
            <v>Tirol</v>
          </cell>
          <cell r="M911">
            <v>23</v>
          </cell>
        </row>
        <row r="912">
          <cell r="K912" t="str">
            <v>Laxenburg</v>
          </cell>
          <cell r="L912" t="str">
            <v>Niederösterreich</v>
          </cell>
          <cell r="M912">
            <v>12</v>
          </cell>
        </row>
        <row r="913">
          <cell r="K913" t="str">
            <v>Lebring-Sankt Margarethen</v>
          </cell>
          <cell r="L913" t="str">
            <v>Steiermark</v>
          </cell>
          <cell r="M913">
            <v>22</v>
          </cell>
        </row>
        <row r="914">
          <cell r="K914" t="str">
            <v>Lech</v>
          </cell>
          <cell r="L914" t="str">
            <v>Vorarlberg</v>
          </cell>
          <cell r="M914">
            <v>33</v>
          </cell>
        </row>
        <row r="915">
          <cell r="K915" t="str">
            <v>Lechaschau</v>
          </cell>
          <cell r="L915" t="str">
            <v>Tirol</v>
          </cell>
          <cell r="M915">
            <v>12</v>
          </cell>
        </row>
        <row r="916">
          <cell r="K916" t="str">
            <v>Leiben</v>
          </cell>
          <cell r="L916" t="str">
            <v>Niederösterreich</v>
          </cell>
          <cell r="M916">
            <v>24</v>
          </cell>
        </row>
        <row r="917">
          <cell r="K917" t="str">
            <v>Leibnitz</v>
          </cell>
          <cell r="L917" t="str">
            <v>Steiermark</v>
          </cell>
          <cell r="M917">
            <v>11</v>
          </cell>
        </row>
        <row r="918">
          <cell r="K918" t="str">
            <v>Leisach</v>
          </cell>
          <cell r="L918" t="str">
            <v>Tirol</v>
          </cell>
          <cell r="M918">
            <v>12</v>
          </cell>
        </row>
        <row r="919">
          <cell r="K919" t="str">
            <v>Leithaprodersdorf</v>
          </cell>
          <cell r="L919" t="str">
            <v>Burgenland</v>
          </cell>
          <cell r="M919">
            <v>23</v>
          </cell>
        </row>
        <row r="920">
          <cell r="K920" t="str">
            <v>Leitzersdorf</v>
          </cell>
          <cell r="L920" t="str">
            <v>Niederösterreich</v>
          </cell>
          <cell r="M920">
            <v>24</v>
          </cell>
        </row>
        <row r="921">
          <cell r="K921" t="str">
            <v>Lembach im Mühlkreis</v>
          </cell>
          <cell r="L921" t="str">
            <v>Oberösterreich</v>
          </cell>
          <cell r="M921">
            <v>33</v>
          </cell>
        </row>
        <row r="922">
          <cell r="K922" t="str">
            <v>Lend</v>
          </cell>
          <cell r="L922" t="str">
            <v>Salzburg</v>
          </cell>
          <cell r="M922">
            <v>32</v>
          </cell>
        </row>
        <row r="923">
          <cell r="K923" t="str">
            <v>Lendorf</v>
          </cell>
          <cell r="L923" t="str">
            <v>Kärnten</v>
          </cell>
          <cell r="M923">
            <v>22</v>
          </cell>
        </row>
        <row r="924">
          <cell r="K924" t="str">
            <v>Lengau</v>
          </cell>
          <cell r="L924" t="str">
            <v>Oberösterreich</v>
          </cell>
          <cell r="M924">
            <v>22</v>
          </cell>
        </row>
        <row r="925">
          <cell r="K925" t="str">
            <v>Lengenfeld</v>
          </cell>
          <cell r="L925" t="str">
            <v>Niederösterreich</v>
          </cell>
          <cell r="M925">
            <v>24</v>
          </cell>
        </row>
        <row r="926">
          <cell r="K926" t="str">
            <v>Lenzing</v>
          </cell>
          <cell r="L926" t="str">
            <v>Oberösterreich</v>
          </cell>
          <cell r="M926">
            <v>12</v>
          </cell>
        </row>
        <row r="927">
          <cell r="K927" t="str">
            <v>Leoben</v>
          </cell>
          <cell r="L927" t="str">
            <v>Steiermark</v>
          </cell>
          <cell r="M927">
            <v>11</v>
          </cell>
        </row>
        <row r="928">
          <cell r="K928" t="str">
            <v>Leobendorf</v>
          </cell>
          <cell r="L928" t="str">
            <v>Niederösterreich</v>
          </cell>
          <cell r="M928">
            <v>12</v>
          </cell>
        </row>
        <row r="929">
          <cell r="K929" t="str">
            <v>Leobersdorf</v>
          </cell>
          <cell r="L929" t="str">
            <v>Niederösterreich</v>
          </cell>
          <cell r="M929">
            <v>11</v>
          </cell>
        </row>
        <row r="930">
          <cell r="K930" t="str">
            <v>Leogang</v>
          </cell>
          <cell r="L930" t="str">
            <v>Salzburg</v>
          </cell>
          <cell r="M930">
            <v>33</v>
          </cell>
        </row>
        <row r="931">
          <cell r="K931" t="str">
            <v>Leonding</v>
          </cell>
          <cell r="L931" t="str">
            <v>Oberösterreich</v>
          </cell>
          <cell r="M931">
            <v>11</v>
          </cell>
        </row>
        <row r="932">
          <cell r="K932" t="str">
            <v>Leopoldschlag</v>
          </cell>
          <cell r="L932" t="str">
            <v>Oberösterreich</v>
          </cell>
          <cell r="M932">
            <v>34</v>
          </cell>
        </row>
        <row r="933">
          <cell r="K933" t="str">
            <v>Leopoldsdorf</v>
          </cell>
          <cell r="L933" t="str">
            <v>Niederösterreich</v>
          </cell>
          <cell r="M933">
            <v>12</v>
          </cell>
        </row>
        <row r="934">
          <cell r="K934" t="str">
            <v>Leopoldsdorf im Marchfelde</v>
          </cell>
          <cell r="L934" t="str">
            <v>Niederösterreich</v>
          </cell>
          <cell r="M934">
            <v>23</v>
          </cell>
        </row>
        <row r="935">
          <cell r="K935" t="str">
            <v>Lermoos</v>
          </cell>
          <cell r="L935" t="str">
            <v>Tirol</v>
          </cell>
          <cell r="M935">
            <v>22</v>
          </cell>
        </row>
        <row r="936">
          <cell r="K936" t="str">
            <v>Lesachtal</v>
          </cell>
          <cell r="L936" t="str">
            <v>Kärnten</v>
          </cell>
          <cell r="M936">
            <v>34</v>
          </cell>
        </row>
        <row r="937">
          <cell r="K937" t="str">
            <v>Lessach</v>
          </cell>
          <cell r="L937" t="str">
            <v>Salzburg</v>
          </cell>
          <cell r="M937">
            <v>34</v>
          </cell>
        </row>
        <row r="938">
          <cell r="K938" t="str">
            <v>Leutasch</v>
          </cell>
          <cell r="L938" t="str">
            <v>Tirol</v>
          </cell>
          <cell r="M938">
            <v>24</v>
          </cell>
        </row>
        <row r="939">
          <cell r="K939" t="str">
            <v>Leutschach an der Weinstraße</v>
          </cell>
          <cell r="L939" t="str">
            <v>Steiermark</v>
          </cell>
          <cell r="M939">
            <v>24</v>
          </cell>
        </row>
        <row r="940">
          <cell r="K940" t="str">
            <v>Lichtenau im Mühlkreis</v>
          </cell>
          <cell r="L940" t="str">
            <v>Oberösterreich</v>
          </cell>
          <cell r="M940">
            <v>34</v>
          </cell>
        </row>
        <row r="941">
          <cell r="K941" t="str">
            <v>Lichtenau im Waldviertel</v>
          </cell>
          <cell r="L941" t="str">
            <v>Niederösterreich</v>
          </cell>
          <cell r="M941">
            <v>34</v>
          </cell>
        </row>
        <row r="942">
          <cell r="K942" t="str">
            <v>Lichtenberg</v>
          </cell>
          <cell r="L942" t="str">
            <v>Oberösterreich</v>
          </cell>
          <cell r="M942">
            <v>23</v>
          </cell>
        </row>
        <row r="943">
          <cell r="K943" t="str">
            <v>Lichtenegg</v>
          </cell>
          <cell r="L943" t="str">
            <v>Niederösterreich</v>
          </cell>
          <cell r="M943">
            <v>24</v>
          </cell>
        </row>
        <row r="944">
          <cell r="K944" t="str">
            <v>Lichtenwörth</v>
          </cell>
          <cell r="L944" t="str">
            <v>Niederösterreich</v>
          </cell>
          <cell r="M944">
            <v>23</v>
          </cell>
        </row>
        <row r="945">
          <cell r="K945" t="str">
            <v>Liebenau</v>
          </cell>
          <cell r="L945" t="str">
            <v>Oberösterreich</v>
          </cell>
          <cell r="M945">
            <v>34</v>
          </cell>
        </row>
        <row r="946">
          <cell r="K946" t="str">
            <v>Liebenfels</v>
          </cell>
          <cell r="L946" t="str">
            <v>Kärnten</v>
          </cell>
          <cell r="M946">
            <v>23</v>
          </cell>
        </row>
        <row r="947">
          <cell r="K947" t="str">
            <v>Lieboch</v>
          </cell>
          <cell r="L947" t="str">
            <v>Steiermark</v>
          </cell>
          <cell r="M947">
            <v>22</v>
          </cell>
        </row>
        <row r="948">
          <cell r="K948" t="str">
            <v>Lienz</v>
          </cell>
          <cell r="L948" t="str">
            <v>Tirol</v>
          </cell>
          <cell r="M948">
            <v>11</v>
          </cell>
        </row>
        <row r="949">
          <cell r="K949" t="str">
            <v>Liezen</v>
          </cell>
          <cell r="L949" t="str">
            <v>Steiermark</v>
          </cell>
          <cell r="M949">
            <v>32</v>
          </cell>
        </row>
        <row r="950">
          <cell r="K950" t="str">
            <v>Ligist</v>
          </cell>
          <cell r="L950" t="str">
            <v>Steiermark</v>
          </cell>
          <cell r="M950">
            <v>23</v>
          </cell>
        </row>
        <row r="951">
          <cell r="K951" t="str">
            <v>Lilienfeld</v>
          </cell>
          <cell r="L951" t="str">
            <v>Niederösterreich</v>
          </cell>
          <cell r="M951">
            <v>22</v>
          </cell>
        </row>
        <row r="952">
          <cell r="K952" t="str">
            <v>Lingenau</v>
          </cell>
          <cell r="L952" t="str">
            <v>Vorarlberg</v>
          </cell>
          <cell r="M952">
            <v>23</v>
          </cell>
        </row>
        <row r="953">
          <cell r="K953" t="str">
            <v>Linz</v>
          </cell>
          <cell r="L953" t="str">
            <v>Oberösterreich</v>
          </cell>
          <cell r="M953">
            <v>11</v>
          </cell>
        </row>
        <row r="954">
          <cell r="K954" t="str">
            <v>Litschau</v>
          </cell>
          <cell r="L954" t="str">
            <v>Niederösterreich</v>
          </cell>
          <cell r="M954">
            <v>34</v>
          </cell>
        </row>
        <row r="955">
          <cell r="K955" t="str">
            <v>Litzelsdorf</v>
          </cell>
          <cell r="L955" t="str">
            <v>Burgenland</v>
          </cell>
          <cell r="M955">
            <v>34</v>
          </cell>
        </row>
        <row r="956">
          <cell r="K956" t="str">
            <v>Lobmingtal</v>
          </cell>
          <cell r="L956" t="str">
            <v>Steiermark</v>
          </cell>
          <cell r="M956">
            <v>12</v>
          </cell>
        </row>
        <row r="957">
          <cell r="K957" t="str">
            <v>Lochau</v>
          </cell>
          <cell r="L957" t="str">
            <v>Vorarlberg</v>
          </cell>
          <cell r="M957">
            <v>11</v>
          </cell>
        </row>
        <row r="958">
          <cell r="K958" t="str">
            <v>Lochen am See</v>
          </cell>
          <cell r="L958" t="str">
            <v>Oberösterreich</v>
          </cell>
          <cell r="M958">
            <v>24</v>
          </cell>
        </row>
        <row r="959">
          <cell r="K959" t="str">
            <v>Lockenhaus</v>
          </cell>
          <cell r="L959" t="str">
            <v>Burgenland</v>
          </cell>
          <cell r="M959">
            <v>34</v>
          </cell>
        </row>
        <row r="960">
          <cell r="K960" t="str">
            <v>Lofer</v>
          </cell>
          <cell r="L960" t="str">
            <v>Salzburg</v>
          </cell>
          <cell r="M960">
            <v>34</v>
          </cell>
        </row>
        <row r="961">
          <cell r="K961" t="str">
            <v>Lohnsburg am Kobernaußerwald</v>
          </cell>
          <cell r="L961" t="str">
            <v>Oberösterreich</v>
          </cell>
          <cell r="M961">
            <v>24</v>
          </cell>
        </row>
        <row r="962">
          <cell r="K962" t="str">
            <v>Loich</v>
          </cell>
          <cell r="L962" t="str">
            <v>Niederösterreich</v>
          </cell>
          <cell r="M962">
            <v>33</v>
          </cell>
        </row>
        <row r="963">
          <cell r="K963" t="str">
            <v>Loipersbach im Burgenland</v>
          </cell>
          <cell r="L963" t="str">
            <v>Burgenland</v>
          </cell>
          <cell r="M963">
            <v>32</v>
          </cell>
        </row>
        <row r="964">
          <cell r="K964" t="str">
            <v>Loipersdorf bei Fürstenfeld</v>
          </cell>
          <cell r="L964" t="str">
            <v>Steiermark</v>
          </cell>
          <cell r="M964">
            <v>34</v>
          </cell>
        </row>
        <row r="965">
          <cell r="K965" t="str">
            <v>Loipersdorf-Kitzladen</v>
          </cell>
          <cell r="L965" t="str">
            <v>Burgenland</v>
          </cell>
          <cell r="M965">
            <v>34</v>
          </cell>
        </row>
        <row r="966">
          <cell r="K966" t="str">
            <v>Loosdorf</v>
          </cell>
          <cell r="L966" t="str">
            <v>Niederösterreich</v>
          </cell>
          <cell r="M966">
            <v>22</v>
          </cell>
        </row>
        <row r="967">
          <cell r="K967" t="str">
            <v>Loretto</v>
          </cell>
          <cell r="L967" t="str">
            <v>Burgenland</v>
          </cell>
          <cell r="M967">
            <v>24</v>
          </cell>
        </row>
        <row r="968">
          <cell r="K968" t="str">
            <v>Lorüns</v>
          </cell>
          <cell r="L968" t="str">
            <v>Vorarlberg</v>
          </cell>
          <cell r="M968">
            <v>22</v>
          </cell>
        </row>
        <row r="969">
          <cell r="K969" t="str">
            <v>Losenstein</v>
          </cell>
          <cell r="L969" t="str">
            <v>Oberösterreich</v>
          </cell>
          <cell r="M969">
            <v>23</v>
          </cell>
        </row>
        <row r="970">
          <cell r="K970" t="str">
            <v>Ludersdorf-Wilfersdorf</v>
          </cell>
          <cell r="L970" t="str">
            <v>Steiermark</v>
          </cell>
          <cell r="M970">
            <v>22</v>
          </cell>
        </row>
        <row r="971">
          <cell r="K971" t="str">
            <v>Ludesch</v>
          </cell>
          <cell r="L971" t="str">
            <v>Vorarlberg</v>
          </cell>
          <cell r="M971">
            <v>11</v>
          </cell>
        </row>
        <row r="972">
          <cell r="K972" t="str">
            <v>Ludmannsdorf</v>
          </cell>
          <cell r="L972" t="str">
            <v>Kärnten</v>
          </cell>
          <cell r="M972">
            <v>24</v>
          </cell>
        </row>
        <row r="973">
          <cell r="K973" t="str">
            <v>Ludweis-Aigen</v>
          </cell>
          <cell r="L973" t="str">
            <v>Niederösterreich</v>
          </cell>
          <cell r="M973">
            <v>34</v>
          </cell>
        </row>
        <row r="974">
          <cell r="K974" t="str">
            <v>Luftenberg an der Donau</v>
          </cell>
          <cell r="L974" t="str">
            <v>Oberösterreich</v>
          </cell>
          <cell r="M974">
            <v>22</v>
          </cell>
        </row>
        <row r="975">
          <cell r="K975" t="str">
            <v>Lunz am See</v>
          </cell>
          <cell r="L975" t="str">
            <v>Niederösterreich</v>
          </cell>
          <cell r="M975">
            <v>33</v>
          </cell>
        </row>
        <row r="976">
          <cell r="K976" t="str">
            <v>Lurnfeld</v>
          </cell>
          <cell r="L976" t="str">
            <v>Kärnten</v>
          </cell>
          <cell r="M976">
            <v>22</v>
          </cell>
        </row>
        <row r="977">
          <cell r="K977" t="str">
            <v>Lustenau</v>
          </cell>
          <cell r="L977" t="str">
            <v>Vorarlberg</v>
          </cell>
          <cell r="M977">
            <v>11</v>
          </cell>
        </row>
        <row r="978">
          <cell r="K978" t="str">
            <v>Lutzmannsburg</v>
          </cell>
          <cell r="L978" t="str">
            <v>Burgenland</v>
          </cell>
          <cell r="M978">
            <v>34</v>
          </cell>
        </row>
        <row r="979">
          <cell r="K979" t="str">
            <v>Mäder</v>
          </cell>
          <cell r="L979" t="str">
            <v>Vorarlberg</v>
          </cell>
          <cell r="M979">
            <v>12</v>
          </cell>
        </row>
        <row r="980">
          <cell r="K980" t="str">
            <v>Magdalensberg</v>
          </cell>
          <cell r="L980" t="str">
            <v>Kärnten</v>
          </cell>
          <cell r="M980">
            <v>24</v>
          </cell>
        </row>
        <row r="981">
          <cell r="K981" t="str">
            <v>Mailberg</v>
          </cell>
          <cell r="L981" t="str">
            <v>Niederösterreich</v>
          </cell>
          <cell r="M981">
            <v>34</v>
          </cell>
        </row>
        <row r="982">
          <cell r="K982" t="str">
            <v>Maishofen</v>
          </cell>
          <cell r="L982" t="str">
            <v>Salzburg</v>
          </cell>
          <cell r="M982">
            <v>33</v>
          </cell>
        </row>
        <row r="983">
          <cell r="K983" t="str">
            <v>Maissau</v>
          </cell>
          <cell r="L983" t="str">
            <v>Niederösterreich</v>
          </cell>
          <cell r="M983">
            <v>32</v>
          </cell>
        </row>
        <row r="984">
          <cell r="K984" t="str">
            <v>Mallnitz</v>
          </cell>
          <cell r="L984" t="str">
            <v>Kärnten</v>
          </cell>
          <cell r="M984">
            <v>32</v>
          </cell>
        </row>
        <row r="985">
          <cell r="K985" t="str">
            <v>Malta</v>
          </cell>
          <cell r="L985" t="str">
            <v>Kärnten</v>
          </cell>
          <cell r="M985">
            <v>24</v>
          </cell>
        </row>
        <row r="986">
          <cell r="K986" t="str">
            <v>Mank</v>
          </cell>
          <cell r="L986" t="str">
            <v>Niederösterreich</v>
          </cell>
          <cell r="M986">
            <v>24</v>
          </cell>
        </row>
        <row r="987">
          <cell r="K987" t="str">
            <v>Mannersdorf am Leithagebirge</v>
          </cell>
          <cell r="L987" t="str">
            <v>Niederösterreich</v>
          </cell>
          <cell r="M987">
            <v>23</v>
          </cell>
        </row>
        <row r="988">
          <cell r="K988" t="str">
            <v>Mannersdorf an der Rabnitz</v>
          </cell>
          <cell r="L988" t="str">
            <v>Burgenland</v>
          </cell>
          <cell r="M988">
            <v>34</v>
          </cell>
        </row>
        <row r="989">
          <cell r="K989" t="str">
            <v>Manning</v>
          </cell>
          <cell r="L989" t="str">
            <v>Oberösterreich</v>
          </cell>
          <cell r="M989">
            <v>23</v>
          </cell>
        </row>
        <row r="990">
          <cell r="K990" t="str">
            <v>Mannsdorf an der Donau</v>
          </cell>
          <cell r="L990" t="str">
            <v>Niederösterreich</v>
          </cell>
          <cell r="M990">
            <v>24</v>
          </cell>
        </row>
        <row r="991">
          <cell r="K991" t="str">
            <v>Marbach an der Donau</v>
          </cell>
          <cell r="L991" t="str">
            <v>Niederösterreich</v>
          </cell>
          <cell r="M991">
            <v>34</v>
          </cell>
        </row>
        <row r="992">
          <cell r="K992" t="str">
            <v>Marchegg</v>
          </cell>
          <cell r="L992" t="str">
            <v>Niederösterreich</v>
          </cell>
          <cell r="M992">
            <v>32</v>
          </cell>
        </row>
        <row r="993">
          <cell r="K993" t="str">
            <v>Marchtrenk</v>
          </cell>
          <cell r="L993" t="str">
            <v>Oberösterreich</v>
          </cell>
          <cell r="M993">
            <v>11</v>
          </cell>
        </row>
        <row r="994">
          <cell r="K994" t="str">
            <v>Maria Alm am Steinernen Meer</v>
          </cell>
          <cell r="L994" t="str">
            <v>Salzburg</v>
          </cell>
          <cell r="M994">
            <v>33</v>
          </cell>
        </row>
        <row r="995">
          <cell r="K995" t="str">
            <v>Maria Enzersdorf</v>
          </cell>
          <cell r="L995" t="str">
            <v>Niederösterreich</v>
          </cell>
          <cell r="M995">
            <v>11</v>
          </cell>
        </row>
        <row r="996">
          <cell r="K996" t="str">
            <v>Maria Laach am Jauerling</v>
          </cell>
          <cell r="L996" t="str">
            <v>Niederösterreich</v>
          </cell>
          <cell r="M996">
            <v>24</v>
          </cell>
        </row>
        <row r="997">
          <cell r="K997" t="str">
            <v>Maria Lankowitz</v>
          </cell>
          <cell r="L997" t="str">
            <v>Steiermark</v>
          </cell>
          <cell r="M997">
            <v>12</v>
          </cell>
        </row>
        <row r="998">
          <cell r="K998" t="str">
            <v>Maria Neustift</v>
          </cell>
          <cell r="L998" t="str">
            <v>Oberösterreich</v>
          </cell>
          <cell r="M998">
            <v>24</v>
          </cell>
        </row>
        <row r="999">
          <cell r="K999" t="str">
            <v>Maria Rain</v>
          </cell>
          <cell r="L999" t="str">
            <v>Kärnten</v>
          </cell>
          <cell r="M999">
            <v>12</v>
          </cell>
        </row>
        <row r="1000">
          <cell r="K1000" t="str">
            <v>Maria Saal</v>
          </cell>
          <cell r="L1000" t="str">
            <v>Kärnten</v>
          </cell>
          <cell r="M1000">
            <v>22</v>
          </cell>
        </row>
        <row r="1001">
          <cell r="K1001" t="str">
            <v>Maria Schmolln</v>
          </cell>
          <cell r="L1001" t="str">
            <v>Oberösterreich</v>
          </cell>
          <cell r="M1001">
            <v>24</v>
          </cell>
        </row>
        <row r="1002">
          <cell r="K1002" t="str">
            <v>Maria Taferl</v>
          </cell>
          <cell r="L1002" t="str">
            <v>Niederösterreich</v>
          </cell>
          <cell r="M1002">
            <v>34</v>
          </cell>
        </row>
        <row r="1003">
          <cell r="K1003" t="str">
            <v>Maria Wörth</v>
          </cell>
          <cell r="L1003" t="str">
            <v>Kärnten</v>
          </cell>
          <cell r="M1003">
            <v>24</v>
          </cell>
        </row>
        <row r="1004">
          <cell r="K1004" t="str">
            <v>Maria-Anzbach</v>
          </cell>
          <cell r="L1004" t="str">
            <v>Niederösterreich</v>
          </cell>
          <cell r="M1004">
            <v>22</v>
          </cell>
        </row>
        <row r="1005">
          <cell r="K1005" t="str">
            <v>Maria-Lanzendorf</v>
          </cell>
          <cell r="L1005" t="str">
            <v>Niederösterreich</v>
          </cell>
          <cell r="M1005">
            <v>12</v>
          </cell>
        </row>
        <row r="1006">
          <cell r="K1006" t="str">
            <v>Mariapfarr</v>
          </cell>
          <cell r="L1006" t="str">
            <v>Salzburg</v>
          </cell>
          <cell r="M1006">
            <v>34</v>
          </cell>
        </row>
        <row r="1007">
          <cell r="K1007" t="str">
            <v>Mariasdorf</v>
          </cell>
          <cell r="L1007" t="str">
            <v>Burgenland</v>
          </cell>
          <cell r="M1007">
            <v>34</v>
          </cell>
        </row>
        <row r="1008">
          <cell r="K1008" t="str">
            <v>Mariastein</v>
          </cell>
          <cell r="L1008" t="str">
            <v>Tirol</v>
          </cell>
          <cell r="M1008">
            <v>24</v>
          </cell>
        </row>
        <row r="1009">
          <cell r="K1009" t="str">
            <v>Mariazell</v>
          </cell>
          <cell r="L1009" t="str">
            <v>Steiermark</v>
          </cell>
          <cell r="M1009">
            <v>33</v>
          </cell>
        </row>
        <row r="1010">
          <cell r="K1010" t="str">
            <v>Markersdorf-Haindorf</v>
          </cell>
          <cell r="L1010" t="str">
            <v>Niederösterreich</v>
          </cell>
          <cell r="M1010">
            <v>23</v>
          </cell>
        </row>
        <row r="1011">
          <cell r="K1011" t="str">
            <v>Markgrafneusiedl</v>
          </cell>
          <cell r="L1011" t="str">
            <v>Niederösterreich</v>
          </cell>
          <cell r="M1011">
            <v>24</v>
          </cell>
        </row>
        <row r="1012">
          <cell r="K1012" t="str">
            <v>Markt Allhau</v>
          </cell>
          <cell r="L1012" t="str">
            <v>Burgenland</v>
          </cell>
          <cell r="M1012">
            <v>34</v>
          </cell>
        </row>
        <row r="1013">
          <cell r="K1013" t="str">
            <v>Markt Hartmannsdorf</v>
          </cell>
          <cell r="L1013" t="str">
            <v>Steiermark</v>
          </cell>
          <cell r="M1013">
            <v>24</v>
          </cell>
        </row>
        <row r="1014">
          <cell r="K1014" t="str">
            <v>Markt Neuhodis</v>
          </cell>
          <cell r="L1014" t="str">
            <v>Burgenland</v>
          </cell>
          <cell r="M1014">
            <v>34</v>
          </cell>
        </row>
        <row r="1015">
          <cell r="K1015" t="str">
            <v>Markt Piesting</v>
          </cell>
          <cell r="L1015" t="str">
            <v>Niederösterreich</v>
          </cell>
          <cell r="M1015">
            <v>23</v>
          </cell>
        </row>
        <row r="1016">
          <cell r="K1016" t="str">
            <v>Markt Sankt Martin</v>
          </cell>
          <cell r="L1016" t="str">
            <v>Burgenland</v>
          </cell>
          <cell r="M1016">
            <v>33</v>
          </cell>
        </row>
        <row r="1017">
          <cell r="K1017" t="str">
            <v>Martinsberg</v>
          </cell>
          <cell r="L1017" t="str">
            <v>Niederösterreich</v>
          </cell>
          <cell r="M1017">
            <v>34</v>
          </cell>
        </row>
        <row r="1018">
          <cell r="K1018" t="str">
            <v>Marz</v>
          </cell>
          <cell r="L1018" t="str">
            <v>Burgenland</v>
          </cell>
          <cell r="M1018">
            <v>22</v>
          </cell>
        </row>
        <row r="1019">
          <cell r="K1019" t="str">
            <v>Matrei am Brenner</v>
          </cell>
          <cell r="L1019" t="str">
            <v>Tirol</v>
          </cell>
          <cell r="M1019">
            <v>22</v>
          </cell>
        </row>
        <row r="1020">
          <cell r="K1020" t="str">
            <v>Matrei in Osttirol</v>
          </cell>
          <cell r="L1020" t="str">
            <v>Tirol</v>
          </cell>
          <cell r="M1020">
            <v>23</v>
          </cell>
        </row>
        <row r="1021">
          <cell r="K1021" t="str">
            <v>Mattersburg</v>
          </cell>
          <cell r="L1021" t="str">
            <v>Burgenland</v>
          </cell>
          <cell r="M1021">
            <v>22</v>
          </cell>
        </row>
        <row r="1022">
          <cell r="K1022" t="str">
            <v>Mattighofen</v>
          </cell>
          <cell r="L1022" t="str">
            <v>Oberösterreich</v>
          </cell>
          <cell r="M1022">
            <v>23</v>
          </cell>
        </row>
        <row r="1023">
          <cell r="K1023" t="str">
            <v>Mattsee</v>
          </cell>
          <cell r="L1023" t="str">
            <v>Salzburg</v>
          </cell>
          <cell r="M1023">
            <v>23</v>
          </cell>
        </row>
        <row r="1024">
          <cell r="K1024" t="str">
            <v>Matzendorf-Hölles</v>
          </cell>
          <cell r="L1024" t="str">
            <v>Niederösterreich</v>
          </cell>
          <cell r="M1024">
            <v>12</v>
          </cell>
        </row>
        <row r="1025">
          <cell r="K1025" t="str">
            <v>Matzen-Raggendorf</v>
          </cell>
          <cell r="L1025" t="str">
            <v>Niederösterreich</v>
          </cell>
          <cell r="M1025">
            <v>32</v>
          </cell>
        </row>
        <row r="1026">
          <cell r="K1026" t="str">
            <v>Mauerbach</v>
          </cell>
          <cell r="L1026" t="str">
            <v>Niederösterreich</v>
          </cell>
          <cell r="M1026">
            <v>22</v>
          </cell>
        </row>
        <row r="1027">
          <cell r="K1027" t="str">
            <v>Mauerkirchen</v>
          </cell>
          <cell r="L1027" t="str">
            <v>Oberösterreich</v>
          </cell>
          <cell r="M1027">
            <v>22</v>
          </cell>
        </row>
        <row r="1028">
          <cell r="K1028" t="str">
            <v>Mautern an der Donau</v>
          </cell>
          <cell r="L1028" t="str">
            <v>Niederösterreich</v>
          </cell>
          <cell r="M1028">
            <v>12</v>
          </cell>
        </row>
        <row r="1029">
          <cell r="K1029" t="str">
            <v>Mautern in Steiermark</v>
          </cell>
          <cell r="L1029" t="str">
            <v>Steiermark</v>
          </cell>
          <cell r="M1029">
            <v>23</v>
          </cell>
        </row>
        <row r="1030">
          <cell r="K1030" t="str">
            <v>Mauterndorf</v>
          </cell>
          <cell r="L1030" t="str">
            <v>Salzburg</v>
          </cell>
          <cell r="M1030">
            <v>33</v>
          </cell>
        </row>
        <row r="1031">
          <cell r="K1031" t="str">
            <v>Mauthausen</v>
          </cell>
          <cell r="L1031" t="str">
            <v>Oberösterreich</v>
          </cell>
          <cell r="M1031">
            <v>22</v>
          </cell>
        </row>
        <row r="1032">
          <cell r="K1032" t="str">
            <v>Mayrhof</v>
          </cell>
          <cell r="L1032" t="str">
            <v>Oberösterreich</v>
          </cell>
          <cell r="M1032">
            <v>24</v>
          </cell>
        </row>
        <row r="1033">
          <cell r="K1033" t="str">
            <v>Mayrhofen</v>
          </cell>
          <cell r="L1033" t="str">
            <v>Tirol</v>
          </cell>
          <cell r="M1033">
            <v>32</v>
          </cell>
        </row>
        <row r="1034">
          <cell r="K1034" t="str">
            <v>Meggenhofen</v>
          </cell>
          <cell r="L1034" t="str">
            <v>Oberösterreich</v>
          </cell>
          <cell r="M1034">
            <v>22</v>
          </cell>
        </row>
        <row r="1035">
          <cell r="K1035" t="str">
            <v>Mehrnbach</v>
          </cell>
          <cell r="L1035" t="str">
            <v>Oberösterreich</v>
          </cell>
          <cell r="M1035">
            <v>24</v>
          </cell>
        </row>
        <row r="1036">
          <cell r="K1036" t="str">
            <v>Meiningen</v>
          </cell>
          <cell r="L1036" t="str">
            <v>Vorarlberg</v>
          </cell>
          <cell r="M1036">
            <v>23</v>
          </cell>
        </row>
        <row r="1037">
          <cell r="K1037" t="str">
            <v>Meiseldorf</v>
          </cell>
          <cell r="L1037" t="str">
            <v>Niederösterreich</v>
          </cell>
          <cell r="M1037">
            <v>33</v>
          </cell>
        </row>
        <row r="1038">
          <cell r="K1038" t="str">
            <v>Melk</v>
          </cell>
          <cell r="L1038" t="str">
            <v>Niederösterreich</v>
          </cell>
          <cell r="M1038">
            <v>22</v>
          </cell>
        </row>
        <row r="1039">
          <cell r="K1039" t="str">
            <v>Mellau</v>
          </cell>
          <cell r="L1039" t="str">
            <v>Vorarlberg</v>
          </cell>
          <cell r="M1039">
            <v>23</v>
          </cell>
        </row>
        <row r="1040">
          <cell r="K1040" t="str">
            <v>Metnitz</v>
          </cell>
          <cell r="L1040" t="str">
            <v>Kärnten</v>
          </cell>
          <cell r="M1040">
            <v>34</v>
          </cell>
        </row>
        <row r="1041">
          <cell r="K1041" t="str">
            <v>Mettersdorf am Saßbach</v>
          </cell>
          <cell r="L1041" t="str">
            <v>Steiermark</v>
          </cell>
          <cell r="M1041">
            <v>24</v>
          </cell>
        </row>
        <row r="1042">
          <cell r="K1042" t="str">
            <v>Mettmach</v>
          </cell>
          <cell r="L1042" t="str">
            <v>Oberösterreich</v>
          </cell>
          <cell r="M1042">
            <v>24</v>
          </cell>
        </row>
        <row r="1043">
          <cell r="K1043" t="str">
            <v>Michaelerberg-Pruggern</v>
          </cell>
          <cell r="L1043" t="str">
            <v>Steiermark</v>
          </cell>
          <cell r="M1043">
            <v>33</v>
          </cell>
        </row>
        <row r="1044">
          <cell r="K1044" t="str">
            <v>Michaelnbach</v>
          </cell>
          <cell r="L1044" t="str">
            <v>Oberösterreich</v>
          </cell>
          <cell r="M1044">
            <v>23</v>
          </cell>
        </row>
        <row r="1045">
          <cell r="K1045" t="str">
            <v>Michelbach</v>
          </cell>
          <cell r="L1045" t="str">
            <v>Niederösterreich</v>
          </cell>
          <cell r="M1045">
            <v>34</v>
          </cell>
        </row>
        <row r="1046">
          <cell r="K1046" t="str">
            <v>Micheldorf</v>
          </cell>
          <cell r="L1046" t="str">
            <v>Kärnten</v>
          </cell>
          <cell r="M1046">
            <v>22</v>
          </cell>
        </row>
        <row r="1047">
          <cell r="K1047" t="str">
            <v>Micheldorf in Oberösterreich</v>
          </cell>
          <cell r="L1047" t="str">
            <v>Oberösterreich</v>
          </cell>
          <cell r="M1047">
            <v>23</v>
          </cell>
        </row>
        <row r="1048">
          <cell r="K1048" t="str">
            <v>Michelhausen</v>
          </cell>
          <cell r="L1048" t="str">
            <v>Niederösterreich</v>
          </cell>
          <cell r="M1048">
            <v>22</v>
          </cell>
        </row>
        <row r="1049">
          <cell r="K1049" t="str">
            <v>Mieders</v>
          </cell>
          <cell r="L1049" t="str">
            <v>Tirol</v>
          </cell>
          <cell r="M1049">
            <v>23</v>
          </cell>
        </row>
        <row r="1050">
          <cell r="K1050" t="str">
            <v>Mieming</v>
          </cell>
          <cell r="L1050" t="str">
            <v>Tirol</v>
          </cell>
          <cell r="M1050">
            <v>23</v>
          </cell>
        </row>
        <row r="1051">
          <cell r="K1051" t="str">
            <v>Miesenbach</v>
          </cell>
          <cell r="L1051" t="str">
            <v>Niederösterreich</v>
          </cell>
          <cell r="M1051">
            <v>24</v>
          </cell>
        </row>
        <row r="1052">
          <cell r="K1052" t="str">
            <v>Miesenbach bei Birkfeld</v>
          </cell>
          <cell r="L1052" t="str">
            <v>Steiermark</v>
          </cell>
          <cell r="M1052">
            <v>34</v>
          </cell>
        </row>
        <row r="1053">
          <cell r="K1053" t="str">
            <v>Millstatt am See</v>
          </cell>
          <cell r="L1053" t="str">
            <v>Kärnten</v>
          </cell>
          <cell r="M1053">
            <v>23</v>
          </cell>
        </row>
        <row r="1054">
          <cell r="K1054" t="str">
            <v>Mils</v>
          </cell>
          <cell r="L1054" t="str">
            <v>Tirol</v>
          </cell>
          <cell r="M1054">
            <v>12</v>
          </cell>
        </row>
        <row r="1055">
          <cell r="K1055" t="str">
            <v>Mils bei Imst</v>
          </cell>
          <cell r="L1055" t="str">
            <v>Tirol</v>
          </cell>
          <cell r="M1055">
            <v>24</v>
          </cell>
        </row>
        <row r="1056">
          <cell r="K1056" t="str">
            <v>Minihof-Liebau</v>
          </cell>
          <cell r="L1056" t="str">
            <v>Burgenland</v>
          </cell>
          <cell r="M1056">
            <v>34</v>
          </cell>
        </row>
        <row r="1057">
          <cell r="K1057" t="str">
            <v>Mining</v>
          </cell>
          <cell r="L1057" t="str">
            <v>Oberösterreich</v>
          </cell>
          <cell r="M1057">
            <v>22</v>
          </cell>
        </row>
        <row r="1058">
          <cell r="K1058" t="str">
            <v>Mischendorf</v>
          </cell>
          <cell r="L1058" t="str">
            <v>Burgenland</v>
          </cell>
          <cell r="M1058">
            <v>34</v>
          </cell>
        </row>
        <row r="1059">
          <cell r="K1059" t="str">
            <v>Mistelbach</v>
          </cell>
          <cell r="L1059" t="str">
            <v>Niederösterreich</v>
          </cell>
          <cell r="M1059">
            <v>32</v>
          </cell>
        </row>
        <row r="1060">
          <cell r="K1060" t="str">
            <v>Mittelberg</v>
          </cell>
          <cell r="L1060" t="str">
            <v>Vorarlberg</v>
          </cell>
          <cell r="M1060">
            <v>32</v>
          </cell>
        </row>
        <row r="1061">
          <cell r="K1061" t="str">
            <v>Mitterbach am Erlaufsee</v>
          </cell>
          <cell r="L1061" t="str">
            <v>Niederösterreich</v>
          </cell>
          <cell r="M1061">
            <v>33</v>
          </cell>
        </row>
        <row r="1062">
          <cell r="K1062" t="str">
            <v>Mitterberg-Sankt Martin</v>
          </cell>
          <cell r="L1062" t="str">
            <v>Steiermark</v>
          </cell>
          <cell r="M1062">
            <v>34</v>
          </cell>
        </row>
        <row r="1063">
          <cell r="K1063" t="str">
            <v>Mitterdorf an der Raab</v>
          </cell>
          <cell r="L1063" t="str">
            <v>Steiermark</v>
          </cell>
          <cell r="M1063">
            <v>23</v>
          </cell>
        </row>
        <row r="1064">
          <cell r="K1064" t="str">
            <v>Mitterkirchen im Machland</v>
          </cell>
          <cell r="L1064" t="str">
            <v>Oberösterreich</v>
          </cell>
          <cell r="M1064">
            <v>24</v>
          </cell>
        </row>
        <row r="1065">
          <cell r="K1065" t="str">
            <v>Mitterndorf an der Fischa</v>
          </cell>
          <cell r="L1065" t="str">
            <v>Niederösterreich</v>
          </cell>
          <cell r="M1065">
            <v>23</v>
          </cell>
        </row>
        <row r="1066">
          <cell r="K1066" t="str">
            <v>Mittersill</v>
          </cell>
          <cell r="L1066" t="str">
            <v>Salzburg</v>
          </cell>
          <cell r="M1066">
            <v>32</v>
          </cell>
        </row>
        <row r="1067">
          <cell r="K1067" t="str">
            <v>Mödling</v>
          </cell>
          <cell r="L1067" t="str">
            <v>Niederösterreich</v>
          </cell>
          <cell r="M1067">
            <v>11</v>
          </cell>
        </row>
        <row r="1068">
          <cell r="K1068" t="str">
            <v>Mogersdorf</v>
          </cell>
          <cell r="L1068" t="str">
            <v>Burgenland</v>
          </cell>
          <cell r="M1068">
            <v>33</v>
          </cell>
        </row>
        <row r="1069">
          <cell r="K1069" t="str">
            <v>Möggers</v>
          </cell>
          <cell r="L1069" t="str">
            <v>Vorarlberg</v>
          </cell>
          <cell r="M1069">
            <v>23</v>
          </cell>
        </row>
        <row r="1070">
          <cell r="K1070" t="str">
            <v>Mölbling</v>
          </cell>
          <cell r="L1070" t="str">
            <v>Kärnten</v>
          </cell>
          <cell r="M1070">
            <v>23</v>
          </cell>
        </row>
        <row r="1071">
          <cell r="K1071" t="str">
            <v>Molln</v>
          </cell>
          <cell r="L1071" t="str">
            <v>Oberösterreich</v>
          </cell>
          <cell r="M1071">
            <v>33</v>
          </cell>
        </row>
        <row r="1072">
          <cell r="K1072" t="str">
            <v>Mönchhof</v>
          </cell>
          <cell r="L1072" t="str">
            <v>Burgenland</v>
          </cell>
          <cell r="M1072">
            <v>32</v>
          </cell>
        </row>
        <row r="1073">
          <cell r="K1073" t="str">
            <v>Mondsee</v>
          </cell>
          <cell r="L1073" t="str">
            <v>Oberösterreich</v>
          </cell>
          <cell r="M1073">
            <v>23</v>
          </cell>
        </row>
        <row r="1074">
          <cell r="K1074" t="str">
            <v>Mönichkirchen</v>
          </cell>
          <cell r="L1074" t="str">
            <v>Niederösterreich</v>
          </cell>
          <cell r="M1074">
            <v>34</v>
          </cell>
        </row>
        <row r="1075">
          <cell r="K1075" t="str">
            <v>Moorbad Harbach</v>
          </cell>
          <cell r="L1075" t="str">
            <v>Niederösterreich</v>
          </cell>
          <cell r="M1075">
            <v>34</v>
          </cell>
        </row>
        <row r="1076">
          <cell r="K1076" t="str">
            <v>Moosbach</v>
          </cell>
          <cell r="L1076" t="str">
            <v>Oberösterreich</v>
          </cell>
          <cell r="M1076">
            <v>24</v>
          </cell>
        </row>
        <row r="1077">
          <cell r="K1077" t="str">
            <v>Moosbrunn</v>
          </cell>
          <cell r="L1077" t="str">
            <v>Niederösterreich</v>
          </cell>
          <cell r="M1077">
            <v>23</v>
          </cell>
        </row>
        <row r="1078">
          <cell r="K1078" t="str">
            <v>Moosburg</v>
          </cell>
          <cell r="L1078" t="str">
            <v>Kärnten</v>
          </cell>
          <cell r="M1078">
            <v>23</v>
          </cell>
        </row>
        <row r="1079">
          <cell r="K1079" t="str">
            <v>Moosdorf</v>
          </cell>
          <cell r="L1079" t="str">
            <v>Oberösterreich</v>
          </cell>
          <cell r="M1079">
            <v>24</v>
          </cell>
        </row>
        <row r="1080">
          <cell r="K1080" t="str">
            <v>Mooskirchen</v>
          </cell>
          <cell r="L1080" t="str">
            <v>Steiermark</v>
          </cell>
          <cell r="M1080">
            <v>24</v>
          </cell>
        </row>
        <row r="1081">
          <cell r="K1081" t="str">
            <v>Mörbisch am See</v>
          </cell>
          <cell r="L1081" t="str">
            <v>Burgenland</v>
          </cell>
          <cell r="M1081">
            <v>24</v>
          </cell>
        </row>
        <row r="1082">
          <cell r="K1082" t="str">
            <v>Mörschwang</v>
          </cell>
          <cell r="L1082" t="str">
            <v>Oberösterreich</v>
          </cell>
          <cell r="M1082">
            <v>24</v>
          </cell>
        </row>
        <row r="1083">
          <cell r="K1083" t="str">
            <v>Mortantsch</v>
          </cell>
          <cell r="L1083" t="str">
            <v>Steiermark</v>
          </cell>
          <cell r="M1083">
            <v>23</v>
          </cell>
        </row>
        <row r="1084">
          <cell r="K1084" t="str">
            <v>Mörtschach</v>
          </cell>
          <cell r="L1084" t="str">
            <v>Kärnten</v>
          </cell>
          <cell r="M1084">
            <v>24</v>
          </cell>
        </row>
        <row r="1085">
          <cell r="K1085" t="str">
            <v>Moschendorf</v>
          </cell>
          <cell r="L1085" t="str">
            <v>Burgenland</v>
          </cell>
          <cell r="M1085">
            <v>34</v>
          </cell>
        </row>
        <row r="1086">
          <cell r="K1086" t="str">
            <v>Mötz</v>
          </cell>
          <cell r="L1086" t="str">
            <v>Tirol</v>
          </cell>
          <cell r="M1086">
            <v>23</v>
          </cell>
        </row>
        <row r="1087">
          <cell r="K1087" t="str">
            <v>Muckendorf-Wipfing</v>
          </cell>
          <cell r="L1087" t="str">
            <v>Niederösterreich</v>
          </cell>
          <cell r="M1087">
            <v>22</v>
          </cell>
        </row>
        <row r="1088">
          <cell r="K1088" t="str">
            <v>Muggendorf</v>
          </cell>
          <cell r="L1088" t="str">
            <v>Niederösterreich</v>
          </cell>
          <cell r="M1088">
            <v>24</v>
          </cell>
        </row>
        <row r="1089">
          <cell r="K1089" t="str">
            <v>Mühlbach am Hochkönig</v>
          </cell>
          <cell r="L1089" t="str">
            <v>Salzburg</v>
          </cell>
          <cell r="M1089">
            <v>34</v>
          </cell>
        </row>
        <row r="1090">
          <cell r="K1090" t="str">
            <v>Mühlbachl</v>
          </cell>
          <cell r="L1090" t="str">
            <v>Tirol</v>
          </cell>
          <cell r="M1090">
            <v>22</v>
          </cell>
        </row>
        <row r="1091">
          <cell r="K1091" t="str">
            <v>Mühldorf</v>
          </cell>
          <cell r="L1091" t="str">
            <v>Kärnten</v>
          </cell>
          <cell r="M1091">
            <v>24</v>
          </cell>
        </row>
        <row r="1092">
          <cell r="K1092" t="str">
            <v>Mühldorf</v>
          </cell>
          <cell r="L1092" t="str">
            <v>Niederösterreich</v>
          </cell>
          <cell r="M1092">
            <v>24</v>
          </cell>
        </row>
        <row r="1093">
          <cell r="K1093" t="str">
            <v>Mühlen</v>
          </cell>
          <cell r="L1093" t="str">
            <v>Steiermark</v>
          </cell>
          <cell r="M1093">
            <v>34</v>
          </cell>
        </row>
        <row r="1094">
          <cell r="K1094" t="str">
            <v>Mühlgraben</v>
          </cell>
          <cell r="L1094" t="str">
            <v>Burgenland</v>
          </cell>
          <cell r="M1094">
            <v>34</v>
          </cell>
        </row>
        <row r="1095">
          <cell r="K1095" t="str">
            <v>Mühlheim am Inn</v>
          </cell>
          <cell r="L1095" t="str">
            <v>Oberösterreich</v>
          </cell>
          <cell r="M1095">
            <v>23</v>
          </cell>
        </row>
        <row r="1096">
          <cell r="K1096" t="str">
            <v>Muhr</v>
          </cell>
          <cell r="L1096" t="str">
            <v>Salzburg</v>
          </cell>
          <cell r="M1096">
            <v>34</v>
          </cell>
        </row>
        <row r="1097">
          <cell r="K1097" t="str">
            <v>Müllendorf</v>
          </cell>
          <cell r="L1097" t="str">
            <v>Burgenland</v>
          </cell>
          <cell r="M1097">
            <v>12</v>
          </cell>
        </row>
        <row r="1098">
          <cell r="K1098" t="str">
            <v>Münchendorf</v>
          </cell>
          <cell r="L1098" t="str">
            <v>Niederösterreich</v>
          </cell>
          <cell r="M1098">
            <v>23</v>
          </cell>
        </row>
        <row r="1099">
          <cell r="K1099" t="str">
            <v>Munderfing</v>
          </cell>
          <cell r="L1099" t="str">
            <v>Oberösterreich</v>
          </cell>
          <cell r="M1099">
            <v>32</v>
          </cell>
        </row>
        <row r="1100">
          <cell r="K1100" t="str">
            <v>Münichreith-Laimbach</v>
          </cell>
          <cell r="L1100" t="str">
            <v>Niederösterreich</v>
          </cell>
          <cell r="M1100">
            <v>34</v>
          </cell>
        </row>
        <row r="1101">
          <cell r="K1101" t="str">
            <v>Münster</v>
          </cell>
          <cell r="L1101" t="str">
            <v>Tirol</v>
          </cell>
          <cell r="M1101">
            <v>23</v>
          </cell>
        </row>
        <row r="1102">
          <cell r="K1102" t="str">
            <v>Münzbach</v>
          </cell>
          <cell r="L1102" t="str">
            <v>Oberösterreich</v>
          </cell>
          <cell r="M1102">
            <v>24</v>
          </cell>
        </row>
        <row r="1103">
          <cell r="K1103" t="str">
            <v>Münzkirchen</v>
          </cell>
          <cell r="L1103" t="str">
            <v>Oberösterreich</v>
          </cell>
          <cell r="M1103">
            <v>34</v>
          </cell>
        </row>
        <row r="1104">
          <cell r="K1104" t="str">
            <v>Murau</v>
          </cell>
          <cell r="L1104" t="str">
            <v>Steiermark</v>
          </cell>
          <cell r="M1104">
            <v>32</v>
          </cell>
        </row>
        <row r="1105">
          <cell r="K1105" t="str">
            <v>Mureck</v>
          </cell>
          <cell r="L1105" t="str">
            <v>Steiermark</v>
          </cell>
          <cell r="M1105">
            <v>23</v>
          </cell>
        </row>
        <row r="1106">
          <cell r="K1106" t="str">
            <v>Murfeld</v>
          </cell>
          <cell r="L1106" t="str">
            <v>Steiermark</v>
          </cell>
          <cell r="M1106">
            <v>23</v>
          </cell>
        </row>
        <row r="1107">
          <cell r="K1107" t="str">
            <v>Mürzzuschlag</v>
          </cell>
          <cell r="L1107" t="str">
            <v>Steiermark</v>
          </cell>
          <cell r="M1107">
            <v>22</v>
          </cell>
        </row>
        <row r="1108">
          <cell r="K1108" t="str">
            <v>Musau</v>
          </cell>
          <cell r="L1108" t="str">
            <v>Tirol</v>
          </cell>
          <cell r="M1108">
            <v>23</v>
          </cell>
        </row>
        <row r="1109">
          <cell r="K1109" t="str">
            <v>Mutters</v>
          </cell>
          <cell r="L1109" t="str">
            <v>Tirol</v>
          </cell>
          <cell r="M1109">
            <v>23</v>
          </cell>
        </row>
        <row r="1110">
          <cell r="K1110" t="str">
            <v>Naarn im Machlande</v>
          </cell>
          <cell r="L1110" t="str">
            <v>Oberösterreich</v>
          </cell>
          <cell r="M1110">
            <v>22</v>
          </cell>
        </row>
        <row r="1111">
          <cell r="K1111" t="str">
            <v>Naas</v>
          </cell>
          <cell r="L1111" t="str">
            <v>Steiermark</v>
          </cell>
          <cell r="M1111">
            <v>24</v>
          </cell>
        </row>
        <row r="1112">
          <cell r="K1112" t="str">
            <v>Namlos</v>
          </cell>
          <cell r="L1112" t="str">
            <v>Tirol</v>
          </cell>
          <cell r="M1112">
            <v>24</v>
          </cell>
        </row>
        <row r="1113">
          <cell r="K1113" t="str">
            <v>Nappersdorf-Kammersdorf</v>
          </cell>
          <cell r="L1113" t="str">
            <v>Niederösterreich</v>
          </cell>
          <cell r="M1113">
            <v>34</v>
          </cell>
        </row>
        <row r="1114">
          <cell r="K1114" t="str">
            <v>Nassereith</v>
          </cell>
          <cell r="L1114" t="str">
            <v>Tirol</v>
          </cell>
          <cell r="M1114">
            <v>23</v>
          </cell>
        </row>
        <row r="1115">
          <cell r="K1115" t="str">
            <v>Natschbach-Loipersbach</v>
          </cell>
          <cell r="L1115" t="str">
            <v>Niederösterreich</v>
          </cell>
          <cell r="M1115">
            <v>24</v>
          </cell>
        </row>
        <row r="1116">
          <cell r="K1116" t="str">
            <v>Natternbach</v>
          </cell>
          <cell r="L1116" t="str">
            <v>Oberösterreich</v>
          </cell>
          <cell r="M1116">
            <v>34</v>
          </cell>
        </row>
        <row r="1117">
          <cell r="K1117" t="str">
            <v>Natters</v>
          </cell>
          <cell r="L1117" t="str">
            <v>Tirol</v>
          </cell>
          <cell r="M1117">
            <v>22</v>
          </cell>
        </row>
        <row r="1118">
          <cell r="K1118" t="str">
            <v>Nauders</v>
          </cell>
          <cell r="L1118" t="str">
            <v>Tirol</v>
          </cell>
          <cell r="M1118">
            <v>34</v>
          </cell>
        </row>
        <row r="1119">
          <cell r="K1119" t="str">
            <v>Navis</v>
          </cell>
          <cell r="L1119" t="str">
            <v>Tirol</v>
          </cell>
          <cell r="M1119">
            <v>22</v>
          </cell>
        </row>
        <row r="1120">
          <cell r="K1120" t="str">
            <v>Nebelberg</v>
          </cell>
          <cell r="L1120" t="str">
            <v>Oberösterreich</v>
          </cell>
          <cell r="M1120">
            <v>34</v>
          </cell>
        </row>
        <row r="1121">
          <cell r="K1121" t="str">
            <v>Neckenmarkt</v>
          </cell>
          <cell r="L1121" t="str">
            <v>Burgenland</v>
          </cell>
          <cell r="M1121">
            <v>33</v>
          </cell>
        </row>
        <row r="1122">
          <cell r="K1122" t="str">
            <v>Neidling</v>
          </cell>
          <cell r="L1122" t="str">
            <v>Niederösterreich</v>
          </cell>
          <cell r="M1122">
            <v>24</v>
          </cell>
        </row>
        <row r="1123">
          <cell r="K1123" t="str">
            <v>Nenzing</v>
          </cell>
          <cell r="L1123" t="str">
            <v>Vorarlberg</v>
          </cell>
          <cell r="M1123">
            <v>22</v>
          </cell>
        </row>
        <row r="1124">
          <cell r="K1124" t="str">
            <v>Nesselwängle</v>
          </cell>
          <cell r="L1124" t="str">
            <v>Tirol</v>
          </cell>
          <cell r="M1124">
            <v>24</v>
          </cell>
        </row>
        <row r="1125">
          <cell r="K1125" t="str">
            <v>Nestelbach bei Graz</v>
          </cell>
          <cell r="L1125" t="str">
            <v>Steiermark</v>
          </cell>
          <cell r="M1125">
            <v>23</v>
          </cell>
        </row>
        <row r="1126">
          <cell r="K1126" t="str">
            <v>Neuberg an der Mürz</v>
          </cell>
          <cell r="L1126" t="str">
            <v>Steiermark</v>
          </cell>
          <cell r="M1126">
            <v>34</v>
          </cell>
        </row>
        <row r="1127">
          <cell r="K1127" t="str">
            <v>Neuberg im Burgenland</v>
          </cell>
          <cell r="L1127" t="str">
            <v>Burgenland</v>
          </cell>
          <cell r="M1127">
            <v>34</v>
          </cell>
        </row>
        <row r="1128">
          <cell r="K1128" t="str">
            <v>Neudau</v>
          </cell>
          <cell r="L1128" t="str">
            <v>Steiermark</v>
          </cell>
          <cell r="M1128">
            <v>34</v>
          </cell>
        </row>
        <row r="1129">
          <cell r="K1129" t="str">
            <v>Neudorf</v>
          </cell>
          <cell r="L1129" t="str">
            <v>Burgenland</v>
          </cell>
          <cell r="M1129">
            <v>22</v>
          </cell>
        </row>
        <row r="1130">
          <cell r="K1130" t="str">
            <v>Neudorf bei Staatz</v>
          </cell>
          <cell r="L1130" t="str">
            <v>Niederösterreich</v>
          </cell>
          <cell r="M1130">
            <v>33</v>
          </cell>
        </row>
        <row r="1131">
          <cell r="K1131" t="str">
            <v>Neudörfl</v>
          </cell>
          <cell r="L1131" t="str">
            <v>Burgenland</v>
          </cell>
          <cell r="M1131">
            <v>12</v>
          </cell>
        </row>
        <row r="1132">
          <cell r="K1132" t="str">
            <v>Neufeld an der Leitha</v>
          </cell>
          <cell r="L1132" t="str">
            <v>Burgenland</v>
          </cell>
          <cell r="M1132">
            <v>22</v>
          </cell>
        </row>
        <row r="1133">
          <cell r="K1133" t="str">
            <v>Neufelden</v>
          </cell>
          <cell r="L1133" t="str">
            <v>Oberösterreich</v>
          </cell>
          <cell r="M1133">
            <v>33</v>
          </cell>
        </row>
        <row r="1134">
          <cell r="K1134" t="str">
            <v>Neuhaus</v>
          </cell>
          <cell r="L1134" t="str">
            <v>Kärnten</v>
          </cell>
          <cell r="M1134">
            <v>24</v>
          </cell>
        </row>
        <row r="1135">
          <cell r="K1135" t="str">
            <v>Neuhaus am Klausenbach</v>
          </cell>
          <cell r="L1135" t="str">
            <v>Burgenland</v>
          </cell>
          <cell r="M1135">
            <v>34</v>
          </cell>
        </row>
        <row r="1136">
          <cell r="K1136" t="str">
            <v>Neuhofen an der Krems</v>
          </cell>
          <cell r="L1136" t="str">
            <v>Oberösterreich</v>
          </cell>
          <cell r="M1136">
            <v>22</v>
          </cell>
        </row>
        <row r="1137">
          <cell r="K1137" t="str">
            <v>Neuhofen an der Ybbs</v>
          </cell>
          <cell r="L1137" t="str">
            <v>Niederösterreich</v>
          </cell>
          <cell r="M1137">
            <v>24</v>
          </cell>
        </row>
        <row r="1138">
          <cell r="K1138" t="str">
            <v>Neuhofen im Innkreis</v>
          </cell>
          <cell r="L1138" t="str">
            <v>Oberösterreich</v>
          </cell>
          <cell r="M1138">
            <v>12</v>
          </cell>
        </row>
        <row r="1139">
          <cell r="K1139" t="str">
            <v>Neukirchen am Großvenediger</v>
          </cell>
          <cell r="L1139" t="str">
            <v>Salzburg</v>
          </cell>
          <cell r="M1139">
            <v>33</v>
          </cell>
        </row>
        <row r="1140">
          <cell r="K1140" t="str">
            <v>Neukirchen am Walde</v>
          </cell>
          <cell r="L1140" t="str">
            <v>Oberösterreich</v>
          </cell>
          <cell r="M1140">
            <v>34</v>
          </cell>
        </row>
        <row r="1141">
          <cell r="K1141" t="str">
            <v>Neukirchen an der Enknach</v>
          </cell>
          <cell r="L1141" t="str">
            <v>Oberösterreich</v>
          </cell>
          <cell r="M1141">
            <v>24</v>
          </cell>
        </row>
        <row r="1142">
          <cell r="K1142" t="str">
            <v>Neukirchen an der Vöckla</v>
          </cell>
          <cell r="L1142" t="str">
            <v>Oberösterreich</v>
          </cell>
          <cell r="M1142">
            <v>22</v>
          </cell>
        </row>
        <row r="1143">
          <cell r="K1143" t="str">
            <v>Neukirchen bei Lambach</v>
          </cell>
          <cell r="L1143" t="str">
            <v>Oberösterreich</v>
          </cell>
          <cell r="M1143">
            <v>22</v>
          </cell>
        </row>
        <row r="1144">
          <cell r="K1144" t="str">
            <v>Neulengbach</v>
          </cell>
          <cell r="L1144" t="str">
            <v>Niederösterreich</v>
          </cell>
          <cell r="M1144">
            <v>22</v>
          </cell>
        </row>
        <row r="1145">
          <cell r="K1145" t="str">
            <v>Neumarkt am Wallersee</v>
          </cell>
          <cell r="L1145" t="str">
            <v>Salzburg</v>
          </cell>
          <cell r="M1145">
            <v>22</v>
          </cell>
        </row>
        <row r="1146">
          <cell r="K1146" t="str">
            <v>Neumarkt an der Ybbs</v>
          </cell>
          <cell r="L1146" t="str">
            <v>Niederösterreich</v>
          </cell>
          <cell r="M1146">
            <v>22</v>
          </cell>
        </row>
        <row r="1147">
          <cell r="K1147" t="str">
            <v>Neumarkt im Hausruckkreis</v>
          </cell>
          <cell r="L1147" t="str">
            <v>Oberösterreich</v>
          </cell>
          <cell r="M1147">
            <v>22</v>
          </cell>
        </row>
        <row r="1148">
          <cell r="K1148" t="str">
            <v>Neumarkt im Mühlkreis</v>
          </cell>
          <cell r="L1148" t="str">
            <v>Oberösterreich</v>
          </cell>
          <cell r="M1148">
            <v>23</v>
          </cell>
        </row>
        <row r="1149">
          <cell r="K1149" t="str">
            <v>Neumarkt in der Steiermark</v>
          </cell>
          <cell r="L1149" t="str">
            <v>Steiermark</v>
          </cell>
          <cell r="M1149">
            <v>33</v>
          </cell>
        </row>
        <row r="1150">
          <cell r="K1150" t="str">
            <v>Neunkirchen</v>
          </cell>
          <cell r="L1150" t="str">
            <v>Niederösterreich</v>
          </cell>
          <cell r="M1150">
            <v>11</v>
          </cell>
        </row>
        <row r="1151">
          <cell r="K1151" t="str">
            <v>Neusiedl am See</v>
          </cell>
          <cell r="L1151" t="str">
            <v>Burgenland</v>
          </cell>
          <cell r="M1151">
            <v>32</v>
          </cell>
        </row>
        <row r="1152">
          <cell r="K1152" t="str">
            <v>Neusiedl an der Zaya</v>
          </cell>
          <cell r="L1152" t="str">
            <v>Niederösterreich</v>
          </cell>
          <cell r="M1152">
            <v>34</v>
          </cell>
        </row>
        <row r="1153">
          <cell r="K1153" t="str">
            <v>Neustadtl an der Donau</v>
          </cell>
          <cell r="L1153" t="str">
            <v>Niederösterreich</v>
          </cell>
          <cell r="M1153">
            <v>23</v>
          </cell>
        </row>
        <row r="1154">
          <cell r="K1154" t="str">
            <v>Neustift an der Lafnitz</v>
          </cell>
          <cell r="L1154" t="str">
            <v>Burgenland</v>
          </cell>
          <cell r="M1154">
            <v>34</v>
          </cell>
        </row>
        <row r="1155">
          <cell r="K1155" t="str">
            <v>Neustift bei Güssing</v>
          </cell>
          <cell r="L1155" t="str">
            <v>Burgenland</v>
          </cell>
          <cell r="M1155">
            <v>34</v>
          </cell>
        </row>
        <row r="1156">
          <cell r="K1156" t="str">
            <v>Neustift im Mühlkreis</v>
          </cell>
          <cell r="L1156" t="str">
            <v>Oberösterreich</v>
          </cell>
          <cell r="M1156">
            <v>34</v>
          </cell>
        </row>
        <row r="1157">
          <cell r="K1157" t="str">
            <v>Neustift im Stubaital</v>
          </cell>
          <cell r="L1157" t="str">
            <v>Tirol</v>
          </cell>
          <cell r="M1157">
            <v>33</v>
          </cell>
        </row>
        <row r="1158">
          <cell r="K1158" t="str">
            <v>Neustift-Innermanzing</v>
          </cell>
          <cell r="L1158" t="str">
            <v>Niederösterreich</v>
          </cell>
          <cell r="M1158">
            <v>23</v>
          </cell>
        </row>
        <row r="1159">
          <cell r="K1159" t="str">
            <v>Neutal</v>
          </cell>
          <cell r="L1159" t="str">
            <v>Burgenland</v>
          </cell>
          <cell r="M1159">
            <v>33</v>
          </cell>
        </row>
        <row r="1160">
          <cell r="K1160" t="str">
            <v>Nickelsdorf</v>
          </cell>
          <cell r="L1160" t="str">
            <v>Burgenland</v>
          </cell>
          <cell r="M1160">
            <v>33</v>
          </cell>
        </row>
        <row r="1161">
          <cell r="K1161" t="str">
            <v>Niederhollabrunn</v>
          </cell>
          <cell r="L1161" t="str">
            <v>Niederösterreich</v>
          </cell>
          <cell r="M1161">
            <v>24</v>
          </cell>
        </row>
        <row r="1162">
          <cell r="K1162" t="str">
            <v>Niederkappel</v>
          </cell>
          <cell r="L1162" t="str">
            <v>Oberösterreich</v>
          </cell>
          <cell r="M1162">
            <v>34</v>
          </cell>
        </row>
        <row r="1163">
          <cell r="K1163" t="str">
            <v>Niederleis</v>
          </cell>
          <cell r="L1163" t="str">
            <v>Niederösterreich</v>
          </cell>
          <cell r="M1163">
            <v>34</v>
          </cell>
        </row>
        <row r="1164">
          <cell r="K1164" t="str">
            <v>Niederndorf</v>
          </cell>
          <cell r="L1164" t="str">
            <v>Tirol</v>
          </cell>
          <cell r="M1164">
            <v>23</v>
          </cell>
        </row>
        <row r="1165">
          <cell r="K1165" t="str">
            <v>Niederndorferberg</v>
          </cell>
          <cell r="L1165" t="str">
            <v>Tirol</v>
          </cell>
          <cell r="M1165">
            <v>24</v>
          </cell>
        </row>
        <row r="1166">
          <cell r="K1166" t="str">
            <v>Niederneukirchen</v>
          </cell>
          <cell r="L1166" t="str">
            <v>Oberösterreich</v>
          </cell>
          <cell r="M1166">
            <v>23</v>
          </cell>
        </row>
        <row r="1167">
          <cell r="K1167" t="str">
            <v>Niedernsill</v>
          </cell>
          <cell r="L1167" t="str">
            <v>Salzburg</v>
          </cell>
          <cell r="M1167">
            <v>33</v>
          </cell>
        </row>
        <row r="1168">
          <cell r="K1168" t="str">
            <v>Niederthalheim</v>
          </cell>
          <cell r="L1168" t="str">
            <v>Oberösterreich</v>
          </cell>
          <cell r="M1168">
            <v>24</v>
          </cell>
        </row>
        <row r="1169">
          <cell r="K1169" t="str">
            <v>Niederwaldkirchen</v>
          </cell>
          <cell r="L1169" t="str">
            <v>Oberösterreich</v>
          </cell>
          <cell r="M1169">
            <v>22</v>
          </cell>
        </row>
        <row r="1170">
          <cell r="K1170" t="str">
            <v>Niederwölz</v>
          </cell>
          <cell r="L1170" t="str">
            <v>Steiermark</v>
          </cell>
          <cell r="M1170">
            <v>23</v>
          </cell>
        </row>
        <row r="1171">
          <cell r="K1171" t="str">
            <v>Nikitsch</v>
          </cell>
          <cell r="L1171" t="str">
            <v>Burgenland</v>
          </cell>
          <cell r="M1171">
            <v>34</v>
          </cell>
        </row>
        <row r="1172">
          <cell r="K1172" t="str">
            <v>Niklasdorf</v>
          </cell>
          <cell r="L1172" t="str">
            <v>Steiermark</v>
          </cell>
          <cell r="M1172">
            <v>12</v>
          </cell>
        </row>
        <row r="1173">
          <cell r="K1173" t="str">
            <v>Nikolsdorf</v>
          </cell>
          <cell r="L1173" t="str">
            <v>Tirol</v>
          </cell>
          <cell r="M1173">
            <v>22</v>
          </cell>
        </row>
        <row r="1174">
          <cell r="K1174" t="str">
            <v>Nöchling</v>
          </cell>
          <cell r="L1174" t="str">
            <v>Niederösterreich</v>
          </cell>
          <cell r="M1174">
            <v>34</v>
          </cell>
        </row>
        <row r="1175">
          <cell r="K1175" t="str">
            <v>Nötsch im Gailtal</v>
          </cell>
          <cell r="L1175" t="str">
            <v>Kärnten</v>
          </cell>
          <cell r="M1175">
            <v>23</v>
          </cell>
        </row>
        <row r="1176">
          <cell r="K1176" t="str">
            <v>Nußbach</v>
          </cell>
          <cell r="L1176" t="str">
            <v>Oberösterreich</v>
          </cell>
          <cell r="M1176">
            <v>23</v>
          </cell>
        </row>
        <row r="1177">
          <cell r="K1177" t="str">
            <v>Nußdorf am Attersee</v>
          </cell>
          <cell r="L1177" t="str">
            <v>Oberösterreich</v>
          </cell>
          <cell r="M1177">
            <v>24</v>
          </cell>
        </row>
        <row r="1178">
          <cell r="K1178" t="str">
            <v>Nußdorf am Haunsberg</v>
          </cell>
          <cell r="L1178" t="str">
            <v>Salzburg</v>
          </cell>
          <cell r="M1178">
            <v>22</v>
          </cell>
        </row>
        <row r="1179">
          <cell r="K1179" t="str">
            <v>Nußdorf ob der Traisen</v>
          </cell>
          <cell r="L1179" t="str">
            <v>Niederösterreich</v>
          </cell>
          <cell r="M1179">
            <v>24</v>
          </cell>
        </row>
        <row r="1180">
          <cell r="K1180" t="str">
            <v>Nußdorf-Debant</v>
          </cell>
          <cell r="L1180" t="str">
            <v>Tirol</v>
          </cell>
          <cell r="M1180">
            <v>12</v>
          </cell>
        </row>
        <row r="1181">
          <cell r="K1181" t="str">
            <v>Nüziders</v>
          </cell>
          <cell r="L1181" t="str">
            <v>Vorarlberg</v>
          </cell>
          <cell r="M1181">
            <v>11</v>
          </cell>
        </row>
        <row r="1182">
          <cell r="K1182" t="str">
            <v>Obdach</v>
          </cell>
          <cell r="L1182" t="str">
            <v>Steiermark</v>
          </cell>
          <cell r="M1182">
            <v>24</v>
          </cell>
        </row>
        <row r="1183">
          <cell r="K1183" t="str">
            <v>Oberalm</v>
          </cell>
          <cell r="L1183" t="str">
            <v>Salzburg</v>
          </cell>
          <cell r="M1183">
            <v>12</v>
          </cell>
        </row>
        <row r="1184">
          <cell r="K1184" t="str">
            <v>Oberdorf im Burgenland</v>
          </cell>
          <cell r="L1184" t="str">
            <v>Burgenland</v>
          </cell>
          <cell r="M1184">
            <v>34</v>
          </cell>
        </row>
        <row r="1185">
          <cell r="K1185" t="str">
            <v>Oberdrauburg</v>
          </cell>
          <cell r="L1185" t="str">
            <v>Kärnten</v>
          </cell>
          <cell r="M1185">
            <v>22</v>
          </cell>
        </row>
        <row r="1186">
          <cell r="K1186" t="str">
            <v>Ober-Grafendorf</v>
          </cell>
          <cell r="L1186" t="str">
            <v>Niederösterreich</v>
          </cell>
          <cell r="M1186">
            <v>22</v>
          </cell>
        </row>
        <row r="1187">
          <cell r="K1187" t="str">
            <v>Oberhaag</v>
          </cell>
          <cell r="L1187" t="str">
            <v>Steiermark</v>
          </cell>
          <cell r="M1187">
            <v>34</v>
          </cell>
        </row>
        <row r="1188">
          <cell r="K1188" t="str">
            <v>Oberhofen am Irrsee</v>
          </cell>
          <cell r="L1188" t="str">
            <v>Oberösterreich</v>
          </cell>
          <cell r="M1188">
            <v>22</v>
          </cell>
        </row>
        <row r="1189">
          <cell r="K1189" t="str">
            <v>Oberhofen im Inntal</v>
          </cell>
          <cell r="L1189" t="str">
            <v>Tirol</v>
          </cell>
          <cell r="M1189">
            <v>12</v>
          </cell>
        </row>
        <row r="1190">
          <cell r="K1190" t="str">
            <v>Oberkappel</v>
          </cell>
          <cell r="L1190" t="str">
            <v>Oberösterreich</v>
          </cell>
          <cell r="M1190">
            <v>34</v>
          </cell>
        </row>
        <row r="1191">
          <cell r="K1191" t="str">
            <v>Oberlienz</v>
          </cell>
          <cell r="L1191" t="str">
            <v>Tirol</v>
          </cell>
          <cell r="M1191">
            <v>23</v>
          </cell>
        </row>
        <row r="1192">
          <cell r="K1192" t="str">
            <v>Oberloisdorf</v>
          </cell>
          <cell r="L1192" t="str">
            <v>Burgenland</v>
          </cell>
          <cell r="M1192">
            <v>34</v>
          </cell>
        </row>
        <row r="1193">
          <cell r="K1193" t="str">
            <v>Obernberg am Brenner</v>
          </cell>
          <cell r="L1193" t="str">
            <v>Tirol</v>
          </cell>
          <cell r="M1193">
            <v>34</v>
          </cell>
        </row>
        <row r="1194">
          <cell r="K1194" t="str">
            <v>Obernberg am Inn</v>
          </cell>
          <cell r="L1194" t="str">
            <v>Oberösterreich</v>
          </cell>
          <cell r="M1194">
            <v>24</v>
          </cell>
        </row>
        <row r="1195">
          <cell r="K1195" t="str">
            <v>Oberndorf an der Melk</v>
          </cell>
          <cell r="L1195" t="str">
            <v>Niederösterreich</v>
          </cell>
          <cell r="M1195">
            <v>34</v>
          </cell>
        </row>
        <row r="1196">
          <cell r="K1196" t="str">
            <v>Oberndorf bei Salzburg</v>
          </cell>
          <cell r="L1196" t="str">
            <v>Salzburg</v>
          </cell>
          <cell r="M1196">
            <v>22</v>
          </cell>
        </row>
        <row r="1197">
          <cell r="K1197" t="str">
            <v>Oberndorf bei Schwanenstadt</v>
          </cell>
          <cell r="L1197" t="str">
            <v>Oberösterreich</v>
          </cell>
          <cell r="M1197">
            <v>22</v>
          </cell>
        </row>
        <row r="1198">
          <cell r="K1198" t="str">
            <v>Oberndorf in Tirol</v>
          </cell>
          <cell r="L1198" t="str">
            <v>Tirol</v>
          </cell>
          <cell r="M1198">
            <v>22</v>
          </cell>
        </row>
        <row r="1199">
          <cell r="K1199" t="str">
            <v>Oberneukirchen</v>
          </cell>
          <cell r="L1199" t="str">
            <v>Oberösterreich</v>
          </cell>
          <cell r="M1199">
            <v>24</v>
          </cell>
        </row>
        <row r="1200">
          <cell r="K1200" t="str">
            <v>Oberperfuss</v>
          </cell>
          <cell r="L1200" t="str">
            <v>Tirol</v>
          </cell>
          <cell r="M1200">
            <v>12</v>
          </cell>
        </row>
        <row r="1201">
          <cell r="K1201" t="str">
            <v>Oberpullendorf</v>
          </cell>
          <cell r="L1201" t="str">
            <v>Burgenland</v>
          </cell>
          <cell r="M1201">
            <v>33</v>
          </cell>
        </row>
        <row r="1202">
          <cell r="K1202" t="str">
            <v>Oberschlierbach</v>
          </cell>
          <cell r="L1202" t="str">
            <v>Oberösterreich</v>
          </cell>
          <cell r="M1202">
            <v>34</v>
          </cell>
        </row>
        <row r="1203">
          <cell r="K1203" t="str">
            <v>Oberschützen</v>
          </cell>
          <cell r="L1203" t="str">
            <v>Burgenland</v>
          </cell>
          <cell r="M1203">
            <v>34</v>
          </cell>
        </row>
        <row r="1204">
          <cell r="K1204" t="str">
            <v>Obersiebenbrunn</v>
          </cell>
          <cell r="L1204" t="str">
            <v>Niederösterreich</v>
          </cell>
          <cell r="M1204">
            <v>22</v>
          </cell>
        </row>
        <row r="1205">
          <cell r="K1205" t="str">
            <v>Obertilliach</v>
          </cell>
          <cell r="L1205" t="str">
            <v>Tirol</v>
          </cell>
          <cell r="M1205">
            <v>34</v>
          </cell>
        </row>
        <row r="1206">
          <cell r="K1206" t="str">
            <v>Obertraun</v>
          </cell>
          <cell r="L1206" t="str">
            <v>Oberösterreich</v>
          </cell>
          <cell r="M1206">
            <v>32</v>
          </cell>
        </row>
        <row r="1207">
          <cell r="K1207" t="str">
            <v>Obertrum am See</v>
          </cell>
          <cell r="L1207" t="str">
            <v>Salzburg</v>
          </cell>
          <cell r="M1207">
            <v>23</v>
          </cell>
        </row>
        <row r="1208">
          <cell r="K1208" t="str">
            <v>Obervellach</v>
          </cell>
          <cell r="L1208" t="str">
            <v>Kärnten</v>
          </cell>
          <cell r="M1208">
            <v>33</v>
          </cell>
        </row>
        <row r="1209">
          <cell r="K1209" t="str">
            <v>Oberwaltersdorf</v>
          </cell>
          <cell r="L1209" t="str">
            <v>Niederösterreich</v>
          </cell>
          <cell r="M1209">
            <v>23</v>
          </cell>
        </row>
        <row r="1210">
          <cell r="K1210" t="str">
            <v>Oberwang</v>
          </cell>
          <cell r="L1210" t="str">
            <v>Oberösterreich</v>
          </cell>
          <cell r="M1210">
            <v>24</v>
          </cell>
        </row>
        <row r="1211">
          <cell r="K1211" t="str">
            <v>Oberwart</v>
          </cell>
          <cell r="L1211" t="str">
            <v>Burgenland</v>
          </cell>
          <cell r="M1211">
            <v>32</v>
          </cell>
        </row>
        <row r="1212">
          <cell r="K1212" t="str">
            <v>Oberwölz</v>
          </cell>
          <cell r="L1212" t="str">
            <v>Steiermark</v>
          </cell>
          <cell r="M1212">
            <v>34</v>
          </cell>
        </row>
        <row r="1213">
          <cell r="K1213" t="str">
            <v>Öblarn</v>
          </cell>
          <cell r="L1213" t="str">
            <v>Steiermark</v>
          </cell>
          <cell r="M1213">
            <v>33</v>
          </cell>
        </row>
        <row r="1214">
          <cell r="K1214" t="str">
            <v>Obritzberg-Rust</v>
          </cell>
          <cell r="L1214" t="str">
            <v>Niederösterreich</v>
          </cell>
          <cell r="M1214">
            <v>24</v>
          </cell>
        </row>
        <row r="1215">
          <cell r="K1215" t="str">
            <v>Obsteig</v>
          </cell>
          <cell r="L1215" t="str">
            <v>Tirol</v>
          </cell>
          <cell r="M1215">
            <v>23</v>
          </cell>
        </row>
        <row r="1216">
          <cell r="K1216" t="str">
            <v>Oed-Oehling</v>
          </cell>
          <cell r="L1216" t="str">
            <v>Niederösterreich</v>
          </cell>
          <cell r="M1216">
            <v>23</v>
          </cell>
        </row>
        <row r="1217">
          <cell r="K1217" t="str">
            <v>Oepping</v>
          </cell>
          <cell r="L1217" t="str">
            <v>Oberösterreich</v>
          </cell>
          <cell r="M1217">
            <v>32</v>
          </cell>
        </row>
        <row r="1218">
          <cell r="K1218" t="str">
            <v>Oetz</v>
          </cell>
          <cell r="L1218" t="str">
            <v>Tirol</v>
          </cell>
          <cell r="M1218">
            <v>23</v>
          </cell>
        </row>
        <row r="1219">
          <cell r="K1219" t="str">
            <v>Offenhausen</v>
          </cell>
          <cell r="L1219" t="str">
            <v>Oberösterreich</v>
          </cell>
          <cell r="M1219">
            <v>23</v>
          </cell>
        </row>
        <row r="1220">
          <cell r="K1220" t="str">
            <v>Oftering</v>
          </cell>
          <cell r="L1220" t="str">
            <v>Oberösterreich</v>
          </cell>
          <cell r="M1220">
            <v>22</v>
          </cell>
        </row>
        <row r="1221">
          <cell r="K1221" t="str">
            <v>Oggau am Neusiedler See</v>
          </cell>
          <cell r="L1221" t="str">
            <v>Burgenland</v>
          </cell>
          <cell r="M1221">
            <v>24</v>
          </cell>
        </row>
        <row r="1222">
          <cell r="K1222" t="str">
            <v>Ohlsdorf</v>
          </cell>
          <cell r="L1222" t="str">
            <v>Oberösterreich</v>
          </cell>
          <cell r="M1222">
            <v>12</v>
          </cell>
        </row>
        <row r="1223">
          <cell r="K1223" t="str">
            <v>Olbendorf</v>
          </cell>
          <cell r="L1223" t="str">
            <v>Burgenland</v>
          </cell>
          <cell r="M1223">
            <v>34</v>
          </cell>
        </row>
        <row r="1224">
          <cell r="K1224" t="str">
            <v>Ollersdorf im Burgenland</v>
          </cell>
          <cell r="L1224" t="str">
            <v>Burgenland</v>
          </cell>
          <cell r="M1224">
            <v>34</v>
          </cell>
        </row>
        <row r="1225">
          <cell r="K1225" t="str">
            <v>Opponitz</v>
          </cell>
          <cell r="L1225" t="str">
            <v>Niederösterreich</v>
          </cell>
          <cell r="M1225">
            <v>34</v>
          </cell>
        </row>
        <row r="1226">
          <cell r="K1226" t="str">
            <v>Ort im Innkreis</v>
          </cell>
          <cell r="L1226" t="str">
            <v>Oberösterreich</v>
          </cell>
          <cell r="M1226">
            <v>24</v>
          </cell>
        </row>
        <row r="1227">
          <cell r="K1227" t="str">
            <v>Orth an der Donau</v>
          </cell>
          <cell r="L1227" t="str">
            <v>Niederösterreich</v>
          </cell>
          <cell r="M1227">
            <v>23</v>
          </cell>
        </row>
        <row r="1228">
          <cell r="K1228" t="str">
            <v>Oslip</v>
          </cell>
          <cell r="L1228" t="str">
            <v>Burgenland</v>
          </cell>
          <cell r="M1228">
            <v>23</v>
          </cell>
        </row>
        <row r="1229">
          <cell r="K1229" t="str">
            <v>Ossiach</v>
          </cell>
          <cell r="L1229" t="str">
            <v>Kärnten</v>
          </cell>
          <cell r="M1229">
            <v>24</v>
          </cell>
        </row>
        <row r="1230">
          <cell r="K1230" t="str">
            <v>Ostermiething</v>
          </cell>
          <cell r="L1230" t="str">
            <v>Oberösterreich</v>
          </cell>
          <cell r="M1230">
            <v>32</v>
          </cell>
        </row>
        <row r="1231">
          <cell r="K1231" t="str">
            <v>Ottendorf an der Rittschein</v>
          </cell>
          <cell r="L1231" t="str">
            <v>Steiermark</v>
          </cell>
          <cell r="M1231">
            <v>34</v>
          </cell>
        </row>
        <row r="1232">
          <cell r="K1232" t="str">
            <v>Ottenschlag</v>
          </cell>
          <cell r="L1232" t="str">
            <v>Niederösterreich</v>
          </cell>
          <cell r="M1232">
            <v>34</v>
          </cell>
        </row>
        <row r="1233">
          <cell r="K1233" t="str">
            <v>Ottenschlag im Mühlkreis</v>
          </cell>
          <cell r="L1233" t="str">
            <v>Oberösterreich</v>
          </cell>
          <cell r="M1233">
            <v>24</v>
          </cell>
        </row>
        <row r="1234">
          <cell r="K1234" t="str">
            <v>Ottensheim</v>
          </cell>
          <cell r="L1234" t="str">
            <v>Oberösterreich</v>
          </cell>
          <cell r="M1234">
            <v>22</v>
          </cell>
        </row>
        <row r="1235">
          <cell r="K1235" t="str">
            <v>Ottenthal</v>
          </cell>
          <cell r="L1235" t="str">
            <v>Niederösterreich</v>
          </cell>
          <cell r="M1235">
            <v>34</v>
          </cell>
        </row>
        <row r="1236">
          <cell r="K1236" t="str">
            <v>Otterthal</v>
          </cell>
          <cell r="L1236" t="str">
            <v>Niederösterreich</v>
          </cell>
          <cell r="M1236">
            <v>24</v>
          </cell>
        </row>
        <row r="1237">
          <cell r="K1237" t="str">
            <v>Ottnang am Hausruck</v>
          </cell>
          <cell r="L1237" t="str">
            <v>Oberösterreich</v>
          </cell>
          <cell r="M1237">
            <v>23</v>
          </cell>
        </row>
        <row r="1238">
          <cell r="K1238" t="str">
            <v>Pabneukirchen</v>
          </cell>
          <cell r="L1238" t="str">
            <v>Oberösterreich</v>
          </cell>
          <cell r="M1238">
            <v>34</v>
          </cell>
        </row>
        <row r="1239">
          <cell r="K1239" t="str">
            <v>Paldau</v>
          </cell>
          <cell r="L1239" t="str">
            <v>Steiermark</v>
          </cell>
          <cell r="M1239">
            <v>33</v>
          </cell>
        </row>
        <row r="1240">
          <cell r="K1240" t="str">
            <v>Palterndorf-Dobermannsdorf</v>
          </cell>
          <cell r="L1240" t="str">
            <v>Niederösterreich</v>
          </cell>
          <cell r="M1240">
            <v>34</v>
          </cell>
        </row>
        <row r="1241">
          <cell r="K1241" t="str">
            <v>Palting</v>
          </cell>
          <cell r="L1241" t="str">
            <v>Oberösterreich</v>
          </cell>
          <cell r="M1241">
            <v>24</v>
          </cell>
        </row>
        <row r="1242">
          <cell r="K1242" t="str">
            <v>Pama</v>
          </cell>
          <cell r="L1242" t="str">
            <v>Burgenland</v>
          </cell>
          <cell r="M1242">
            <v>32</v>
          </cell>
        </row>
        <row r="1243">
          <cell r="K1243" t="str">
            <v>Pamhagen</v>
          </cell>
          <cell r="L1243" t="str">
            <v>Burgenland</v>
          </cell>
          <cell r="M1243">
            <v>33</v>
          </cell>
        </row>
        <row r="1244">
          <cell r="K1244" t="str">
            <v>Parbasdorf</v>
          </cell>
          <cell r="L1244" t="str">
            <v>Niederösterreich</v>
          </cell>
          <cell r="M1244">
            <v>24</v>
          </cell>
        </row>
        <row r="1245">
          <cell r="K1245" t="str">
            <v>Parndorf</v>
          </cell>
          <cell r="L1245" t="str">
            <v>Burgenland</v>
          </cell>
          <cell r="M1245">
            <v>22</v>
          </cell>
        </row>
        <row r="1246">
          <cell r="K1246" t="str">
            <v>Pasching</v>
          </cell>
          <cell r="L1246" t="str">
            <v>Oberösterreich</v>
          </cell>
          <cell r="M1246">
            <v>11</v>
          </cell>
        </row>
        <row r="1247">
          <cell r="K1247" t="str">
            <v>Passail</v>
          </cell>
          <cell r="L1247" t="str">
            <v>Steiermark</v>
          </cell>
          <cell r="M1247">
            <v>24</v>
          </cell>
        </row>
        <row r="1248">
          <cell r="K1248" t="str">
            <v>Paternion</v>
          </cell>
          <cell r="L1248" t="str">
            <v>Kärnten</v>
          </cell>
          <cell r="M1248">
            <v>23</v>
          </cell>
        </row>
        <row r="1249">
          <cell r="K1249" t="str">
            <v>Patsch</v>
          </cell>
          <cell r="L1249" t="str">
            <v>Tirol</v>
          </cell>
          <cell r="M1249">
            <v>23</v>
          </cell>
        </row>
        <row r="1250">
          <cell r="K1250" t="str">
            <v>Pattigham</v>
          </cell>
          <cell r="L1250" t="str">
            <v>Oberösterreich</v>
          </cell>
          <cell r="M1250">
            <v>23</v>
          </cell>
        </row>
        <row r="1251">
          <cell r="K1251" t="str">
            <v>Paudorf</v>
          </cell>
          <cell r="L1251" t="str">
            <v>Niederösterreich</v>
          </cell>
          <cell r="M1251">
            <v>22</v>
          </cell>
        </row>
        <row r="1252">
          <cell r="K1252" t="str">
            <v>Payerbach</v>
          </cell>
          <cell r="L1252" t="str">
            <v>Niederösterreich</v>
          </cell>
          <cell r="M1252">
            <v>22</v>
          </cell>
        </row>
        <row r="1253">
          <cell r="K1253" t="str">
            <v>Peggau</v>
          </cell>
          <cell r="L1253" t="str">
            <v>Steiermark</v>
          </cell>
          <cell r="M1253">
            <v>32</v>
          </cell>
        </row>
        <row r="1254">
          <cell r="K1254" t="str">
            <v>Peilstein im Mühlviertel</v>
          </cell>
          <cell r="L1254" t="str">
            <v>Oberösterreich</v>
          </cell>
          <cell r="M1254">
            <v>34</v>
          </cell>
        </row>
        <row r="1255">
          <cell r="K1255" t="str">
            <v>Pennewang</v>
          </cell>
          <cell r="L1255" t="str">
            <v>Oberösterreich</v>
          </cell>
          <cell r="M1255">
            <v>23</v>
          </cell>
        </row>
        <row r="1256">
          <cell r="K1256" t="str">
            <v>Perchtoldsdorf</v>
          </cell>
          <cell r="L1256" t="str">
            <v>Niederösterreich</v>
          </cell>
          <cell r="M1256">
            <v>11</v>
          </cell>
        </row>
        <row r="1257">
          <cell r="K1257" t="str">
            <v>Perg</v>
          </cell>
          <cell r="L1257" t="str">
            <v>Oberösterreich</v>
          </cell>
          <cell r="M1257">
            <v>22</v>
          </cell>
        </row>
        <row r="1258">
          <cell r="K1258" t="str">
            <v>Pernegg</v>
          </cell>
          <cell r="L1258" t="str">
            <v>Niederösterreich</v>
          </cell>
          <cell r="M1258">
            <v>33</v>
          </cell>
        </row>
        <row r="1259">
          <cell r="K1259" t="str">
            <v>Pernegg an der Mur</v>
          </cell>
          <cell r="L1259" t="str">
            <v>Steiermark</v>
          </cell>
          <cell r="M1259">
            <v>22</v>
          </cell>
        </row>
        <row r="1260">
          <cell r="K1260" t="str">
            <v>Pernersdorf</v>
          </cell>
          <cell r="L1260" t="str">
            <v>Niederösterreich</v>
          </cell>
          <cell r="M1260">
            <v>33</v>
          </cell>
        </row>
        <row r="1261">
          <cell r="K1261" t="str">
            <v>Pernitz</v>
          </cell>
          <cell r="L1261" t="str">
            <v>Niederösterreich</v>
          </cell>
          <cell r="M1261">
            <v>22</v>
          </cell>
        </row>
        <row r="1262">
          <cell r="K1262" t="str">
            <v>Perschling</v>
          </cell>
          <cell r="L1262" t="str">
            <v>Niederösterreich</v>
          </cell>
          <cell r="M1262">
            <v>24</v>
          </cell>
        </row>
        <row r="1263">
          <cell r="K1263" t="str">
            <v>Persenbeug-Gottsdorf</v>
          </cell>
          <cell r="L1263" t="str">
            <v>Niederösterreich</v>
          </cell>
          <cell r="M1263">
            <v>23</v>
          </cell>
        </row>
        <row r="1264">
          <cell r="K1264" t="str">
            <v>Perwang am Grabensee</v>
          </cell>
          <cell r="L1264" t="str">
            <v>Oberösterreich</v>
          </cell>
          <cell r="M1264">
            <v>24</v>
          </cell>
        </row>
        <row r="1265">
          <cell r="K1265" t="str">
            <v>Peterskirchen</v>
          </cell>
          <cell r="L1265" t="str">
            <v>Oberösterreich</v>
          </cell>
          <cell r="M1265">
            <v>22</v>
          </cell>
        </row>
        <row r="1266">
          <cell r="K1266" t="str">
            <v>Petronell-Carnuntum</v>
          </cell>
          <cell r="L1266" t="str">
            <v>Niederösterreich</v>
          </cell>
          <cell r="M1266">
            <v>32</v>
          </cell>
        </row>
        <row r="1267">
          <cell r="K1267" t="str">
            <v>Pettenbach</v>
          </cell>
          <cell r="L1267" t="str">
            <v>Oberösterreich</v>
          </cell>
          <cell r="M1267">
            <v>23</v>
          </cell>
        </row>
        <row r="1268">
          <cell r="K1268" t="str">
            <v>Pettnau</v>
          </cell>
          <cell r="L1268" t="str">
            <v>Tirol</v>
          </cell>
          <cell r="M1268">
            <v>23</v>
          </cell>
        </row>
        <row r="1269">
          <cell r="K1269" t="str">
            <v>Pettneu am Arlberg</v>
          </cell>
          <cell r="L1269" t="str">
            <v>Tirol</v>
          </cell>
          <cell r="M1269">
            <v>23</v>
          </cell>
        </row>
        <row r="1270">
          <cell r="K1270" t="str">
            <v>Petzenkirchen</v>
          </cell>
          <cell r="L1270" t="str">
            <v>Niederösterreich</v>
          </cell>
          <cell r="M1270">
            <v>23</v>
          </cell>
        </row>
        <row r="1271">
          <cell r="K1271" t="str">
            <v>Peuerbach</v>
          </cell>
          <cell r="L1271" t="str">
            <v>Oberösterreich</v>
          </cell>
          <cell r="M1271">
            <v>33</v>
          </cell>
        </row>
        <row r="1272">
          <cell r="K1272" t="str">
            <v>Pfaffenhofen</v>
          </cell>
          <cell r="L1272" t="str">
            <v>Tirol</v>
          </cell>
          <cell r="M1272">
            <v>11</v>
          </cell>
        </row>
        <row r="1273">
          <cell r="K1273" t="str">
            <v>Pfaffenschlag bei Waidhofen a.d.Thaya</v>
          </cell>
          <cell r="L1273" t="str">
            <v>Niederösterreich</v>
          </cell>
          <cell r="M1273">
            <v>33</v>
          </cell>
        </row>
        <row r="1274">
          <cell r="K1274" t="str">
            <v>Pfaffing</v>
          </cell>
          <cell r="L1274" t="str">
            <v>Oberösterreich</v>
          </cell>
          <cell r="M1274">
            <v>24</v>
          </cell>
        </row>
        <row r="1275">
          <cell r="K1275" t="str">
            <v>Pfafflar</v>
          </cell>
          <cell r="L1275" t="str">
            <v>Tirol</v>
          </cell>
          <cell r="M1275">
            <v>24</v>
          </cell>
        </row>
        <row r="1276">
          <cell r="K1276" t="str">
            <v>Pfaffstätt</v>
          </cell>
          <cell r="L1276" t="str">
            <v>Oberösterreich</v>
          </cell>
          <cell r="M1276">
            <v>24</v>
          </cell>
        </row>
        <row r="1277">
          <cell r="K1277" t="str">
            <v>Pfaffstätten</v>
          </cell>
          <cell r="L1277" t="str">
            <v>Niederösterreich</v>
          </cell>
          <cell r="M1277">
            <v>12</v>
          </cell>
        </row>
        <row r="1278">
          <cell r="K1278" t="str">
            <v>Pfarrkirchen bei Bad Hall</v>
          </cell>
          <cell r="L1278" t="str">
            <v>Oberösterreich</v>
          </cell>
          <cell r="M1278">
            <v>24</v>
          </cell>
        </row>
        <row r="1279">
          <cell r="K1279" t="str">
            <v>Pfarrkirchen im Mühlkreis</v>
          </cell>
          <cell r="L1279" t="str">
            <v>Oberösterreich</v>
          </cell>
          <cell r="M1279">
            <v>34</v>
          </cell>
        </row>
        <row r="1280">
          <cell r="K1280" t="str">
            <v>Pfarrwerfen</v>
          </cell>
          <cell r="L1280" t="str">
            <v>Salzburg</v>
          </cell>
          <cell r="M1280">
            <v>22</v>
          </cell>
        </row>
        <row r="1281">
          <cell r="K1281" t="str">
            <v>Pflach</v>
          </cell>
          <cell r="L1281" t="str">
            <v>Tirol</v>
          </cell>
          <cell r="M1281">
            <v>12</v>
          </cell>
        </row>
        <row r="1282">
          <cell r="K1282" t="str">
            <v>Pfons</v>
          </cell>
          <cell r="L1282" t="str">
            <v>Tirol</v>
          </cell>
          <cell r="M1282">
            <v>22</v>
          </cell>
        </row>
        <row r="1283">
          <cell r="K1283" t="str">
            <v>Pfunds</v>
          </cell>
          <cell r="L1283" t="str">
            <v>Tirol</v>
          </cell>
          <cell r="M1283">
            <v>33</v>
          </cell>
        </row>
        <row r="1284">
          <cell r="K1284" t="str">
            <v>Pians</v>
          </cell>
          <cell r="L1284" t="str">
            <v>Tirol</v>
          </cell>
          <cell r="M1284">
            <v>23</v>
          </cell>
        </row>
        <row r="1285">
          <cell r="K1285" t="str">
            <v>Piberbach</v>
          </cell>
          <cell r="L1285" t="str">
            <v>Oberösterreich</v>
          </cell>
          <cell r="M1285">
            <v>22</v>
          </cell>
        </row>
        <row r="1286">
          <cell r="K1286" t="str">
            <v>Pichl bei Wels</v>
          </cell>
          <cell r="L1286" t="str">
            <v>Oberösterreich</v>
          </cell>
          <cell r="M1286">
            <v>23</v>
          </cell>
        </row>
        <row r="1287">
          <cell r="K1287" t="str">
            <v>Pierbach</v>
          </cell>
          <cell r="L1287" t="str">
            <v>Oberösterreich</v>
          </cell>
          <cell r="M1287">
            <v>33</v>
          </cell>
        </row>
        <row r="1288">
          <cell r="K1288" t="str">
            <v>Piesendorf</v>
          </cell>
          <cell r="L1288" t="str">
            <v>Salzburg</v>
          </cell>
          <cell r="M1288">
            <v>32</v>
          </cell>
        </row>
        <row r="1289">
          <cell r="K1289" t="str">
            <v>Pilgersdorf</v>
          </cell>
          <cell r="L1289" t="str">
            <v>Burgenland</v>
          </cell>
          <cell r="M1289">
            <v>34</v>
          </cell>
        </row>
        <row r="1290">
          <cell r="K1290" t="str">
            <v>Pill</v>
          </cell>
          <cell r="L1290" t="str">
            <v>Tirol</v>
          </cell>
          <cell r="M1290">
            <v>12</v>
          </cell>
        </row>
        <row r="1291">
          <cell r="K1291" t="str">
            <v>Pillichsdorf</v>
          </cell>
          <cell r="L1291" t="str">
            <v>Niederösterreich</v>
          </cell>
          <cell r="M1291">
            <v>22</v>
          </cell>
        </row>
        <row r="1292">
          <cell r="K1292" t="str">
            <v>Pilsbach</v>
          </cell>
          <cell r="L1292" t="str">
            <v>Oberösterreich</v>
          </cell>
          <cell r="M1292">
            <v>24</v>
          </cell>
        </row>
        <row r="1293">
          <cell r="K1293" t="str">
            <v>Pinggau</v>
          </cell>
          <cell r="L1293" t="str">
            <v>Steiermark</v>
          </cell>
          <cell r="M1293">
            <v>32</v>
          </cell>
        </row>
        <row r="1294">
          <cell r="K1294" t="str">
            <v>Pinkafeld</v>
          </cell>
          <cell r="L1294" t="str">
            <v>Burgenland</v>
          </cell>
          <cell r="M1294">
            <v>33</v>
          </cell>
        </row>
        <row r="1295">
          <cell r="K1295" t="str">
            <v>Pinsdorf</v>
          </cell>
          <cell r="L1295" t="str">
            <v>Oberösterreich</v>
          </cell>
          <cell r="M1295">
            <v>12</v>
          </cell>
        </row>
        <row r="1296">
          <cell r="K1296" t="str">
            <v>Pinswang</v>
          </cell>
          <cell r="L1296" t="str">
            <v>Tirol</v>
          </cell>
          <cell r="M1296">
            <v>24</v>
          </cell>
        </row>
        <row r="1297">
          <cell r="K1297" t="str">
            <v>Pirching am Traubenberg</v>
          </cell>
          <cell r="L1297" t="str">
            <v>Steiermark</v>
          </cell>
          <cell r="M1297">
            <v>23</v>
          </cell>
        </row>
        <row r="1298">
          <cell r="K1298" t="str">
            <v>Piringsdorf</v>
          </cell>
          <cell r="L1298" t="str">
            <v>Burgenland</v>
          </cell>
          <cell r="M1298">
            <v>34</v>
          </cell>
        </row>
        <row r="1299">
          <cell r="K1299" t="str">
            <v>Pischelsdorf am Engelbach</v>
          </cell>
          <cell r="L1299" t="str">
            <v>Oberösterreich</v>
          </cell>
          <cell r="M1299">
            <v>24</v>
          </cell>
        </row>
        <row r="1300">
          <cell r="K1300" t="str">
            <v>Pischelsdorf am Kulm</v>
          </cell>
          <cell r="L1300" t="str">
            <v>Steiermark</v>
          </cell>
          <cell r="M1300">
            <v>22</v>
          </cell>
        </row>
        <row r="1301">
          <cell r="K1301" t="str">
            <v>Pitten</v>
          </cell>
          <cell r="L1301" t="str">
            <v>Niederösterreich</v>
          </cell>
          <cell r="M1301">
            <v>22</v>
          </cell>
        </row>
        <row r="1302">
          <cell r="K1302" t="str">
            <v>Pitzenberg</v>
          </cell>
          <cell r="L1302" t="str">
            <v>Oberösterreich</v>
          </cell>
          <cell r="M1302">
            <v>24</v>
          </cell>
        </row>
        <row r="1303">
          <cell r="K1303" t="str">
            <v>Plainfeld</v>
          </cell>
          <cell r="L1303" t="str">
            <v>Salzburg</v>
          </cell>
          <cell r="M1303">
            <v>24</v>
          </cell>
        </row>
        <row r="1304">
          <cell r="K1304" t="str">
            <v>Pöchlarn</v>
          </cell>
          <cell r="L1304" t="str">
            <v>Niederösterreich</v>
          </cell>
          <cell r="M1304">
            <v>22</v>
          </cell>
        </row>
        <row r="1305">
          <cell r="K1305" t="str">
            <v>Podersdorf am See</v>
          </cell>
          <cell r="L1305" t="str">
            <v>Burgenland</v>
          </cell>
          <cell r="M1305">
            <v>33</v>
          </cell>
        </row>
        <row r="1306">
          <cell r="K1306" t="str">
            <v>Poggersdorf</v>
          </cell>
          <cell r="L1306" t="str">
            <v>Kärnten</v>
          </cell>
          <cell r="M1306">
            <v>23</v>
          </cell>
        </row>
        <row r="1307">
          <cell r="K1307" t="str">
            <v>Pöggstall</v>
          </cell>
          <cell r="L1307" t="str">
            <v>Niederösterreich</v>
          </cell>
          <cell r="M1307">
            <v>33</v>
          </cell>
        </row>
        <row r="1308">
          <cell r="K1308" t="str">
            <v>Pölfing-Brunn</v>
          </cell>
          <cell r="L1308" t="str">
            <v>Steiermark</v>
          </cell>
          <cell r="M1308">
            <v>33</v>
          </cell>
        </row>
        <row r="1309">
          <cell r="K1309" t="str">
            <v>Pölla</v>
          </cell>
          <cell r="L1309" t="str">
            <v>Niederösterreich</v>
          </cell>
          <cell r="M1309">
            <v>34</v>
          </cell>
        </row>
        <row r="1310">
          <cell r="K1310" t="str">
            <v>Pöllau</v>
          </cell>
          <cell r="L1310" t="str">
            <v>Steiermark</v>
          </cell>
          <cell r="M1310">
            <v>34</v>
          </cell>
        </row>
        <row r="1311">
          <cell r="K1311" t="str">
            <v>Pöllauberg</v>
          </cell>
          <cell r="L1311" t="str">
            <v>Steiermark</v>
          </cell>
          <cell r="M1311">
            <v>34</v>
          </cell>
        </row>
        <row r="1312">
          <cell r="K1312" t="str">
            <v>Pollham</v>
          </cell>
          <cell r="L1312" t="str">
            <v>Oberösterreich</v>
          </cell>
          <cell r="M1312">
            <v>24</v>
          </cell>
        </row>
        <row r="1313">
          <cell r="K1313" t="str">
            <v>Polling im Innkreis</v>
          </cell>
          <cell r="L1313" t="str">
            <v>Oberösterreich</v>
          </cell>
          <cell r="M1313">
            <v>24</v>
          </cell>
        </row>
        <row r="1314">
          <cell r="K1314" t="str">
            <v>Polling in Tirol</v>
          </cell>
          <cell r="L1314" t="str">
            <v>Tirol</v>
          </cell>
          <cell r="M1314">
            <v>23</v>
          </cell>
        </row>
        <row r="1315">
          <cell r="K1315" t="str">
            <v>Pöls-Oberkurzheim</v>
          </cell>
          <cell r="L1315" t="str">
            <v>Steiermark</v>
          </cell>
          <cell r="M1315">
            <v>22</v>
          </cell>
        </row>
        <row r="1316">
          <cell r="K1316" t="str">
            <v>Pölstal</v>
          </cell>
          <cell r="L1316" t="str">
            <v>Steiermark</v>
          </cell>
          <cell r="M1316">
            <v>23</v>
          </cell>
        </row>
        <row r="1317">
          <cell r="K1317" t="str">
            <v>Pöndorf</v>
          </cell>
          <cell r="L1317" t="str">
            <v>Oberösterreich</v>
          </cell>
          <cell r="M1317">
            <v>22</v>
          </cell>
        </row>
        <row r="1318">
          <cell r="K1318" t="str">
            <v>Pörtschach am Wörther See</v>
          </cell>
          <cell r="L1318" t="str">
            <v>Kärnten</v>
          </cell>
          <cell r="M1318">
            <v>22</v>
          </cell>
        </row>
        <row r="1319">
          <cell r="K1319" t="str">
            <v>Pöttelsdorf</v>
          </cell>
          <cell r="L1319" t="str">
            <v>Burgenland</v>
          </cell>
          <cell r="M1319">
            <v>23</v>
          </cell>
        </row>
        <row r="1320">
          <cell r="K1320" t="str">
            <v>Pottendorf</v>
          </cell>
          <cell r="L1320" t="str">
            <v>Niederösterreich</v>
          </cell>
          <cell r="M1320">
            <v>23</v>
          </cell>
        </row>
        <row r="1321">
          <cell r="K1321" t="str">
            <v>Pottenstein</v>
          </cell>
          <cell r="L1321" t="str">
            <v>Niederösterreich</v>
          </cell>
          <cell r="M1321">
            <v>12</v>
          </cell>
        </row>
        <row r="1322">
          <cell r="K1322" t="str">
            <v>Pötting</v>
          </cell>
          <cell r="L1322" t="str">
            <v>Oberösterreich</v>
          </cell>
          <cell r="M1322">
            <v>33</v>
          </cell>
        </row>
        <row r="1323">
          <cell r="K1323" t="str">
            <v>Pöttsching</v>
          </cell>
          <cell r="L1323" t="str">
            <v>Burgenland</v>
          </cell>
          <cell r="M1323">
            <v>22</v>
          </cell>
        </row>
        <row r="1324">
          <cell r="K1324" t="str">
            <v>Potzneusiedl</v>
          </cell>
          <cell r="L1324" t="str">
            <v>Burgenland</v>
          </cell>
          <cell r="M1324">
            <v>34</v>
          </cell>
        </row>
        <row r="1325">
          <cell r="K1325" t="str">
            <v>Poysdorf</v>
          </cell>
          <cell r="L1325" t="str">
            <v>Niederösterreich</v>
          </cell>
          <cell r="M1325">
            <v>33</v>
          </cell>
        </row>
        <row r="1326">
          <cell r="K1326" t="str">
            <v>Prägraten am Großvenediger</v>
          </cell>
          <cell r="L1326" t="str">
            <v>Tirol</v>
          </cell>
          <cell r="M1326">
            <v>34</v>
          </cell>
        </row>
        <row r="1327">
          <cell r="K1327" t="str">
            <v>Pram</v>
          </cell>
          <cell r="L1327" t="str">
            <v>Oberösterreich</v>
          </cell>
          <cell r="M1327">
            <v>22</v>
          </cell>
        </row>
        <row r="1328">
          <cell r="K1328" t="str">
            <v>Prambachkirchen</v>
          </cell>
          <cell r="L1328" t="str">
            <v>Oberösterreich</v>
          </cell>
          <cell r="M1328">
            <v>22</v>
          </cell>
        </row>
        <row r="1329">
          <cell r="K1329" t="str">
            <v>Pramet</v>
          </cell>
          <cell r="L1329" t="str">
            <v>Oberösterreich</v>
          </cell>
          <cell r="M1329">
            <v>24</v>
          </cell>
        </row>
        <row r="1330">
          <cell r="K1330" t="str">
            <v>Preding</v>
          </cell>
          <cell r="L1330" t="str">
            <v>Steiermark</v>
          </cell>
          <cell r="M1330">
            <v>23</v>
          </cell>
        </row>
        <row r="1331">
          <cell r="K1331" t="str">
            <v>Pregarten</v>
          </cell>
          <cell r="L1331" t="str">
            <v>Oberösterreich</v>
          </cell>
          <cell r="M1331">
            <v>22</v>
          </cell>
        </row>
        <row r="1332">
          <cell r="K1332" t="str">
            <v>Preitenegg</v>
          </cell>
          <cell r="L1332" t="str">
            <v>Kärnten</v>
          </cell>
          <cell r="M1332">
            <v>24</v>
          </cell>
        </row>
        <row r="1333">
          <cell r="K1333" t="str">
            <v>Prellenkirchen</v>
          </cell>
          <cell r="L1333" t="str">
            <v>Niederösterreich</v>
          </cell>
          <cell r="M1333">
            <v>34</v>
          </cell>
        </row>
        <row r="1334">
          <cell r="K1334" t="str">
            <v>Premstätten</v>
          </cell>
          <cell r="L1334" t="str">
            <v>Steiermark</v>
          </cell>
          <cell r="M1334">
            <v>12</v>
          </cell>
        </row>
        <row r="1335">
          <cell r="K1335" t="str">
            <v>Pressbaum</v>
          </cell>
          <cell r="L1335" t="str">
            <v>Niederösterreich</v>
          </cell>
          <cell r="M1335">
            <v>22</v>
          </cell>
        </row>
        <row r="1336">
          <cell r="K1336" t="str">
            <v>Prigglitz</v>
          </cell>
          <cell r="L1336" t="str">
            <v>Niederösterreich</v>
          </cell>
          <cell r="M1336">
            <v>22</v>
          </cell>
        </row>
        <row r="1337">
          <cell r="K1337" t="str">
            <v>Prinzersdorf</v>
          </cell>
          <cell r="L1337" t="str">
            <v>Niederösterreich</v>
          </cell>
          <cell r="M1337">
            <v>22</v>
          </cell>
        </row>
        <row r="1338">
          <cell r="K1338" t="str">
            <v>Proleb</v>
          </cell>
          <cell r="L1338" t="str">
            <v>Steiermark</v>
          </cell>
          <cell r="M1338">
            <v>12</v>
          </cell>
        </row>
        <row r="1339">
          <cell r="K1339" t="str">
            <v>Prottes</v>
          </cell>
          <cell r="L1339" t="str">
            <v>Niederösterreich</v>
          </cell>
          <cell r="M1339">
            <v>33</v>
          </cell>
        </row>
        <row r="1340">
          <cell r="K1340" t="str">
            <v>Prutz</v>
          </cell>
          <cell r="L1340" t="str">
            <v>Tirol</v>
          </cell>
          <cell r="M1340">
            <v>23</v>
          </cell>
        </row>
        <row r="1341">
          <cell r="K1341" t="str">
            <v>Puch bei Hallein</v>
          </cell>
          <cell r="L1341" t="str">
            <v>Salzburg</v>
          </cell>
          <cell r="M1341">
            <v>11</v>
          </cell>
        </row>
        <row r="1342">
          <cell r="K1342" t="str">
            <v>Puch bei Weiz</v>
          </cell>
          <cell r="L1342" t="str">
            <v>Steiermark</v>
          </cell>
          <cell r="M1342">
            <v>24</v>
          </cell>
        </row>
        <row r="1343">
          <cell r="K1343" t="str">
            <v>Puchberg am Schneeberg</v>
          </cell>
          <cell r="L1343" t="str">
            <v>Niederösterreich</v>
          </cell>
          <cell r="M1343">
            <v>23</v>
          </cell>
        </row>
        <row r="1344">
          <cell r="K1344" t="str">
            <v>Puchenau</v>
          </cell>
          <cell r="L1344" t="str">
            <v>Oberösterreich</v>
          </cell>
          <cell r="M1344">
            <v>11</v>
          </cell>
        </row>
        <row r="1345">
          <cell r="K1345" t="str">
            <v>Puchenstuben</v>
          </cell>
          <cell r="L1345" t="str">
            <v>Niederösterreich</v>
          </cell>
          <cell r="M1345">
            <v>33</v>
          </cell>
        </row>
        <row r="1346">
          <cell r="K1346" t="str">
            <v>Puchkirchen am Trattberg</v>
          </cell>
          <cell r="L1346" t="str">
            <v>Oberösterreich</v>
          </cell>
          <cell r="M1346">
            <v>24</v>
          </cell>
        </row>
        <row r="1347">
          <cell r="K1347" t="str">
            <v>Pucking</v>
          </cell>
          <cell r="L1347" t="str">
            <v>Oberösterreich</v>
          </cell>
          <cell r="M1347">
            <v>24</v>
          </cell>
        </row>
        <row r="1348">
          <cell r="K1348" t="str">
            <v>Pühret</v>
          </cell>
          <cell r="L1348" t="str">
            <v>Oberösterreich</v>
          </cell>
          <cell r="M1348">
            <v>23</v>
          </cell>
        </row>
        <row r="1349">
          <cell r="K1349" t="str">
            <v>Pulkau</v>
          </cell>
          <cell r="L1349" t="str">
            <v>Niederösterreich</v>
          </cell>
          <cell r="M1349">
            <v>34</v>
          </cell>
        </row>
        <row r="1350">
          <cell r="K1350" t="str">
            <v>Pupping</v>
          </cell>
          <cell r="L1350" t="str">
            <v>Oberösterreich</v>
          </cell>
          <cell r="M1350">
            <v>23</v>
          </cell>
        </row>
        <row r="1351">
          <cell r="K1351" t="str">
            <v>Purbach am Neusiedler See</v>
          </cell>
          <cell r="L1351" t="str">
            <v>Burgenland</v>
          </cell>
          <cell r="M1351">
            <v>22</v>
          </cell>
        </row>
        <row r="1352">
          <cell r="K1352" t="str">
            <v>Purgstall an der Erlauf</v>
          </cell>
          <cell r="L1352" t="str">
            <v>Niederösterreich</v>
          </cell>
          <cell r="M1352">
            <v>23</v>
          </cell>
        </row>
        <row r="1353">
          <cell r="K1353" t="str">
            <v>Purkersdorf</v>
          </cell>
          <cell r="L1353" t="str">
            <v>Niederösterreich</v>
          </cell>
          <cell r="M1353">
            <v>11</v>
          </cell>
        </row>
        <row r="1354">
          <cell r="K1354" t="str">
            <v>Pusterwald</v>
          </cell>
          <cell r="L1354" t="str">
            <v>Steiermark</v>
          </cell>
          <cell r="M1354">
            <v>34</v>
          </cell>
        </row>
        <row r="1355">
          <cell r="K1355" t="str">
            <v>Putzleinsdorf</v>
          </cell>
          <cell r="L1355" t="str">
            <v>Oberösterreich</v>
          </cell>
          <cell r="M1355">
            <v>33</v>
          </cell>
        </row>
        <row r="1356">
          <cell r="K1356" t="str">
            <v>Pyhra</v>
          </cell>
          <cell r="L1356" t="str">
            <v>Niederösterreich</v>
          </cell>
          <cell r="M1356">
            <v>23</v>
          </cell>
        </row>
        <row r="1357">
          <cell r="K1357" t="str">
            <v>Raab</v>
          </cell>
          <cell r="L1357" t="str">
            <v>Oberösterreich</v>
          </cell>
          <cell r="M1357">
            <v>34</v>
          </cell>
        </row>
        <row r="1358">
          <cell r="K1358" t="str">
            <v>Raaba-Grambach</v>
          </cell>
          <cell r="L1358" t="str">
            <v>Steiermark</v>
          </cell>
          <cell r="M1358">
            <v>11</v>
          </cell>
        </row>
        <row r="1359">
          <cell r="K1359" t="str">
            <v>Raabs an der Thaya</v>
          </cell>
          <cell r="L1359" t="str">
            <v>Niederösterreich</v>
          </cell>
          <cell r="M1359">
            <v>34</v>
          </cell>
        </row>
        <row r="1360">
          <cell r="K1360" t="str">
            <v>Raach am Hochgebirge</v>
          </cell>
          <cell r="L1360" t="str">
            <v>Niederösterreich</v>
          </cell>
          <cell r="M1360">
            <v>24</v>
          </cell>
        </row>
        <row r="1361">
          <cell r="K1361" t="str">
            <v>Raasdorf</v>
          </cell>
          <cell r="L1361" t="str">
            <v>Niederösterreich</v>
          </cell>
          <cell r="M1361">
            <v>23</v>
          </cell>
        </row>
        <row r="1362">
          <cell r="K1362" t="str">
            <v>Rabensburg</v>
          </cell>
          <cell r="L1362" t="str">
            <v>Niederösterreich</v>
          </cell>
          <cell r="M1362">
            <v>33</v>
          </cell>
        </row>
        <row r="1363">
          <cell r="K1363" t="str">
            <v>Rabenstein an der Pielach</v>
          </cell>
          <cell r="L1363" t="str">
            <v>Niederösterreich</v>
          </cell>
          <cell r="M1363">
            <v>23</v>
          </cell>
        </row>
        <row r="1364">
          <cell r="K1364" t="str">
            <v>Radenthein</v>
          </cell>
          <cell r="L1364" t="str">
            <v>Kärnten</v>
          </cell>
          <cell r="M1364">
            <v>23</v>
          </cell>
        </row>
        <row r="1365">
          <cell r="K1365" t="str">
            <v>Radfeld</v>
          </cell>
          <cell r="L1365" t="str">
            <v>Tirol</v>
          </cell>
          <cell r="M1365">
            <v>22</v>
          </cell>
        </row>
        <row r="1366">
          <cell r="K1366" t="str">
            <v>Radmer</v>
          </cell>
          <cell r="L1366" t="str">
            <v>Steiermark</v>
          </cell>
          <cell r="M1366">
            <v>34</v>
          </cell>
        </row>
        <row r="1367">
          <cell r="K1367" t="str">
            <v>Radstadt</v>
          </cell>
          <cell r="L1367" t="str">
            <v>Salzburg</v>
          </cell>
          <cell r="M1367">
            <v>32</v>
          </cell>
        </row>
        <row r="1368">
          <cell r="K1368" t="str">
            <v>Raggal</v>
          </cell>
          <cell r="L1368" t="str">
            <v>Vorarlberg</v>
          </cell>
          <cell r="M1368">
            <v>24</v>
          </cell>
        </row>
        <row r="1369">
          <cell r="K1369" t="str">
            <v>Ragnitz</v>
          </cell>
          <cell r="L1369" t="str">
            <v>Steiermark</v>
          </cell>
          <cell r="M1369">
            <v>24</v>
          </cell>
        </row>
        <row r="1370">
          <cell r="K1370" t="str">
            <v>Raiding</v>
          </cell>
          <cell r="L1370" t="str">
            <v>Burgenland</v>
          </cell>
          <cell r="M1370">
            <v>34</v>
          </cell>
        </row>
        <row r="1371">
          <cell r="K1371" t="str">
            <v>Rainbach im Innkreis</v>
          </cell>
          <cell r="L1371" t="str">
            <v>Oberösterreich</v>
          </cell>
          <cell r="M1371">
            <v>34</v>
          </cell>
        </row>
        <row r="1372">
          <cell r="K1372" t="str">
            <v>Rainbach im Mühlkreis</v>
          </cell>
          <cell r="L1372" t="str">
            <v>Oberösterreich</v>
          </cell>
          <cell r="M1372">
            <v>33</v>
          </cell>
        </row>
        <row r="1373">
          <cell r="K1373" t="str">
            <v>Ramingstein</v>
          </cell>
          <cell r="L1373" t="str">
            <v>Salzburg</v>
          </cell>
          <cell r="M1373">
            <v>34</v>
          </cell>
        </row>
        <row r="1374">
          <cell r="K1374" t="str">
            <v>Ramsau</v>
          </cell>
          <cell r="L1374" t="str">
            <v>Niederösterreich</v>
          </cell>
          <cell r="M1374">
            <v>34</v>
          </cell>
        </row>
        <row r="1375">
          <cell r="K1375" t="str">
            <v>Ramsau am Dachstein</v>
          </cell>
          <cell r="L1375" t="str">
            <v>Steiermark</v>
          </cell>
          <cell r="M1375">
            <v>34</v>
          </cell>
        </row>
        <row r="1376">
          <cell r="K1376" t="str">
            <v>Ramsau im Zillertal</v>
          </cell>
          <cell r="L1376" t="str">
            <v>Tirol</v>
          </cell>
          <cell r="M1376">
            <v>32</v>
          </cell>
        </row>
        <row r="1377">
          <cell r="K1377" t="str">
            <v>Randegg</v>
          </cell>
          <cell r="L1377" t="str">
            <v>Niederösterreich</v>
          </cell>
          <cell r="M1377">
            <v>24</v>
          </cell>
        </row>
        <row r="1378">
          <cell r="K1378" t="str">
            <v>Rangersdorf</v>
          </cell>
          <cell r="L1378" t="str">
            <v>Kärnten</v>
          </cell>
          <cell r="M1378">
            <v>24</v>
          </cell>
        </row>
        <row r="1379">
          <cell r="K1379" t="str">
            <v>Ranggen</v>
          </cell>
          <cell r="L1379" t="str">
            <v>Tirol</v>
          </cell>
          <cell r="M1379">
            <v>23</v>
          </cell>
        </row>
        <row r="1380">
          <cell r="K1380" t="str">
            <v>Rankweil</v>
          </cell>
          <cell r="L1380" t="str">
            <v>Vorarlberg</v>
          </cell>
          <cell r="M1380">
            <v>11</v>
          </cell>
        </row>
        <row r="1381">
          <cell r="K1381" t="str">
            <v>Ranten</v>
          </cell>
          <cell r="L1381" t="str">
            <v>Steiermark</v>
          </cell>
          <cell r="M1381">
            <v>34</v>
          </cell>
        </row>
        <row r="1382">
          <cell r="K1382" t="str">
            <v>Rappottenstein</v>
          </cell>
          <cell r="L1382" t="str">
            <v>Niederösterreich</v>
          </cell>
          <cell r="M1382">
            <v>34</v>
          </cell>
        </row>
        <row r="1383">
          <cell r="K1383" t="str">
            <v>Rastenfeld</v>
          </cell>
          <cell r="L1383" t="str">
            <v>Niederösterreich</v>
          </cell>
          <cell r="M1383">
            <v>33</v>
          </cell>
        </row>
        <row r="1384">
          <cell r="K1384" t="str">
            <v>Ratten</v>
          </cell>
          <cell r="L1384" t="str">
            <v>Steiermark</v>
          </cell>
          <cell r="M1384">
            <v>33</v>
          </cell>
        </row>
        <row r="1385">
          <cell r="K1385" t="str">
            <v>Rattenberg</v>
          </cell>
          <cell r="L1385" t="str">
            <v>Tirol</v>
          </cell>
          <cell r="M1385">
            <v>22</v>
          </cell>
        </row>
        <row r="1386">
          <cell r="K1386" t="str">
            <v>Rauchenwarth</v>
          </cell>
          <cell r="L1386" t="str">
            <v>Niederösterreich</v>
          </cell>
          <cell r="M1386">
            <v>24</v>
          </cell>
        </row>
        <row r="1387">
          <cell r="K1387" t="str">
            <v>Rauchwart</v>
          </cell>
          <cell r="L1387" t="str">
            <v>Burgenland</v>
          </cell>
          <cell r="M1387">
            <v>34</v>
          </cell>
        </row>
        <row r="1388">
          <cell r="K1388" t="str">
            <v>Rauris</v>
          </cell>
          <cell r="L1388" t="str">
            <v>Salzburg</v>
          </cell>
          <cell r="M1388">
            <v>34</v>
          </cell>
        </row>
        <row r="1389">
          <cell r="K1389" t="str">
            <v>Ravelsbach</v>
          </cell>
          <cell r="L1389" t="str">
            <v>Niederösterreich</v>
          </cell>
          <cell r="M1389">
            <v>34</v>
          </cell>
        </row>
        <row r="1390">
          <cell r="K1390" t="str">
            <v>Raxendorf</v>
          </cell>
          <cell r="L1390" t="str">
            <v>Niederösterreich</v>
          </cell>
          <cell r="M1390">
            <v>34</v>
          </cell>
        </row>
        <row r="1391">
          <cell r="K1391" t="str">
            <v>Rechberg</v>
          </cell>
          <cell r="L1391" t="str">
            <v>Oberösterreich</v>
          </cell>
          <cell r="M1391">
            <v>34</v>
          </cell>
        </row>
        <row r="1392">
          <cell r="K1392" t="str">
            <v>Rechnitz</v>
          </cell>
          <cell r="L1392" t="str">
            <v>Burgenland</v>
          </cell>
          <cell r="M1392">
            <v>34</v>
          </cell>
        </row>
        <row r="1393">
          <cell r="K1393" t="str">
            <v>Redleiten</v>
          </cell>
          <cell r="L1393" t="str">
            <v>Oberösterreich</v>
          </cell>
          <cell r="M1393">
            <v>24</v>
          </cell>
        </row>
        <row r="1394">
          <cell r="K1394" t="str">
            <v>Redlham</v>
          </cell>
          <cell r="L1394" t="str">
            <v>Oberösterreich</v>
          </cell>
          <cell r="M1394">
            <v>12</v>
          </cell>
        </row>
        <row r="1395">
          <cell r="K1395" t="str">
            <v>Regau</v>
          </cell>
          <cell r="L1395" t="str">
            <v>Oberösterreich</v>
          </cell>
          <cell r="M1395">
            <v>12</v>
          </cell>
        </row>
        <row r="1396">
          <cell r="K1396" t="str">
            <v>Reichenau</v>
          </cell>
          <cell r="L1396" t="str">
            <v>Kärnten</v>
          </cell>
          <cell r="M1396">
            <v>34</v>
          </cell>
        </row>
        <row r="1397">
          <cell r="K1397" t="str">
            <v>Reichenau an der Rax</v>
          </cell>
          <cell r="L1397" t="str">
            <v>Niederösterreich</v>
          </cell>
          <cell r="M1397">
            <v>23</v>
          </cell>
        </row>
        <row r="1398">
          <cell r="K1398" t="str">
            <v>Reichenau im Mühlkreis</v>
          </cell>
          <cell r="L1398" t="str">
            <v>Oberösterreich</v>
          </cell>
          <cell r="M1398">
            <v>23</v>
          </cell>
        </row>
        <row r="1399">
          <cell r="K1399" t="str">
            <v>Reichenfels</v>
          </cell>
          <cell r="L1399" t="str">
            <v>Kärnten</v>
          </cell>
          <cell r="M1399">
            <v>24</v>
          </cell>
        </row>
        <row r="1400">
          <cell r="K1400" t="str">
            <v>Reichenthal</v>
          </cell>
          <cell r="L1400" t="str">
            <v>Oberösterreich</v>
          </cell>
          <cell r="M1400">
            <v>34</v>
          </cell>
        </row>
        <row r="1401">
          <cell r="K1401" t="str">
            <v>Reichersberg</v>
          </cell>
          <cell r="L1401" t="str">
            <v>Oberösterreich</v>
          </cell>
          <cell r="M1401">
            <v>23</v>
          </cell>
        </row>
        <row r="1402">
          <cell r="K1402" t="str">
            <v>Reichraming</v>
          </cell>
          <cell r="L1402" t="str">
            <v>Oberösterreich</v>
          </cell>
          <cell r="M1402">
            <v>23</v>
          </cell>
        </row>
        <row r="1403">
          <cell r="K1403" t="str">
            <v>Reingers</v>
          </cell>
          <cell r="L1403" t="str">
            <v>Niederösterreich</v>
          </cell>
          <cell r="M1403">
            <v>34</v>
          </cell>
        </row>
        <row r="1404">
          <cell r="K1404" t="str">
            <v>Reinsberg</v>
          </cell>
          <cell r="L1404" t="str">
            <v>Niederösterreich</v>
          </cell>
          <cell r="M1404">
            <v>33</v>
          </cell>
        </row>
        <row r="1405">
          <cell r="K1405" t="str">
            <v>Reisenberg</v>
          </cell>
          <cell r="L1405" t="str">
            <v>Niederösterreich</v>
          </cell>
          <cell r="M1405">
            <v>23</v>
          </cell>
        </row>
        <row r="1406">
          <cell r="K1406" t="str">
            <v>Reißeck</v>
          </cell>
          <cell r="L1406" t="str">
            <v>Kärnten</v>
          </cell>
          <cell r="M1406">
            <v>24</v>
          </cell>
        </row>
        <row r="1407">
          <cell r="K1407" t="str">
            <v>Reith bei Kitzbühel</v>
          </cell>
          <cell r="L1407" t="str">
            <v>Tirol</v>
          </cell>
          <cell r="M1407">
            <v>24</v>
          </cell>
        </row>
        <row r="1408">
          <cell r="K1408" t="str">
            <v>Reith bei Seefeld</v>
          </cell>
          <cell r="L1408" t="str">
            <v>Tirol</v>
          </cell>
          <cell r="M1408">
            <v>22</v>
          </cell>
        </row>
        <row r="1409">
          <cell r="K1409" t="str">
            <v>Reith im Alpbachtal</v>
          </cell>
          <cell r="L1409" t="str">
            <v>Tirol</v>
          </cell>
          <cell r="M1409">
            <v>22</v>
          </cell>
        </row>
        <row r="1410">
          <cell r="K1410" t="str">
            <v>Rennweg am Katschberg</v>
          </cell>
          <cell r="L1410" t="str">
            <v>Kärnten</v>
          </cell>
          <cell r="M1410">
            <v>24</v>
          </cell>
        </row>
        <row r="1411">
          <cell r="K1411" t="str">
            <v>Rettenegg</v>
          </cell>
          <cell r="L1411" t="str">
            <v>Steiermark</v>
          </cell>
          <cell r="M1411">
            <v>34</v>
          </cell>
        </row>
        <row r="1412">
          <cell r="K1412" t="str">
            <v>Rettenschöss</v>
          </cell>
          <cell r="L1412" t="str">
            <v>Tirol</v>
          </cell>
          <cell r="M1412">
            <v>24</v>
          </cell>
        </row>
        <row r="1413">
          <cell r="K1413" t="str">
            <v>Retz</v>
          </cell>
          <cell r="L1413" t="str">
            <v>Niederösterreich</v>
          </cell>
          <cell r="M1413">
            <v>32</v>
          </cell>
        </row>
        <row r="1414">
          <cell r="K1414" t="str">
            <v>Retzbach</v>
          </cell>
          <cell r="L1414" t="str">
            <v>Niederösterreich</v>
          </cell>
          <cell r="M1414">
            <v>34</v>
          </cell>
        </row>
        <row r="1415">
          <cell r="K1415" t="str">
            <v>Reuthe</v>
          </cell>
          <cell r="L1415" t="str">
            <v>Vorarlberg</v>
          </cell>
          <cell r="M1415">
            <v>22</v>
          </cell>
        </row>
        <row r="1416">
          <cell r="K1416" t="str">
            <v>Reutte</v>
          </cell>
          <cell r="L1416" t="str">
            <v>Tirol</v>
          </cell>
          <cell r="M1416">
            <v>12</v>
          </cell>
        </row>
        <row r="1417">
          <cell r="K1417" t="str">
            <v>Ried im Innkreis</v>
          </cell>
          <cell r="L1417" t="str">
            <v>Oberösterreich</v>
          </cell>
          <cell r="M1417">
            <v>11</v>
          </cell>
        </row>
        <row r="1418">
          <cell r="K1418" t="str">
            <v>Ried im Oberinntal</v>
          </cell>
          <cell r="L1418" t="str">
            <v>Tirol</v>
          </cell>
          <cell r="M1418">
            <v>23</v>
          </cell>
        </row>
        <row r="1419">
          <cell r="K1419" t="str">
            <v>Ried im Traunkreis</v>
          </cell>
          <cell r="L1419" t="str">
            <v>Oberösterreich</v>
          </cell>
          <cell r="M1419">
            <v>23</v>
          </cell>
        </row>
        <row r="1420">
          <cell r="K1420" t="str">
            <v>Ried im Zillertal</v>
          </cell>
          <cell r="L1420" t="str">
            <v>Tirol</v>
          </cell>
          <cell r="M1420">
            <v>22</v>
          </cell>
        </row>
        <row r="1421">
          <cell r="K1421" t="str">
            <v>Ried in der Riedmark</v>
          </cell>
          <cell r="L1421" t="str">
            <v>Oberösterreich</v>
          </cell>
          <cell r="M1421">
            <v>23</v>
          </cell>
        </row>
        <row r="1422">
          <cell r="K1422" t="str">
            <v>Riedau</v>
          </cell>
          <cell r="L1422" t="str">
            <v>Oberösterreich</v>
          </cell>
          <cell r="M1422">
            <v>22</v>
          </cell>
        </row>
        <row r="1423">
          <cell r="K1423" t="str">
            <v>Riedlingsdorf</v>
          </cell>
          <cell r="L1423" t="str">
            <v>Burgenland</v>
          </cell>
          <cell r="M1423">
            <v>33</v>
          </cell>
        </row>
        <row r="1424">
          <cell r="K1424" t="str">
            <v>Riefensberg</v>
          </cell>
          <cell r="L1424" t="str">
            <v>Vorarlberg</v>
          </cell>
          <cell r="M1424">
            <v>23</v>
          </cell>
        </row>
        <row r="1425">
          <cell r="K1425" t="str">
            <v>Riegersburg</v>
          </cell>
          <cell r="L1425" t="str">
            <v>Steiermark</v>
          </cell>
          <cell r="M1425">
            <v>33</v>
          </cell>
        </row>
        <row r="1426">
          <cell r="K1426" t="str">
            <v>Rietz</v>
          </cell>
          <cell r="L1426" t="str">
            <v>Tirol</v>
          </cell>
          <cell r="M1426">
            <v>22</v>
          </cell>
        </row>
        <row r="1427">
          <cell r="K1427" t="str">
            <v>Ringelsdorf-Niederabsdorf</v>
          </cell>
          <cell r="L1427" t="str">
            <v>Niederösterreich</v>
          </cell>
          <cell r="M1427">
            <v>34</v>
          </cell>
        </row>
        <row r="1428">
          <cell r="K1428" t="str">
            <v>Rinn</v>
          </cell>
          <cell r="L1428" t="str">
            <v>Tirol</v>
          </cell>
          <cell r="M1428">
            <v>23</v>
          </cell>
        </row>
        <row r="1429">
          <cell r="K1429" t="str">
            <v>Ritzing</v>
          </cell>
          <cell r="L1429" t="str">
            <v>Burgenland</v>
          </cell>
          <cell r="M1429">
            <v>34</v>
          </cell>
        </row>
        <row r="1430">
          <cell r="K1430" t="str">
            <v>Rohr bei Hartberg</v>
          </cell>
          <cell r="L1430" t="str">
            <v>Steiermark</v>
          </cell>
          <cell r="M1430">
            <v>34</v>
          </cell>
        </row>
        <row r="1431">
          <cell r="K1431" t="str">
            <v>Rohr im Burgenland</v>
          </cell>
          <cell r="L1431" t="str">
            <v>Burgenland</v>
          </cell>
          <cell r="M1431">
            <v>34</v>
          </cell>
        </row>
        <row r="1432">
          <cell r="K1432" t="str">
            <v>Rohr im Gebirge</v>
          </cell>
          <cell r="L1432" t="str">
            <v>Niederösterreich</v>
          </cell>
          <cell r="M1432">
            <v>34</v>
          </cell>
        </row>
        <row r="1433">
          <cell r="K1433" t="str">
            <v>Rohr im Kremstal</v>
          </cell>
          <cell r="L1433" t="str">
            <v>Oberösterreich</v>
          </cell>
          <cell r="M1433">
            <v>22</v>
          </cell>
        </row>
        <row r="1434">
          <cell r="K1434" t="str">
            <v>Rohrau</v>
          </cell>
          <cell r="L1434" t="str">
            <v>Niederösterreich</v>
          </cell>
          <cell r="M1434">
            <v>24</v>
          </cell>
        </row>
        <row r="1435">
          <cell r="K1435" t="str">
            <v>Rohrbach an der Gölsen</v>
          </cell>
          <cell r="L1435" t="str">
            <v>Niederösterreich</v>
          </cell>
          <cell r="M1435">
            <v>33</v>
          </cell>
        </row>
        <row r="1436">
          <cell r="K1436" t="str">
            <v>Rohrbach an der Lafnitz</v>
          </cell>
          <cell r="L1436" t="str">
            <v>Steiermark</v>
          </cell>
          <cell r="M1436">
            <v>33</v>
          </cell>
        </row>
        <row r="1437">
          <cell r="K1437" t="str">
            <v>Rohrbach bei Mattersburg</v>
          </cell>
          <cell r="L1437" t="str">
            <v>Burgenland</v>
          </cell>
          <cell r="M1437">
            <v>22</v>
          </cell>
        </row>
        <row r="1438">
          <cell r="K1438" t="str">
            <v>Rohrbach-Berg</v>
          </cell>
          <cell r="L1438" t="str">
            <v>Oberösterreich</v>
          </cell>
          <cell r="M1438">
            <v>32</v>
          </cell>
        </row>
        <row r="1439">
          <cell r="K1439" t="str">
            <v>Rohrberg</v>
          </cell>
          <cell r="L1439" t="str">
            <v>Tirol</v>
          </cell>
          <cell r="M1439">
            <v>34</v>
          </cell>
        </row>
        <row r="1440">
          <cell r="K1440" t="str">
            <v>Röhrenbach</v>
          </cell>
          <cell r="L1440" t="str">
            <v>Niederösterreich</v>
          </cell>
          <cell r="M1440">
            <v>34</v>
          </cell>
        </row>
        <row r="1441">
          <cell r="K1441" t="str">
            <v>Rohrendorf bei Krems</v>
          </cell>
          <cell r="L1441" t="str">
            <v>Niederösterreich</v>
          </cell>
          <cell r="M1441">
            <v>12</v>
          </cell>
        </row>
        <row r="1442">
          <cell r="K1442" t="str">
            <v>Roitham</v>
          </cell>
          <cell r="L1442" t="str">
            <v>Oberösterreich</v>
          </cell>
          <cell r="M1442">
            <v>24</v>
          </cell>
        </row>
        <row r="1443">
          <cell r="K1443" t="str">
            <v>Röns</v>
          </cell>
          <cell r="L1443" t="str">
            <v>Vorarlberg</v>
          </cell>
          <cell r="M1443">
            <v>23</v>
          </cell>
        </row>
        <row r="1444">
          <cell r="K1444" t="str">
            <v>Roppen</v>
          </cell>
          <cell r="L1444" t="str">
            <v>Tirol</v>
          </cell>
          <cell r="M1444">
            <v>23</v>
          </cell>
        </row>
        <row r="1445">
          <cell r="K1445" t="str">
            <v>Röschitz</v>
          </cell>
          <cell r="L1445" t="str">
            <v>Niederösterreich</v>
          </cell>
          <cell r="M1445">
            <v>34</v>
          </cell>
        </row>
        <row r="1446">
          <cell r="K1446" t="str">
            <v>Rosegg</v>
          </cell>
          <cell r="L1446" t="str">
            <v>Kärnten</v>
          </cell>
          <cell r="M1446">
            <v>23</v>
          </cell>
        </row>
        <row r="1447">
          <cell r="K1447" t="str">
            <v>Rosenau am Hengstpaß</v>
          </cell>
          <cell r="L1447" t="str">
            <v>Oberösterreich</v>
          </cell>
          <cell r="M1447">
            <v>34</v>
          </cell>
        </row>
        <row r="1448">
          <cell r="K1448" t="str">
            <v>Rosenburg-Mold</v>
          </cell>
          <cell r="L1448" t="str">
            <v>Niederösterreich</v>
          </cell>
          <cell r="M1448">
            <v>33</v>
          </cell>
        </row>
        <row r="1449">
          <cell r="K1449" t="str">
            <v>Rosental an der Kainach</v>
          </cell>
          <cell r="L1449" t="str">
            <v>Steiermark</v>
          </cell>
          <cell r="M1449">
            <v>12</v>
          </cell>
        </row>
        <row r="1450">
          <cell r="K1450" t="str">
            <v>Rossatz-Arnsdorf</v>
          </cell>
          <cell r="L1450" t="str">
            <v>Niederösterreich</v>
          </cell>
          <cell r="M1450">
            <v>23</v>
          </cell>
        </row>
        <row r="1451">
          <cell r="K1451" t="str">
            <v>Roßbach</v>
          </cell>
          <cell r="L1451" t="str">
            <v>Oberösterreich</v>
          </cell>
          <cell r="M1451">
            <v>24</v>
          </cell>
        </row>
        <row r="1452">
          <cell r="K1452" t="str">
            <v>Roßleithen</v>
          </cell>
          <cell r="L1452" t="str">
            <v>Oberösterreich</v>
          </cell>
          <cell r="M1452">
            <v>32</v>
          </cell>
        </row>
        <row r="1453">
          <cell r="K1453" t="str">
            <v>Rotenturm an der Pinka</v>
          </cell>
          <cell r="L1453" t="str">
            <v>Burgenland</v>
          </cell>
          <cell r="M1453">
            <v>34</v>
          </cell>
        </row>
        <row r="1454">
          <cell r="K1454" t="str">
            <v>Röthis</v>
          </cell>
          <cell r="L1454" t="str">
            <v>Vorarlberg</v>
          </cell>
          <cell r="M1454">
            <v>11</v>
          </cell>
        </row>
        <row r="1455">
          <cell r="K1455" t="str">
            <v>Rottenbach</v>
          </cell>
          <cell r="L1455" t="str">
            <v>Oberösterreich</v>
          </cell>
          <cell r="M1455">
            <v>24</v>
          </cell>
        </row>
        <row r="1456">
          <cell r="K1456" t="str">
            <v>Rottenmann</v>
          </cell>
          <cell r="L1456" t="str">
            <v>Steiermark</v>
          </cell>
          <cell r="M1456">
            <v>33</v>
          </cell>
        </row>
        <row r="1457">
          <cell r="K1457" t="str">
            <v>Ruden</v>
          </cell>
          <cell r="L1457" t="str">
            <v>Kärnten</v>
          </cell>
          <cell r="M1457">
            <v>22</v>
          </cell>
        </row>
        <row r="1458">
          <cell r="K1458" t="str">
            <v>Rudersdorf</v>
          </cell>
          <cell r="L1458" t="str">
            <v>Burgenland</v>
          </cell>
          <cell r="M1458">
            <v>34</v>
          </cell>
        </row>
        <row r="1459">
          <cell r="K1459" t="str">
            <v>Rum</v>
          </cell>
          <cell r="L1459" t="str">
            <v>Tirol</v>
          </cell>
          <cell r="M1459">
            <v>11</v>
          </cell>
        </row>
        <row r="1460">
          <cell r="K1460" t="str">
            <v>Ruprechtshofen</v>
          </cell>
          <cell r="L1460" t="str">
            <v>Niederösterreich</v>
          </cell>
          <cell r="M1460">
            <v>34</v>
          </cell>
        </row>
        <row r="1461">
          <cell r="K1461" t="str">
            <v>Rußbach</v>
          </cell>
          <cell r="L1461" t="str">
            <v>Niederösterreich</v>
          </cell>
          <cell r="M1461">
            <v>24</v>
          </cell>
        </row>
        <row r="1462">
          <cell r="K1462" t="str">
            <v>Rußbach am Paß Gschütt</v>
          </cell>
          <cell r="L1462" t="str">
            <v>Salzburg</v>
          </cell>
          <cell r="M1462">
            <v>34</v>
          </cell>
        </row>
        <row r="1463">
          <cell r="K1463" t="str">
            <v>Rust</v>
          </cell>
          <cell r="L1463" t="str">
            <v>Burgenland</v>
          </cell>
          <cell r="M1463">
            <v>23</v>
          </cell>
        </row>
        <row r="1464">
          <cell r="K1464" t="str">
            <v>Rüstorf</v>
          </cell>
          <cell r="L1464" t="str">
            <v>Oberösterreich</v>
          </cell>
          <cell r="M1464">
            <v>24</v>
          </cell>
        </row>
        <row r="1465">
          <cell r="K1465" t="str">
            <v>Rutzenham</v>
          </cell>
          <cell r="L1465" t="str">
            <v>Oberösterreich</v>
          </cell>
          <cell r="M1465">
            <v>24</v>
          </cell>
        </row>
        <row r="1466">
          <cell r="K1466" t="str">
            <v>Saalbach-Hinterglemm</v>
          </cell>
          <cell r="L1466" t="str">
            <v>Salzburg</v>
          </cell>
          <cell r="M1466">
            <v>33</v>
          </cell>
        </row>
        <row r="1467">
          <cell r="K1467" t="str">
            <v>Saalfelden am Steinernen Meer</v>
          </cell>
          <cell r="L1467" t="str">
            <v>Salzburg</v>
          </cell>
          <cell r="M1467">
            <v>32</v>
          </cell>
        </row>
        <row r="1468">
          <cell r="K1468" t="str">
            <v>Sachsenburg</v>
          </cell>
          <cell r="L1468" t="str">
            <v>Kärnten</v>
          </cell>
          <cell r="M1468">
            <v>22</v>
          </cell>
        </row>
        <row r="1469">
          <cell r="K1469" t="str">
            <v>Sallingberg</v>
          </cell>
          <cell r="L1469" t="str">
            <v>Niederösterreich</v>
          </cell>
          <cell r="M1469">
            <v>34</v>
          </cell>
        </row>
        <row r="1470">
          <cell r="K1470" t="str">
            <v>Salzburg</v>
          </cell>
          <cell r="L1470" t="str">
            <v>Salzburg</v>
          </cell>
          <cell r="M1470">
            <v>11</v>
          </cell>
        </row>
        <row r="1471">
          <cell r="K1471" t="str">
            <v>Sandl</v>
          </cell>
          <cell r="L1471" t="str">
            <v>Oberösterreich</v>
          </cell>
          <cell r="M1471">
            <v>34</v>
          </cell>
        </row>
        <row r="1472">
          <cell r="K1472" t="str">
            <v>Sankt Andrä am Zicksee</v>
          </cell>
          <cell r="L1472" t="str">
            <v>Burgenland</v>
          </cell>
          <cell r="M1472">
            <v>33</v>
          </cell>
        </row>
        <row r="1473">
          <cell r="K1473" t="str">
            <v>Sankt Andrä im Lungau</v>
          </cell>
          <cell r="L1473" t="str">
            <v>Salzburg</v>
          </cell>
          <cell r="M1473">
            <v>34</v>
          </cell>
        </row>
        <row r="1474">
          <cell r="K1474" t="str">
            <v>Sankt Andrä-Höch</v>
          </cell>
          <cell r="L1474" t="str">
            <v>Steiermark</v>
          </cell>
          <cell r="M1474">
            <v>24</v>
          </cell>
        </row>
        <row r="1475">
          <cell r="K1475" t="str">
            <v>Sankt Anna am Aigen</v>
          </cell>
          <cell r="L1475" t="str">
            <v>Steiermark</v>
          </cell>
          <cell r="M1475">
            <v>34</v>
          </cell>
        </row>
        <row r="1476">
          <cell r="K1476" t="str">
            <v>Sankt Barbara im Mürztal</v>
          </cell>
          <cell r="L1476" t="str">
            <v>Steiermark</v>
          </cell>
          <cell r="M1476">
            <v>22</v>
          </cell>
        </row>
        <row r="1477">
          <cell r="K1477" t="str">
            <v>Sankt Bartholomä</v>
          </cell>
          <cell r="L1477" t="str">
            <v>Steiermark</v>
          </cell>
          <cell r="M1477">
            <v>24</v>
          </cell>
        </row>
        <row r="1478">
          <cell r="K1478" t="str">
            <v>Sankt Gallen</v>
          </cell>
          <cell r="L1478" t="str">
            <v>Steiermark</v>
          </cell>
          <cell r="M1478">
            <v>33</v>
          </cell>
        </row>
        <row r="1479">
          <cell r="K1479" t="str">
            <v>Sankt Georgen am Kreischberg</v>
          </cell>
          <cell r="L1479" t="str">
            <v>Steiermark</v>
          </cell>
          <cell r="M1479">
            <v>33</v>
          </cell>
        </row>
        <row r="1480">
          <cell r="K1480" t="str">
            <v>Sankt Georgen an der Stiefing</v>
          </cell>
          <cell r="L1480" t="str">
            <v>Steiermark</v>
          </cell>
          <cell r="M1480">
            <v>24</v>
          </cell>
        </row>
        <row r="1481">
          <cell r="K1481" t="str">
            <v>Sankt Georgen bei Salzburg</v>
          </cell>
          <cell r="L1481" t="str">
            <v>Salzburg</v>
          </cell>
          <cell r="M1481">
            <v>22</v>
          </cell>
        </row>
        <row r="1482">
          <cell r="K1482" t="str">
            <v>Sankt Georgen ob Judenburg</v>
          </cell>
          <cell r="L1482" t="str">
            <v>Steiermark</v>
          </cell>
          <cell r="M1482">
            <v>23</v>
          </cell>
        </row>
        <row r="1483">
          <cell r="K1483" t="str">
            <v>Sankt Gilgen</v>
          </cell>
          <cell r="L1483" t="str">
            <v>Salzburg</v>
          </cell>
          <cell r="M1483">
            <v>23</v>
          </cell>
        </row>
        <row r="1484">
          <cell r="K1484" t="str">
            <v>Sankt Jakob im Walde</v>
          </cell>
          <cell r="L1484" t="str">
            <v>Steiermark</v>
          </cell>
          <cell r="M1484">
            <v>33</v>
          </cell>
        </row>
        <row r="1485">
          <cell r="K1485" t="str">
            <v>Sankt Johann im Pongau</v>
          </cell>
          <cell r="L1485" t="str">
            <v>Salzburg</v>
          </cell>
          <cell r="M1485">
            <v>32</v>
          </cell>
        </row>
        <row r="1486">
          <cell r="K1486" t="str">
            <v>Sankt Johann im Saggautal</v>
          </cell>
          <cell r="L1486" t="str">
            <v>Steiermark</v>
          </cell>
          <cell r="M1486">
            <v>24</v>
          </cell>
        </row>
        <row r="1487">
          <cell r="K1487" t="str">
            <v>Sankt Johann in der Haide</v>
          </cell>
          <cell r="L1487" t="str">
            <v>Steiermark</v>
          </cell>
          <cell r="M1487">
            <v>33</v>
          </cell>
        </row>
        <row r="1488">
          <cell r="K1488" t="str">
            <v>Sankt Josef (Weststeiermark)</v>
          </cell>
          <cell r="L1488" t="str">
            <v>Steiermark</v>
          </cell>
          <cell r="M1488">
            <v>23</v>
          </cell>
        </row>
        <row r="1489">
          <cell r="K1489" t="str">
            <v>Sankt Kathrein am Offenegg</v>
          </cell>
          <cell r="L1489" t="str">
            <v>Steiermark</v>
          </cell>
          <cell r="M1489">
            <v>24</v>
          </cell>
        </row>
        <row r="1490">
          <cell r="K1490" t="str">
            <v>Sankt Koloman</v>
          </cell>
          <cell r="L1490" t="str">
            <v>Salzburg</v>
          </cell>
          <cell r="M1490">
            <v>24</v>
          </cell>
        </row>
        <row r="1491">
          <cell r="K1491" t="str">
            <v>Sankt Lambrecht</v>
          </cell>
          <cell r="L1491" t="str">
            <v>Steiermark</v>
          </cell>
          <cell r="M1491">
            <v>34</v>
          </cell>
        </row>
        <row r="1492">
          <cell r="K1492" t="str">
            <v>Sankt Lorenzen am Wechsel</v>
          </cell>
          <cell r="L1492" t="str">
            <v>Steiermark</v>
          </cell>
          <cell r="M1492">
            <v>34</v>
          </cell>
        </row>
        <row r="1493">
          <cell r="K1493" t="str">
            <v>Sankt Lorenzen im Mürztal</v>
          </cell>
          <cell r="L1493" t="str">
            <v>Steiermark</v>
          </cell>
          <cell r="M1493">
            <v>23</v>
          </cell>
        </row>
        <row r="1494">
          <cell r="K1494" t="str">
            <v>Sankt Marein bei Graz</v>
          </cell>
          <cell r="L1494" t="str">
            <v>Steiermark</v>
          </cell>
          <cell r="M1494">
            <v>23</v>
          </cell>
        </row>
        <row r="1495">
          <cell r="K1495" t="str">
            <v>Sankt Marein im Mürztal</v>
          </cell>
          <cell r="L1495" t="str">
            <v>Steiermark</v>
          </cell>
          <cell r="M1495">
            <v>23</v>
          </cell>
        </row>
        <row r="1496">
          <cell r="K1496" t="str">
            <v>Sankt Marein-Feistritz</v>
          </cell>
          <cell r="L1496" t="str">
            <v>Steiermark</v>
          </cell>
          <cell r="M1496">
            <v>24</v>
          </cell>
        </row>
        <row r="1497">
          <cell r="K1497" t="str">
            <v>Sankt Margarethen bei Knittelfeld</v>
          </cell>
          <cell r="L1497" t="str">
            <v>Steiermark</v>
          </cell>
          <cell r="M1497">
            <v>22</v>
          </cell>
        </row>
        <row r="1498">
          <cell r="K1498" t="str">
            <v>Sankt Margarethen im Burgenland</v>
          </cell>
          <cell r="L1498" t="str">
            <v>Burgenland</v>
          </cell>
          <cell r="M1498">
            <v>24</v>
          </cell>
        </row>
        <row r="1499">
          <cell r="K1499" t="str">
            <v>Sankt Margarethen im Lungau</v>
          </cell>
          <cell r="L1499" t="str">
            <v>Salzburg</v>
          </cell>
          <cell r="M1499">
            <v>33</v>
          </cell>
        </row>
        <row r="1500">
          <cell r="K1500" t="str">
            <v>Sankt Martin am Tennengebirge</v>
          </cell>
          <cell r="L1500" t="str">
            <v>Salzburg</v>
          </cell>
          <cell r="M1500">
            <v>34</v>
          </cell>
        </row>
        <row r="1501">
          <cell r="K1501" t="str">
            <v>Sankt Martin am Wöllmißberg</v>
          </cell>
          <cell r="L1501" t="str">
            <v>Steiermark</v>
          </cell>
          <cell r="M1501">
            <v>24</v>
          </cell>
        </row>
        <row r="1502">
          <cell r="K1502" t="str">
            <v>Sankt Martin an der Raab</v>
          </cell>
          <cell r="L1502" t="str">
            <v>Burgenland</v>
          </cell>
          <cell r="M1502">
            <v>34</v>
          </cell>
        </row>
        <row r="1503">
          <cell r="K1503" t="str">
            <v>Sankt Martin bei Lofer</v>
          </cell>
          <cell r="L1503" t="str">
            <v>Salzburg</v>
          </cell>
          <cell r="M1503">
            <v>34</v>
          </cell>
        </row>
        <row r="1504">
          <cell r="K1504" t="str">
            <v>Sankt Martin im Sulmtal</v>
          </cell>
          <cell r="L1504" t="str">
            <v>Steiermark</v>
          </cell>
          <cell r="M1504">
            <v>23</v>
          </cell>
        </row>
        <row r="1505">
          <cell r="K1505" t="str">
            <v>Sankt Michael im Burgenland</v>
          </cell>
          <cell r="L1505" t="str">
            <v>Burgenland</v>
          </cell>
          <cell r="M1505">
            <v>34</v>
          </cell>
        </row>
        <row r="1506">
          <cell r="K1506" t="str">
            <v>Sankt Michael im Lungau</v>
          </cell>
          <cell r="L1506" t="str">
            <v>Salzburg</v>
          </cell>
          <cell r="M1506">
            <v>23</v>
          </cell>
        </row>
        <row r="1507">
          <cell r="K1507" t="str">
            <v>Sankt Michael in Obersteiermark</v>
          </cell>
          <cell r="L1507" t="str">
            <v>Steiermark</v>
          </cell>
          <cell r="M1507">
            <v>22</v>
          </cell>
        </row>
        <row r="1508">
          <cell r="K1508" t="str">
            <v>Sankt Nikolai im Sausal</v>
          </cell>
          <cell r="L1508" t="str">
            <v>Steiermark</v>
          </cell>
          <cell r="M1508">
            <v>24</v>
          </cell>
        </row>
        <row r="1509">
          <cell r="K1509" t="str">
            <v>Sankt Oswald bei Plankenwarth</v>
          </cell>
          <cell r="L1509" t="str">
            <v>Steiermark</v>
          </cell>
          <cell r="M1509">
            <v>24</v>
          </cell>
        </row>
        <row r="1510">
          <cell r="K1510" t="str">
            <v>Sankt Peter am Ottersbach</v>
          </cell>
          <cell r="L1510" t="str">
            <v>Steiermark</v>
          </cell>
          <cell r="M1510">
            <v>34</v>
          </cell>
        </row>
        <row r="1511">
          <cell r="K1511" t="str">
            <v>Sankt Peter im Sulmtal</v>
          </cell>
          <cell r="L1511" t="str">
            <v>Steiermark</v>
          </cell>
          <cell r="M1511">
            <v>33</v>
          </cell>
        </row>
        <row r="1512">
          <cell r="K1512" t="str">
            <v>Sankt Peter ob Judenburg</v>
          </cell>
          <cell r="L1512" t="str">
            <v>Steiermark</v>
          </cell>
          <cell r="M1512">
            <v>24</v>
          </cell>
        </row>
        <row r="1513">
          <cell r="K1513" t="str">
            <v>Sankt Peter-Freienstein</v>
          </cell>
          <cell r="L1513" t="str">
            <v>Steiermark</v>
          </cell>
          <cell r="M1513">
            <v>12</v>
          </cell>
        </row>
        <row r="1514">
          <cell r="K1514" t="str">
            <v>Sankt Radegund bei Graz</v>
          </cell>
          <cell r="L1514" t="str">
            <v>Steiermark</v>
          </cell>
          <cell r="M1514">
            <v>23</v>
          </cell>
        </row>
        <row r="1515">
          <cell r="K1515" t="str">
            <v>Sankt Ruprecht an der Raab</v>
          </cell>
          <cell r="L1515" t="str">
            <v>Steiermark</v>
          </cell>
          <cell r="M1515">
            <v>23</v>
          </cell>
        </row>
        <row r="1516">
          <cell r="K1516" t="str">
            <v>Sankt Stefan im Rosental</v>
          </cell>
          <cell r="L1516" t="str">
            <v>Steiermark</v>
          </cell>
          <cell r="M1516">
            <v>24</v>
          </cell>
        </row>
        <row r="1517">
          <cell r="K1517" t="str">
            <v>Sankt Stefan ob Leoben</v>
          </cell>
          <cell r="L1517" t="str">
            <v>Steiermark</v>
          </cell>
          <cell r="M1517">
            <v>23</v>
          </cell>
        </row>
        <row r="1518">
          <cell r="K1518" t="str">
            <v>Sankt Stefan ob Stainz</v>
          </cell>
          <cell r="L1518" t="str">
            <v>Steiermark</v>
          </cell>
          <cell r="M1518">
            <v>24</v>
          </cell>
        </row>
        <row r="1519">
          <cell r="K1519" t="str">
            <v>Sankt Veit im Pongau</v>
          </cell>
          <cell r="L1519" t="str">
            <v>Salzburg</v>
          </cell>
          <cell r="M1519">
            <v>32</v>
          </cell>
        </row>
        <row r="1520">
          <cell r="K1520" t="str">
            <v>Sankt Veit in der Südsteiermark</v>
          </cell>
          <cell r="L1520" t="str">
            <v>Steiermark</v>
          </cell>
          <cell r="M1520">
            <v>24</v>
          </cell>
        </row>
        <row r="1521">
          <cell r="K1521" t="str">
            <v>Sarleinsbach</v>
          </cell>
          <cell r="L1521" t="str">
            <v>Oberösterreich</v>
          </cell>
          <cell r="M1521">
            <v>34</v>
          </cell>
        </row>
        <row r="1522">
          <cell r="K1522" t="str">
            <v>Satteins</v>
          </cell>
          <cell r="L1522" t="str">
            <v>Vorarlberg</v>
          </cell>
          <cell r="M1522">
            <v>22</v>
          </cell>
        </row>
        <row r="1523">
          <cell r="K1523" t="str">
            <v>Sattledt</v>
          </cell>
          <cell r="L1523" t="str">
            <v>Oberösterreich</v>
          </cell>
          <cell r="M1523">
            <v>22</v>
          </cell>
        </row>
        <row r="1524">
          <cell r="K1524" t="str">
            <v>Sautens</v>
          </cell>
          <cell r="L1524" t="str">
            <v>Tirol</v>
          </cell>
          <cell r="M1524">
            <v>23</v>
          </cell>
        </row>
        <row r="1525">
          <cell r="K1525" t="str">
            <v>Saxen</v>
          </cell>
          <cell r="L1525" t="str">
            <v>Oberösterreich</v>
          </cell>
          <cell r="M1525">
            <v>22</v>
          </cell>
        </row>
        <row r="1526">
          <cell r="K1526" t="str">
            <v>Schachendorf</v>
          </cell>
          <cell r="L1526" t="str">
            <v>Burgenland</v>
          </cell>
          <cell r="M1526">
            <v>34</v>
          </cell>
        </row>
        <row r="1527">
          <cell r="K1527" t="str">
            <v>Schäffern</v>
          </cell>
          <cell r="L1527" t="str">
            <v>Steiermark</v>
          </cell>
          <cell r="M1527">
            <v>23</v>
          </cell>
        </row>
        <row r="1528">
          <cell r="K1528" t="str">
            <v>Schalchen</v>
          </cell>
          <cell r="L1528" t="str">
            <v>Oberösterreich</v>
          </cell>
          <cell r="M1528">
            <v>23</v>
          </cell>
        </row>
        <row r="1529">
          <cell r="K1529" t="str">
            <v>Schandorf</v>
          </cell>
          <cell r="L1529" t="str">
            <v>Burgenland</v>
          </cell>
          <cell r="M1529">
            <v>34</v>
          </cell>
        </row>
        <row r="1530">
          <cell r="K1530" t="str">
            <v>Schardenberg</v>
          </cell>
          <cell r="L1530" t="str">
            <v>Oberösterreich</v>
          </cell>
          <cell r="M1530">
            <v>34</v>
          </cell>
        </row>
        <row r="1531">
          <cell r="K1531" t="str">
            <v>Schärding</v>
          </cell>
          <cell r="L1531" t="str">
            <v>Oberösterreich</v>
          </cell>
          <cell r="M1531">
            <v>32</v>
          </cell>
        </row>
        <row r="1532">
          <cell r="K1532" t="str">
            <v>Scharndorf</v>
          </cell>
          <cell r="L1532" t="str">
            <v>Niederösterreich</v>
          </cell>
          <cell r="M1532">
            <v>22</v>
          </cell>
        </row>
        <row r="1533">
          <cell r="K1533" t="str">
            <v>Scharnitz</v>
          </cell>
          <cell r="L1533" t="str">
            <v>Tirol</v>
          </cell>
          <cell r="M1533">
            <v>22</v>
          </cell>
        </row>
        <row r="1534">
          <cell r="K1534" t="str">
            <v>Scharnstein</v>
          </cell>
          <cell r="L1534" t="str">
            <v>Oberösterreich</v>
          </cell>
          <cell r="M1534">
            <v>23</v>
          </cell>
        </row>
        <row r="1535">
          <cell r="K1535" t="str">
            <v>Scharten</v>
          </cell>
          <cell r="L1535" t="str">
            <v>Oberösterreich</v>
          </cell>
          <cell r="M1535">
            <v>23</v>
          </cell>
        </row>
        <row r="1536">
          <cell r="K1536" t="str">
            <v>Schattendorf</v>
          </cell>
          <cell r="L1536" t="str">
            <v>Burgenland</v>
          </cell>
          <cell r="M1536">
            <v>33</v>
          </cell>
        </row>
        <row r="1537">
          <cell r="K1537" t="str">
            <v>Schattwald</v>
          </cell>
          <cell r="L1537" t="str">
            <v>Tirol</v>
          </cell>
          <cell r="M1537">
            <v>24</v>
          </cell>
        </row>
        <row r="1538">
          <cell r="K1538" t="str">
            <v>Scheffau am Tennengebirge</v>
          </cell>
          <cell r="L1538" t="str">
            <v>Salzburg</v>
          </cell>
          <cell r="M1538">
            <v>24</v>
          </cell>
        </row>
        <row r="1539">
          <cell r="K1539" t="str">
            <v>Scheffau am Wilden Kaiser</v>
          </cell>
          <cell r="L1539" t="str">
            <v>Tirol</v>
          </cell>
          <cell r="M1539">
            <v>24</v>
          </cell>
        </row>
        <row r="1540">
          <cell r="K1540" t="str">
            <v>Scheibbs</v>
          </cell>
          <cell r="L1540" t="str">
            <v>Niederösterreich</v>
          </cell>
          <cell r="M1540">
            <v>32</v>
          </cell>
        </row>
        <row r="1541">
          <cell r="K1541" t="str">
            <v>Scheiblingkirchen-Thernberg</v>
          </cell>
          <cell r="L1541" t="str">
            <v>Niederösterreich</v>
          </cell>
          <cell r="M1541">
            <v>22</v>
          </cell>
        </row>
        <row r="1542">
          <cell r="K1542" t="str">
            <v>Scheifling</v>
          </cell>
          <cell r="L1542" t="str">
            <v>Steiermark</v>
          </cell>
          <cell r="M1542">
            <v>23</v>
          </cell>
        </row>
        <row r="1543">
          <cell r="K1543" t="str">
            <v>Schenkenfelden</v>
          </cell>
          <cell r="L1543" t="str">
            <v>Oberösterreich</v>
          </cell>
          <cell r="M1543">
            <v>23</v>
          </cell>
        </row>
        <row r="1544">
          <cell r="K1544" t="str">
            <v>Schiedlberg</v>
          </cell>
          <cell r="L1544" t="str">
            <v>Oberösterreich</v>
          </cell>
          <cell r="M1544">
            <v>24</v>
          </cell>
        </row>
        <row r="1545">
          <cell r="K1545" t="str">
            <v>Schiefling am Wörthersee</v>
          </cell>
          <cell r="L1545" t="str">
            <v>Kärnten</v>
          </cell>
          <cell r="M1545">
            <v>24</v>
          </cell>
        </row>
        <row r="1546">
          <cell r="K1546" t="str">
            <v>Schildorn</v>
          </cell>
          <cell r="L1546" t="str">
            <v>Oberösterreich</v>
          </cell>
          <cell r="M1546">
            <v>24</v>
          </cell>
        </row>
        <row r="1547">
          <cell r="K1547" t="str">
            <v>Schladming</v>
          </cell>
          <cell r="L1547" t="str">
            <v>Steiermark</v>
          </cell>
          <cell r="M1547">
            <v>32</v>
          </cell>
        </row>
        <row r="1548">
          <cell r="K1548" t="str">
            <v>Schlaiten</v>
          </cell>
          <cell r="L1548" t="str">
            <v>Tirol</v>
          </cell>
          <cell r="M1548">
            <v>24</v>
          </cell>
        </row>
        <row r="1549">
          <cell r="K1549" t="str">
            <v>Schlatt</v>
          </cell>
          <cell r="L1549" t="str">
            <v>Oberösterreich</v>
          </cell>
          <cell r="M1549">
            <v>23</v>
          </cell>
        </row>
        <row r="1550">
          <cell r="K1550" t="str">
            <v>Schleedorf</v>
          </cell>
          <cell r="L1550" t="str">
            <v>Salzburg</v>
          </cell>
          <cell r="M1550">
            <v>24</v>
          </cell>
        </row>
        <row r="1551">
          <cell r="K1551" t="str">
            <v>Schleißheim</v>
          </cell>
          <cell r="L1551" t="str">
            <v>Oberösterreich</v>
          </cell>
          <cell r="M1551">
            <v>24</v>
          </cell>
        </row>
        <row r="1552">
          <cell r="K1552" t="str">
            <v>Schlierbach</v>
          </cell>
          <cell r="L1552" t="str">
            <v>Oberösterreich</v>
          </cell>
          <cell r="M1552">
            <v>22</v>
          </cell>
        </row>
        <row r="1553">
          <cell r="K1553" t="str">
            <v>Schlins</v>
          </cell>
          <cell r="L1553" t="str">
            <v>Vorarlberg</v>
          </cell>
          <cell r="M1553">
            <v>22</v>
          </cell>
        </row>
        <row r="1554">
          <cell r="K1554" t="str">
            <v>Schlitters</v>
          </cell>
          <cell r="L1554" t="str">
            <v>Tirol</v>
          </cell>
          <cell r="M1554">
            <v>22</v>
          </cell>
        </row>
        <row r="1555">
          <cell r="K1555" t="str">
            <v>Schlüßlberg</v>
          </cell>
          <cell r="L1555" t="str">
            <v>Oberösterreich</v>
          </cell>
          <cell r="M1555">
            <v>22</v>
          </cell>
        </row>
        <row r="1556">
          <cell r="K1556" t="str">
            <v>Schmirn</v>
          </cell>
          <cell r="L1556" t="str">
            <v>Tirol</v>
          </cell>
          <cell r="M1556">
            <v>33</v>
          </cell>
        </row>
        <row r="1557">
          <cell r="K1557" t="str">
            <v>Schnepfau</v>
          </cell>
          <cell r="L1557" t="str">
            <v>Vorarlberg</v>
          </cell>
          <cell r="M1557">
            <v>33</v>
          </cell>
        </row>
        <row r="1558">
          <cell r="K1558" t="str">
            <v>Schnifis</v>
          </cell>
          <cell r="L1558" t="str">
            <v>Vorarlberg</v>
          </cell>
          <cell r="M1558">
            <v>23</v>
          </cell>
        </row>
        <row r="1559">
          <cell r="K1559" t="str">
            <v>Schöder</v>
          </cell>
          <cell r="L1559" t="str">
            <v>Steiermark</v>
          </cell>
          <cell r="M1559">
            <v>34</v>
          </cell>
        </row>
        <row r="1560">
          <cell r="K1560" t="str">
            <v>Schollach</v>
          </cell>
          <cell r="L1560" t="str">
            <v>Niederösterreich</v>
          </cell>
          <cell r="M1560">
            <v>24</v>
          </cell>
        </row>
        <row r="1561">
          <cell r="K1561" t="str">
            <v>Schönau an der Triesting</v>
          </cell>
          <cell r="L1561" t="str">
            <v>Niederösterreich</v>
          </cell>
          <cell r="M1561">
            <v>22</v>
          </cell>
        </row>
        <row r="1562">
          <cell r="K1562" t="str">
            <v>Schönau im Mühlkreis</v>
          </cell>
          <cell r="L1562" t="str">
            <v>Oberösterreich</v>
          </cell>
          <cell r="M1562">
            <v>33</v>
          </cell>
        </row>
        <row r="1563">
          <cell r="K1563" t="str">
            <v>Schönbach</v>
          </cell>
          <cell r="L1563" t="str">
            <v>Niederösterreich</v>
          </cell>
          <cell r="M1563">
            <v>34</v>
          </cell>
        </row>
        <row r="1564">
          <cell r="K1564" t="str">
            <v>Schönberg am Kamp</v>
          </cell>
          <cell r="L1564" t="str">
            <v>Niederösterreich</v>
          </cell>
          <cell r="M1564">
            <v>22</v>
          </cell>
        </row>
        <row r="1565">
          <cell r="K1565" t="str">
            <v>Schönberg im Stubaital</v>
          </cell>
          <cell r="L1565" t="str">
            <v>Tirol</v>
          </cell>
          <cell r="M1565">
            <v>22</v>
          </cell>
        </row>
        <row r="1566">
          <cell r="K1566" t="str">
            <v>Schönbühel-Aggsbach</v>
          </cell>
          <cell r="L1566" t="str">
            <v>Niederösterreich</v>
          </cell>
          <cell r="M1566">
            <v>24</v>
          </cell>
        </row>
        <row r="1567">
          <cell r="K1567" t="str">
            <v>Schönegg</v>
          </cell>
          <cell r="L1567" t="str">
            <v>Oberösterreich</v>
          </cell>
          <cell r="M1567">
            <v>34</v>
          </cell>
        </row>
        <row r="1568">
          <cell r="K1568" t="str">
            <v>Schönkirchen-Reyersdorf</v>
          </cell>
          <cell r="L1568" t="str">
            <v>Niederösterreich</v>
          </cell>
          <cell r="M1568">
            <v>32</v>
          </cell>
        </row>
        <row r="1569">
          <cell r="K1569" t="str">
            <v>Schönwies</v>
          </cell>
          <cell r="L1569" t="str">
            <v>Tirol</v>
          </cell>
          <cell r="M1569">
            <v>23</v>
          </cell>
        </row>
        <row r="1570">
          <cell r="K1570" t="str">
            <v>Schoppernau</v>
          </cell>
          <cell r="L1570" t="str">
            <v>Vorarlberg</v>
          </cell>
          <cell r="M1570">
            <v>33</v>
          </cell>
        </row>
        <row r="1571">
          <cell r="K1571" t="str">
            <v>Schörfling am Attersee</v>
          </cell>
          <cell r="L1571" t="str">
            <v>Oberösterreich</v>
          </cell>
          <cell r="M1571">
            <v>12</v>
          </cell>
        </row>
        <row r="1572">
          <cell r="K1572" t="str">
            <v>Schottwien</v>
          </cell>
          <cell r="L1572" t="str">
            <v>Niederösterreich</v>
          </cell>
          <cell r="M1572">
            <v>24</v>
          </cell>
        </row>
        <row r="1573">
          <cell r="K1573" t="str">
            <v>Schrattenbach</v>
          </cell>
          <cell r="L1573" t="str">
            <v>Niederösterreich</v>
          </cell>
          <cell r="M1573">
            <v>24</v>
          </cell>
        </row>
        <row r="1574">
          <cell r="K1574" t="str">
            <v>Schrattenberg</v>
          </cell>
          <cell r="L1574" t="str">
            <v>Niederösterreich</v>
          </cell>
          <cell r="M1574">
            <v>34</v>
          </cell>
        </row>
        <row r="1575">
          <cell r="K1575" t="str">
            <v>Schrattenthal</v>
          </cell>
          <cell r="L1575" t="str">
            <v>Niederösterreich</v>
          </cell>
          <cell r="M1575">
            <v>34</v>
          </cell>
        </row>
        <row r="1576">
          <cell r="K1576" t="str">
            <v>Schrems</v>
          </cell>
          <cell r="L1576" t="str">
            <v>Niederösterreich</v>
          </cell>
          <cell r="M1576">
            <v>33</v>
          </cell>
        </row>
        <row r="1577">
          <cell r="K1577" t="str">
            <v>Schröcken</v>
          </cell>
          <cell r="L1577" t="str">
            <v>Vorarlberg</v>
          </cell>
          <cell r="M1577">
            <v>34</v>
          </cell>
        </row>
        <row r="1578">
          <cell r="K1578" t="str">
            <v>Schruns</v>
          </cell>
          <cell r="L1578" t="str">
            <v>Vorarlberg</v>
          </cell>
          <cell r="M1578">
            <v>22</v>
          </cell>
        </row>
        <row r="1579">
          <cell r="K1579" t="str">
            <v>Schützen am Gebirge</v>
          </cell>
          <cell r="L1579" t="str">
            <v>Burgenland</v>
          </cell>
          <cell r="M1579">
            <v>22</v>
          </cell>
        </row>
        <row r="1580">
          <cell r="K1580" t="str">
            <v>Schwadorf</v>
          </cell>
          <cell r="L1580" t="str">
            <v>Niederösterreich</v>
          </cell>
          <cell r="M1580">
            <v>23</v>
          </cell>
        </row>
        <row r="1581">
          <cell r="K1581" t="str">
            <v>Schwanberg</v>
          </cell>
          <cell r="L1581" t="str">
            <v>Steiermark</v>
          </cell>
          <cell r="M1581">
            <v>33</v>
          </cell>
        </row>
        <row r="1582">
          <cell r="K1582" t="str">
            <v>Schwand im Innkreis</v>
          </cell>
          <cell r="L1582" t="str">
            <v>Oberösterreich</v>
          </cell>
          <cell r="M1582">
            <v>24</v>
          </cell>
        </row>
        <row r="1583">
          <cell r="K1583" t="str">
            <v>Schwanenstadt</v>
          </cell>
          <cell r="L1583" t="str">
            <v>Oberösterreich</v>
          </cell>
          <cell r="M1583">
            <v>22</v>
          </cell>
        </row>
        <row r="1584">
          <cell r="K1584" t="str">
            <v>Schwarzach</v>
          </cell>
          <cell r="L1584" t="str">
            <v>Vorarlberg</v>
          </cell>
          <cell r="M1584">
            <v>11</v>
          </cell>
        </row>
        <row r="1585">
          <cell r="K1585" t="str">
            <v>Schwarzach im Pongau</v>
          </cell>
          <cell r="L1585" t="str">
            <v>Salzburg</v>
          </cell>
          <cell r="M1585">
            <v>32</v>
          </cell>
        </row>
        <row r="1586">
          <cell r="K1586" t="str">
            <v>Schwarzau am Steinfeld</v>
          </cell>
          <cell r="L1586" t="str">
            <v>Niederösterreich</v>
          </cell>
          <cell r="M1586">
            <v>23</v>
          </cell>
        </row>
        <row r="1587">
          <cell r="K1587" t="str">
            <v>Schwarzau im Gebirge</v>
          </cell>
          <cell r="L1587" t="str">
            <v>Niederösterreich</v>
          </cell>
          <cell r="M1587">
            <v>34</v>
          </cell>
        </row>
        <row r="1588">
          <cell r="K1588" t="str">
            <v>Schwarzautal</v>
          </cell>
          <cell r="L1588" t="str">
            <v>Steiermark</v>
          </cell>
          <cell r="M1588">
            <v>24</v>
          </cell>
        </row>
        <row r="1589">
          <cell r="K1589" t="str">
            <v>Schwarzenau</v>
          </cell>
          <cell r="L1589" t="str">
            <v>Niederösterreich</v>
          </cell>
          <cell r="M1589">
            <v>32</v>
          </cell>
        </row>
        <row r="1590">
          <cell r="K1590" t="str">
            <v>Schwarzenbach</v>
          </cell>
          <cell r="L1590" t="str">
            <v>Niederösterreich</v>
          </cell>
          <cell r="M1590">
            <v>34</v>
          </cell>
        </row>
        <row r="1591">
          <cell r="K1591" t="str">
            <v>Schwarzenbach an der Pielach</v>
          </cell>
          <cell r="L1591" t="str">
            <v>Niederösterreich</v>
          </cell>
          <cell r="M1591">
            <v>34</v>
          </cell>
        </row>
        <row r="1592">
          <cell r="K1592" t="str">
            <v>Schwarzenberg</v>
          </cell>
          <cell r="L1592" t="str">
            <v>Vorarlberg</v>
          </cell>
          <cell r="M1592">
            <v>22</v>
          </cell>
        </row>
        <row r="1593">
          <cell r="K1593" t="str">
            <v>Schwarzenberg am Böhmerwald</v>
          </cell>
          <cell r="L1593" t="str">
            <v>Oberösterreich</v>
          </cell>
          <cell r="M1593">
            <v>34</v>
          </cell>
        </row>
        <row r="1594">
          <cell r="K1594" t="str">
            <v>Schwaz</v>
          </cell>
          <cell r="L1594" t="str">
            <v>Tirol</v>
          </cell>
          <cell r="M1594">
            <v>11</v>
          </cell>
        </row>
        <row r="1595">
          <cell r="K1595" t="str">
            <v>Schwechat</v>
          </cell>
          <cell r="L1595" t="str">
            <v>Niederösterreich</v>
          </cell>
          <cell r="M1595">
            <v>11</v>
          </cell>
        </row>
        <row r="1596">
          <cell r="K1596" t="str">
            <v>Schweiggers</v>
          </cell>
          <cell r="L1596" t="str">
            <v>Niederösterreich</v>
          </cell>
          <cell r="M1596">
            <v>34</v>
          </cell>
        </row>
        <row r="1597">
          <cell r="K1597" t="str">
            <v>Schwendau</v>
          </cell>
          <cell r="L1597" t="str">
            <v>Tirol</v>
          </cell>
          <cell r="M1597">
            <v>32</v>
          </cell>
        </row>
        <row r="1598">
          <cell r="K1598" t="str">
            <v>Schwendt</v>
          </cell>
          <cell r="L1598" t="str">
            <v>Tirol</v>
          </cell>
          <cell r="M1598">
            <v>34</v>
          </cell>
        </row>
        <row r="1599">
          <cell r="K1599" t="str">
            <v>Schwertberg</v>
          </cell>
          <cell r="L1599" t="str">
            <v>Oberösterreich</v>
          </cell>
          <cell r="M1599">
            <v>22</v>
          </cell>
        </row>
        <row r="1600">
          <cell r="K1600" t="str">
            <v>Schwoich</v>
          </cell>
          <cell r="L1600" t="str">
            <v>Tirol</v>
          </cell>
          <cell r="M1600">
            <v>23</v>
          </cell>
        </row>
        <row r="1601">
          <cell r="K1601" t="str">
            <v>Seckau</v>
          </cell>
          <cell r="L1601" t="str">
            <v>Steiermark</v>
          </cell>
          <cell r="M1601">
            <v>24</v>
          </cell>
        </row>
        <row r="1602">
          <cell r="K1602" t="str">
            <v>See</v>
          </cell>
          <cell r="L1602" t="str">
            <v>Tirol</v>
          </cell>
          <cell r="M1602">
            <v>24</v>
          </cell>
        </row>
        <row r="1603">
          <cell r="K1603" t="str">
            <v>Seebenstein</v>
          </cell>
          <cell r="L1603" t="str">
            <v>Niederösterreich</v>
          </cell>
          <cell r="M1603">
            <v>22</v>
          </cell>
        </row>
        <row r="1604">
          <cell r="K1604" t="str">
            <v>Seeboden am Millstätter See</v>
          </cell>
          <cell r="L1604" t="str">
            <v>Kärnten</v>
          </cell>
          <cell r="M1604">
            <v>23</v>
          </cell>
        </row>
        <row r="1605">
          <cell r="K1605" t="str">
            <v>Seefeld in Tirol</v>
          </cell>
          <cell r="L1605" t="str">
            <v>Tirol</v>
          </cell>
          <cell r="M1605">
            <v>22</v>
          </cell>
        </row>
        <row r="1606">
          <cell r="K1606" t="str">
            <v>Seefeld-Kadolz</v>
          </cell>
          <cell r="L1606" t="str">
            <v>Niederösterreich</v>
          </cell>
          <cell r="M1606">
            <v>34</v>
          </cell>
        </row>
        <row r="1607">
          <cell r="K1607" t="str">
            <v>Seeham</v>
          </cell>
          <cell r="L1607" t="str">
            <v>Salzburg</v>
          </cell>
          <cell r="M1607">
            <v>23</v>
          </cell>
        </row>
        <row r="1608">
          <cell r="K1608" t="str">
            <v>Seekirchen am Wallersee</v>
          </cell>
          <cell r="L1608" t="str">
            <v>Salzburg</v>
          </cell>
          <cell r="M1608">
            <v>22</v>
          </cell>
        </row>
        <row r="1609">
          <cell r="K1609" t="str">
            <v>Seewalchen am Attersee</v>
          </cell>
          <cell r="L1609" t="str">
            <v>Oberösterreich</v>
          </cell>
          <cell r="M1609">
            <v>12</v>
          </cell>
        </row>
        <row r="1610">
          <cell r="K1610" t="str">
            <v>Seibersdorf</v>
          </cell>
          <cell r="L1610" t="str">
            <v>Niederösterreich</v>
          </cell>
          <cell r="M1610">
            <v>23</v>
          </cell>
        </row>
        <row r="1611">
          <cell r="K1611" t="str">
            <v>Seiersberg-Pirka</v>
          </cell>
          <cell r="L1611" t="str">
            <v>Steiermark</v>
          </cell>
          <cell r="M1611">
            <v>12</v>
          </cell>
        </row>
        <row r="1612">
          <cell r="K1612" t="str">
            <v>Seitenstetten</v>
          </cell>
          <cell r="L1612" t="str">
            <v>Niederösterreich</v>
          </cell>
          <cell r="M1612">
            <v>22</v>
          </cell>
        </row>
        <row r="1613">
          <cell r="K1613" t="str">
            <v>Sellrain</v>
          </cell>
          <cell r="L1613" t="str">
            <v>Tirol</v>
          </cell>
          <cell r="M1613">
            <v>24</v>
          </cell>
        </row>
        <row r="1614">
          <cell r="K1614" t="str">
            <v>Selzthal</v>
          </cell>
          <cell r="L1614" t="str">
            <v>Steiermark</v>
          </cell>
          <cell r="M1614">
            <v>32</v>
          </cell>
        </row>
        <row r="1615">
          <cell r="K1615" t="str">
            <v>Semmering</v>
          </cell>
          <cell r="L1615" t="str">
            <v>Niederösterreich</v>
          </cell>
          <cell r="M1615">
            <v>23</v>
          </cell>
        </row>
        <row r="1616">
          <cell r="K1616" t="str">
            <v>Semriach</v>
          </cell>
          <cell r="L1616" t="str">
            <v>Steiermark</v>
          </cell>
          <cell r="M1616">
            <v>24</v>
          </cell>
        </row>
        <row r="1617">
          <cell r="K1617" t="str">
            <v>Senftenbach</v>
          </cell>
          <cell r="L1617" t="str">
            <v>Oberösterreich</v>
          </cell>
          <cell r="M1617">
            <v>23</v>
          </cell>
        </row>
        <row r="1618">
          <cell r="K1618" t="str">
            <v>Senftenberg</v>
          </cell>
          <cell r="L1618" t="str">
            <v>Niederösterreich</v>
          </cell>
          <cell r="M1618">
            <v>23</v>
          </cell>
        </row>
        <row r="1619">
          <cell r="K1619" t="str">
            <v>Serfaus</v>
          </cell>
          <cell r="L1619" t="str">
            <v>Tirol</v>
          </cell>
          <cell r="M1619">
            <v>34</v>
          </cell>
        </row>
        <row r="1620">
          <cell r="K1620" t="str">
            <v>Sibratsgfäll</v>
          </cell>
          <cell r="L1620" t="str">
            <v>Vorarlberg</v>
          </cell>
          <cell r="M1620">
            <v>23</v>
          </cell>
        </row>
        <row r="1621">
          <cell r="K1621" t="str">
            <v>Siegendorf</v>
          </cell>
          <cell r="L1621" t="str">
            <v>Burgenland</v>
          </cell>
          <cell r="M1621">
            <v>23</v>
          </cell>
        </row>
        <row r="1622">
          <cell r="K1622" t="str">
            <v>Sieggraben</v>
          </cell>
          <cell r="L1622" t="str">
            <v>Burgenland</v>
          </cell>
          <cell r="M1622">
            <v>23</v>
          </cell>
        </row>
        <row r="1623">
          <cell r="K1623" t="str">
            <v>Sieghartskirchen</v>
          </cell>
          <cell r="L1623" t="str">
            <v>Niederösterreich</v>
          </cell>
          <cell r="M1623">
            <v>23</v>
          </cell>
        </row>
        <row r="1624">
          <cell r="K1624" t="str">
            <v>Sierndorf</v>
          </cell>
          <cell r="L1624" t="str">
            <v>Niederösterreich</v>
          </cell>
          <cell r="M1624">
            <v>23</v>
          </cell>
        </row>
        <row r="1625">
          <cell r="K1625" t="str">
            <v>Sierning</v>
          </cell>
          <cell r="L1625" t="str">
            <v>Oberösterreich</v>
          </cell>
          <cell r="M1625">
            <v>23</v>
          </cell>
        </row>
        <row r="1626">
          <cell r="K1626" t="str">
            <v>Sigharting</v>
          </cell>
          <cell r="L1626" t="str">
            <v>Oberösterreich</v>
          </cell>
          <cell r="M1626">
            <v>24</v>
          </cell>
        </row>
        <row r="1627">
          <cell r="K1627" t="str">
            <v>Sigleß</v>
          </cell>
          <cell r="L1627" t="str">
            <v>Burgenland</v>
          </cell>
          <cell r="M1627">
            <v>22</v>
          </cell>
        </row>
        <row r="1628">
          <cell r="K1628" t="str">
            <v>Sigmundsherberg</v>
          </cell>
          <cell r="L1628" t="str">
            <v>Niederösterreich</v>
          </cell>
          <cell r="M1628">
            <v>32</v>
          </cell>
        </row>
        <row r="1629">
          <cell r="K1629" t="str">
            <v>Silbertal</v>
          </cell>
          <cell r="L1629" t="str">
            <v>Vorarlberg</v>
          </cell>
          <cell r="M1629">
            <v>23</v>
          </cell>
        </row>
        <row r="1630">
          <cell r="K1630" t="str">
            <v>Sillian</v>
          </cell>
          <cell r="L1630" t="str">
            <v>Tirol</v>
          </cell>
          <cell r="M1630">
            <v>32</v>
          </cell>
        </row>
        <row r="1631">
          <cell r="K1631" t="str">
            <v>Silz</v>
          </cell>
          <cell r="L1631" t="str">
            <v>Tirol</v>
          </cell>
          <cell r="M1631">
            <v>22</v>
          </cell>
        </row>
        <row r="1632">
          <cell r="K1632" t="str">
            <v>Sinabelkirchen</v>
          </cell>
          <cell r="L1632" t="str">
            <v>Steiermark</v>
          </cell>
          <cell r="M1632">
            <v>22</v>
          </cell>
        </row>
        <row r="1633">
          <cell r="K1633" t="str">
            <v>Sipbachzell</v>
          </cell>
          <cell r="L1633" t="str">
            <v>Oberösterreich</v>
          </cell>
          <cell r="M1633">
            <v>24</v>
          </cell>
        </row>
        <row r="1634">
          <cell r="K1634" t="str">
            <v>Sistrans</v>
          </cell>
          <cell r="L1634" t="str">
            <v>Tirol</v>
          </cell>
          <cell r="M1634">
            <v>12</v>
          </cell>
        </row>
        <row r="1635">
          <cell r="K1635" t="str">
            <v>Sittersdorf</v>
          </cell>
          <cell r="L1635" t="str">
            <v>Kärnten</v>
          </cell>
          <cell r="M1635">
            <v>33</v>
          </cell>
        </row>
        <row r="1636">
          <cell r="K1636" t="str">
            <v>Sitzenberg-Reidling</v>
          </cell>
          <cell r="L1636" t="str">
            <v>Niederösterreich</v>
          </cell>
          <cell r="M1636">
            <v>23</v>
          </cell>
        </row>
        <row r="1637">
          <cell r="K1637" t="str">
            <v>Sitzendorf an der Schmida</v>
          </cell>
          <cell r="L1637" t="str">
            <v>Niederösterreich</v>
          </cell>
          <cell r="M1637">
            <v>34</v>
          </cell>
        </row>
        <row r="1638">
          <cell r="K1638" t="str">
            <v>Söchau</v>
          </cell>
          <cell r="L1638" t="str">
            <v>Steiermark</v>
          </cell>
          <cell r="M1638">
            <v>33</v>
          </cell>
        </row>
        <row r="1639">
          <cell r="K1639" t="str">
            <v>Söding-Sankt Johann</v>
          </cell>
          <cell r="L1639" t="str">
            <v>Steiermark</v>
          </cell>
          <cell r="M1639">
            <v>23</v>
          </cell>
        </row>
        <row r="1640">
          <cell r="K1640" t="str">
            <v>Sölden</v>
          </cell>
          <cell r="L1640" t="str">
            <v>Tirol</v>
          </cell>
          <cell r="M1640">
            <v>33</v>
          </cell>
        </row>
        <row r="1641">
          <cell r="K1641" t="str">
            <v>Sölk</v>
          </cell>
          <cell r="L1641" t="str">
            <v>Steiermark</v>
          </cell>
          <cell r="M1641">
            <v>33</v>
          </cell>
        </row>
        <row r="1642">
          <cell r="K1642" t="str">
            <v>Söll</v>
          </cell>
          <cell r="L1642" t="str">
            <v>Tirol</v>
          </cell>
          <cell r="M1642">
            <v>23</v>
          </cell>
        </row>
        <row r="1643">
          <cell r="K1643" t="str">
            <v>Sollenau</v>
          </cell>
          <cell r="L1643" t="str">
            <v>Niederösterreich</v>
          </cell>
          <cell r="M1643">
            <v>12</v>
          </cell>
        </row>
        <row r="1644">
          <cell r="K1644" t="str">
            <v>Sommerein</v>
          </cell>
          <cell r="L1644" t="str">
            <v>Niederösterreich</v>
          </cell>
          <cell r="M1644">
            <v>23</v>
          </cell>
        </row>
        <row r="1645">
          <cell r="K1645" t="str">
            <v>Sonnberg im Mühlkreis</v>
          </cell>
          <cell r="L1645" t="str">
            <v>Oberösterreich</v>
          </cell>
          <cell r="M1645">
            <v>23</v>
          </cell>
        </row>
        <row r="1646">
          <cell r="K1646" t="str">
            <v>Sonntag</v>
          </cell>
          <cell r="L1646" t="str">
            <v>Vorarlberg</v>
          </cell>
          <cell r="M1646">
            <v>23</v>
          </cell>
        </row>
        <row r="1647">
          <cell r="K1647" t="str">
            <v>Sonntagberg</v>
          </cell>
          <cell r="L1647" t="str">
            <v>Niederösterreich</v>
          </cell>
          <cell r="M1647">
            <v>22</v>
          </cell>
        </row>
        <row r="1648">
          <cell r="K1648" t="str">
            <v>Sooß</v>
          </cell>
          <cell r="L1648" t="str">
            <v>Niederösterreich</v>
          </cell>
          <cell r="M1648">
            <v>12</v>
          </cell>
        </row>
        <row r="1649">
          <cell r="K1649" t="str">
            <v>Spannberg</v>
          </cell>
          <cell r="L1649" t="str">
            <v>Niederösterreich</v>
          </cell>
          <cell r="M1649">
            <v>34</v>
          </cell>
        </row>
        <row r="1650">
          <cell r="K1650" t="str">
            <v>Spielberg</v>
          </cell>
          <cell r="L1650" t="str">
            <v>Steiermark</v>
          </cell>
          <cell r="M1650">
            <v>12</v>
          </cell>
        </row>
        <row r="1651">
          <cell r="K1651" t="str">
            <v>Spillern</v>
          </cell>
          <cell r="L1651" t="str">
            <v>Niederösterreich</v>
          </cell>
          <cell r="M1651">
            <v>12</v>
          </cell>
        </row>
        <row r="1652">
          <cell r="K1652" t="str">
            <v>Spiss</v>
          </cell>
          <cell r="L1652" t="str">
            <v>Tirol</v>
          </cell>
          <cell r="M1652">
            <v>34</v>
          </cell>
        </row>
        <row r="1653">
          <cell r="K1653" t="str">
            <v>Spital am Pyhrn</v>
          </cell>
          <cell r="L1653" t="str">
            <v>Oberösterreich</v>
          </cell>
          <cell r="M1653">
            <v>33</v>
          </cell>
        </row>
        <row r="1654">
          <cell r="K1654" t="str">
            <v>Spital am Semmering</v>
          </cell>
          <cell r="L1654" t="str">
            <v>Steiermark</v>
          </cell>
          <cell r="M1654">
            <v>24</v>
          </cell>
        </row>
        <row r="1655">
          <cell r="K1655" t="str">
            <v>Spittal an der Drau</v>
          </cell>
          <cell r="L1655" t="str">
            <v>Kärnten</v>
          </cell>
          <cell r="M1655">
            <v>11</v>
          </cell>
        </row>
        <row r="1656">
          <cell r="K1656" t="str">
            <v>Spitz</v>
          </cell>
          <cell r="L1656" t="str">
            <v>Niederösterreich</v>
          </cell>
          <cell r="M1656">
            <v>23</v>
          </cell>
        </row>
        <row r="1657">
          <cell r="K1657" t="str">
            <v>St. Aegidi</v>
          </cell>
          <cell r="L1657" t="str">
            <v>Oberösterreich</v>
          </cell>
          <cell r="M1657">
            <v>34</v>
          </cell>
        </row>
        <row r="1658">
          <cell r="K1658" t="str">
            <v>St. Aegyd am Neuwalde</v>
          </cell>
          <cell r="L1658" t="str">
            <v>Niederösterreich</v>
          </cell>
          <cell r="M1658">
            <v>34</v>
          </cell>
        </row>
        <row r="1659">
          <cell r="K1659" t="str">
            <v>St. Agatha</v>
          </cell>
          <cell r="L1659" t="str">
            <v>Oberösterreich</v>
          </cell>
          <cell r="M1659">
            <v>34</v>
          </cell>
        </row>
        <row r="1660">
          <cell r="K1660" t="str">
            <v>St. Andrä</v>
          </cell>
          <cell r="L1660" t="str">
            <v>Kärnten</v>
          </cell>
          <cell r="M1660">
            <v>22</v>
          </cell>
        </row>
        <row r="1661">
          <cell r="K1661" t="str">
            <v>St. Andrä-Wördern</v>
          </cell>
          <cell r="L1661" t="str">
            <v>Niederösterreich</v>
          </cell>
          <cell r="M1661">
            <v>22</v>
          </cell>
        </row>
        <row r="1662">
          <cell r="K1662" t="str">
            <v>St. Anton am Arlberg</v>
          </cell>
          <cell r="L1662" t="str">
            <v>Tirol</v>
          </cell>
          <cell r="M1662">
            <v>32</v>
          </cell>
        </row>
        <row r="1663">
          <cell r="K1663" t="str">
            <v>St. Anton an der Jeßnitz</v>
          </cell>
          <cell r="L1663" t="str">
            <v>Niederösterreich</v>
          </cell>
          <cell r="M1663">
            <v>33</v>
          </cell>
        </row>
        <row r="1664">
          <cell r="K1664" t="str">
            <v>St. Anton im Montafon</v>
          </cell>
          <cell r="L1664" t="str">
            <v>Vorarlberg</v>
          </cell>
          <cell r="M1664">
            <v>22</v>
          </cell>
        </row>
        <row r="1665">
          <cell r="K1665" t="str">
            <v>St. Bernhard-Frauenhofen</v>
          </cell>
          <cell r="L1665" t="str">
            <v>Niederösterreich</v>
          </cell>
          <cell r="M1665">
            <v>32</v>
          </cell>
        </row>
        <row r="1666">
          <cell r="K1666" t="str">
            <v>St. Corona am Wechsel</v>
          </cell>
          <cell r="L1666" t="str">
            <v>Niederösterreich</v>
          </cell>
          <cell r="M1666">
            <v>24</v>
          </cell>
        </row>
        <row r="1667">
          <cell r="K1667" t="str">
            <v>St. Egyden am Steinfeld</v>
          </cell>
          <cell r="L1667" t="str">
            <v>Niederösterreich</v>
          </cell>
          <cell r="M1667">
            <v>22</v>
          </cell>
        </row>
        <row r="1668">
          <cell r="K1668" t="str">
            <v>St. Florian</v>
          </cell>
          <cell r="L1668" t="str">
            <v>Oberösterreich</v>
          </cell>
          <cell r="M1668">
            <v>23</v>
          </cell>
        </row>
        <row r="1669">
          <cell r="K1669" t="str">
            <v>St. Florian am Inn</v>
          </cell>
          <cell r="L1669" t="str">
            <v>Oberösterreich</v>
          </cell>
          <cell r="M1669">
            <v>23</v>
          </cell>
        </row>
        <row r="1670">
          <cell r="K1670" t="str">
            <v>St. Gallenkirch</v>
          </cell>
          <cell r="L1670" t="str">
            <v>Vorarlberg</v>
          </cell>
          <cell r="M1670">
            <v>23</v>
          </cell>
        </row>
        <row r="1671">
          <cell r="K1671" t="str">
            <v>St. Georgen am Fillmannsbach</v>
          </cell>
          <cell r="L1671" t="str">
            <v>Oberösterreich</v>
          </cell>
          <cell r="M1671">
            <v>24</v>
          </cell>
        </row>
        <row r="1672">
          <cell r="K1672" t="str">
            <v>St. Georgen am Längsee</v>
          </cell>
          <cell r="L1672" t="str">
            <v>Kärnten</v>
          </cell>
          <cell r="M1672">
            <v>22</v>
          </cell>
        </row>
        <row r="1673">
          <cell r="K1673" t="str">
            <v>St. Georgen am Reith</v>
          </cell>
          <cell r="L1673" t="str">
            <v>Niederösterreich</v>
          </cell>
          <cell r="M1673">
            <v>34</v>
          </cell>
        </row>
        <row r="1674">
          <cell r="K1674" t="str">
            <v>St. Georgen am Walde</v>
          </cell>
          <cell r="L1674" t="str">
            <v>Oberösterreich</v>
          </cell>
          <cell r="M1674">
            <v>34</v>
          </cell>
        </row>
        <row r="1675">
          <cell r="K1675" t="str">
            <v>St. Georgen am Ybbsfelde</v>
          </cell>
          <cell r="L1675" t="str">
            <v>Niederösterreich</v>
          </cell>
          <cell r="M1675">
            <v>23</v>
          </cell>
        </row>
        <row r="1676">
          <cell r="K1676" t="str">
            <v>St. Georgen an der Gusen</v>
          </cell>
          <cell r="L1676" t="str">
            <v>Oberösterreich</v>
          </cell>
          <cell r="M1676">
            <v>22</v>
          </cell>
        </row>
        <row r="1677">
          <cell r="K1677" t="str">
            <v>St. Georgen an der Leys</v>
          </cell>
          <cell r="L1677" t="str">
            <v>Niederösterreich</v>
          </cell>
          <cell r="M1677">
            <v>34</v>
          </cell>
        </row>
        <row r="1678">
          <cell r="K1678" t="str">
            <v>St. Georgen bei Grieskirchen</v>
          </cell>
          <cell r="L1678" t="str">
            <v>Oberösterreich</v>
          </cell>
          <cell r="M1678">
            <v>24</v>
          </cell>
        </row>
        <row r="1679">
          <cell r="K1679" t="str">
            <v>St. Georgen bei Obernberg am Inn</v>
          </cell>
          <cell r="L1679" t="str">
            <v>Oberösterreich</v>
          </cell>
          <cell r="M1679">
            <v>24</v>
          </cell>
        </row>
        <row r="1680">
          <cell r="K1680" t="str">
            <v>St. Georgen im Attergau</v>
          </cell>
          <cell r="L1680" t="str">
            <v>Oberösterreich</v>
          </cell>
          <cell r="M1680">
            <v>23</v>
          </cell>
        </row>
        <row r="1681">
          <cell r="K1681" t="str">
            <v>St. Georgen im Lavanttal</v>
          </cell>
          <cell r="L1681" t="str">
            <v>Kärnten</v>
          </cell>
          <cell r="M1681">
            <v>24</v>
          </cell>
        </row>
        <row r="1682">
          <cell r="K1682" t="str">
            <v>St. Gerold</v>
          </cell>
          <cell r="L1682" t="str">
            <v>Vorarlberg</v>
          </cell>
          <cell r="M1682">
            <v>24</v>
          </cell>
        </row>
        <row r="1683">
          <cell r="K1683" t="str">
            <v>St. Gotthard im Mühlkreis</v>
          </cell>
          <cell r="L1683" t="str">
            <v>Oberösterreich</v>
          </cell>
          <cell r="M1683">
            <v>22</v>
          </cell>
        </row>
        <row r="1684">
          <cell r="K1684" t="str">
            <v>St. Jakob im Rosental</v>
          </cell>
          <cell r="L1684" t="str">
            <v>Kärnten</v>
          </cell>
          <cell r="M1684">
            <v>23</v>
          </cell>
        </row>
        <row r="1685">
          <cell r="K1685" t="str">
            <v>St. Jakob in Defereggen</v>
          </cell>
          <cell r="L1685" t="str">
            <v>Tirol</v>
          </cell>
          <cell r="M1685">
            <v>34</v>
          </cell>
        </row>
        <row r="1686">
          <cell r="K1686" t="str">
            <v>St. Jakob in Haus</v>
          </cell>
          <cell r="L1686" t="str">
            <v>Tirol</v>
          </cell>
          <cell r="M1686">
            <v>34</v>
          </cell>
        </row>
        <row r="1687">
          <cell r="K1687" t="str">
            <v>St. Johann am Walde</v>
          </cell>
          <cell r="L1687" t="str">
            <v>Oberösterreich</v>
          </cell>
          <cell r="M1687">
            <v>24</v>
          </cell>
        </row>
        <row r="1688">
          <cell r="K1688" t="str">
            <v>St. Johann am Wimberg</v>
          </cell>
          <cell r="L1688" t="str">
            <v>Oberösterreich</v>
          </cell>
          <cell r="M1688">
            <v>33</v>
          </cell>
        </row>
        <row r="1689">
          <cell r="K1689" t="str">
            <v>St. Johann im Walde</v>
          </cell>
          <cell r="L1689" t="str">
            <v>Tirol</v>
          </cell>
          <cell r="M1689">
            <v>24</v>
          </cell>
        </row>
        <row r="1690">
          <cell r="K1690" t="str">
            <v>St. Johann in Tirol</v>
          </cell>
          <cell r="L1690" t="str">
            <v>Tirol</v>
          </cell>
          <cell r="M1690">
            <v>22</v>
          </cell>
        </row>
        <row r="1691">
          <cell r="K1691" t="str">
            <v>St. Kanzian am Klopeiner See</v>
          </cell>
          <cell r="L1691" t="str">
            <v>Kärnten</v>
          </cell>
          <cell r="M1691">
            <v>23</v>
          </cell>
        </row>
        <row r="1692">
          <cell r="K1692" t="str">
            <v>St. Kathrein am Hauenstein</v>
          </cell>
          <cell r="L1692" t="str">
            <v>Steiermark</v>
          </cell>
          <cell r="M1692">
            <v>33</v>
          </cell>
        </row>
        <row r="1693">
          <cell r="K1693" t="str">
            <v>St. Konrad</v>
          </cell>
          <cell r="L1693" t="str">
            <v>Oberösterreich</v>
          </cell>
          <cell r="M1693">
            <v>24</v>
          </cell>
        </row>
        <row r="1694">
          <cell r="K1694" t="str">
            <v>St. Leonhard am Forst</v>
          </cell>
          <cell r="L1694" t="str">
            <v>Niederösterreich</v>
          </cell>
          <cell r="M1694">
            <v>24</v>
          </cell>
        </row>
        <row r="1695">
          <cell r="K1695" t="str">
            <v>St. Leonhard am Hornerwald</v>
          </cell>
          <cell r="L1695" t="str">
            <v>Niederösterreich</v>
          </cell>
          <cell r="M1695">
            <v>34</v>
          </cell>
        </row>
        <row r="1696">
          <cell r="K1696" t="str">
            <v>St. Leonhard bei Freistadt</v>
          </cell>
          <cell r="L1696" t="str">
            <v>Oberösterreich</v>
          </cell>
          <cell r="M1696">
            <v>34</v>
          </cell>
        </row>
        <row r="1697">
          <cell r="K1697" t="str">
            <v>St. Leonhard im Pitztal</v>
          </cell>
          <cell r="L1697" t="str">
            <v>Tirol</v>
          </cell>
          <cell r="M1697">
            <v>34</v>
          </cell>
        </row>
        <row r="1698">
          <cell r="K1698" t="str">
            <v>St. Lorenz</v>
          </cell>
          <cell r="L1698" t="str">
            <v>Oberösterreich</v>
          </cell>
          <cell r="M1698">
            <v>23</v>
          </cell>
        </row>
        <row r="1699">
          <cell r="K1699" t="str">
            <v>St. Margareten im Rosental</v>
          </cell>
          <cell r="L1699" t="str">
            <v>Kärnten</v>
          </cell>
          <cell r="M1699">
            <v>24</v>
          </cell>
        </row>
        <row r="1700">
          <cell r="K1700" t="str">
            <v>St. Margarethen an der Raab</v>
          </cell>
          <cell r="L1700" t="str">
            <v>Steiermark</v>
          </cell>
          <cell r="M1700">
            <v>23</v>
          </cell>
        </row>
        <row r="1701">
          <cell r="K1701" t="str">
            <v>St. Margarethen an der Sierning</v>
          </cell>
          <cell r="L1701" t="str">
            <v>Niederösterreich</v>
          </cell>
          <cell r="M1701">
            <v>24</v>
          </cell>
        </row>
        <row r="1702">
          <cell r="K1702" t="str">
            <v>St. Marien</v>
          </cell>
          <cell r="L1702" t="str">
            <v>Oberösterreich</v>
          </cell>
          <cell r="M1702">
            <v>23</v>
          </cell>
        </row>
        <row r="1703">
          <cell r="K1703" t="str">
            <v>St. Marienkirchen am Hausruck</v>
          </cell>
          <cell r="L1703" t="str">
            <v>Oberösterreich</v>
          </cell>
          <cell r="M1703">
            <v>24</v>
          </cell>
        </row>
        <row r="1704">
          <cell r="K1704" t="str">
            <v>St. Marienkirchen an der Polsenz</v>
          </cell>
          <cell r="L1704" t="str">
            <v>Oberösterreich</v>
          </cell>
          <cell r="M1704">
            <v>23</v>
          </cell>
        </row>
        <row r="1705">
          <cell r="K1705" t="str">
            <v>St. Marienkirchen bei Schärding</v>
          </cell>
          <cell r="L1705" t="str">
            <v>Oberösterreich</v>
          </cell>
          <cell r="M1705">
            <v>23</v>
          </cell>
        </row>
        <row r="1706">
          <cell r="K1706" t="str">
            <v>St. Martin</v>
          </cell>
          <cell r="L1706" t="str">
            <v>Niederösterreich</v>
          </cell>
          <cell r="M1706">
            <v>34</v>
          </cell>
        </row>
        <row r="1707">
          <cell r="K1707" t="str">
            <v>St. Martin im Innkreis</v>
          </cell>
          <cell r="L1707" t="str">
            <v>Oberösterreich</v>
          </cell>
          <cell r="M1707">
            <v>23</v>
          </cell>
        </row>
        <row r="1708">
          <cell r="K1708" t="str">
            <v>St. Martin im Mühlkreis</v>
          </cell>
          <cell r="L1708" t="str">
            <v>Oberösterreich</v>
          </cell>
          <cell r="M1708">
            <v>22</v>
          </cell>
        </row>
        <row r="1709">
          <cell r="K1709" t="str">
            <v>St. Martin-Karlsbach</v>
          </cell>
          <cell r="L1709" t="str">
            <v>Niederösterreich</v>
          </cell>
          <cell r="M1709">
            <v>22</v>
          </cell>
        </row>
        <row r="1710">
          <cell r="K1710" t="str">
            <v>St. Nikola an der Donau</v>
          </cell>
          <cell r="L1710" t="str">
            <v>Oberösterreich</v>
          </cell>
          <cell r="M1710">
            <v>23</v>
          </cell>
        </row>
        <row r="1711">
          <cell r="K1711" t="str">
            <v>St. Oswald</v>
          </cell>
          <cell r="L1711" t="str">
            <v>Niederösterreich</v>
          </cell>
          <cell r="M1711">
            <v>34</v>
          </cell>
        </row>
        <row r="1712">
          <cell r="K1712" t="str">
            <v>St. Oswald bei Freistadt</v>
          </cell>
          <cell r="L1712" t="str">
            <v>Oberösterreich</v>
          </cell>
          <cell r="M1712">
            <v>34</v>
          </cell>
        </row>
        <row r="1713">
          <cell r="K1713" t="str">
            <v>St. Oswald bei Haslach</v>
          </cell>
          <cell r="L1713" t="str">
            <v>Oberösterreich</v>
          </cell>
          <cell r="M1713">
            <v>34</v>
          </cell>
        </row>
        <row r="1714">
          <cell r="K1714" t="str">
            <v>St. Pankraz</v>
          </cell>
          <cell r="L1714" t="str">
            <v>Oberösterreich</v>
          </cell>
          <cell r="M1714">
            <v>32</v>
          </cell>
        </row>
        <row r="1715">
          <cell r="K1715" t="str">
            <v>St. Pantaleon</v>
          </cell>
          <cell r="L1715" t="str">
            <v>Oberösterreich</v>
          </cell>
          <cell r="M1715">
            <v>22</v>
          </cell>
        </row>
        <row r="1716">
          <cell r="K1716" t="str">
            <v>St. Pantaleon-Erla</v>
          </cell>
          <cell r="L1716" t="str">
            <v>Niederösterreich</v>
          </cell>
          <cell r="M1716">
            <v>22</v>
          </cell>
        </row>
        <row r="1717">
          <cell r="K1717" t="str">
            <v>St. Paul im Lavanttal</v>
          </cell>
          <cell r="L1717" t="str">
            <v>Kärnten</v>
          </cell>
          <cell r="M1717">
            <v>22</v>
          </cell>
        </row>
        <row r="1718">
          <cell r="K1718" t="str">
            <v>St. Peter am Hart</v>
          </cell>
          <cell r="L1718" t="str">
            <v>Oberösterreich</v>
          </cell>
          <cell r="M1718">
            <v>24</v>
          </cell>
        </row>
        <row r="1719">
          <cell r="K1719" t="str">
            <v>St. Peter am Kammersberg</v>
          </cell>
          <cell r="L1719" t="str">
            <v>Steiermark</v>
          </cell>
          <cell r="M1719">
            <v>34</v>
          </cell>
        </row>
        <row r="1720">
          <cell r="K1720" t="str">
            <v>St. Peter am Wimberg</v>
          </cell>
          <cell r="L1720" t="str">
            <v>Oberösterreich</v>
          </cell>
          <cell r="M1720">
            <v>33</v>
          </cell>
        </row>
        <row r="1721">
          <cell r="K1721" t="str">
            <v>St. Peter in der Au</v>
          </cell>
          <cell r="L1721" t="str">
            <v>Niederösterreich</v>
          </cell>
          <cell r="M1721">
            <v>22</v>
          </cell>
        </row>
        <row r="1722">
          <cell r="K1722" t="str">
            <v>St. Pölten</v>
          </cell>
          <cell r="L1722" t="str">
            <v>Niederösterreich</v>
          </cell>
          <cell r="M1722">
            <v>11</v>
          </cell>
        </row>
        <row r="1723">
          <cell r="K1723" t="str">
            <v>St. Radegund</v>
          </cell>
          <cell r="L1723" t="str">
            <v>Oberösterreich</v>
          </cell>
          <cell r="M1723">
            <v>34</v>
          </cell>
        </row>
        <row r="1724">
          <cell r="K1724" t="str">
            <v>St. Roman</v>
          </cell>
          <cell r="L1724" t="str">
            <v>Oberösterreich</v>
          </cell>
          <cell r="M1724">
            <v>34</v>
          </cell>
        </row>
        <row r="1725">
          <cell r="K1725" t="str">
            <v>St. Sigmund im Sellrain</v>
          </cell>
          <cell r="L1725" t="str">
            <v>Tirol</v>
          </cell>
          <cell r="M1725">
            <v>24</v>
          </cell>
        </row>
        <row r="1726">
          <cell r="K1726" t="str">
            <v>St. Stefan am Walde</v>
          </cell>
          <cell r="L1726" t="str">
            <v>Oberösterreich</v>
          </cell>
          <cell r="M1726">
            <v>34</v>
          </cell>
        </row>
        <row r="1727">
          <cell r="K1727" t="str">
            <v>St. Stefan im Gailtal</v>
          </cell>
          <cell r="L1727" t="str">
            <v>Kärnten</v>
          </cell>
          <cell r="M1727">
            <v>23</v>
          </cell>
        </row>
        <row r="1728">
          <cell r="K1728" t="str">
            <v>St. Thomas</v>
          </cell>
          <cell r="L1728" t="str">
            <v>Oberösterreich</v>
          </cell>
          <cell r="M1728">
            <v>24</v>
          </cell>
        </row>
        <row r="1729">
          <cell r="K1729" t="str">
            <v>St. Thomas am Blasenstein</v>
          </cell>
          <cell r="L1729" t="str">
            <v>Oberösterreich</v>
          </cell>
          <cell r="M1729">
            <v>33</v>
          </cell>
        </row>
        <row r="1730">
          <cell r="K1730" t="str">
            <v>St. Ulrich am Pillersee</v>
          </cell>
          <cell r="L1730" t="str">
            <v>Tirol</v>
          </cell>
          <cell r="M1730">
            <v>34</v>
          </cell>
        </row>
        <row r="1731">
          <cell r="K1731" t="str">
            <v>St. Ulrich bei Steyr</v>
          </cell>
          <cell r="L1731" t="str">
            <v>Oberösterreich</v>
          </cell>
          <cell r="M1731">
            <v>22</v>
          </cell>
        </row>
        <row r="1732">
          <cell r="K1732" t="str">
            <v>St. Ulrich im Mühlkreis</v>
          </cell>
          <cell r="L1732" t="str">
            <v>Oberösterreich</v>
          </cell>
          <cell r="M1732">
            <v>23</v>
          </cell>
        </row>
        <row r="1733">
          <cell r="K1733" t="str">
            <v>St. Urban</v>
          </cell>
          <cell r="L1733" t="str">
            <v>Kärnten</v>
          </cell>
          <cell r="M1733">
            <v>23</v>
          </cell>
        </row>
        <row r="1734">
          <cell r="K1734" t="str">
            <v>St. Valentin</v>
          </cell>
          <cell r="L1734" t="str">
            <v>Niederösterreich</v>
          </cell>
          <cell r="M1734">
            <v>22</v>
          </cell>
        </row>
        <row r="1735">
          <cell r="K1735" t="str">
            <v>St. Veit an der Glan</v>
          </cell>
          <cell r="L1735" t="str">
            <v>Kärnten</v>
          </cell>
          <cell r="M1735">
            <v>11</v>
          </cell>
        </row>
        <row r="1736">
          <cell r="K1736" t="str">
            <v>St. Veit an der Gölsen</v>
          </cell>
          <cell r="L1736" t="str">
            <v>Niederösterreich</v>
          </cell>
          <cell r="M1736">
            <v>23</v>
          </cell>
        </row>
        <row r="1737">
          <cell r="K1737" t="str">
            <v>St. Veit im Innkreis</v>
          </cell>
          <cell r="L1737" t="str">
            <v>Oberösterreich</v>
          </cell>
          <cell r="M1737">
            <v>24</v>
          </cell>
        </row>
        <row r="1738">
          <cell r="K1738" t="str">
            <v>St. Veit im Mühlkreis</v>
          </cell>
          <cell r="L1738" t="str">
            <v>Oberösterreich</v>
          </cell>
          <cell r="M1738">
            <v>33</v>
          </cell>
        </row>
        <row r="1739">
          <cell r="K1739" t="str">
            <v>St. Veit in Defereggen</v>
          </cell>
          <cell r="L1739" t="str">
            <v>Tirol</v>
          </cell>
          <cell r="M1739">
            <v>34</v>
          </cell>
        </row>
        <row r="1740">
          <cell r="K1740" t="str">
            <v>St. Willibald</v>
          </cell>
          <cell r="L1740" t="str">
            <v>Oberösterreich</v>
          </cell>
          <cell r="M1740">
            <v>34</v>
          </cell>
        </row>
        <row r="1741">
          <cell r="K1741" t="str">
            <v>St. Wolfgang im Salzkammergut</v>
          </cell>
          <cell r="L1741" t="str">
            <v>Oberösterreich</v>
          </cell>
          <cell r="M1741">
            <v>33</v>
          </cell>
        </row>
        <row r="1742">
          <cell r="K1742" t="str">
            <v>Staatz</v>
          </cell>
          <cell r="L1742" t="str">
            <v>Niederösterreich</v>
          </cell>
          <cell r="M1742">
            <v>33</v>
          </cell>
        </row>
        <row r="1743">
          <cell r="K1743" t="str">
            <v>Stadl-Paura</v>
          </cell>
          <cell r="L1743" t="str">
            <v>Oberösterreich</v>
          </cell>
          <cell r="M1743">
            <v>22</v>
          </cell>
        </row>
        <row r="1744">
          <cell r="K1744" t="str">
            <v>Stadl-Predlitz</v>
          </cell>
          <cell r="L1744" t="str">
            <v>Steiermark</v>
          </cell>
          <cell r="M1744">
            <v>33</v>
          </cell>
        </row>
        <row r="1745">
          <cell r="K1745" t="str">
            <v>Stadtschlaining</v>
          </cell>
          <cell r="L1745" t="str">
            <v>Burgenland</v>
          </cell>
          <cell r="M1745">
            <v>34</v>
          </cell>
        </row>
        <row r="1746">
          <cell r="K1746" t="str">
            <v>Stainach-Pürgg</v>
          </cell>
          <cell r="L1746" t="str">
            <v>Steiermark</v>
          </cell>
          <cell r="M1746">
            <v>32</v>
          </cell>
        </row>
        <row r="1747">
          <cell r="K1747" t="str">
            <v>Stainz</v>
          </cell>
          <cell r="L1747" t="str">
            <v>Steiermark</v>
          </cell>
          <cell r="M1747">
            <v>23</v>
          </cell>
        </row>
        <row r="1748">
          <cell r="K1748" t="str">
            <v>Stall</v>
          </cell>
          <cell r="L1748" t="str">
            <v>Kärnten</v>
          </cell>
          <cell r="M1748">
            <v>34</v>
          </cell>
        </row>
        <row r="1749">
          <cell r="K1749" t="str">
            <v>Stallehr</v>
          </cell>
          <cell r="L1749" t="str">
            <v>Vorarlberg</v>
          </cell>
          <cell r="M1749">
            <v>22</v>
          </cell>
        </row>
        <row r="1750">
          <cell r="K1750" t="str">
            <v>Stallhofen</v>
          </cell>
          <cell r="L1750" t="str">
            <v>Steiermark</v>
          </cell>
          <cell r="M1750">
            <v>24</v>
          </cell>
        </row>
        <row r="1751">
          <cell r="K1751" t="str">
            <v>Stams</v>
          </cell>
          <cell r="L1751" t="str">
            <v>Tirol</v>
          </cell>
          <cell r="M1751">
            <v>22</v>
          </cell>
        </row>
        <row r="1752">
          <cell r="K1752" t="str">
            <v>Stans</v>
          </cell>
          <cell r="L1752" t="str">
            <v>Tirol</v>
          </cell>
          <cell r="M1752">
            <v>12</v>
          </cell>
        </row>
        <row r="1753">
          <cell r="K1753" t="str">
            <v>Stanz bei Landeck</v>
          </cell>
          <cell r="L1753" t="str">
            <v>Tirol</v>
          </cell>
          <cell r="M1753">
            <v>22</v>
          </cell>
        </row>
        <row r="1754">
          <cell r="K1754" t="str">
            <v>Stanz im Mürztal</v>
          </cell>
          <cell r="L1754" t="str">
            <v>Steiermark</v>
          </cell>
          <cell r="M1754">
            <v>24</v>
          </cell>
        </row>
        <row r="1755">
          <cell r="K1755" t="str">
            <v>Stanzach</v>
          </cell>
          <cell r="L1755" t="str">
            <v>Tirol</v>
          </cell>
          <cell r="M1755">
            <v>24</v>
          </cell>
        </row>
        <row r="1756">
          <cell r="K1756" t="str">
            <v>Stattegg</v>
          </cell>
          <cell r="L1756" t="str">
            <v>Steiermark</v>
          </cell>
          <cell r="M1756">
            <v>12</v>
          </cell>
        </row>
        <row r="1757">
          <cell r="K1757" t="str">
            <v>Statzendorf</v>
          </cell>
          <cell r="L1757" t="str">
            <v>Niederösterreich</v>
          </cell>
          <cell r="M1757">
            <v>22</v>
          </cell>
        </row>
        <row r="1758">
          <cell r="K1758" t="str">
            <v>Steeg</v>
          </cell>
          <cell r="L1758" t="str">
            <v>Tirol</v>
          </cell>
          <cell r="M1758">
            <v>34</v>
          </cell>
        </row>
        <row r="1759">
          <cell r="K1759" t="str">
            <v>Steegen</v>
          </cell>
          <cell r="L1759" t="str">
            <v>Oberösterreich</v>
          </cell>
          <cell r="M1759">
            <v>33</v>
          </cell>
        </row>
        <row r="1760">
          <cell r="K1760" t="str">
            <v>Stegersbach</v>
          </cell>
          <cell r="L1760" t="str">
            <v>Burgenland</v>
          </cell>
          <cell r="M1760">
            <v>33</v>
          </cell>
        </row>
        <row r="1761">
          <cell r="K1761" t="str">
            <v>Steinach am Brenner</v>
          </cell>
          <cell r="L1761" t="str">
            <v>Tirol</v>
          </cell>
          <cell r="M1761">
            <v>22</v>
          </cell>
        </row>
        <row r="1762">
          <cell r="K1762" t="str">
            <v>Steinakirchen am Forst</v>
          </cell>
          <cell r="L1762" t="str">
            <v>Niederösterreich</v>
          </cell>
          <cell r="M1762">
            <v>24</v>
          </cell>
        </row>
        <row r="1763">
          <cell r="K1763" t="str">
            <v>Steinbach am Attersee</v>
          </cell>
          <cell r="L1763" t="str">
            <v>Oberösterreich</v>
          </cell>
          <cell r="M1763">
            <v>24</v>
          </cell>
        </row>
        <row r="1764">
          <cell r="K1764" t="str">
            <v>Steinbach am Ziehberg</v>
          </cell>
          <cell r="L1764" t="str">
            <v>Oberösterreich</v>
          </cell>
          <cell r="M1764">
            <v>24</v>
          </cell>
        </row>
        <row r="1765">
          <cell r="K1765" t="str">
            <v>Steinbach an der Steyr</v>
          </cell>
          <cell r="L1765" t="str">
            <v>Oberösterreich</v>
          </cell>
          <cell r="M1765">
            <v>23</v>
          </cell>
        </row>
        <row r="1766">
          <cell r="K1766" t="str">
            <v>Steinberg am Rofan</v>
          </cell>
          <cell r="L1766" t="str">
            <v>Tirol</v>
          </cell>
          <cell r="M1766">
            <v>34</v>
          </cell>
        </row>
        <row r="1767">
          <cell r="K1767" t="str">
            <v>Steinberg-Dörfl</v>
          </cell>
          <cell r="L1767" t="str">
            <v>Burgenland</v>
          </cell>
          <cell r="M1767">
            <v>34</v>
          </cell>
        </row>
        <row r="1768">
          <cell r="K1768" t="str">
            <v>Steinbrunn</v>
          </cell>
          <cell r="L1768" t="str">
            <v>Burgenland</v>
          </cell>
          <cell r="M1768">
            <v>23</v>
          </cell>
        </row>
        <row r="1769">
          <cell r="K1769" t="str">
            <v>Steindorf am Ossiacher See</v>
          </cell>
          <cell r="L1769" t="str">
            <v>Kärnten</v>
          </cell>
          <cell r="M1769">
            <v>23</v>
          </cell>
        </row>
        <row r="1770">
          <cell r="K1770" t="str">
            <v>Steinerkirchen an der Traun</v>
          </cell>
          <cell r="L1770" t="str">
            <v>Oberösterreich</v>
          </cell>
          <cell r="M1770">
            <v>23</v>
          </cell>
        </row>
        <row r="1771">
          <cell r="K1771" t="str">
            <v>Steinfeld</v>
          </cell>
          <cell r="L1771" t="str">
            <v>Kärnten</v>
          </cell>
          <cell r="M1771">
            <v>22</v>
          </cell>
        </row>
        <row r="1772">
          <cell r="K1772" t="str">
            <v>Steinhaus</v>
          </cell>
          <cell r="L1772" t="str">
            <v>Oberösterreich</v>
          </cell>
          <cell r="M1772">
            <v>23</v>
          </cell>
        </row>
        <row r="1773">
          <cell r="K1773" t="str">
            <v>Stetteldorf am Wagram</v>
          </cell>
          <cell r="L1773" t="str">
            <v>Niederösterreich</v>
          </cell>
          <cell r="M1773">
            <v>23</v>
          </cell>
        </row>
        <row r="1774">
          <cell r="K1774" t="str">
            <v>Stetten</v>
          </cell>
          <cell r="L1774" t="str">
            <v>Niederösterreich</v>
          </cell>
          <cell r="M1774">
            <v>24</v>
          </cell>
        </row>
        <row r="1775">
          <cell r="K1775" t="str">
            <v>Steuerberg</v>
          </cell>
          <cell r="L1775" t="str">
            <v>Kärnten</v>
          </cell>
          <cell r="M1775">
            <v>34</v>
          </cell>
        </row>
        <row r="1776">
          <cell r="K1776" t="str">
            <v>Steyr</v>
          </cell>
          <cell r="L1776" t="str">
            <v>Oberösterreich</v>
          </cell>
          <cell r="M1776">
            <v>12</v>
          </cell>
        </row>
        <row r="1777">
          <cell r="K1777" t="str">
            <v>Steyregg</v>
          </cell>
          <cell r="L1777" t="str">
            <v>Oberösterreich</v>
          </cell>
          <cell r="M1777">
            <v>12</v>
          </cell>
        </row>
        <row r="1778">
          <cell r="K1778" t="str">
            <v>Stinatz</v>
          </cell>
          <cell r="L1778" t="str">
            <v>Burgenland</v>
          </cell>
          <cell r="M1778">
            <v>34</v>
          </cell>
        </row>
        <row r="1779">
          <cell r="K1779" t="str">
            <v>Stiwoll</v>
          </cell>
          <cell r="L1779" t="str">
            <v>Steiermark</v>
          </cell>
          <cell r="M1779">
            <v>24</v>
          </cell>
        </row>
        <row r="1780">
          <cell r="K1780" t="str">
            <v>Stockenboi</v>
          </cell>
          <cell r="L1780" t="str">
            <v>Kärnten</v>
          </cell>
          <cell r="M1780">
            <v>24</v>
          </cell>
        </row>
        <row r="1781">
          <cell r="K1781" t="str">
            <v>Stockerau</v>
          </cell>
          <cell r="L1781" t="str">
            <v>Niederösterreich</v>
          </cell>
          <cell r="M1781">
            <v>12</v>
          </cell>
        </row>
        <row r="1782">
          <cell r="K1782" t="str">
            <v>Stoob</v>
          </cell>
          <cell r="L1782" t="str">
            <v>Burgenland</v>
          </cell>
          <cell r="M1782">
            <v>33</v>
          </cell>
        </row>
        <row r="1783">
          <cell r="K1783" t="str">
            <v>Stössing</v>
          </cell>
          <cell r="L1783" t="str">
            <v>Niederösterreich</v>
          </cell>
          <cell r="M1783">
            <v>24</v>
          </cell>
        </row>
        <row r="1784">
          <cell r="K1784" t="str">
            <v>Stotzing</v>
          </cell>
          <cell r="L1784" t="str">
            <v>Burgenland</v>
          </cell>
          <cell r="M1784">
            <v>24</v>
          </cell>
        </row>
        <row r="1785">
          <cell r="K1785" t="str">
            <v>Straden</v>
          </cell>
          <cell r="L1785" t="str">
            <v>Steiermark</v>
          </cell>
          <cell r="M1785">
            <v>34</v>
          </cell>
        </row>
        <row r="1786">
          <cell r="K1786" t="str">
            <v>Strallegg</v>
          </cell>
          <cell r="L1786" t="str">
            <v>Steiermark</v>
          </cell>
          <cell r="M1786">
            <v>33</v>
          </cell>
        </row>
        <row r="1787">
          <cell r="K1787" t="str">
            <v>Straning-Grafenberg</v>
          </cell>
          <cell r="L1787" t="str">
            <v>Niederösterreich</v>
          </cell>
          <cell r="M1787">
            <v>34</v>
          </cell>
        </row>
        <row r="1788">
          <cell r="K1788" t="str">
            <v>Straß im Attergau</v>
          </cell>
          <cell r="L1788" t="str">
            <v>Oberösterreich</v>
          </cell>
          <cell r="M1788">
            <v>23</v>
          </cell>
        </row>
        <row r="1789">
          <cell r="K1789" t="str">
            <v>Straß im Straßertale</v>
          </cell>
          <cell r="L1789" t="str">
            <v>Niederösterreich</v>
          </cell>
          <cell r="M1789">
            <v>24</v>
          </cell>
        </row>
        <row r="1790">
          <cell r="K1790" t="str">
            <v>Strass im Zillertal</v>
          </cell>
          <cell r="L1790" t="str">
            <v>Tirol</v>
          </cell>
          <cell r="M1790">
            <v>22</v>
          </cell>
        </row>
        <row r="1791">
          <cell r="K1791" t="str">
            <v>Straß in Steiermark</v>
          </cell>
          <cell r="L1791" t="str">
            <v>Steiermark</v>
          </cell>
          <cell r="M1791">
            <v>22</v>
          </cell>
        </row>
        <row r="1792">
          <cell r="K1792" t="str">
            <v>Straßburg</v>
          </cell>
          <cell r="L1792" t="str">
            <v>Kärnten</v>
          </cell>
          <cell r="M1792">
            <v>24</v>
          </cell>
        </row>
        <row r="1793">
          <cell r="K1793" t="str">
            <v>Strassen</v>
          </cell>
          <cell r="L1793" t="str">
            <v>Tirol</v>
          </cell>
          <cell r="M1793">
            <v>22</v>
          </cell>
        </row>
        <row r="1794">
          <cell r="K1794" t="str">
            <v>Strasshof an der Nordbahn</v>
          </cell>
          <cell r="L1794" t="str">
            <v>Niederösterreich</v>
          </cell>
          <cell r="M1794">
            <v>22</v>
          </cell>
        </row>
        <row r="1795">
          <cell r="K1795" t="str">
            <v>Straßwalchen</v>
          </cell>
          <cell r="L1795" t="str">
            <v>Salzburg</v>
          </cell>
          <cell r="M1795">
            <v>22</v>
          </cell>
        </row>
        <row r="1796">
          <cell r="K1796" t="str">
            <v>Stratzing</v>
          </cell>
          <cell r="L1796" t="str">
            <v>Niederösterreich</v>
          </cell>
          <cell r="M1796">
            <v>24</v>
          </cell>
        </row>
        <row r="1797">
          <cell r="K1797" t="str">
            <v>Strem</v>
          </cell>
          <cell r="L1797" t="str">
            <v>Burgenland</v>
          </cell>
          <cell r="M1797">
            <v>34</v>
          </cell>
        </row>
        <row r="1798">
          <cell r="K1798" t="str">
            <v>Strengberg</v>
          </cell>
          <cell r="L1798" t="str">
            <v>Niederösterreich</v>
          </cell>
          <cell r="M1798">
            <v>24</v>
          </cell>
        </row>
        <row r="1799">
          <cell r="K1799" t="str">
            <v>Strengen</v>
          </cell>
          <cell r="L1799" t="str">
            <v>Tirol</v>
          </cell>
          <cell r="M1799">
            <v>23</v>
          </cell>
        </row>
        <row r="1800">
          <cell r="K1800" t="str">
            <v>Strobl</v>
          </cell>
          <cell r="L1800" t="str">
            <v>Salzburg</v>
          </cell>
          <cell r="M1800">
            <v>33</v>
          </cell>
        </row>
        <row r="1801">
          <cell r="K1801" t="str">
            <v>Stroheim</v>
          </cell>
          <cell r="L1801" t="str">
            <v>Oberösterreich</v>
          </cell>
          <cell r="M1801">
            <v>33</v>
          </cell>
        </row>
        <row r="1802">
          <cell r="K1802" t="str">
            <v>Stronsdorf</v>
          </cell>
          <cell r="L1802" t="str">
            <v>Niederösterreich</v>
          </cell>
          <cell r="M1802">
            <v>34</v>
          </cell>
        </row>
        <row r="1803">
          <cell r="K1803" t="str">
            <v>Stubenberg</v>
          </cell>
          <cell r="L1803" t="str">
            <v>Steiermark</v>
          </cell>
          <cell r="M1803">
            <v>24</v>
          </cell>
        </row>
        <row r="1804">
          <cell r="K1804" t="str">
            <v>Stuhlfelden</v>
          </cell>
          <cell r="L1804" t="str">
            <v>Salzburg</v>
          </cell>
          <cell r="M1804">
            <v>32</v>
          </cell>
        </row>
        <row r="1805">
          <cell r="K1805" t="str">
            <v>Stumm</v>
          </cell>
          <cell r="L1805" t="str">
            <v>Tirol</v>
          </cell>
          <cell r="M1805">
            <v>23</v>
          </cell>
        </row>
        <row r="1806">
          <cell r="K1806" t="str">
            <v>Stummerberg</v>
          </cell>
          <cell r="L1806" t="str">
            <v>Tirol</v>
          </cell>
          <cell r="M1806">
            <v>34</v>
          </cell>
        </row>
        <row r="1807">
          <cell r="K1807" t="str">
            <v>Suben</v>
          </cell>
          <cell r="L1807" t="str">
            <v>Oberösterreich</v>
          </cell>
          <cell r="M1807">
            <v>24</v>
          </cell>
        </row>
        <row r="1808">
          <cell r="K1808" t="str">
            <v>Sulz</v>
          </cell>
          <cell r="L1808" t="str">
            <v>Vorarlberg</v>
          </cell>
          <cell r="M1808">
            <v>12</v>
          </cell>
        </row>
        <row r="1809">
          <cell r="K1809" t="str">
            <v>Sulz im Weinviertel</v>
          </cell>
          <cell r="L1809" t="str">
            <v>Niederösterreich</v>
          </cell>
          <cell r="M1809">
            <v>34</v>
          </cell>
        </row>
        <row r="1810">
          <cell r="K1810" t="str">
            <v>Sulzberg</v>
          </cell>
          <cell r="L1810" t="str">
            <v>Vorarlberg</v>
          </cell>
          <cell r="M1810">
            <v>23</v>
          </cell>
        </row>
        <row r="1811">
          <cell r="K1811" t="str">
            <v>Tadten</v>
          </cell>
          <cell r="L1811" t="str">
            <v>Burgenland</v>
          </cell>
          <cell r="M1811">
            <v>34</v>
          </cell>
        </row>
        <row r="1812">
          <cell r="K1812" t="str">
            <v>Taiskirchen im Innkreis</v>
          </cell>
          <cell r="L1812" t="str">
            <v>Oberösterreich</v>
          </cell>
          <cell r="M1812">
            <v>23</v>
          </cell>
        </row>
        <row r="1813">
          <cell r="K1813" t="str">
            <v>Tamsweg</v>
          </cell>
          <cell r="L1813" t="str">
            <v>Salzburg</v>
          </cell>
          <cell r="M1813">
            <v>33</v>
          </cell>
        </row>
        <row r="1814">
          <cell r="K1814" t="str">
            <v>Tannheim</v>
          </cell>
          <cell r="L1814" t="str">
            <v>Tirol</v>
          </cell>
          <cell r="M1814">
            <v>23</v>
          </cell>
        </row>
        <row r="1815">
          <cell r="K1815" t="str">
            <v>Tarrenz</v>
          </cell>
          <cell r="L1815" t="str">
            <v>Tirol</v>
          </cell>
          <cell r="M1815">
            <v>23</v>
          </cell>
        </row>
        <row r="1816">
          <cell r="K1816" t="str">
            <v>Tarsdorf</v>
          </cell>
          <cell r="L1816" t="str">
            <v>Oberösterreich</v>
          </cell>
          <cell r="M1816">
            <v>34</v>
          </cell>
        </row>
        <row r="1817">
          <cell r="K1817" t="str">
            <v>Tattendorf</v>
          </cell>
          <cell r="L1817" t="str">
            <v>Niederösterreich</v>
          </cell>
          <cell r="M1817">
            <v>24</v>
          </cell>
        </row>
        <row r="1818">
          <cell r="K1818" t="str">
            <v>Taufkirchen an der Pram</v>
          </cell>
          <cell r="L1818" t="str">
            <v>Oberösterreich</v>
          </cell>
          <cell r="M1818">
            <v>22</v>
          </cell>
        </row>
        <row r="1819">
          <cell r="K1819" t="str">
            <v>Taufkirchen an der Trattnach</v>
          </cell>
          <cell r="L1819" t="str">
            <v>Oberösterreich</v>
          </cell>
          <cell r="M1819">
            <v>22</v>
          </cell>
        </row>
        <row r="1820">
          <cell r="K1820" t="str">
            <v>Taxenbach</v>
          </cell>
          <cell r="L1820" t="str">
            <v>Salzburg</v>
          </cell>
          <cell r="M1820">
            <v>32</v>
          </cell>
        </row>
        <row r="1821">
          <cell r="K1821" t="str">
            <v>Techelsberg am Wörther See</v>
          </cell>
          <cell r="L1821" t="str">
            <v>Kärnten</v>
          </cell>
          <cell r="M1821">
            <v>22</v>
          </cell>
        </row>
        <row r="1822">
          <cell r="K1822" t="str">
            <v>Teesdorf</v>
          </cell>
          <cell r="L1822" t="str">
            <v>Niederösterreich</v>
          </cell>
          <cell r="M1822">
            <v>23</v>
          </cell>
        </row>
        <row r="1823">
          <cell r="K1823" t="str">
            <v>Telfes im Stubai</v>
          </cell>
          <cell r="L1823" t="str">
            <v>Tirol</v>
          </cell>
          <cell r="M1823">
            <v>23</v>
          </cell>
        </row>
        <row r="1824">
          <cell r="K1824" t="str">
            <v>Telfs</v>
          </cell>
          <cell r="L1824" t="str">
            <v>Tirol</v>
          </cell>
          <cell r="M1824">
            <v>12</v>
          </cell>
        </row>
        <row r="1825">
          <cell r="K1825" t="str">
            <v>Terfens</v>
          </cell>
          <cell r="L1825" t="str">
            <v>Tirol</v>
          </cell>
          <cell r="M1825">
            <v>22</v>
          </cell>
        </row>
        <row r="1826">
          <cell r="K1826" t="str">
            <v>Ternberg</v>
          </cell>
          <cell r="L1826" t="str">
            <v>Oberösterreich</v>
          </cell>
          <cell r="M1826">
            <v>23</v>
          </cell>
        </row>
        <row r="1827">
          <cell r="K1827" t="str">
            <v>Ternitz</v>
          </cell>
          <cell r="L1827" t="str">
            <v>Niederösterreich</v>
          </cell>
          <cell r="M1827">
            <v>11</v>
          </cell>
        </row>
        <row r="1828">
          <cell r="K1828" t="str">
            <v>Teufenbach-Katsch</v>
          </cell>
          <cell r="L1828" t="str">
            <v>Steiermark</v>
          </cell>
          <cell r="M1828">
            <v>33</v>
          </cell>
        </row>
        <row r="1829">
          <cell r="K1829" t="str">
            <v>Texingtal</v>
          </cell>
          <cell r="L1829" t="str">
            <v>Niederösterreich</v>
          </cell>
          <cell r="M1829">
            <v>34</v>
          </cell>
        </row>
        <row r="1830">
          <cell r="K1830" t="str">
            <v>Thal</v>
          </cell>
          <cell r="L1830" t="str">
            <v>Steiermark</v>
          </cell>
          <cell r="M1830">
            <v>23</v>
          </cell>
        </row>
        <row r="1831">
          <cell r="K1831" t="str">
            <v>Thalgau</v>
          </cell>
          <cell r="L1831" t="str">
            <v>Salzburg</v>
          </cell>
          <cell r="M1831">
            <v>23</v>
          </cell>
        </row>
        <row r="1832">
          <cell r="K1832" t="str">
            <v>Thalheim bei Wels</v>
          </cell>
          <cell r="L1832" t="str">
            <v>Oberösterreich</v>
          </cell>
          <cell r="M1832">
            <v>12</v>
          </cell>
        </row>
        <row r="1833">
          <cell r="K1833" t="str">
            <v>Thannhausen</v>
          </cell>
          <cell r="L1833" t="str">
            <v>Steiermark</v>
          </cell>
          <cell r="M1833">
            <v>23</v>
          </cell>
        </row>
        <row r="1834">
          <cell r="K1834" t="str">
            <v>Thaur</v>
          </cell>
          <cell r="L1834" t="str">
            <v>Tirol</v>
          </cell>
          <cell r="M1834">
            <v>11</v>
          </cell>
        </row>
        <row r="1835">
          <cell r="K1835" t="str">
            <v>Thaya</v>
          </cell>
          <cell r="L1835" t="str">
            <v>Niederösterreich</v>
          </cell>
          <cell r="M1835">
            <v>34</v>
          </cell>
        </row>
        <row r="1836">
          <cell r="K1836" t="str">
            <v>Theresienfeld</v>
          </cell>
          <cell r="L1836" t="str">
            <v>Niederösterreich</v>
          </cell>
          <cell r="M1836">
            <v>12</v>
          </cell>
        </row>
        <row r="1837">
          <cell r="K1837" t="str">
            <v>Thiersee</v>
          </cell>
          <cell r="L1837" t="str">
            <v>Tirol</v>
          </cell>
          <cell r="M1837">
            <v>24</v>
          </cell>
        </row>
        <row r="1838">
          <cell r="K1838" t="str">
            <v>Thomasberg</v>
          </cell>
          <cell r="L1838" t="str">
            <v>Niederösterreich</v>
          </cell>
          <cell r="M1838">
            <v>22</v>
          </cell>
        </row>
        <row r="1839">
          <cell r="K1839" t="str">
            <v>Thomatal</v>
          </cell>
          <cell r="L1839" t="str">
            <v>Salzburg</v>
          </cell>
          <cell r="M1839">
            <v>34</v>
          </cell>
        </row>
        <row r="1840">
          <cell r="K1840" t="str">
            <v>Thörl</v>
          </cell>
          <cell r="L1840" t="str">
            <v>Steiermark</v>
          </cell>
          <cell r="M1840">
            <v>24</v>
          </cell>
        </row>
        <row r="1841">
          <cell r="K1841" t="str">
            <v>Thüringen</v>
          </cell>
          <cell r="L1841" t="str">
            <v>Vorarlberg</v>
          </cell>
          <cell r="M1841">
            <v>12</v>
          </cell>
        </row>
        <row r="1842">
          <cell r="K1842" t="str">
            <v>Thüringerberg</v>
          </cell>
          <cell r="L1842" t="str">
            <v>Vorarlberg</v>
          </cell>
          <cell r="M1842">
            <v>23</v>
          </cell>
        </row>
        <row r="1843">
          <cell r="K1843" t="str">
            <v>Thurn</v>
          </cell>
          <cell r="L1843" t="str">
            <v>Tirol</v>
          </cell>
          <cell r="M1843">
            <v>24</v>
          </cell>
        </row>
        <row r="1844">
          <cell r="K1844" t="str">
            <v>Tiefgraben</v>
          </cell>
          <cell r="L1844" t="str">
            <v>Oberösterreich</v>
          </cell>
          <cell r="M1844">
            <v>23</v>
          </cell>
        </row>
        <row r="1845">
          <cell r="K1845" t="str">
            <v>Tieschen</v>
          </cell>
          <cell r="L1845" t="str">
            <v>Steiermark</v>
          </cell>
          <cell r="M1845">
            <v>34</v>
          </cell>
        </row>
        <row r="1846">
          <cell r="K1846" t="str">
            <v>Tillmitsch</v>
          </cell>
          <cell r="L1846" t="str">
            <v>Steiermark</v>
          </cell>
          <cell r="M1846">
            <v>12</v>
          </cell>
        </row>
        <row r="1847">
          <cell r="K1847" t="str">
            <v>Timelkam</v>
          </cell>
          <cell r="L1847" t="str">
            <v>Oberösterreich</v>
          </cell>
          <cell r="M1847">
            <v>12</v>
          </cell>
        </row>
        <row r="1848">
          <cell r="K1848" t="str">
            <v>Tobadill</v>
          </cell>
          <cell r="L1848" t="str">
            <v>Tirol</v>
          </cell>
          <cell r="M1848">
            <v>24</v>
          </cell>
        </row>
        <row r="1849">
          <cell r="K1849" t="str">
            <v>Tobaj</v>
          </cell>
          <cell r="L1849" t="str">
            <v>Burgenland</v>
          </cell>
          <cell r="M1849">
            <v>34</v>
          </cell>
        </row>
        <row r="1850">
          <cell r="K1850" t="str">
            <v>Tollet</v>
          </cell>
          <cell r="L1850" t="str">
            <v>Oberösterreich</v>
          </cell>
          <cell r="M1850">
            <v>24</v>
          </cell>
        </row>
        <row r="1851">
          <cell r="K1851" t="str">
            <v>Tösens</v>
          </cell>
          <cell r="L1851" t="str">
            <v>Tirol</v>
          </cell>
          <cell r="M1851">
            <v>24</v>
          </cell>
        </row>
        <row r="1852">
          <cell r="K1852" t="str">
            <v>Traboch</v>
          </cell>
          <cell r="L1852" t="str">
            <v>Steiermark</v>
          </cell>
          <cell r="M1852">
            <v>22</v>
          </cell>
        </row>
        <row r="1853">
          <cell r="K1853" t="str">
            <v>Tragöß-Sankt Katharein</v>
          </cell>
          <cell r="L1853" t="str">
            <v>Steiermark</v>
          </cell>
          <cell r="M1853">
            <v>34</v>
          </cell>
        </row>
        <row r="1854">
          <cell r="K1854" t="str">
            <v>Tragwein</v>
          </cell>
          <cell r="L1854" t="str">
            <v>Oberösterreich</v>
          </cell>
          <cell r="M1854">
            <v>23</v>
          </cell>
        </row>
        <row r="1855">
          <cell r="K1855" t="str">
            <v>Traisen</v>
          </cell>
          <cell r="L1855" t="str">
            <v>Niederösterreich</v>
          </cell>
          <cell r="M1855">
            <v>22</v>
          </cell>
        </row>
        <row r="1856">
          <cell r="K1856" t="str">
            <v>Traiskirchen</v>
          </cell>
          <cell r="L1856" t="str">
            <v>Niederösterreich</v>
          </cell>
          <cell r="M1856">
            <v>11</v>
          </cell>
        </row>
        <row r="1857">
          <cell r="K1857" t="str">
            <v>Traismauer</v>
          </cell>
          <cell r="L1857" t="str">
            <v>Niederösterreich</v>
          </cell>
          <cell r="M1857">
            <v>22</v>
          </cell>
        </row>
        <row r="1858">
          <cell r="K1858" t="str">
            <v>Trattenbach</v>
          </cell>
          <cell r="L1858" t="str">
            <v>Niederösterreich</v>
          </cell>
          <cell r="M1858">
            <v>24</v>
          </cell>
        </row>
        <row r="1859">
          <cell r="K1859" t="str">
            <v>Traun</v>
          </cell>
          <cell r="L1859" t="str">
            <v>Oberösterreich</v>
          </cell>
          <cell r="M1859">
            <v>11</v>
          </cell>
        </row>
        <row r="1860">
          <cell r="K1860" t="str">
            <v>Traunkirchen</v>
          </cell>
          <cell r="L1860" t="str">
            <v>Oberösterreich</v>
          </cell>
          <cell r="M1860">
            <v>22</v>
          </cell>
        </row>
        <row r="1861">
          <cell r="K1861" t="str">
            <v>Trausdorf an der Wulka</v>
          </cell>
          <cell r="L1861" t="str">
            <v>Burgenland</v>
          </cell>
          <cell r="M1861">
            <v>24</v>
          </cell>
        </row>
        <row r="1862">
          <cell r="K1862" t="str">
            <v>Trautmannsdorf an der Leitha</v>
          </cell>
          <cell r="L1862" t="str">
            <v>Niederösterreich</v>
          </cell>
          <cell r="M1862">
            <v>23</v>
          </cell>
        </row>
        <row r="1863">
          <cell r="K1863" t="str">
            <v>Trebesing</v>
          </cell>
          <cell r="L1863" t="str">
            <v>Kärnten</v>
          </cell>
          <cell r="M1863">
            <v>23</v>
          </cell>
        </row>
        <row r="1864">
          <cell r="K1864" t="str">
            <v>Treffen am Ossiacher See</v>
          </cell>
          <cell r="L1864" t="str">
            <v>Kärnten</v>
          </cell>
          <cell r="M1864">
            <v>23</v>
          </cell>
        </row>
        <row r="1865">
          <cell r="K1865" t="str">
            <v>Treubach</v>
          </cell>
          <cell r="L1865" t="str">
            <v>Oberösterreich</v>
          </cell>
          <cell r="M1865">
            <v>24</v>
          </cell>
        </row>
        <row r="1866">
          <cell r="K1866" t="str">
            <v>Trieben</v>
          </cell>
          <cell r="L1866" t="str">
            <v>Steiermark</v>
          </cell>
          <cell r="M1866">
            <v>33</v>
          </cell>
        </row>
        <row r="1867">
          <cell r="K1867" t="str">
            <v>Trins</v>
          </cell>
          <cell r="L1867" t="str">
            <v>Tirol</v>
          </cell>
          <cell r="M1867">
            <v>24</v>
          </cell>
        </row>
        <row r="1868">
          <cell r="K1868" t="str">
            <v>Tristach</v>
          </cell>
          <cell r="L1868" t="str">
            <v>Tirol</v>
          </cell>
          <cell r="M1868">
            <v>12</v>
          </cell>
        </row>
        <row r="1869">
          <cell r="K1869" t="str">
            <v>Trofaiach</v>
          </cell>
          <cell r="L1869" t="str">
            <v>Steiermark</v>
          </cell>
          <cell r="M1869">
            <v>22</v>
          </cell>
        </row>
        <row r="1870">
          <cell r="K1870" t="str">
            <v>Trumau</v>
          </cell>
          <cell r="L1870" t="str">
            <v>Niederösterreich</v>
          </cell>
          <cell r="M1870">
            <v>24</v>
          </cell>
        </row>
        <row r="1871">
          <cell r="K1871" t="str">
            <v>Tschagguns</v>
          </cell>
          <cell r="L1871" t="str">
            <v>Vorarlberg</v>
          </cell>
          <cell r="M1871">
            <v>22</v>
          </cell>
        </row>
        <row r="1872">
          <cell r="K1872" t="str">
            <v>Tschanigraben</v>
          </cell>
          <cell r="L1872" t="str">
            <v>Burgenland</v>
          </cell>
          <cell r="M1872">
            <v>34</v>
          </cell>
        </row>
        <row r="1873">
          <cell r="K1873" t="str">
            <v>Tulbing</v>
          </cell>
          <cell r="L1873" t="str">
            <v>Niederösterreich</v>
          </cell>
          <cell r="M1873">
            <v>23</v>
          </cell>
        </row>
        <row r="1874">
          <cell r="K1874" t="str">
            <v>Tulfes</v>
          </cell>
          <cell r="L1874" t="str">
            <v>Tirol</v>
          </cell>
          <cell r="M1874">
            <v>23</v>
          </cell>
        </row>
        <row r="1875">
          <cell r="K1875" t="str">
            <v>Tulln an der Donau</v>
          </cell>
          <cell r="L1875" t="str">
            <v>Niederösterreich</v>
          </cell>
          <cell r="M1875">
            <v>11</v>
          </cell>
        </row>
        <row r="1876">
          <cell r="K1876" t="str">
            <v>Tullnerbach</v>
          </cell>
          <cell r="L1876" t="str">
            <v>Niederösterreich</v>
          </cell>
          <cell r="M1876">
            <v>22</v>
          </cell>
        </row>
        <row r="1877">
          <cell r="K1877" t="str">
            <v>Tumeltsham</v>
          </cell>
          <cell r="L1877" t="str">
            <v>Oberösterreich</v>
          </cell>
          <cell r="M1877">
            <v>12</v>
          </cell>
        </row>
        <row r="1878">
          <cell r="K1878" t="str">
            <v>Turnau</v>
          </cell>
          <cell r="L1878" t="str">
            <v>Steiermark</v>
          </cell>
          <cell r="M1878">
            <v>23</v>
          </cell>
        </row>
        <row r="1879">
          <cell r="K1879" t="str">
            <v>Türnitz</v>
          </cell>
          <cell r="L1879" t="str">
            <v>Niederösterreich</v>
          </cell>
          <cell r="M1879">
            <v>33</v>
          </cell>
        </row>
        <row r="1880">
          <cell r="K1880" t="str">
            <v>Tux</v>
          </cell>
          <cell r="L1880" t="str">
            <v>Tirol</v>
          </cell>
          <cell r="M1880">
            <v>34</v>
          </cell>
        </row>
        <row r="1881">
          <cell r="K1881" t="str">
            <v>Tweng</v>
          </cell>
          <cell r="L1881" t="str">
            <v>Salzburg</v>
          </cell>
          <cell r="M1881">
            <v>34</v>
          </cell>
        </row>
        <row r="1882">
          <cell r="K1882" t="str">
            <v>Übelbach</v>
          </cell>
          <cell r="L1882" t="str">
            <v>Steiermark</v>
          </cell>
          <cell r="M1882">
            <v>23</v>
          </cell>
        </row>
        <row r="1883">
          <cell r="K1883" t="str">
            <v>Überackern</v>
          </cell>
          <cell r="L1883" t="str">
            <v>Oberösterreich</v>
          </cell>
          <cell r="M1883">
            <v>24</v>
          </cell>
        </row>
        <row r="1884">
          <cell r="K1884" t="str">
            <v>Übersaxen</v>
          </cell>
          <cell r="L1884" t="str">
            <v>Vorarlberg</v>
          </cell>
          <cell r="M1884">
            <v>23</v>
          </cell>
        </row>
        <row r="1885">
          <cell r="K1885" t="str">
            <v>Uderns</v>
          </cell>
          <cell r="L1885" t="str">
            <v>Tirol</v>
          </cell>
          <cell r="M1885">
            <v>22</v>
          </cell>
        </row>
        <row r="1886">
          <cell r="K1886" t="str">
            <v>Ulrichsberg</v>
          </cell>
          <cell r="L1886" t="str">
            <v>Oberösterreich</v>
          </cell>
          <cell r="M1886">
            <v>34</v>
          </cell>
        </row>
        <row r="1887">
          <cell r="K1887" t="str">
            <v>Ulrichskirchen-Schleinbach</v>
          </cell>
          <cell r="L1887" t="str">
            <v>Niederösterreich</v>
          </cell>
          <cell r="M1887">
            <v>22</v>
          </cell>
        </row>
        <row r="1888">
          <cell r="K1888" t="str">
            <v>Umhausen</v>
          </cell>
          <cell r="L1888" t="str">
            <v>Tirol</v>
          </cell>
          <cell r="M1888">
            <v>23</v>
          </cell>
        </row>
        <row r="1889">
          <cell r="K1889" t="str">
            <v>Ungenach</v>
          </cell>
          <cell r="L1889" t="str">
            <v>Oberösterreich</v>
          </cell>
          <cell r="M1889">
            <v>24</v>
          </cell>
        </row>
        <row r="1890">
          <cell r="K1890" t="str">
            <v>Unken</v>
          </cell>
          <cell r="L1890" t="str">
            <v>Salzburg</v>
          </cell>
          <cell r="M1890">
            <v>34</v>
          </cell>
        </row>
        <row r="1891">
          <cell r="K1891" t="str">
            <v>Unserfrau-Altweitra</v>
          </cell>
          <cell r="L1891" t="str">
            <v>Niederösterreich</v>
          </cell>
          <cell r="M1891">
            <v>34</v>
          </cell>
        </row>
        <row r="1892">
          <cell r="K1892" t="str">
            <v>Unterach am Attersee</v>
          </cell>
          <cell r="L1892" t="str">
            <v>Oberösterreich</v>
          </cell>
          <cell r="M1892">
            <v>23</v>
          </cell>
        </row>
        <row r="1893">
          <cell r="K1893" t="str">
            <v>Unterfrauenhaid</v>
          </cell>
          <cell r="L1893" t="str">
            <v>Burgenland</v>
          </cell>
          <cell r="M1893">
            <v>34</v>
          </cell>
        </row>
        <row r="1894">
          <cell r="K1894" t="str">
            <v>Unterkohlstätten</v>
          </cell>
          <cell r="L1894" t="str">
            <v>Burgenland</v>
          </cell>
          <cell r="M1894">
            <v>34</v>
          </cell>
        </row>
        <row r="1895">
          <cell r="K1895" t="str">
            <v>Unterlamm</v>
          </cell>
          <cell r="L1895" t="str">
            <v>Steiermark</v>
          </cell>
          <cell r="M1895">
            <v>34</v>
          </cell>
        </row>
        <row r="1896">
          <cell r="K1896" t="str">
            <v>Unternberg</v>
          </cell>
          <cell r="L1896" t="str">
            <v>Salzburg</v>
          </cell>
          <cell r="M1896">
            <v>33</v>
          </cell>
        </row>
        <row r="1897">
          <cell r="K1897" t="str">
            <v>Unterperfuss</v>
          </cell>
          <cell r="L1897" t="str">
            <v>Tirol</v>
          </cell>
          <cell r="M1897">
            <v>12</v>
          </cell>
        </row>
        <row r="1898">
          <cell r="K1898" t="str">
            <v>Unterrabnitz-Schwendgraben</v>
          </cell>
          <cell r="L1898" t="str">
            <v>Burgenland</v>
          </cell>
          <cell r="M1898">
            <v>34</v>
          </cell>
        </row>
        <row r="1899">
          <cell r="K1899" t="str">
            <v>Untersiebenbrunn</v>
          </cell>
          <cell r="L1899" t="str">
            <v>Niederösterreich</v>
          </cell>
          <cell r="M1899">
            <v>23</v>
          </cell>
        </row>
        <row r="1900">
          <cell r="K1900" t="str">
            <v>Unterstinkenbrunn</v>
          </cell>
          <cell r="L1900" t="str">
            <v>Niederösterreich</v>
          </cell>
          <cell r="M1900">
            <v>34</v>
          </cell>
        </row>
        <row r="1901">
          <cell r="K1901" t="str">
            <v>Untertauern</v>
          </cell>
          <cell r="L1901" t="str">
            <v>Salzburg</v>
          </cell>
          <cell r="M1901">
            <v>34</v>
          </cell>
        </row>
        <row r="1902">
          <cell r="K1902" t="str">
            <v>Untertilliach</v>
          </cell>
          <cell r="L1902" t="str">
            <v>Tirol</v>
          </cell>
          <cell r="M1902">
            <v>34</v>
          </cell>
        </row>
        <row r="1903">
          <cell r="K1903" t="str">
            <v>Unterwart</v>
          </cell>
          <cell r="L1903" t="str">
            <v>Burgenland</v>
          </cell>
          <cell r="M1903">
            <v>33</v>
          </cell>
        </row>
        <row r="1904">
          <cell r="K1904" t="str">
            <v>Unterweißenbach</v>
          </cell>
          <cell r="L1904" t="str">
            <v>Oberösterreich</v>
          </cell>
          <cell r="M1904">
            <v>33</v>
          </cell>
        </row>
        <row r="1905">
          <cell r="K1905" t="str">
            <v>Unterweitersdorf</v>
          </cell>
          <cell r="L1905" t="str">
            <v>Oberösterreich</v>
          </cell>
          <cell r="M1905">
            <v>22</v>
          </cell>
        </row>
        <row r="1906">
          <cell r="K1906" t="str">
            <v>Unzmarkt-Frauenburg</v>
          </cell>
          <cell r="L1906" t="str">
            <v>Steiermark</v>
          </cell>
          <cell r="M1906">
            <v>22</v>
          </cell>
        </row>
        <row r="1907">
          <cell r="K1907" t="str">
            <v>Uttendorf</v>
          </cell>
          <cell r="L1907" t="str">
            <v>Salzburg</v>
          </cell>
          <cell r="M1907">
            <v>32</v>
          </cell>
        </row>
        <row r="1908">
          <cell r="K1908" t="str">
            <v>Utzenaich</v>
          </cell>
          <cell r="L1908" t="str">
            <v>Oberösterreich</v>
          </cell>
          <cell r="M1908">
            <v>24</v>
          </cell>
        </row>
        <row r="1909">
          <cell r="K1909" t="str">
            <v>Vals</v>
          </cell>
          <cell r="L1909" t="str">
            <v>Tirol</v>
          </cell>
          <cell r="M1909">
            <v>23</v>
          </cell>
        </row>
        <row r="1910">
          <cell r="K1910" t="str">
            <v>Vandans</v>
          </cell>
          <cell r="L1910" t="str">
            <v>Vorarlberg</v>
          </cell>
          <cell r="M1910">
            <v>22</v>
          </cell>
        </row>
        <row r="1911">
          <cell r="K1911" t="str">
            <v>Vasoldsberg</v>
          </cell>
          <cell r="L1911" t="str">
            <v>Steiermark</v>
          </cell>
          <cell r="M1911">
            <v>12</v>
          </cell>
        </row>
        <row r="1912">
          <cell r="K1912" t="str">
            <v>Velden am Wörther See</v>
          </cell>
          <cell r="L1912" t="str">
            <v>Kärnten</v>
          </cell>
          <cell r="M1912">
            <v>22</v>
          </cell>
        </row>
        <row r="1913">
          <cell r="K1913" t="str">
            <v>Velm-Götzendorf</v>
          </cell>
          <cell r="L1913" t="str">
            <v>Niederösterreich</v>
          </cell>
          <cell r="M1913">
            <v>34</v>
          </cell>
        </row>
        <row r="1914">
          <cell r="K1914" t="str">
            <v>Vichtenstein</v>
          </cell>
          <cell r="L1914" t="str">
            <v>Oberösterreich</v>
          </cell>
          <cell r="M1914">
            <v>34</v>
          </cell>
        </row>
        <row r="1915">
          <cell r="K1915" t="str">
            <v>Viehdorf</v>
          </cell>
          <cell r="L1915" t="str">
            <v>Niederösterreich</v>
          </cell>
          <cell r="M1915">
            <v>24</v>
          </cell>
        </row>
        <row r="1916">
          <cell r="K1916" t="str">
            <v>Viehhofen</v>
          </cell>
          <cell r="L1916" t="str">
            <v>Salzburg</v>
          </cell>
          <cell r="M1916">
            <v>33</v>
          </cell>
        </row>
        <row r="1917">
          <cell r="K1917" t="str">
            <v>Viktorsberg</v>
          </cell>
          <cell r="L1917" t="str">
            <v>Vorarlberg</v>
          </cell>
          <cell r="M1917">
            <v>24</v>
          </cell>
        </row>
        <row r="1918">
          <cell r="K1918" t="str">
            <v>Villach</v>
          </cell>
          <cell r="L1918" t="str">
            <v>Kärnten</v>
          </cell>
          <cell r="M1918">
            <v>11</v>
          </cell>
        </row>
        <row r="1919">
          <cell r="K1919" t="str">
            <v>Vils</v>
          </cell>
          <cell r="L1919" t="str">
            <v>Tirol</v>
          </cell>
          <cell r="M1919">
            <v>23</v>
          </cell>
        </row>
        <row r="1920">
          <cell r="K1920" t="str">
            <v>Virgen</v>
          </cell>
          <cell r="L1920" t="str">
            <v>Tirol</v>
          </cell>
          <cell r="M1920">
            <v>34</v>
          </cell>
        </row>
        <row r="1921">
          <cell r="K1921" t="str">
            <v>Vitis</v>
          </cell>
          <cell r="L1921" t="str">
            <v>Niederösterreich</v>
          </cell>
          <cell r="M1921">
            <v>33</v>
          </cell>
        </row>
        <row r="1922">
          <cell r="K1922" t="str">
            <v>Vöcklabruck</v>
          </cell>
          <cell r="L1922" t="str">
            <v>Oberösterreich</v>
          </cell>
          <cell r="M1922">
            <v>11</v>
          </cell>
        </row>
        <row r="1923">
          <cell r="K1923" t="str">
            <v>Vöcklamarkt</v>
          </cell>
          <cell r="L1923" t="str">
            <v>Oberösterreich</v>
          </cell>
          <cell r="M1923">
            <v>22</v>
          </cell>
        </row>
        <row r="1924">
          <cell r="K1924" t="str">
            <v>Voitsberg</v>
          </cell>
          <cell r="L1924" t="str">
            <v>Steiermark</v>
          </cell>
          <cell r="M1924">
            <v>12</v>
          </cell>
        </row>
        <row r="1925">
          <cell r="K1925" t="str">
            <v>Volders</v>
          </cell>
          <cell r="L1925" t="str">
            <v>Tirol</v>
          </cell>
          <cell r="M1925">
            <v>12</v>
          </cell>
        </row>
        <row r="1926">
          <cell r="K1926" t="str">
            <v>Völkermarkt</v>
          </cell>
          <cell r="L1926" t="str">
            <v>Kärnten</v>
          </cell>
          <cell r="M1926">
            <v>23</v>
          </cell>
        </row>
        <row r="1927">
          <cell r="K1927" t="str">
            <v>Völs</v>
          </cell>
          <cell r="L1927" t="str">
            <v>Tirol</v>
          </cell>
          <cell r="M1927">
            <v>12</v>
          </cell>
        </row>
        <row r="1928">
          <cell r="K1928" t="str">
            <v>Vomp</v>
          </cell>
          <cell r="L1928" t="str">
            <v>Tirol</v>
          </cell>
          <cell r="M1928">
            <v>11</v>
          </cell>
        </row>
        <row r="1929">
          <cell r="K1929" t="str">
            <v>Vorau</v>
          </cell>
          <cell r="L1929" t="str">
            <v>Steiermark</v>
          </cell>
          <cell r="M1929">
            <v>34</v>
          </cell>
        </row>
        <row r="1930">
          <cell r="K1930" t="str">
            <v>Vorchdorf</v>
          </cell>
          <cell r="L1930" t="str">
            <v>Oberösterreich</v>
          </cell>
          <cell r="M1930">
            <v>22</v>
          </cell>
        </row>
        <row r="1931">
          <cell r="K1931" t="str">
            <v>Vorderhornbach</v>
          </cell>
          <cell r="L1931" t="str">
            <v>Tirol</v>
          </cell>
          <cell r="M1931">
            <v>24</v>
          </cell>
        </row>
        <row r="1932">
          <cell r="K1932" t="str">
            <v>Vordernberg</v>
          </cell>
          <cell r="L1932" t="str">
            <v>Steiermark</v>
          </cell>
          <cell r="M1932">
            <v>23</v>
          </cell>
        </row>
        <row r="1933">
          <cell r="K1933" t="str">
            <v>Vorderstoder</v>
          </cell>
          <cell r="L1933" t="str">
            <v>Oberösterreich</v>
          </cell>
          <cell r="M1933">
            <v>34</v>
          </cell>
        </row>
        <row r="1934">
          <cell r="K1934" t="str">
            <v>Vorderweißenbach</v>
          </cell>
          <cell r="L1934" t="str">
            <v>Oberösterreich</v>
          </cell>
          <cell r="M1934">
            <v>34</v>
          </cell>
        </row>
        <row r="1935">
          <cell r="K1935" t="str">
            <v>Vösendorf</v>
          </cell>
          <cell r="L1935" t="str">
            <v>Niederösterreich</v>
          </cell>
          <cell r="M1935">
            <v>11</v>
          </cell>
        </row>
        <row r="1936">
          <cell r="K1936" t="str">
            <v>Wagna</v>
          </cell>
          <cell r="L1936" t="str">
            <v>Steiermark</v>
          </cell>
          <cell r="M1936">
            <v>12</v>
          </cell>
        </row>
        <row r="1937">
          <cell r="K1937" t="str">
            <v>Wagrain</v>
          </cell>
          <cell r="L1937" t="str">
            <v>Salzburg</v>
          </cell>
          <cell r="M1937">
            <v>34</v>
          </cell>
        </row>
        <row r="1938">
          <cell r="K1938" t="str">
            <v>Waidhofen an der Thaya</v>
          </cell>
          <cell r="L1938" t="str">
            <v>Niederösterreich</v>
          </cell>
          <cell r="M1938">
            <v>32</v>
          </cell>
        </row>
        <row r="1939">
          <cell r="K1939" t="str">
            <v>Waidhofen an der Thaya-Land</v>
          </cell>
          <cell r="L1939" t="str">
            <v>Niederösterreich</v>
          </cell>
          <cell r="M1939">
            <v>34</v>
          </cell>
        </row>
        <row r="1940">
          <cell r="K1940" t="str">
            <v>Waidhofen an der Ybbs</v>
          </cell>
          <cell r="L1940" t="str">
            <v>Niederösterreich</v>
          </cell>
          <cell r="M1940">
            <v>22</v>
          </cell>
        </row>
        <row r="1941">
          <cell r="K1941" t="str">
            <v>Waidmannsfeld</v>
          </cell>
          <cell r="L1941" t="str">
            <v>Niederösterreich</v>
          </cell>
          <cell r="M1941">
            <v>22</v>
          </cell>
        </row>
        <row r="1942">
          <cell r="K1942" t="str">
            <v>Waidring</v>
          </cell>
          <cell r="L1942" t="str">
            <v>Tirol</v>
          </cell>
          <cell r="M1942">
            <v>33</v>
          </cell>
        </row>
        <row r="1943">
          <cell r="K1943" t="str">
            <v>Waizenkirchen</v>
          </cell>
          <cell r="L1943" t="str">
            <v>Oberösterreich</v>
          </cell>
          <cell r="M1943">
            <v>32</v>
          </cell>
        </row>
        <row r="1944">
          <cell r="K1944" t="str">
            <v>Walchsee</v>
          </cell>
          <cell r="L1944" t="str">
            <v>Tirol</v>
          </cell>
          <cell r="M1944">
            <v>24</v>
          </cell>
        </row>
        <row r="1945">
          <cell r="K1945" t="str">
            <v>Wald am Schoberpaß</v>
          </cell>
          <cell r="L1945" t="str">
            <v>Steiermark</v>
          </cell>
          <cell r="M1945">
            <v>23</v>
          </cell>
        </row>
        <row r="1946">
          <cell r="K1946" t="str">
            <v>Wald im Pinzgau</v>
          </cell>
          <cell r="L1946" t="str">
            <v>Salzburg</v>
          </cell>
          <cell r="M1946">
            <v>33</v>
          </cell>
        </row>
        <row r="1947">
          <cell r="K1947" t="str">
            <v>Waldbach-Mönichwald</v>
          </cell>
          <cell r="L1947" t="str">
            <v>Steiermark</v>
          </cell>
          <cell r="M1947">
            <v>34</v>
          </cell>
        </row>
        <row r="1948">
          <cell r="K1948" t="str">
            <v>Waldburg</v>
          </cell>
          <cell r="L1948" t="str">
            <v>Oberösterreich</v>
          </cell>
          <cell r="M1948">
            <v>33</v>
          </cell>
        </row>
        <row r="1949">
          <cell r="K1949" t="str">
            <v>Waldegg</v>
          </cell>
          <cell r="L1949" t="str">
            <v>Niederösterreich</v>
          </cell>
          <cell r="M1949">
            <v>23</v>
          </cell>
        </row>
        <row r="1950">
          <cell r="K1950" t="str">
            <v>Waldenstein</v>
          </cell>
          <cell r="L1950" t="str">
            <v>Niederösterreich</v>
          </cell>
          <cell r="M1950">
            <v>34</v>
          </cell>
        </row>
        <row r="1951">
          <cell r="K1951" t="str">
            <v>Waldhausen</v>
          </cell>
          <cell r="L1951" t="str">
            <v>Niederösterreich</v>
          </cell>
          <cell r="M1951">
            <v>34</v>
          </cell>
        </row>
        <row r="1952">
          <cell r="K1952" t="str">
            <v>Waldhausen im Strudengau</v>
          </cell>
          <cell r="L1952" t="str">
            <v>Oberösterreich</v>
          </cell>
          <cell r="M1952">
            <v>34</v>
          </cell>
        </row>
        <row r="1953">
          <cell r="K1953" t="str">
            <v>Walding</v>
          </cell>
          <cell r="L1953" t="str">
            <v>Oberösterreich</v>
          </cell>
          <cell r="M1953">
            <v>22</v>
          </cell>
        </row>
        <row r="1954">
          <cell r="K1954" t="str">
            <v>Waldkirchen am Wesen</v>
          </cell>
          <cell r="L1954" t="str">
            <v>Oberösterreich</v>
          </cell>
          <cell r="M1954">
            <v>34</v>
          </cell>
        </row>
        <row r="1955">
          <cell r="K1955" t="str">
            <v>Waldkirchen an der Thaya</v>
          </cell>
          <cell r="L1955" t="str">
            <v>Niederösterreich</v>
          </cell>
          <cell r="M1955">
            <v>34</v>
          </cell>
        </row>
        <row r="1956">
          <cell r="K1956" t="str">
            <v>Waldneukirchen</v>
          </cell>
          <cell r="L1956" t="str">
            <v>Oberösterreich</v>
          </cell>
          <cell r="M1956">
            <v>23</v>
          </cell>
        </row>
        <row r="1957">
          <cell r="K1957" t="str">
            <v>Waldzell</v>
          </cell>
          <cell r="L1957" t="str">
            <v>Oberösterreich</v>
          </cell>
          <cell r="M1957">
            <v>24</v>
          </cell>
        </row>
        <row r="1958">
          <cell r="K1958" t="str">
            <v>Wallern an der Trattnach</v>
          </cell>
          <cell r="L1958" t="str">
            <v>Oberösterreich</v>
          </cell>
          <cell r="M1958">
            <v>23</v>
          </cell>
        </row>
        <row r="1959">
          <cell r="K1959" t="str">
            <v>Wallern im Burgenland</v>
          </cell>
          <cell r="L1959" t="str">
            <v>Burgenland</v>
          </cell>
          <cell r="M1959">
            <v>33</v>
          </cell>
        </row>
        <row r="1960">
          <cell r="K1960" t="str">
            <v>Wallsee-Sindelburg</v>
          </cell>
          <cell r="L1960" t="str">
            <v>Niederösterreich</v>
          </cell>
          <cell r="M1960">
            <v>24</v>
          </cell>
        </row>
        <row r="1961">
          <cell r="K1961" t="str">
            <v>Walpersbach</v>
          </cell>
          <cell r="L1961" t="str">
            <v>Niederösterreich</v>
          </cell>
          <cell r="M1961">
            <v>24</v>
          </cell>
        </row>
        <row r="1962">
          <cell r="K1962" t="str">
            <v>Wals-Siezenheim</v>
          </cell>
          <cell r="L1962" t="str">
            <v>Salzburg</v>
          </cell>
          <cell r="M1962">
            <v>11</v>
          </cell>
        </row>
        <row r="1963">
          <cell r="K1963" t="str">
            <v>Wang</v>
          </cell>
          <cell r="L1963" t="str">
            <v>Niederösterreich</v>
          </cell>
          <cell r="M1963">
            <v>24</v>
          </cell>
        </row>
        <row r="1964">
          <cell r="K1964" t="str">
            <v>Wängle</v>
          </cell>
          <cell r="L1964" t="str">
            <v>Tirol</v>
          </cell>
          <cell r="M1964">
            <v>12</v>
          </cell>
        </row>
        <row r="1965">
          <cell r="K1965" t="str">
            <v>Wartberg an der Krems</v>
          </cell>
          <cell r="L1965" t="str">
            <v>Oberösterreich</v>
          </cell>
          <cell r="M1965">
            <v>22</v>
          </cell>
        </row>
        <row r="1966">
          <cell r="K1966" t="str">
            <v>Wartberg ob der Aist</v>
          </cell>
          <cell r="L1966" t="str">
            <v>Oberösterreich</v>
          </cell>
          <cell r="M1966">
            <v>22</v>
          </cell>
        </row>
        <row r="1967">
          <cell r="K1967" t="str">
            <v>Warth</v>
          </cell>
          <cell r="L1967" t="str">
            <v>Niederösterreich</v>
          </cell>
          <cell r="M1967">
            <v>23</v>
          </cell>
        </row>
        <row r="1968">
          <cell r="K1968" t="str">
            <v>Warth</v>
          </cell>
          <cell r="L1968" t="str">
            <v>Vorarlberg</v>
          </cell>
          <cell r="M1968">
            <v>34</v>
          </cell>
        </row>
        <row r="1969">
          <cell r="K1969" t="str">
            <v>Wartmannstetten</v>
          </cell>
          <cell r="L1969" t="str">
            <v>Niederösterreich</v>
          </cell>
          <cell r="M1969">
            <v>24</v>
          </cell>
        </row>
        <row r="1970">
          <cell r="K1970" t="str">
            <v>Wattenberg</v>
          </cell>
          <cell r="L1970" t="str">
            <v>Tirol</v>
          </cell>
          <cell r="M1970">
            <v>24</v>
          </cell>
        </row>
        <row r="1971">
          <cell r="K1971" t="str">
            <v>Wattens</v>
          </cell>
          <cell r="L1971" t="str">
            <v>Tirol</v>
          </cell>
          <cell r="M1971">
            <v>12</v>
          </cell>
        </row>
        <row r="1972">
          <cell r="K1972" t="str">
            <v>Weer</v>
          </cell>
          <cell r="L1972" t="str">
            <v>Tirol</v>
          </cell>
          <cell r="M1972">
            <v>23</v>
          </cell>
        </row>
        <row r="1973">
          <cell r="K1973" t="str">
            <v>Weerberg</v>
          </cell>
          <cell r="L1973" t="str">
            <v>Tirol</v>
          </cell>
          <cell r="M1973">
            <v>23</v>
          </cell>
        </row>
        <row r="1974">
          <cell r="K1974" t="str">
            <v>Weibern</v>
          </cell>
          <cell r="L1974" t="str">
            <v>Oberösterreich</v>
          </cell>
          <cell r="M1974">
            <v>23</v>
          </cell>
        </row>
        <row r="1975">
          <cell r="K1975" t="str">
            <v>Weichselbaum</v>
          </cell>
          <cell r="L1975" t="str">
            <v>Burgenland</v>
          </cell>
          <cell r="M1975">
            <v>34</v>
          </cell>
        </row>
        <row r="1976">
          <cell r="K1976" t="str">
            <v>Weiden am See</v>
          </cell>
          <cell r="L1976" t="str">
            <v>Burgenland</v>
          </cell>
          <cell r="M1976">
            <v>33</v>
          </cell>
        </row>
        <row r="1977">
          <cell r="K1977" t="str">
            <v>Weiden an der March</v>
          </cell>
          <cell r="L1977" t="str">
            <v>Niederösterreich</v>
          </cell>
          <cell r="M1977">
            <v>33</v>
          </cell>
        </row>
        <row r="1978">
          <cell r="K1978" t="str">
            <v>Weiden bei Rechnitz</v>
          </cell>
          <cell r="L1978" t="str">
            <v>Burgenland</v>
          </cell>
          <cell r="M1978">
            <v>34</v>
          </cell>
        </row>
        <row r="1979">
          <cell r="K1979" t="str">
            <v>Weikendorf</v>
          </cell>
          <cell r="L1979" t="str">
            <v>Niederösterreich</v>
          </cell>
          <cell r="M1979">
            <v>33</v>
          </cell>
        </row>
        <row r="1980">
          <cell r="K1980" t="str">
            <v>Weikersdorf am Steinfelde</v>
          </cell>
          <cell r="L1980" t="str">
            <v>Niederösterreich</v>
          </cell>
          <cell r="M1980">
            <v>24</v>
          </cell>
        </row>
        <row r="1981">
          <cell r="K1981" t="str">
            <v>Weilbach</v>
          </cell>
          <cell r="L1981" t="str">
            <v>Oberösterreich</v>
          </cell>
          <cell r="M1981">
            <v>24</v>
          </cell>
        </row>
        <row r="1982">
          <cell r="K1982" t="str">
            <v>Weiler</v>
          </cell>
          <cell r="L1982" t="str">
            <v>Vorarlberg</v>
          </cell>
          <cell r="M1982">
            <v>11</v>
          </cell>
        </row>
        <row r="1983">
          <cell r="K1983" t="str">
            <v>Weinburg</v>
          </cell>
          <cell r="L1983" t="str">
            <v>Niederösterreich</v>
          </cell>
          <cell r="M1983">
            <v>23</v>
          </cell>
        </row>
        <row r="1984">
          <cell r="K1984" t="str">
            <v>Weingraben</v>
          </cell>
          <cell r="L1984" t="str">
            <v>Burgenland</v>
          </cell>
          <cell r="M1984">
            <v>34</v>
          </cell>
        </row>
        <row r="1985">
          <cell r="K1985" t="str">
            <v>Weinitzen</v>
          </cell>
          <cell r="L1985" t="str">
            <v>Steiermark</v>
          </cell>
          <cell r="M1985">
            <v>22</v>
          </cell>
        </row>
        <row r="1986">
          <cell r="K1986" t="str">
            <v>Weinzierl am Walde</v>
          </cell>
          <cell r="L1986" t="str">
            <v>Niederösterreich</v>
          </cell>
          <cell r="M1986">
            <v>24</v>
          </cell>
        </row>
        <row r="1987">
          <cell r="K1987" t="str">
            <v>Weißbach bei Lofer</v>
          </cell>
          <cell r="L1987" t="str">
            <v>Salzburg</v>
          </cell>
          <cell r="M1987">
            <v>34</v>
          </cell>
        </row>
        <row r="1988">
          <cell r="K1988" t="str">
            <v>Weißenbach am Lech</v>
          </cell>
          <cell r="L1988" t="str">
            <v>Tirol</v>
          </cell>
          <cell r="M1988">
            <v>23</v>
          </cell>
        </row>
        <row r="1989">
          <cell r="K1989" t="str">
            <v>Weissenbach an der Triesting</v>
          </cell>
          <cell r="L1989" t="str">
            <v>Niederösterreich</v>
          </cell>
          <cell r="M1989">
            <v>24</v>
          </cell>
        </row>
        <row r="1990">
          <cell r="K1990" t="str">
            <v>Weißenkirchen im Attergau</v>
          </cell>
          <cell r="L1990" t="str">
            <v>Oberösterreich</v>
          </cell>
          <cell r="M1990">
            <v>23</v>
          </cell>
        </row>
        <row r="1991">
          <cell r="K1991" t="str">
            <v>Weißenkirchen in der Wachau</v>
          </cell>
          <cell r="L1991" t="str">
            <v>Niederösterreich</v>
          </cell>
          <cell r="M1991">
            <v>23</v>
          </cell>
        </row>
        <row r="1992">
          <cell r="K1992" t="str">
            <v>Weißensee</v>
          </cell>
          <cell r="L1992" t="str">
            <v>Kärnten</v>
          </cell>
          <cell r="M1992">
            <v>34</v>
          </cell>
        </row>
        <row r="1993">
          <cell r="K1993" t="str">
            <v>Weißenstein</v>
          </cell>
          <cell r="L1993" t="str">
            <v>Kärnten</v>
          </cell>
          <cell r="M1993">
            <v>22</v>
          </cell>
        </row>
        <row r="1994">
          <cell r="K1994" t="str">
            <v>Weißkirchen an der Traun</v>
          </cell>
          <cell r="L1994" t="str">
            <v>Oberösterreich</v>
          </cell>
          <cell r="M1994">
            <v>24</v>
          </cell>
        </row>
        <row r="1995">
          <cell r="K1995" t="str">
            <v>Weißkirchen in Steiermark</v>
          </cell>
          <cell r="L1995" t="str">
            <v>Steiermark</v>
          </cell>
          <cell r="M1995">
            <v>22</v>
          </cell>
        </row>
        <row r="1996">
          <cell r="K1996" t="str">
            <v>Weißpriach</v>
          </cell>
          <cell r="L1996" t="str">
            <v>Salzburg</v>
          </cell>
          <cell r="M1996">
            <v>34</v>
          </cell>
        </row>
        <row r="1997">
          <cell r="K1997" t="str">
            <v>Weistrach</v>
          </cell>
          <cell r="L1997" t="str">
            <v>Niederösterreich</v>
          </cell>
          <cell r="M1997">
            <v>22</v>
          </cell>
        </row>
        <row r="1998">
          <cell r="K1998" t="str">
            <v>Weiten</v>
          </cell>
          <cell r="L1998" t="str">
            <v>Niederösterreich</v>
          </cell>
          <cell r="M1998">
            <v>34</v>
          </cell>
        </row>
        <row r="1999">
          <cell r="K1999" t="str">
            <v>Weitensfeld im Gurktal</v>
          </cell>
          <cell r="L1999" t="str">
            <v>Kärnten</v>
          </cell>
          <cell r="M1999">
            <v>34</v>
          </cell>
        </row>
        <row r="2000">
          <cell r="K2000" t="str">
            <v>Weitersfeld</v>
          </cell>
          <cell r="L2000" t="str">
            <v>Niederösterreich</v>
          </cell>
          <cell r="M2000">
            <v>34</v>
          </cell>
        </row>
        <row r="2001">
          <cell r="K2001" t="str">
            <v>Weitersfelden</v>
          </cell>
          <cell r="L2001" t="str">
            <v>Oberösterreich</v>
          </cell>
          <cell r="M2001">
            <v>34</v>
          </cell>
        </row>
        <row r="2002">
          <cell r="K2002" t="str">
            <v>Weitra</v>
          </cell>
          <cell r="L2002" t="str">
            <v>Niederösterreich</v>
          </cell>
          <cell r="M2002">
            <v>34</v>
          </cell>
        </row>
        <row r="2003">
          <cell r="K2003" t="str">
            <v>Weiz</v>
          </cell>
          <cell r="L2003" t="str">
            <v>Steiermark</v>
          </cell>
          <cell r="M2003">
            <v>12</v>
          </cell>
        </row>
        <row r="2004">
          <cell r="K2004" t="str">
            <v>Wels</v>
          </cell>
          <cell r="L2004" t="str">
            <v>Oberösterreich</v>
          </cell>
          <cell r="M2004">
            <v>11</v>
          </cell>
        </row>
        <row r="2005">
          <cell r="K2005" t="str">
            <v>Wendling</v>
          </cell>
          <cell r="L2005" t="str">
            <v>Oberösterreich</v>
          </cell>
          <cell r="M2005">
            <v>22</v>
          </cell>
        </row>
        <row r="2006">
          <cell r="K2006" t="str">
            <v>Weng im Innkreis</v>
          </cell>
          <cell r="L2006" t="str">
            <v>Oberösterreich</v>
          </cell>
          <cell r="M2006">
            <v>24</v>
          </cell>
        </row>
        <row r="2007">
          <cell r="K2007" t="str">
            <v>Wenigzell</v>
          </cell>
          <cell r="L2007" t="str">
            <v>Steiermark</v>
          </cell>
          <cell r="M2007">
            <v>34</v>
          </cell>
        </row>
        <row r="2008">
          <cell r="K2008" t="str">
            <v>Wenns</v>
          </cell>
          <cell r="L2008" t="str">
            <v>Tirol</v>
          </cell>
          <cell r="M2008">
            <v>23</v>
          </cell>
        </row>
        <row r="2009">
          <cell r="K2009" t="str">
            <v>Weppersdorf</v>
          </cell>
          <cell r="L2009" t="str">
            <v>Burgenland</v>
          </cell>
          <cell r="M2009">
            <v>23</v>
          </cell>
        </row>
        <row r="2010">
          <cell r="K2010" t="str">
            <v>Werfen</v>
          </cell>
          <cell r="L2010" t="str">
            <v>Salzburg</v>
          </cell>
          <cell r="M2010">
            <v>22</v>
          </cell>
        </row>
        <row r="2011">
          <cell r="K2011" t="str">
            <v>Werfenweng</v>
          </cell>
          <cell r="L2011" t="str">
            <v>Salzburg</v>
          </cell>
          <cell r="M2011">
            <v>24</v>
          </cell>
        </row>
        <row r="2012">
          <cell r="K2012" t="str">
            <v>Wernberg</v>
          </cell>
          <cell r="L2012" t="str">
            <v>Kärnten</v>
          </cell>
          <cell r="M2012">
            <v>22</v>
          </cell>
        </row>
        <row r="2013">
          <cell r="K2013" t="str">
            <v>Werndorf</v>
          </cell>
          <cell r="L2013" t="str">
            <v>Steiermark</v>
          </cell>
          <cell r="M2013">
            <v>12</v>
          </cell>
        </row>
        <row r="2014">
          <cell r="K2014" t="str">
            <v>Wernstein am Inn</v>
          </cell>
          <cell r="L2014" t="str">
            <v>Oberösterreich</v>
          </cell>
          <cell r="M2014">
            <v>32</v>
          </cell>
        </row>
        <row r="2015">
          <cell r="K2015" t="str">
            <v>Westendorf</v>
          </cell>
          <cell r="L2015" t="str">
            <v>Tirol</v>
          </cell>
          <cell r="M2015">
            <v>22</v>
          </cell>
        </row>
        <row r="2016">
          <cell r="K2016" t="str">
            <v>Wettmannstätten</v>
          </cell>
          <cell r="L2016" t="str">
            <v>Steiermark</v>
          </cell>
          <cell r="M2016">
            <v>22</v>
          </cell>
        </row>
        <row r="2017">
          <cell r="K2017" t="str">
            <v>Weyer</v>
          </cell>
          <cell r="L2017" t="str">
            <v>Oberösterreich</v>
          </cell>
          <cell r="M2017">
            <v>32</v>
          </cell>
        </row>
        <row r="2018">
          <cell r="K2018" t="str">
            <v>Weyregg am Attersee</v>
          </cell>
          <cell r="L2018" t="str">
            <v>Oberösterreich</v>
          </cell>
          <cell r="M2018">
            <v>24</v>
          </cell>
        </row>
        <row r="2019">
          <cell r="K2019" t="str">
            <v>Wien-Alsergrund</v>
          </cell>
          <cell r="L2019" t="str">
            <v>Wien</v>
          </cell>
          <cell r="M2019">
            <v>91</v>
          </cell>
        </row>
        <row r="2020">
          <cell r="K2020" t="str">
            <v>Wien-Brigittenau</v>
          </cell>
          <cell r="L2020" t="str">
            <v>Wien</v>
          </cell>
          <cell r="M2020">
            <v>91</v>
          </cell>
        </row>
        <row r="2021">
          <cell r="K2021" t="str">
            <v>Wien-Döbling</v>
          </cell>
          <cell r="L2021" t="str">
            <v>Wien</v>
          </cell>
          <cell r="M2021">
            <v>92</v>
          </cell>
        </row>
        <row r="2022">
          <cell r="K2022" t="str">
            <v>Wien-Donaustadt</v>
          </cell>
          <cell r="L2022" t="str">
            <v>Wien</v>
          </cell>
          <cell r="M2022">
            <v>93</v>
          </cell>
        </row>
        <row r="2023">
          <cell r="K2023" t="str">
            <v>Wiener Neudorf</v>
          </cell>
          <cell r="L2023" t="str">
            <v>Niederösterreich</v>
          </cell>
          <cell r="M2023">
            <v>11</v>
          </cell>
        </row>
        <row r="2024">
          <cell r="K2024" t="str">
            <v>Wiener Neustadt</v>
          </cell>
          <cell r="L2024" t="str">
            <v>Niederösterreich</v>
          </cell>
          <cell r="M2024">
            <v>11</v>
          </cell>
        </row>
        <row r="2025">
          <cell r="K2025" t="str">
            <v>Wienerwald</v>
          </cell>
          <cell r="L2025" t="str">
            <v>Niederösterreich</v>
          </cell>
          <cell r="M2025">
            <v>23</v>
          </cell>
        </row>
        <row r="2026">
          <cell r="K2026" t="str">
            <v>Wien-Favoriten</v>
          </cell>
          <cell r="L2026" t="str">
            <v>Wien</v>
          </cell>
          <cell r="M2026">
            <v>92</v>
          </cell>
        </row>
        <row r="2027">
          <cell r="K2027" t="str">
            <v>Wien-Floridsdorf</v>
          </cell>
          <cell r="L2027" t="str">
            <v>Wien</v>
          </cell>
          <cell r="M2027">
            <v>93</v>
          </cell>
        </row>
        <row r="2028">
          <cell r="K2028" t="str">
            <v>Wien-Hernals</v>
          </cell>
          <cell r="L2028" t="str">
            <v>Wien</v>
          </cell>
          <cell r="M2028">
            <v>92</v>
          </cell>
        </row>
        <row r="2029">
          <cell r="K2029" t="str">
            <v>Wien-Hietzing</v>
          </cell>
          <cell r="L2029" t="str">
            <v>Wien</v>
          </cell>
          <cell r="M2029">
            <v>93</v>
          </cell>
        </row>
        <row r="2030">
          <cell r="K2030" t="str">
            <v>Wien-Innere Stadt</v>
          </cell>
          <cell r="L2030" t="str">
            <v>Wien</v>
          </cell>
          <cell r="M2030">
            <v>91</v>
          </cell>
        </row>
        <row r="2031">
          <cell r="K2031" t="str">
            <v>Wien-Josefstadt</v>
          </cell>
          <cell r="L2031" t="str">
            <v>Wien</v>
          </cell>
          <cell r="M2031">
            <v>91</v>
          </cell>
        </row>
        <row r="2032">
          <cell r="K2032" t="str">
            <v>Wien-Landstraße</v>
          </cell>
          <cell r="L2032" t="str">
            <v>Wien</v>
          </cell>
          <cell r="M2032">
            <v>91</v>
          </cell>
        </row>
        <row r="2033">
          <cell r="K2033" t="str">
            <v>Wien-Leopoldstadt</v>
          </cell>
          <cell r="L2033" t="str">
            <v>Wien</v>
          </cell>
          <cell r="M2033">
            <v>91</v>
          </cell>
        </row>
        <row r="2034">
          <cell r="K2034" t="str">
            <v>Wien-Liesing</v>
          </cell>
          <cell r="L2034" t="str">
            <v>Wien</v>
          </cell>
          <cell r="M2034">
            <v>93</v>
          </cell>
        </row>
        <row r="2035">
          <cell r="K2035" t="str">
            <v>Wien-Margareten</v>
          </cell>
          <cell r="L2035" t="str">
            <v>Wien</v>
          </cell>
          <cell r="M2035">
            <v>91</v>
          </cell>
        </row>
        <row r="2036">
          <cell r="K2036" t="str">
            <v>Wien-Mariahilf</v>
          </cell>
          <cell r="L2036" t="str">
            <v>Wien</v>
          </cell>
          <cell r="M2036">
            <v>91</v>
          </cell>
        </row>
        <row r="2037">
          <cell r="K2037" t="str">
            <v>Wien-Meidling</v>
          </cell>
          <cell r="L2037" t="str">
            <v>Wien</v>
          </cell>
          <cell r="M2037">
            <v>92</v>
          </cell>
        </row>
        <row r="2038">
          <cell r="K2038" t="str">
            <v>Wien-Neubau</v>
          </cell>
          <cell r="L2038" t="str">
            <v>Wien</v>
          </cell>
          <cell r="M2038">
            <v>91</v>
          </cell>
        </row>
        <row r="2039">
          <cell r="K2039" t="str">
            <v>Wien-Ottakring</v>
          </cell>
          <cell r="L2039" t="str">
            <v>Wien</v>
          </cell>
          <cell r="M2039">
            <v>92</v>
          </cell>
        </row>
        <row r="2040">
          <cell r="K2040" t="str">
            <v>Wien-Penzing</v>
          </cell>
          <cell r="L2040" t="str">
            <v>Wien</v>
          </cell>
          <cell r="M2040">
            <v>93</v>
          </cell>
        </row>
        <row r="2041">
          <cell r="K2041" t="str">
            <v>Wien-Rudolfsheim-Fünfhaus</v>
          </cell>
          <cell r="L2041" t="str">
            <v>Wien</v>
          </cell>
          <cell r="M2041">
            <v>92</v>
          </cell>
        </row>
        <row r="2042">
          <cell r="K2042" t="str">
            <v>Wien-Simmering</v>
          </cell>
          <cell r="L2042" t="str">
            <v>Wien</v>
          </cell>
          <cell r="M2042">
            <v>92</v>
          </cell>
        </row>
        <row r="2043">
          <cell r="K2043" t="str">
            <v>Wien-Währing</v>
          </cell>
          <cell r="L2043" t="str">
            <v>Wien</v>
          </cell>
          <cell r="M2043">
            <v>92</v>
          </cell>
        </row>
        <row r="2044">
          <cell r="K2044" t="str">
            <v>Wien-Wieden</v>
          </cell>
          <cell r="L2044" t="str">
            <v>Wien</v>
          </cell>
          <cell r="M2044">
            <v>91</v>
          </cell>
        </row>
        <row r="2045">
          <cell r="K2045" t="str">
            <v>Wies</v>
          </cell>
          <cell r="L2045" t="str">
            <v>Steiermark</v>
          </cell>
          <cell r="M2045">
            <v>33</v>
          </cell>
        </row>
        <row r="2046">
          <cell r="K2046" t="str">
            <v>Wieselburg</v>
          </cell>
          <cell r="L2046" t="str">
            <v>Niederösterreich</v>
          </cell>
          <cell r="M2046">
            <v>22</v>
          </cell>
        </row>
        <row r="2047">
          <cell r="K2047" t="str">
            <v>Wieselburg-Land</v>
          </cell>
          <cell r="L2047" t="str">
            <v>Niederösterreich</v>
          </cell>
          <cell r="M2047">
            <v>23</v>
          </cell>
        </row>
        <row r="2048">
          <cell r="K2048" t="str">
            <v>Wiesen</v>
          </cell>
          <cell r="L2048" t="str">
            <v>Burgenland</v>
          </cell>
          <cell r="M2048">
            <v>23</v>
          </cell>
        </row>
        <row r="2049">
          <cell r="K2049" t="str">
            <v>Wiesfleck</v>
          </cell>
          <cell r="L2049" t="str">
            <v>Burgenland</v>
          </cell>
          <cell r="M2049">
            <v>34</v>
          </cell>
        </row>
        <row r="2050">
          <cell r="K2050" t="str">
            <v>Wiesing</v>
          </cell>
          <cell r="L2050" t="str">
            <v>Tirol</v>
          </cell>
          <cell r="M2050">
            <v>22</v>
          </cell>
        </row>
        <row r="2051">
          <cell r="K2051" t="str">
            <v>Wiesmath</v>
          </cell>
          <cell r="L2051" t="str">
            <v>Niederösterreich</v>
          </cell>
          <cell r="M2051">
            <v>24</v>
          </cell>
        </row>
        <row r="2052">
          <cell r="K2052" t="str">
            <v>Wildalpen</v>
          </cell>
          <cell r="L2052" t="str">
            <v>Steiermark</v>
          </cell>
          <cell r="M2052">
            <v>34</v>
          </cell>
        </row>
        <row r="2053">
          <cell r="K2053" t="str">
            <v>Wildendürnbach</v>
          </cell>
          <cell r="L2053" t="str">
            <v>Niederösterreich</v>
          </cell>
          <cell r="M2053">
            <v>34</v>
          </cell>
        </row>
        <row r="2054">
          <cell r="K2054" t="str">
            <v>Wildermieming</v>
          </cell>
          <cell r="L2054" t="str">
            <v>Tirol</v>
          </cell>
          <cell r="M2054">
            <v>23</v>
          </cell>
        </row>
        <row r="2055">
          <cell r="K2055" t="str">
            <v>Wildon</v>
          </cell>
          <cell r="L2055" t="str">
            <v>Steiermark</v>
          </cell>
          <cell r="M2055">
            <v>22</v>
          </cell>
        </row>
        <row r="2056">
          <cell r="K2056" t="str">
            <v>Wildschönau</v>
          </cell>
          <cell r="L2056" t="str">
            <v>Tirol</v>
          </cell>
          <cell r="M2056">
            <v>23</v>
          </cell>
        </row>
        <row r="2057">
          <cell r="K2057" t="str">
            <v>Wilfersdorf</v>
          </cell>
          <cell r="L2057" t="str">
            <v>Niederösterreich</v>
          </cell>
          <cell r="M2057">
            <v>33</v>
          </cell>
        </row>
        <row r="2058">
          <cell r="K2058" t="str">
            <v>Wilhelmsburg</v>
          </cell>
          <cell r="L2058" t="str">
            <v>Niederösterreich</v>
          </cell>
          <cell r="M2058">
            <v>22</v>
          </cell>
        </row>
        <row r="2059">
          <cell r="K2059" t="str">
            <v>Wilhering</v>
          </cell>
          <cell r="L2059" t="str">
            <v>Oberösterreich</v>
          </cell>
          <cell r="M2059">
            <v>22</v>
          </cell>
        </row>
        <row r="2060">
          <cell r="K2060" t="str">
            <v>Willendorf</v>
          </cell>
          <cell r="L2060" t="str">
            <v>Niederösterreich</v>
          </cell>
          <cell r="M2060">
            <v>23</v>
          </cell>
        </row>
        <row r="2061">
          <cell r="K2061" t="str">
            <v>Wimpassing an der Leitha</v>
          </cell>
          <cell r="L2061" t="str">
            <v>Burgenland</v>
          </cell>
          <cell r="M2061">
            <v>23</v>
          </cell>
        </row>
        <row r="2062">
          <cell r="K2062" t="str">
            <v>Wimpassing im Schwarzatale</v>
          </cell>
          <cell r="L2062" t="str">
            <v>Niederösterreich</v>
          </cell>
          <cell r="M2062">
            <v>12</v>
          </cell>
        </row>
        <row r="2063">
          <cell r="K2063" t="str">
            <v>Winden am See</v>
          </cell>
          <cell r="L2063" t="str">
            <v>Burgenland</v>
          </cell>
          <cell r="M2063">
            <v>22</v>
          </cell>
        </row>
        <row r="2064">
          <cell r="K2064" t="str">
            <v>Windhaag bei Freistadt</v>
          </cell>
          <cell r="L2064" t="str">
            <v>Oberösterreich</v>
          </cell>
          <cell r="M2064">
            <v>34</v>
          </cell>
        </row>
        <row r="2065">
          <cell r="K2065" t="str">
            <v>Windhaag bei Perg</v>
          </cell>
          <cell r="L2065" t="str">
            <v>Oberösterreich</v>
          </cell>
          <cell r="M2065">
            <v>23</v>
          </cell>
        </row>
        <row r="2066">
          <cell r="K2066" t="str">
            <v>Windigsteig</v>
          </cell>
          <cell r="L2066" t="str">
            <v>Niederösterreich</v>
          </cell>
          <cell r="M2066">
            <v>34</v>
          </cell>
        </row>
        <row r="2067">
          <cell r="K2067" t="str">
            <v>Windischgarsten</v>
          </cell>
          <cell r="L2067" t="str">
            <v>Oberösterreich</v>
          </cell>
          <cell r="M2067">
            <v>32</v>
          </cell>
        </row>
        <row r="2068">
          <cell r="K2068" t="str">
            <v>Winklarn</v>
          </cell>
          <cell r="L2068" t="str">
            <v>Niederösterreich</v>
          </cell>
          <cell r="M2068">
            <v>12</v>
          </cell>
        </row>
        <row r="2069">
          <cell r="K2069" t="str">
            <v>Winklern</v>
          </cell>
          <cell r="L2069" t="str">
            <v>Kärnten</v>
          </cell>
          <cell r="M2069">
            <v>24</v>
          </cell>
        </row>
        <row r="2070">
          <cell r="K2070" t="str">
            <v>Winzendorf-Muthmannsdorf</v>
          </cell>
          <cell r="L2070" t="str">
            <v>Niederösterreich</v>
          </cell>
          <cell r="M2070">
            <v>22</v>
          </cell>
        </row>
        <row r="2071">
          <cell r="K2071" t="str">
            <v>Wippenham</v>
          </cell>
          <cell r="L2071" t="str">
            <v>Oberösterreich</v>
          </cell>
          <cell r="M2071">
            <v>23</v>
          </cell>
        </row>
        <row r="2072">
          <cell r="K2072" t="str">
            <v>Wölbling</v>
          </cell>
          <cell r="L2072" t="str">
            <v>Niederösterreich</v>
          </cell>
          <cell r="M2072">
            <v>23</v>
          </cell>
        </row>
        <row r="2073">
          <cell r="K2073" t="str">
            <v>Wolfau</v>
          </cell>
          <cell r="L2073" t="str">
            <v>Burgenland</v>
          </cell>
          <cell r="M2073">
            <v>34</v>
          </cell>
        </row>
        <row r="2074">
          <cell r="K2074" t="str">
            <v>Wolfern</v>
          </cell>
          <cell r="L2074" t="str">
            <v>Oberösterreich</v>
          </cell>
          <cell r="M2074">
            <v>24</v>
          </cell>
        </row>
        <row r="2075">
          <cell r="K2075" t="str">
            <v>Wolfpassing</v>
          </cell>
          <cell r="L2075" t="str">
            <v>Niederösterreich</v>
          </cell>
          <cell r="M2075">
            <v>24</v>
          </cell>
        </row>
        <row r="2076">
          <cell r="K2076" t="str">
            <v>Wolfsbach</v>
          </cell>
          <cell r="L2076" t="str">
            <v>Niederösterreich</v>
          </cell>
          <cell r="M2076">
            <v>23</v>
          </cell>
        </row>
        <row r="2077">
          <cell r="K2077" t="str">
            <v>Wolfsberg</v>
          </cell>
          <cell r="L2077" t="str">
            <v>Kärnten</v>
          </cell>
          <cell r="M2077">
            <v>11</v>
          </cell>
        </row>
        <row r="2078">
          <cell r="K2078" t="str">
            <v>Wolfsegg am Hausruck</v>
          </cell>
          <cell r="L2078" t="str">
            <v>Oberösterreich</v>
          </cell>
          <cell r="M2078">
            <v>24</v>
          </cell>
        </row>
        <row r="2079">
          <cell r="K2079" t="str">
            <v>Wolfsgraben</v>
          </cell>
          <cell r="L2079" t="str">
            <v>Niederösterreich</v>
          </cell>
          <cell r="M2079">
            <v>23</v>
          </cell>
        </row>
        <row r="2080">
          <cell r="K2080" t="str">
            <v>Wolfsthal</v>
          </cell>
          <cell r="L2080" t="str">
            <v>Niederösterreich</v>
          </cell>
          <cell r="M2080">
            <v>33</v>
          </cell>
        </row>
        <row r="2081">
          <cell r="K2081" t="str">
            <v>Wolfurt</v>
          </cell>
          <cell r="L2081" t="str">
            <v>Vorarlberg</v>
          </cell>
          <cell r="M2081">
            <v>11</v>
          </cell>
        </row>
        <row r="2082">
          <cell r="K2082" t="str">
            <v>Wolkersdorf im Weinviertel</v>
          </cell>
          <cell r="L2082" t="str">
            <v>Niederösterreich</v>
          </cell>
          <cell r="M2082">
            <v>22</v>
          </cell>
        </row>
        <row r="2083">
          <cell r="K2083" t="str">
            <v>Wöllersdorf-Steinabrückl</v>
          </cell>
          <cell r="L2083" t="str">
            <v>Niederösterreich</v>
          </cell>
          <cell r="M2083">
            <v>12</v>
          </cell>
        </row>
        <row r="2084">
          <cell r="K2084" t="str">
            <v>Wörgl</v>
          </cell>
          <cell r="L2084" t="str">
            <v>Tirol</v>
          </cell>
          <cell r="M2084">
            <v>11</v>
          </cell>
        </row>
        <row r="2085">
          <cell r="K2085" t="str">
            <v>Wörschach</v>
          </cell>
          <cell r="L2085" t="str">
            <v>Steiermark</v>
          </cell>
          <cell r="M2085">
            <v>33</v>
          </cell>
        </row>
        <row r="2086">
          <cell r="K2086" t="str">
            <v>Wörterberg</v>
          </cell>
          <cell r="L2086" t="str">
            <v>Burgenland</v>
          </cell>
          <cell r="M2086">
            <v>34</v>
          </cell>
        </row>
        <row r="2087">
          <cell r="K2087" t="str">
            <v>Wulkaprodersdorf</v>
          </cell>
          <cell r="L2087" t="str">
            <v>Burgenland</v>
          </cell>
          <cell r="M2087">
            <v>22</v>
          </cell>
        </row>
        <row r="2088">
          <cell r="K2088" t="str">
            <v>Wullersdorf</v>
          </cell>
          <cell r="L2088" t="str">
            <v>Niederösterreich</v>
          </cell>
          <cell r="M2088">
            <v>33</v>
          </cell>
        </row>
        <row r="2089">
          <cell r="K2089" t="str">
            <v>Wundschuh</v>
          </cell>
          <cell r="L2089" t="str">
            <v>Steiermark</v>
          </cell>
          <cell r="M2089">
            <v>22</v>
          </cell>
        </row>
        <row r="2090">
          <cell r="K2090" t="str">
            <v>Würflach</v>
          </cell>
          <cell r="L2090" t="str">
            <v>Niederösterreich</v>
          </cell>
          <cell r="M2090">
            <v>24</v>
          </cell>
        </row>
        <row r="2091">
          <cell r="K2091" t="str">
            <v>Würmla</v>
          </cell>
          <cell r="L2091" t="str">
            <v>Niederösterreich</v>
          </cell>
          <cell r="M2091">
            <v>24</v>
          </cell>
        </row>
        <row r="2092">
          <cell r="K2092" t="str">
            <v>Ybbs an der Donau</v>
          </cell>
          <cell r="L2092" t="str">
            <v>Niederösterreich</v>
          </cell>
          <cell r="M2092">
            <v>22</v>
          </cell>
        </row>
        <row r="2093">
          <cell r="K2093" t="str">
            <v>Ybbsitz</v>
          </cell>
          <cell r="L2093" t="str">
            <v>Niederösterreich</v>
          </cell>
          <cell r="M2093">
            <v>33</v>
          </cell>
        </row>
        <row r="2094">
          <cell r="K2094" t="str">
            <v>Yspertal</v>
          </cell>
          <cell r="L2094" t="str">
            <v>Niederösterreich</v>
          </cell>
          <cell r="M2094">
            <v>34</v>
          </cell>
        </row>
        <row r="2095">
          <cell r="K2095" t="str">
            <v>Zagersdorf</v>
          </cell>
          <cell r="L2095" t="str">
            <v>Burgenland</v>
          </cell>
          <cell r="M2095">
            <v>24</v>
          </cell>
        </row>
        <row r="2096">
          <cell r="K2096" t="str">
            <v>Zams</v>
          </cell>
          <cell r="L2096" t="str">
            <v>Tirol</v>
          </cell>
          <cell r="M2096">
            <v>22</v>
          </cell>
        </row>
        <row r="2097">
          <cell r="K2097" t="str">
            <v>Zederhaus</v>
          </cell>
          <cell r="L2097" t="str">
            <v>Salzburg</v>
          </cell>
          <cell r="M2097">
            <v>34</v>
          </cell>
        </row>
        <row r="2098">
          <cell r="K2098" t="str">
            <v>Zeillern</v>
          </cell>
          <cell r="L2098" t="str">
            <v>Niederösterreich</v>
          </cell>
          <cell r="M2098">
            <v>24</v>
          </cell>
        </row>
        <row r="2099">
          <cell r="K2099" t="str">
            <v>Zeiselmauer-Wolfpassing</v>
          </cell>
          <cell r="L2099" t="str">
            <v>Niederösterreich</v>
          </cell>
          <cell r="M2099">
            <v>22</v>
          </cell>
        </row>
        <row r="2100">
          <cell r="K2100" t="str">
            <v>Zelking-Matzleinsdorf</v>
          </cell>
          <cell r="L2100" t="str">
            <v>Niederösterreich</v>
          </cell>
          <cell r="M2100">
            <v>24</v>
          </cell>
        </row>
        <row r="2101">
          <cell r="K2101" t="str">
            <v>Zell</v>
          </cell>
          <cell r="L2101" t="str">
            <v>Kärnten</v>
          </cell>
          <cell r="M2101">
            <v>34</v>
          </cell>
        </row>
        <row r="2102">
          <cell r="K2102" t="str">
            <v>Zell am Moos</v>
          </cell>
          <cell r="L2102" t="str">
            <v>Oberösterreich</v>
          </cell>
          <cell r="M2102">
            <v>24</v>
          </cell>
        </row>
        <row r="2103">
          <cell r="K2103" t="str">
            <v>Zell am Pettenfirst</v>
          </cell>
          <cell r="L2103" t="str">
            <v>Oberösterreich</v>
          </cell>
          <cell r="M2103">
            <v>24</v>
          </cell>
        </row>
        <row r="2104">
          <cell r="K2104" t="str">
            <v>Zell am See</v>
          </cell>
          <cell r="L2104" t="str">
            <v>Salzburg</v>
          </cell>
          <cell r="M2104">
            <v>32</v>
          </cell>
        </row>
        <row r="2105">
          <cell r="K2105" t="str">
            <v>Zell am Ziller</v>
          </cell>
          <cell r="L2105" t="str">
            <v>Tirol</v>
          </cell>
          <cell r="M2105">
            <v>32</v>
          </cell>
        </row>
        <row r="2106">
          <cell r="K2106" t="str">
            <v>Zell an der Pram</v>
          </cell>
          <cell r="L2106" t="str">
            <v>Oberösterreich</v>
          </cell>
          <cell r="M2106">
            <v>23</v>
          </cell>
        </row>
        <row r="2107">
          <cell r="K2107" t="str">
            <v>Zellberg</v>
          </cell>
          <cell r="L2107" t="str">
            <v>Tirol</v>
          </cell>
          <cell r="M2107">
            <v>32</v>
          </cell>
        </row>
        <row r="2108">
          <cell r="K2108" t="str">
            <v>Zellerndorf</v>
          </cell>
          <cell r="L2108" t="str">
            <v>Niederösterreich</v>
          </cell>
          <cell r="M2108">
            <v>32</v>
          </cell>
        </row>
        <row r="2109">
          <cell r="K2109" t="str">
            <v>Zeltweg</v>
          </cell>
          <cell r="L2109" t="str">
            <v>Steiermark</v>
          </cell>
          <cell r="M2109">
            <v>12</v>
          </cell>
        </row>
        <row r="2110">
          <cell r="K2110" t="str">
            <v>Zemendorf-Stöttera</v>
          </cell>
          <cell r="L2110" t="str">
            <v>Burgenland</v>
          </cell>
          <cell r="M2110">
            <v>23</v>
          </cell>
        </row>
        <row r="2111">
          <cell r="K2111" t="str">
            <v>Ziersdorf</v>
          </cell>
          <cell r="L2111" t="str">
            <v>Niederösterreich</v>
          </cell>
          <cell r="M2111">
            <v>22</v>
          </cell>
        </row>
        <row r="2112">
          <cell r="K2112" t="str">
            <v>Zillingdorf</v>
          </cell>
          <cell r="L2112" t="str">
            <v>Niederösterreich</v>
          </cell>
          <cell r="M2112">
            <v>24</v>
          </cell>
        </row>
        <row r="2113">
          <cell r="K2113" t="str">
            <v>Zillingtal</v>
          </cell>
          <cell r="L2113" t="str">
            <v>Burgenland</v>
          </cell>
          <cell r="M2113">
            <v>24</v>
          </cell>
        </row>
        <row r="2114">
          <cell r="K2114" t="str">
            <v>Zirl</v>
          </cell>
          <cell r="L2114" t="str">
            <v>Tirol</v>
          </cell>
          <cell r="M2114">
            <v>22</v>
          </cell>
        </row>
        <row r="2115">
          <cell r="K2115" t="str">
            <v>Zistersdorf</v>
          </cell>
          <cell r="L2115" t="str">
            <v>Niederösterreich</v>
          </cell>
          <cell r="M2115">
            <v>34</v>
          </cell>
        </row>
        <row r="2116">
          <cell r="K2116" t="str">
            <v>Zöbern</v>
          </cell>
          <cell r="L2116" t="str">
            <v>Niederösterreich</v>
          </cell>
          <cell r="M2116">
            <v>24</v>
          </cell>
        </row>
        <row r="2117">
          <cell r="K2117" t="str">
            <v>Zöblen</v>
          </cell>
          <cell r="L2117" t="str">
            <v>Tirol</v>
          </cell>
          <cell r="M2117">
            <v>24</v>
          </cell>
        </row>
        <row r="2118">
          <cell r="K2118" t="str">
            <v>Zurndorf</v>
          </cell>
          <cell r="L2118" t="str">
            <v>Burgenland</v>
          </cell>
          <cell r="M2118">
            <v>33</v>
          </cell>
        </row>
        <row r="2119">
          <cell r="K2119" t="str">
            <v>Zwentendorf an der Donau</v>
          </cell>
          <cell r="L2119" t="str">
            <v>Niederösterreich</v>
          </cell>
          <cell r="M2119">
            <v>24</v>
          </cell>
        </row>
        <row r="2120">
          <cell r="K2120" t="str">
            <v>Zwettl an der Rodl</v>
          </cell>
          <cell r="L2120" t="str">
            <v>Oberösterreich</v>
          </cell>
          <cell r="M2120">
            <v>23</v>
          </cell>
        </row>
        <row r="2121">
          <cell r="K2121" t="str">
            <v>Zwettl-Niederösterreich</v>
          </cell>
          <cell r="L2121" t="str">
            <v>Niederösterreich</v>
          </cell>
          <cell r="M2121">
            <v>33</v>
          </cell>
        </row>
        <row r="2122">
          <cell r="K2122" t="str">
            <v>Zwischenwasser</v>
          </cell>
          <cell r="L2122" t="str">
            <v>Vorarlberg</v>
          </cell>
          <cell r="M2122">
            <v>12</v>
          </cell>
        </row>
        <row r="2123">
          <cell r="K2123" t="str">
            <v>Zwölfaxing</v>
          </cell>
          <cell r="L2123" t="str">
            <v>Niederösterreich</v>
          </cell>
          <cell r="M2123">
            <v>12</v>
          </cell>
        </row>
      </sheetData>
      <sheetData sheetId="25">
        <row r="171">
          <cell r="K171">
            <v>2.3652951773090063</v>
          </cell>
        </row>
        <row r="203">
          <cell r="K203" t="str">
            <v>WieNeu+ Alliiertenviertel</v>
          </cell>
        </row>
        <row r="205">
          <cell r="K205">
            <v>1020</v>
          </cell>
        </row>
        <row r="207">
          <cell r="K207">
            <v>45350</v>
          </cell>
        </row>
        <row r="209">
          <cell r="K209" t="str">
            <v>WP Flex Kühlung</v>
          </cell>
        </row>
        <row r="219">
          <cell r="K219" t="str">
            <v>Wien 2050</v>
          </cell>
        </row>
        <row r="220">
          <cell r="K220">
            <v>7</v>
          </cell>
        </row>
        <row r="261">
          <cell r="K261">
            <v>1</v>
          </cell>
        </row>
        <row r="296">
          <cell r="K296">
            <v>2.4799394008555433</v>
          </cell>
        </row>
        <row r="689">
          <cell r="K689" t="b">
            <v>1</v>
          </cell>
        </row>
        <row r="719">
          <cell r="K719" t="b">
            <v>0</v>
          </cell>
        </row>
        <row r="721">
          <cell r="K721">
            <v>13.85102940850564</v>
          </cell>
        </row>
        <row r="725">
          <cell r="K725">
            <v>0.95</v>
          </cell>
        </row>
        <row r="728">
          <cell r="K728">
            <v>0</v>
          </cell>
        </row>
        <row r="737">
          <cell r="K737" t="b">
            <v>1</v>
          </cell>
        </row>
        <row r="754">
          <cell r="K754">
            <v>0.7</v>
          </cell>
        </row>
        <row r="765">
          <cell r="K765">
            <v>1.2</v>
          </cell>
        </row>
        <row r="781">
          <cell r="K781">
            <v>0.08</v>
          </cell>
        </row>
        <row r="782">
          <cell r="K782">
            <v>0.09</v>
          </cell>
        </row>
        <row r="783">
          <cell r="K783">
            <v>-0.24</v>
          </cell>
        </row>
        <row r="784">
          <cell r="K784">
            <v>-0.13</v>
          </cell>
        </row>
        <row r="785">
          <cell r="K785">
            <v>0</v>
          </cell>
        </row>
        <row r="786">
          <cell r="K786">
            <v>0.05</v>
          </cell>
        </row>
        <row r="787">
          <cell r="K787">
            <v>1</v>
          </cell>
        </row>
        <row r="788">
          <cell r="K788">
            <v>0.2</v>
          </cell>
        </row>
        <row r="789">
          <cell r="K789">
            <v>0.06</v>
          </cell>
        </row>
        <row r="790">
          <cell r="K790">
            <v>0</v>
          </cell>
        </row>
        <row r="791">
          <cell r="K791">
            <v>0.2</v>
          </cell>
        </row>
        <row r="794">
          <cell r="K794">
            <v>50</v>
          </cell>
        </row>
        <row r="813">
          <cell r="K813">
            <v>1</v>
          </cell>
        </row>
        <row r="814">
          <cell r="K814">
            <v>1</v>
          </cell>
        </row>
        <row r="816">
          <cell r="K816">
            <v>1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4">
          <cell r="K824">
            <v>0</v>
          </cell>
        </row>
        <row r="826">
          <cell r="K826">
            <v>0</v>
          </cell>
        </row>
        <row r="827">
          <cell r="K827">
            <v>0</v>
          </cell>
        </row>
        <row r="828">
          <cell r="K828">
            <v>0</v>
          </cell>
        </row>
        <row r="829">
          <cell r="K829">
            <v>0</v>
          </cell>
        </row>
        <row r="830">
          <cell r="K830">
            <v>0</v>
          </cell>
        </row>
        <row r="831">
          <cell r="K831">
            <v>0</v>
          </cell>
        </row>
        <row r="832">
          <cell r="K832">
            <v>0</v>
          </cell>
        </row>
        <row r="873">
          <cell r="K873">
            <v>1E-3</v>
          </cell>
        </row>
      </sheetData>
      <sheetData sheetId="26"/>
      <sheetData sheetId="27">
        <row r="8">
          <cell r="AB8">
            <v>13.027909123685939</v>
          </cell>
        </row>
        <row r="26">
          <cell r="P26">
            <v>17.412003486518628</v>
          </cell>
        </row>
      </sheetData>
      <sheetData sheetId="28"/>
      <sheetData sheetId="29">
        <row r="3">
          <cell r="B3" t="str">
            <v>Pilzgasse - Beta deklarierbar(?)</v>
          </cell>
        </row>
      </sheetData>
      <sheetData sheetId="30"/>
      <sheetData sheetId="31">
        <row r="3">
          <cell r="B3" t="e">
            <v>#REF!</v>
          </cell>
          <cell r="C3" t="e">
            <v>#REF!</v>
          </cell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  <cell r="K3" t="e">
            <v>#REF!</v>
          </cell>
          <cell r="L3" t="e">
            <v>#REF!</v>
          </cell>
          <cell r="M3" t="str">
            <v>SRS Standard</v>
          </cell>
          <cell r="N3">
            <v>0.15</v>
          </cell>
          <cell r="O3">
            <v>0.87</v>
          </cell>
          <cell r="P3">
            <v>0.1</v>
          </cell>
          <cell r="Q3">
            <v>0.16</v>
          </cell>
          <cell r="R3">
            <v>0.7</v>
          </cell>
          <cell r="S3">
            <v>204</v>
          </cell>
          <cell r="T3">
            <v>0.80099999999999993</v>
          </cell>
          <cell r="U3">
            <v>0.23019999999999999</v>
          </cell>
          <cell r="V3">
            <v>1.06</v>
          </cell>
          <cell r="W3">
            <v>1.64</v>
          </cell>
          <cell r="X3">
            <v>1.64</v>
          </cell>
          <cell r="Y3">
            <v>0</v>
          </cell>
          <cell r="Z3">
            <v>0</v>
          </cell>
          <cell r="AA3">
            <v>0.2</v>
          </cell>
          <cell r="AB3">
            <v>0.06</v>
          </cell>
          <cell r="AC3">
            <v>0</v>
          </cell>
          <cell r="AD3">
            <v>0</v>
          </cell>
          <cell r="AE3" t="e">
            <v>#REF!</v>
          </cell>
          <cell r="AF3" t="e">
            <v>#REF!</v>
          </cell>
          <cell r="AG3" t="e">
            <v>#REF!</v>
          </cell>
          <cell r="AH3" t="e">
            <v>#REF!</v>
          </cell>
          <cell r="AI3" t="e">
            <v>#REF!</v>
          </cell>
          <cell r="AJ3" t="e">
            <v>#REF!</v>
          </cell>
          <cell r="AK3" t="e">
            <v>#REF!</v>
          </cell>
          <cell r="AL3" t="e">
            <v>#REF!</v>
          </cell>
          <cell r="AM3" t="e">
            <v>#REF!</v>
          </cell>
          <cell r="AN3" t="e">
            <v>#REF!</v>
          </cell>
          <cell r="AO3" t="e">
            <v>#REF!</v>
          </cell>
          <cell r="AP3" t="e">
            <v>#REF!</v>
          </cell>
          <cell r="AQ3" t="e">
            <v>#REF!</v>
          </cell>
          <cell r="AR3" t="e">
            <v>#REF!</v>
          </cell>
          <cell r="AS3" t="e">
            <v>#REF!</v>
          </cell>
          <cell r="AT3" t="e">
            <v>#REF!</v>
          </cell>
          <cell r="AU3" t="e">
            <v>#REF!</v>
          </cell>
          <cell r="AV3" t="e">
            <v>#REF!</v>
          </cell>
          <cell r="AW3" t="e">
            <v>#REF!</v>
          </cell>
          <cell r="AX3" t="e">
            <v>#REF!</v>
          </cell>
          <cell r="AY3" t="e">
            <v>#REF!</v>
          </cell>
          <cell r="AZ3" t="e">
            <v>#REF!</v>
          </cell>
          <cell r="BA3" t="e">
            <v>#REF!</v>
          </cell>
          <cell r="BB3" t="e">
            <v>#REF!</v>
          </cell>
          <cell r="BC3" t="e">
            <v>#REF!</v>
          </cell>
          <cell r="BD3" t="e">
            <v>#REF!</v>
          </cell>
          <cell r="BE3" t="e">
            <v>#REF!</v>
          </cell>
          <cell r="BG3" t="e">
            <v>#REF!</v>
          </cell>
          <cell r="BH3" t="e">
            <v>#REF!</v>
          </cell>
          <cell r="BI3" t="e">
            <v>#REF!</v>
          </cell>
          <cell r="BJ3" t="e">
            <v>#REF!</v>
          </cell>
          <cell r="BK3" t="e">
            <v>#REF!</v>
          </cell>
          <cell r="BL3" t="e">
            <v>#REF!</v>
          </cell>
          <cell r="BM3" t="e">
            <v>#REF!</v>
          </cell>
          <cell r="BN3" t="e">
            <v>#REF!</v>
          </cell>
          <cell r="BO3" t="e">
            <v>#REF!</v>
          </cell>
          <cell r="BP3" t="e">
            <v>#REF!</v>
          </cell>
          <cell r="BQ3" t="e">
            <v>#REF!</v>
          </cell>
          <cell r="BR3" t="e">
            <v>#REF!</v>
          </cell>
          <cell r="BS3" t="e">
            <v>#REF!</v>
          </cell>
          <cell r="BT3" t="e">
            <v>#REF!</v>
          </cell>
          <cell r="BU3" t="e">
            <v>#REF!</v>
          </cell>
          <cell r="BV3" t="e">
            <v>#REF!</v>
          </cell>
          <cell r="BW3" t="e">
            <v>#REF!</v>
          </cell>
          <cell r="BX3" t="e">
            <v>#REF!</v>
          </cell>
          <cell r="BY3" t="e">
            <v>#REF!</v>
          </cell>
          <cell r="BZ3" t="e">
            <v>#REF!</v>
          </cell>
          <cell r="CA3" t="e">
            <v>#REF!</v>
          </cell>
          <cell r="CB3">
            <v>1</v>
          </cell>
          <cell r="CC3" t="e">
            <v>#REF!</v>
          </cell>
          <cell r="CD3" t="e">
            <v>#REF!</v>
          </cell>
          <cell r="CE3" t="e">
            <v>#REF!</v>
          </cell>
          <cell r="CF3" t="e">
            <v>#REF!</v>
          </cell>
          <cell r="CG3" t="e">
            <v>#REF!</v>
          </cell>
          <cell r="CH3" t="e">
            <v>#REF!</v>
          </cell>
          <cell r="CI3" t="e">
            <v>#REF!</v>
          </cell>
          <cell r="CJ3" t="e">
            <v>#REF!</v>
          </cell>
          <cell r="CK3" t="e">
            <v>#REF!</v>
          </cell>
          <cell r="CL3" t="str">
            <v>-</v>
          </cell>
          <cell r="CM3" t="str">
            <v>-</v>
          </cell>
          <cell r="CN3">
            <v>0</v>
          </cell>
          <cell r="CO3" t="e">
            <v>#REF!</v>
          </cell>
          <cell r="CP3" t="str">
            <v>-</v>
          </cell>
          <cell r="CQ3" t="e">
            <v>#REF!</v>
          </cell>
          <cell r="CR3" t="e">
            <v>#REF!</v>
          </cell>
          <cell r="CS3" t="e">
            <v>#REF!</v>
          </cell>
          <cell r="CT3" t="e">
            <v>#REF!</v>
          </cell>
          <cell r="CU3">
            <v>1</v>
          </cell>
          <cell r="CV3">
            <v>1</v>
          </cell>
          <cell r="CW3">
            <v>1</v>
          </cell>
          <cell r="CX3">
            <v>1</v>
          </cell>
          <cell r="CZ3" t="e">
            <v>#REF!</v>
          </cell>
          <cell r="DA3" t="e">
            <v>#REF!</v>
          </cell>
          <cell r="DB3" t="e">
            <v>#REF!</v>
          </cell>
          <cell r="DD3" t="e">
            <v>#REF!</v>
          </cell>
          <cell r="DE3" t="e">
            <v>#REF!</v>
          </cell>
          <cell r="DF3" t="str">
            <v>93 optimiert</v>
          </cell>
          <cell r="DG3">
            <v>0.5</v>
          </cell>
          <cell r="DH3">
            <v>0.17</v>
          </cell>
          <cell r="DI3">
            <v>0.03</v>
          </cell>
          <cell r="DJ3">
            <v>0.28999999999999998</v>
          </cell>
          <cell r="DK3">
            <v>287</v>
          </cell>
          <cell r="DL3">
            <v>206</v>
          </cell>
          <cell r="DM3">
            <v>125</v>
          </cell>
          <cell r="DN3">
            <v>3679</v>
          </cell>
          <cell r="DO3">
            <v>1745</v>
          </cell>
          <cell r="DP3">
            <v>200</v>
          </cell>
          <cell r="DQ3">
            <v>2398</v>
          </cell>
          <cell r="DR3">
            <v>1774</v>
          </cell>
          <cell r="DS3">
            <v>81</v>
          </cell>
          <cell r="DT3" t="e">
            <v>#REF!</v>
          </cell>
          <cell r="DU3" t="e">
            <v>#REF!</v>
          </cell>
          <cell r="DV3" t="e">
            <v>#REF!</v>
          </cell>
          <cell r="DX3">
            <v>27</v>
          </cell>
          <cell r="DY3">
            <v>5</v>
          </cell>
          <cell r="DZ3">
            <v>1</v>
          </cell>
          <cell r="EA3">
            <v>22</v>
          </cell>
          <cell r="EB3">
            <v>6</v>
          </cell>
          <cell r="EC3">
            <v>6</v>
          </cell>
          <cell r="ED3">
            <v>6</v>
          </cell>
          <cell r="EE3">
            <v>6</v>
          </cell>
          <cell r="EF3">
            <v>6</v>
          </cell>
          <cell r="EG3">
            <v>2</v>
          </cell>
          <cell r="EH3" t="b">
            <v>0</v>
          </cell>
          <cell r="EI3" t="b">
            <v>1</v>
          </cell>
          <cell r="EJ3" t="b">
            <v>0</v>
          </cell>
          <cell r="EK3" t="b">
            <v>1</v>
          </cell>
          <cell r="EL3" t="b">
            <v>1</v>
          </cell>
          <cell r="EM3" t="b">
            <v>0</v>
          </cell>
          <cell r="EN3" t="b">
            <v>0</v>
          </cell>
          <cell r="EO3" t="b">
            <v>0</v>
          </cell>
          <cell r="EP3" t="e">
            <v>#REF!</v>
          </cell>
          <cell r="EQ3" t="e">
            <v>#REF!</v>
          </cell>
          <cell r="ER3" t="e">
            <v>#REF!</v>
          </cell>
          <cell r="ES3" t="e">
            <v>#REF!</v>
          </cell>
          <cell r="ET3" t="e">
            <v>#REF!</v>
          </cell>
          <cell r="EU3" t="e">
            <v>#REF!</v>
          </cell>
          <cell r="EV3" t="e">
            <v>#REF!</v>
          </cell>
          <cell r="EW3" t="e">
            <v>#REF!</v>
          </cell>
          <cell r="EX3" t="e">
            <v>#REF!</v>
          </cell>
          <cell r="EY3" t="e">
            <v>#REF!</v>
          </cell>
          <cell r="EZ3" t="e">
            <v>#REF!</v>
          </cell>
          <cell r="FA3" t="e">
            <v>#REF!</v>
          </cell>
          <cell r="FB3" t="e">
            <v>#REF!</v>
          </cell>
          <cell r="FC3" t="e">
            <v>#REF!</v>
          </cell>
          <cell r="FD3" t="e">
            <v>#REF!</v>
          </cell>
          <cell r="FE3" t="e">
            <v>#REF!</v>
          </cell>
          <cell r="FF3" t="e">
            <v>#REF!</v>
          </cell>
          <cell r="FG3" t="e">
            <v>#REF!</v>
          </cell>
          <cell r="FH3" t="e">
            <v>#REF!</v>
          </cell>
          <cell r="FI3" t="e">
            <v>#REF!</v>
          </cell>
          <cell r="FJ3" t="e">
            <v>#REF!</v>
          </cell>
          <cell r="FK3" t="e">
            <v>#REF!</v>
          </cell>
          <cell r="FL3" t="e">
            <v>#REF!</v>
          </cell>
          <cell r="FM3" t="e">
            <v>#REF!</v>
          </cell>
          <cell r="FN3" t="e">
            <v>#REF!</v>
          </cell>
          <cell r="FO3" t="e">
            <v>#REF!</v>
          </cell>
          <cell r="FP3" t="e">
            <v>#REF!</v>
          </cell>
          <cell r="FQ3" t="e">
            <v>#REF!</v>
          </cell>
          <cell r="FR3" t="e">
            <v>#REF!</v>
          </cell>
          <cell r="FS3" t="e">
            <v>#REF!</v>
          </cell>
          <cell r="FT3" t="e">
            <v>#REF!</v>
          </cell>
          <cell r="FU3">
            <v>1</v>
          </cell>
          <cell r="FV3">
            <v>2.5</v>
          </cell>
          <cell r="FW3">
            <v>3</v>
          </cell>
          <cell r="FX3">
            <v>5</v>
          </cell>
          <cell r="FY3" t="b">
            <v>1</v>
          </cell>
          <cell r="FZ3" t="b">
            <v>1</v>
          </cell>
          <cell r="GA3" t="b">
            <v>1</v>
          </cell>
          <cell r="GB3" t="b">
            <v>1</v>
          </cell>
          <cell r="GC3" t="e">
            <v>#NAME?</v>
          </cell>
          <cell r="GD3">
            <v>1</v>
          </cell>
          <cell r="GE3">
            <v>2</v>
          </cell>
          <cell r="GF3" t="e">
            <v>#REF!</v>
          </cell>
          <cell r="GG3">
            <v>4</v>
          </cell>
          <cell r="GH3">
            <v>1</v>
          </cell>
          <cell r="GI3">
            <v>5</v>
          </cell>
          <cell r="GJ3">
            <v>2</v>
          </cell>
          <cell r="GK3">
            <v>4</v>
          </cell>
          <cell r="GL3">
            <v>5</v>
          </cell>
          <cell r="GM3">
            <v>5</v>
          </cell>
          <cell r="GN3">
            <v>1</v>
          </cell>
          <cell r="GO3">
            <v>1</v>
          </cell>
          <cell r="GP3">
            <v>3</v>
          </cell>
          <cell r="GQ3">
            <v>1</v>
          </cell>
          <cell r="GR3">
            <v>3</v>
          </cell>
        </row>
        <row r="4">
          <cell r="B4">
            <v>14028.96</v>
          </cell>
          <cell r="C4">
            <v>10082.640000000001</v>
          </cell>
          <cell r="D4">
            <v>0</v>
          </cell>
          <cell r="E4">
            <v>618.32000000000005</v>
          </cell>
          <cell r="F4">
            <v>2074.88</v>
          </cell>
          <cell r="G4">
            <v>26804.799999999999</v>
          </cell>
          <cell r="H4">
            <v>1</v>
          </cell>
          <cell r="I4">
            <v>6081.9799999999977</v>
          </cell>
          <cell r="J4">
            <v>4163.6100000000015</v>
          </cell>
          <cell r="K4">
            <v>6813.4900000000007</v>
          </cell>
          <cell r="L4">
            <v>3660.1400000000003</v>
          </cell>
          <cell r="M4" t="str">
            <v>Massgrob</v>
          </cell>
          <cell r="N4">
            <v>0.16700000000000001</v>
          </cell>
          <cell r="O4">
            <v>0.75569500985923277</v>
          </cell>
          <cell r="P4">
            <v>0.10882642522407752</v>
          </cell>
          <cell r="Q4">
            <v>0.20121009578868568</v>
          </cell>
          <cell r="R4">
            <v>0.39489326478831027</v>
          </cell>
          <cell r="S4">
            <v>204</v>
          </cell>
          <cell r="T4">
            <v>0.80099999999999993</v>
          </cell>
          <cell r="U4">
            <v>0.23019999999999999</v>
          </cell>
          <cell r="V4">
            <v>1.06</v>
          </cell>
          <cell r="W4">
            <v>1.64</v>
          </cell>
          <cell r="X4">
            <v>1.64</v>
          </cell>
          <cell r="Y4">
            <v>0.75</v>
          </cell>
          <cell r="Z4">
            <v>0</v>
          </cell>
          <cell r="AA4">
            <v>0.2</v>
          </cell>
          <cell r="AB4">
            <v>0.06</v>
          </cell>
          <cell r="AC4">
            <v>0</v>
          </cell>
          <cell r="AD4">
            <v>1.25</v>
          </cell>
          <cell r="AE4">
            <v>0.1</v>
          </cell>
          <cell r="AF4">
            <v>0.23145333388049905</v>
          </cell>
          <cell r="AG4">
            <v>2.6</v>
          </cell>
          <cell r="AH4">
            <v>1.0656015703573898</v>
          </cell>
          <cell r="AI4">
            <v>0.96059387681792829</v>
          </cell>
          <cell r="AJ4">
            <v>0.5</v>
          </cell>
          <cell r="AK4">
            <v>0.80843366092074653</v>
          </cell>
          <cell r="AL4">
            <v>190</v>
          </cell>
          <cell r="AM4">
            <v>41.7</v>
          </cell>
          <cell r="AN4">
            <v>5.9</v>
          </cell>
          <cell r="AO4">
            <v>2.5</v>
          </cell>
          <cell r="AP4">
            <v>10.7</v>
          </cell>
          <cell r="AQ4">
            <v>21</v>
          </cell>
          <cell r="AR4">
            <v>25</v>
          </cell>
          <cell r="AS4">
            <v>0.95</v>
          </cell>
          <cell r="AT4">
            <v>23.727093654867787</v>
          </cell>
          <cell r="AU4">
            <v>4.6100000000000003</v>
          </cell>
          <cell r="AV4">
            <v>4.6100000000000003</v>
          </cell>
          <cell r="AW4">
            <v>4.6100000000000003</v>
          </cell>
          <cell r="AX4">
            <v>4.6100000000000003</v>
          </cell>
          <cell r="AY4">
            <v>4.6100000000000003</v>
          </cell>
          <cell r="AZ4">
            <v>0.95</v>
          </cell>
          <cell r="BA4">
            <v>0.95</v>
          </cell>
          <cell r="BB4">
            <v>25</v>
          </cell>
          <cell r="BC4">
            <v>23</v>
          </cell>
          <cell r="BD4">
            <v>0.95</v>
          </cell>
          <cell r="BE4">
            <v>25.331283949143437</v>
          </cell>
          <cell r="BG4">
            <v>5.4</v>
          </cell>
          <cell r="BH4">
            <v>5.4</v>
          </cell>
          <cell r="BI4">
            <v>5.4</v>
          </cell>
          <cell r="BJ4">
            <v>5.4</v>
          </cell>
          <cell r="BK4">
            <v>5.4000000000000021</v>
          </cell>
          <cell r="BL4">
            <v>60</v>
          </cell>
          <cell r="BM4">
            <v>70</v>
          </cell>
          <cell r="BN4">
            <v>1</v>
          </cell>
          <cell r="BO4" t="e">
            <v>#NAME?</v>
          </cell>
          <cell r="BP4">
            <v>9.8423767483913149</v>
          </cell>
          <cell r="BQ4">
            <v>14.757935145944009</v>
          </cell>
          <cell r="BR4">
            <v>0.8</v>
          </cell>
          <cell r="BS4">
            <v>2.2999999999999998</v>
          </cell>
          <cell r="BT4">
            <v>0.95</v>
          </cell>
          <cell r="BU4">
            <v>0.95</v>
          </cell>
          <cell r="BV4">
            <v>2.2999999999999998</v>
          </cell>
          <cell r="BW4">
            <v>1.6876972780994446</v>
          </cell>
          <cell r="BX4">
            <v>0.02</v>
          </cell>
          <cell r="BY4">
            <v>0.02</v>
          </cell>
          <cell r="BZ4">
            <v>0.5</v>
          </cell>
          <cell r="CA4">
            <v>58.5</v>
          </cell>
          <cell r="CB4">
            <v>1</v>
          </cell>
          <cell r="CC4">
            <v>0</v>
          </cell>
          <cell r="CD4">
            <v>0</v>
          </cell>
          <cell r="CE4">
            <v>0.5</v>
          </cell>
          <cell r="CF4">
            <v>90</v>
          </cell>
          <cell r="CG4">
            <v>0.9</v>
          </cell>
          <cell r="CH4">
            <v>0</v>
          </cell>
          <cell r="CI4">
            <v>60</v>
          </cell>
          <cell r="CJ4">
            <v>41000</v>
          </cell>
          <cell r="CK4">
            <v>1.1904761904761905E-4</v>
          </cell>
          <cell r="CL4">
            <v>0</v>
          </cell>
          <cell r="CM4">
            <v>0</v>
          </cell>
          <cell r="CN4">
            <v>0.7</v>
          </cell>
          <cell r="CO4">
            <v>0</v>
          </cell>
          <cell r="CP4">
            <v>0</v>
          </cell>
          <cell r="CQ4">
            <v>0.5</v>
          </cell>
          <cell r="CR4">
            <v>0.9</v>
          </cell>
          <cell r="CS4">
            <v>0.7</v>
          </cell>
          <cell r="CT4">
            <v>0.17</v>
          </cell>
          <cell r="CU4">
            <v>1</v>
          </cell>
          <cell r="CV4">
            <v>1</v>
          </cell>
          <cell r="CW4">
            <v>1</v>
          </cell>
          <cell r="CX4">
            <v>1</v>
          </cell>
          <cell r="CZ4">
            <v>180</v>
          </cell>
          <cell r="DA4">
            <v>1.1904761904761905E-4</v>
          </cell>
          <cell r="DB4">
            <v>1.2</v>
          </cell>
          <cell r="DD4">
            <v>1</v>
          </cell>
          <cell r="DE4">
            <v>0.9</v>
          </cell>
          <cell r="DF4" t="str">
            <v>93 opt Pilz</v>
          </cell>
          <cell r="DG4">
            <v>0.49</v>
          </cell>
          <cell r="DH4">
            <v>0.21</v>
          </cell>
          <cell r="DI4">
            <v>0.03</v>
          </cell>
          <cell r="DJ4">
            <v>0.27</v>
          </cell>
          <cell r="DK4">
            <v>430.31966519003493</v>
          </cell>
          <cell r="DL4">
            <v>1377.1612960727314</v>
          </cell>
          <cell r="DM4">
            <v>86.274156009759253</v>
          </cell>
          <cell r="DN4">
            <v>3330.1393670660427</v>
          </cell>
          <cell r="DO4">
            <v>1278.5605020226744</v>
          </cell>
          <cell r="DP4">
            <v>135.05528984501103</v>
          </cell>
          <cell r="DQ4">
            <v>2125.8639401199266</v>
          </cell>
          <cell r="DR4">
            <v>1645.1759091955932</v>
          </cell>
          <cell r="DS4">
            <v>87.12779509223769</v>
          </cell>
          <cell r="DT4">
            <v>0.34</v>
          </cell>
          <cell r="DU4">
            <v>1.1611111111111112</v>
          </cell>
          <cell r="DV4">
            <v>4.18</v>
          </cell>
          <cell r="DX4" t="str">
            <v>-</v>
          </cell>
          <cell r="DY4">
            <v>13</v>
          </cell>
          <cell r="DZ4">
            <v>10</v>
          </cell>
          <cell r="EA4" t="str">
            <v>-</v>
          </cell>
          <cell r="EB4" t="str">
            <v>-</v>
          </cell>
          <cell r="EC4" t="str">
            <v>-</v>
          </cell>
          <cell r="ED4" t="str">
            <v>-</v>
          </cell>
          <cell r="EE4" t="str">
            <v>-</v>
          </cell>
          <cell r="EF4" t="str">
            <v>-</v>
          </cell>
          <cell r="EG4" t="str">
            <v>-</v>
          </cell>
          <cell r="EH4" t="b">
            <v>0</v>
          </cell>
          <cell r="EI4" t="b">
            <v>1</v>
          </cell>
          <cell r="EJ4" t="b">
            <v>1</v>
          </cell>
          <cell r="EK4" t="b">
            <v>1</v>
          </cell>
          <cell r="EL4" t="b">
            <v>1</v>
          </cell>
          <cell r="EM4" t="b">
            <v>0</v>
          </cell>
          <cell r="EN4" t="b">
            <v>0</v>
          </cell>
          <cell r="EO4" t="b">
            <v>1</v>
          </cell>
          <cell r="EP4">
            <v>1459.27</v>
          </cell>
          <cell r="EQ4">
            <v>690.72</v>
          </cell>
          <cell r="ER4">
            <v>1335.1299999999999</v>
          </cell>
          <cell r="ES4">
            <v>678.49000000000012</v>
          </cell>
          <cell r="ET4">
            <v>0</v>
          </cell>
          <cell r="EU4">
            <v>0.39489326478831027</v>
          </cell>
          <cell r="EV4">
            <v>0.39489326478831027</v>
          </cell>
          <cell r="EW4">
            <v>0.39489326478831027</v>
          </cell>
          <cell r="EX4">
            <v>0.39489326478831027</v>
          </cell>
          <cell r="EY4">
            <v>0.39489326478831027</v>
          </cell>
          <cell r="EZ4">
            <v>0.64795770602231528</v>
          </cell>
          <cell r="FA4">
            <v>0.60779825154475386</v>
          </cell>
          <cell r="FB4">
            <v>0.68530224545348639</v>
          </cell>
          <cell r="FC4">
            <v>0.60779825154475386</v>
          </cell>
          <cell r="FD4">
            <v>0</v>
          </cell>
          <cell r="FE4">
            <v>0.26787396065225272</v>
          </cell>
          <cell r="FF4">
            <v>0.28555338947362868</v>
          </cell>
          <cell r="FG4">
            <v>0.23039820583623963</v>
          </cell>
          <cell r="FH4">
            <v>0.28555338947362868</v>
          </cell>
          <cell r="FI4">
            <v>1</v>
          </cell>
          <cell r="FJ4">
            <v>1</v>
          </cell>
          <cell r="FK4">
            <v>1</v>
          </cell>
          <cell r="FL4">
            <v>1</v>
          </cell>
          <cell r="FM4">
            <v>1</v>
          </cell>
          <cell r="FN4">
            <v>1</v>
          </cell>
          <cell r="FO4">
            <v>1</v>
          </cell>
          <cell r="FP4">
            <v>1</v>
          </cell>
          <cell r="FQ4">
            <v>1</v>
          </cell>
          <cell r="FR4">
            <v>1</v>
          </cell>
          <cell r="FS4">
            <v>1</v>
          </cell>
          <cell r="FT4">
            <v>1</v>
          </cell>
          <cell r="FU4">
            <v>0.9</v>
          </cell>
          <cell r="FV4">
            <v>2.5</v>
          </cell>
          <cell r="FW4">
            <v>3</v>
          </cell>
          <cell r="FX4">
            <v>1</v>
          </cell>
          <cell r="FY4" t="b">
            <v>1</v>
          </cell>
          <cell r="FZ4" t="b">
            <v>1</v>
          </cell>
          <cell r="GA4" t="b">
            <v>1</v>
          </cell>
          <cell r="GB4" t="b">
            <v>1</v>
          </cell>
          <cell r="GC4">
            <v>7323.4</v>
          </cell>
          <cell r="GD4">
            <v>7</v>
          </cell>
          <cell r="GE4">
            <v>2</v>
          </cell>
          <cell r="GF4">
            <v>0.8</v>
          </cell>
          <cell r="GG4">
            <v>1</v>
          </cell>
          <cell r="GH4">
            <v>4</v>
          </cell>
          <cell r="GI4">
            <v>3</v>
          </cell>
          <cell r="GJ4">
            <v>1</v>
          </cell>
          <cell r="GK4">
            <v>1</v>
          </cell>
          <cell r="GL4">
            <v>3</v>
          </cell>
          <cell r="GM4">
            <v>3</v>
          </cell>
          <cell r="GN4">
            <v>3</v>
          </cell>
          <cell r="GO4">
            <v>3</v>
          </cell>
          <cell r="GP4">
            <v>3</v>
          </cell>
          <cell r="GQ4">
            <v>3</v>
          </cell>
          <cell r="GR4">
            <v>3</v>
          </cell>
        </row>
        <row r="7">
          <cell r="B7" t="str">
            <v>p1</v>
          </cell>
          <cell r="C7" t="str">
            <v>p2</v>
          </cell>
          <cell r="D7" t="str">
            <v>p3</v>
          </cell>
          <cell r="E7" t="str">
            <v>p4</v>
          </cell>
          <cell r="F7" t="str">
            <v>p5</v>
          </cell>
          <cell r="G7" t="str">
            <v>p6</v>
          </cell>
          <cell r="H7" t="str">
            <v>p7</v>
          </cell>
          <cell r="I7" t="str">
            <v>p8</v>
          </cell>
          <cell r="J7" t="str">
            <v>p9</v>
          </cell>
          <cell r="K7" t="str">
            <v>p10</v>
          </cell>
          <cell r="L7" t="str">
            <v>p11</v>
          </cell>
          <cell r="M7" t="str">
            <v>p12</v>
          </cell>
          <cell r="N7" t="str">
            <v>p13</v>
          </cell>
          <cell r="O7" t="str">
            <v>p14</v>
          </cell>
          <cell r="P7" t="str">
            <v>p15</v>
          </cell>
          <cell r="Q7" t="str">
            <v>p16</v>
          </cell>
          <cell r="R7" t="str">
            <v>p17</v>
          </cell>
          <cell r="S7" t="str">
            <v>sp_st_cap</v>
          </cell>
          <cell r="T7" t="str">
            <v>p19</v>
          </cell>
          <cell r="U7" t="str">
            <v>p20</v>
          </cell>
          <cell r="V7" t="str">
            <v>p21</v>
          </cell>
          <cell r="W7" t="str">
            <v>p22</v>
          </cell>
          <cell r="X7" t="str">
            <v>p23</v>
          </cell>
          <cell r="Y7" t="str">
            <v>p24</v>
          </cell>
          <cell r="Z7" t="str">
            <v>p25</v>
          </cell>
          <cell r="AA7" t="str">
            <v>p26</v>
          </cell>
          <cell r="AB7" t="str">
            <v>p27</v>
          </cell>
          <cell r="AC7" t="str">
            <v>p28</v>
          </cell>
          <cell r="AD7" t="str">
            <v>p29</v>
          </cell>
          <cell r="AE7" t="str">
            <v>p30</v>
          </cell>
          <cell r="AF7" t="str">
            <v>QT_dT</v>
          </cell>
          <cell r="AG7" t="str">
            <v>p32</v>
          </cell>
          <cell r="AH7" t="str">
            <v>p33</v>
          </cell>
          <cell r="AI7" t="str">
            <v>p34</v>
          </cell>
          <cell r="AJ7" t="str">
            <v>p35</v>
          </cell>
          <cell r="AK7" t="str">
            <v>p36</v>
          </cell>
          <cell r="AL7" t="str">
            <v>p37</v>
          </cell>
          <cell r="AM7" t="str">
            <v>p38</v>
          </cell>
          <cell r="AN7" t="str">
            <v>p39</v>
          </cell>
          <cell r="AO7" t="str">
            <v>p40</v>
          </cell>
          <cell r="AP7" t="str">
            <v>p41</v>
          </cell>
          <cell r="AQ7" t="str">
            <v>TI_h_min</v>
          </cell>
          <cell r="AR7" t="str">
            <v>TI_h_max</v>
          </cell>
          <cell r="AS7" t="str">
            <v>p44</v>
          </cell>
          <cell r="AT7" t="str">
            <v>p45</v>
          </cell>
          <cell r="AU7" t="str">
            <v>p46</v>
          </cell>
          <cell r="AV7" t="str">
            <v>p47</v>
          </cell>
          <cell r="AW7" t="str">
            <v>p48</v>
          </cell>
          <cell r="AX7" t="str">
            <v>p49</v>
          </cell>
          <cell r="AY7" t="str">
            <v>p50</v>
          </cell>
          <cell r="AZ7" t="str">
            <v>p51</v>
          </cell>
          <cell r="BA7" t="str">
            <v>p52</v>
          </cell>
          <cell r="BB7" t="str">
            <v>p53</v>
          </cell>
          <cell r="BC7" t="str">
            <v>p54</v>
          </cell>
          <cell r="BD7" t="str">
            <v>p55</v>
          </cell>
          <cell r="BE7" t="str">
            <v>p56</v>
          </cell>
          <cell r="BG7" t="str">
            <v>p58</v>
          </cell>
          <cell r="BH7" t="str">
            <v>p59</v>
          </cell>
          <cell r="BI7" t="str">
            <v>p60</v>
          </cell>
          <cell r="BJ7" t="str">
            <v>p61</v>
          </cell>
          <cell r="BK7" t="str">
            <v>p62</v>
          </cell>
          <cell r="BL7" t="str">
            <v>p63</v>
          </cell>
          <cell r="BM7" t="str">
            <v>p64</v>
          </cell>
          <cell r="BN7" t="str">
            <v>p65</v>
          </cell>
          <cell r="BO7" t="str">
            <v>p66</v>
          </cell>
          <cell r="BQ7" t="str">
            <v>p68</v>
          </cell>
          <cell r="BR7" t="str">
            <v>p69</v>
          </cell>
          <cell r="BS7" t="str">
            <v>p70</v>
          </cell>
          <cell r="BT7" t="str">
            <v>p71</v>
          </cell>
          <cell r="BU7" t="str">
            <v>p72</v>
          </cell>
          <cell r="BV7" t="str">
            <v>p73</v>
          </cell>
          <cell r="BW7" t="str">
            <v>p74</v>
          </cell>
          <cell r="BX7" t="str">
            <v>p75</v>
          </cell>
          <cell r="BY7" t="str">
            <v>p76</v>
          </cell>
          <cell r="BZ7" t="str">
            <v>p77</v>
          </cell>
          <cell r="CA7" t="str">
            <v>p78</v>
          </cell>
          <cell r="CB7" t="str">
            <v>p79</v>
          </cell>
          <cell r="CC7" t="str">
            <v>p80</v>
          </cell>
          <cell r="CD7" t="str">
            <v>p81</v>
          </cell>
          <cell r="CE7" t="str">
            <v>p82</v>
          </cell>
          <cell r="CF7" t="str">
            <v>p83</v>
          </cell>
          <cell r="CG7" t="str">
            <v>p84</v>
          </cell>
          <cell r="CI7" t="str">
            <v>p86</v>
          </cell>
          <cell r="CJ7" t="str">
            <v>p87</v>
          </cell>
          <cell r="CK7" t="str">
            <v>p88</v>
          </cell>
          <cell r="CL7" t="str">
            <v>p89</v>
          </cell>
          <cell r="CM7" t="str">
            <v>p90</v>
          </cell>
          <cell r="CN7" t="str">
            <v>p91</v>
          </cell>
          <cell r="CO7" t="str">
            <v>p92</v>
          </cell>
          <cell r="CP7" t="str">
            <v>p93</v>
          </cell>
          <cell r="CQ7" t="str">
            <v>p94</v>
          </cell>
          <cell r="CR7" t="str">
            <v>p95</v>
          </cell>
          <cell r="CS7" t="str">
            <v>p96</v>
          </cell>
          <cell r="CT7" t="str">
            <v>p97</v>
          </cell>
          <cell r="CU7" t="str">
            <v>p98</v>
          </cell>
          <cell r="CV7" t="str">
            <v>p99</v>
          </cell>
          <cell r="CW7" t="str">
            <v>p100</v>
          </cell>
          <cell r="CX7" t="str">
            <v>p101</v>
          </cell>
          <cell r="CY7" t="str">
            <v>p102</v>
          </cell>
          <cell r="CZ7" t="str">
            <v>p103</v>
          </cell>
          <cell r="DA7" t="str">
            <v>p104</v>
          </cell>
          <cell r="DB7" t="str">
            <v>p105</v>
          </cell>
          <cell r="DC7" t="str">
            <v>p106</v>
          </cell>
          <cell r="DD7" t="str">
            <v>p107</v>
          </cell>
          <cell r="DE7" t="str">
            <v>p108</v>
          </cell>
          <cell r="DF7" t="str">
            <v>p109</v>
          </cell>
          <cell r="DG7" t="str">
            <v>p110</v>
          </cell>
          <cell r="DH7" t="str">
            <v>p111</v>
          </cell>
          <cell r="DI7" t="str">
            <v>p112</v>
          </cell>
          <cell r="DJ7" t="str">
            <v>p113</v>
          </cell>
          <cell r="DK7" t="str">
            <v>p114</v>
          </cell>
          <cell r="DL7" t="str">
            <v>p115</v>
          </cell>
          <cell r="DM7" t="str">
            <v>p116</v>
          </cell>
          <cell r="DN7" t="str">
            <v>p117</v>
          </cell>
          <cell r="DO7" t="str">
            <v>p118</v>
          </cell>
          <cell r="DP7" t="str">
            <v>p119</v>
          </cell>
          <cell r="DQ7" t="str">
            <v>p120</v>
          </cell>
          <cell r="DR7" t="str">
            <v>p121</v>
          </cell>
          <cell r="DS7" t="str">
            <v>p122</v>
          </cell>
          <cell r="DT7" t="str">
            <v>p123</v>
          </cell>
          <cell r="DU7" t="str">
            <v>p124</v>
          </cell>
          <cell r="DV7" t="str">
            <v>p125</v>
          </cell>
          <cell r="DX7" t="str">
            <v>p127</v>
          </cell>
          <cell r="DY7" t="str">
            <v>p128</v>
          </cell>
          <cell r="DZ7" t="str">
            <v>p129</v>
          </cell>
          <cell r="EA7" t="str">
            <v>p130</v>
          </cell>
          <cell r="EB7" t="str">
            <v>p131</v>
          </cell>
          <cell r="EC7" t="str">
            <v>p132</v>
          </cell>
          <cell r="ED7" t="str">
            <v>p133</v>
          </cell>
          <cell r="EE7" t="str">
            <v>p134</v>
          </cell>
          <cell r="EF7" t="str">
            <v>p135</v>
          </cell>
          <cell r="EG7" t="str">
            <v>p136</v>
          </cell>
          <cell r="EH7" t="str">
            <v>p137</v>
          </cell>
          <cell r="EI7" t="str">
            <v>p138</v>
          </cell>
          <cell r="EJ7" t="str">
            <v>p139</v>
          </cell>
          <cell r="EK7" t="str">
            <v>p140</v>
          </cell>
          <cell r="EL7" t="str">
            <v>p141</v>
          </cell>
          <cell r="EM7" t="str">
            <v>p142</v>
          </cell>
          <cell r="EN7" t="str">
            <v>p143</v>
          </cell>
          <cell r="EO7" t="str">
            <v>p144</v>
          </cell>
          <cell r="EP7" t="str">
            <v>p145</v>
          </cell>
          <cell r="EQ7" t="str">
            <v>p146</v>
          </cell>
          <cell r="ER7" t="str">
            <v>p147</v>
          </cell>
          <cell r="ES7" t="str">
            <v>p148</v>
          </cell>
          <cell r="ET7" t="str">
            <v>p149</v>
          </cell>
          <cell r="EU7" t="str">
            <v>p150</v>
          </cell>
          <cell r="EV7" t="str">
            <v>p151</v>
          </cell>
          <cell r="EW7" t="str">
            <v>p152</v>
          </cell>
          <cell r="EX7" t="str">
            <v>p153</v>
          </cell>
          <cell r="EY7" t="str">
            <v>p154</v>
          </cell>
          <cell r="EZ7" t="str">
            <v>p155</v>
          </cell>
          <cell r="FA7" t="str">
            <v>p156</v>
          </cell>
          <cell r="FB7" t="str">
            <v>p157</v>
          </cell>
          <cell r="FC7" t="str">
            <v>p158</v>
          </cell>
          <cell r="FD7" t="str">
            <v>p159</v>
          </cell>
          <cell r="FE7" t="str">
            <v>p160</v>
          </cell>
          <cell r="FF7" t="str">
            <v>p161</v>
          </cell>
          <cell r="FG7" t="str">
            <v>p162</v>
          </cell>
          <cell r="FH7" t="str">
            <v>p163</v>
          </cell>
          <cell r="FI7" t="str">
            <v>p164</v>
          </cell>
          <cell r="FJ7" t="str">
            <v>p165</v>
          </cell>
          <cell r="FK7" t="str">
            <v>p166</v>
          </cell>
          <cell r="FL7" t="str">
            <v>p167</v>
          </cell>
          <cell r="FM7" t="str">
            <v>p168</v>
          </cell>
          <cell r="FN7" t="str">
            <v>p169</v>
          </cell>
          <cell r="FO7" t="str">
            <v>p170</v>
          </cell>
          <cell r="FP7" t="str">
            <v>p171</v>
          </cell>
          <cell r="FQ7" t="str">
            <v>p172</v>
          </cell>
          <cell r="FR7" t="str">
            <v>p173</v>
          </cell>
          <cell r="FS7" t="str">
            <v>p174</v>
          </cell>
          <cell r="FT7" t="str">
            <v>p175</v>
          </cell>
          <cell r="FU7" t="str">
            <v>p176</v>
          </cell>
          <cell r="FV7" t="str">
            <v>p36</v>
          </cell>
          <cell r="GG7">
            <v>194</v>
          </cell>
        </row>
        <row r="8">
          <cell r="B8">
            <v>14028.96</v>
          </cell>
          <cell r="C8">
            <v>10082.640000000001</v>
          </cell>
          <cell r="D8">
            <v>0</v>
          </cell>
          <cell r="E8">
            <v>618.32000000000005</v>
          </cell>
          <cell r="F8">
            <v>2074.88</v>
          </cell>
          <cell r="G8">
            <v>26804.799999999999</v>
          </cell>
          <cell r="H8">
            <v>1</v>
          </cell>
          <cell r="I8">
            <v>6081.9799999999977</v>
          </cell>
          <cell r="J8">
            <v>4163.6100000000015</v>
          </cell>
          <cell r="K8">
            <v>6813.4900000000007</v>
          </cell>
          <cell r="L8">
            <v>3660.1400000000003</v>
          </cell>
          <cell r="N8">
            <v>0.16700000000000001</v>
          </cell>
          <cell r="O8">
            <v>0.75569500985923277</v>
          </cell>
          <cell r="P8">
            <v>0.10882642522407752</v>
          </cell>
          <cell r="Q8">
            <v>0.20121009578868568</v>
          </cell>
          <cell r="R8">
            <v>0.39489326478831027</v>
          </cell>
          <cell r="S8">
            <v>204</v>
          </cell>
          <cell r="T8">
            <v>0.80099999999999993</v>
          </cell>
          <cell r="U8">
            <v>0.23019999999999999</v>
          </cell>
          <cell r="V8">
            <v>1.06</v>
          </cell>
          <cell r="W8">
            <v>1.64</v>
          </cell>
          <cell r="X8">
            <v>1.64</v>
          </cell>
          <cell r="Y8">
            <v>0.75</v>
          </cell>
          <cell r="Z8">
            <v>0</v>
          </cell>
          <cell r="AA8">
            <v>0.2</v>
          </cell>
          <cell r="AB8">
            <v>0.06</v>
          </cell>
          <cell r="AC8">
            <v>0</v>
          </cell>
          <cell r="AD8">
            <v>1.25</v>
          </cell>
          <cell r="AE8">
            <v>0.1</v>
          </cell>
          <cell r="AF8">
            <v>0.23145333388049905</v>
          </cell>
          <cell r="AG8">
            <v>2.6</v>
          </cell>
          <cell r="AH8">
            <v>1.0656015703573898</v>
          </cell>
          <cell r="AI8">
            <v>0.96059387681792829</v>
          </cell>
          <cell r="AJ8">
            <v>0.5</v>
          </cell>
          <cell r="AK8">
            <v>0.80843366092074653</v>
          </cell>
          <cell r="AL8">
            <v>190</v>
          </cell>
          <cell r="AM8">
            <v>41.7</v>
          </cell>
          <cell r="AN8">
            <v>5.9</v>
          </cell>
          <cell r="AO8">
            <v>2.5</v>
          </cell>
          <cell r="AP8">
            <v>10.7</v>
          </cell>
          <cell r="AQ8">
            <v>21</v>
          </cell>
          <cell r="AR8">
            <v>25</v>
          </cell>
          <cell r="AS8">
            <v>0.95</v>
          </cell>
          <cell r="AT8">
            <v>23.727093654867787</v>
          </cell>
          <cell r="AU8">
            <v>4.6100000000000003</v>
          </cell>
          <cell r="AV8">
            <v>4.6100000000000003</v>
          </cell>
          <cell r="AW8">
            <v>4.6100000000000003</v>
          </cell>
          <cell r="AX8">
            <v>4.6100000000000003</v>
          </cell>
          <cell r="AY8">
            <v>4.6100000000000003</v>
          </cell>
          <cell r="AZ8">
            <v>0.95</v>
          </cell>
          <cell r="BA8">
            <v>0.95</v>
          </cell>
          <cell r="BB8">
            <v>25</v>
          </cell>
          <cell r="BC8">
            <v>23</v>
          </cell>
          <cell r="BD8">
            <v>0.95</v>
          </cell>
          <cell r="BE8">
            <v>25.331283949143437</v>
          </cell>
          <cell r="BG8">
            <v>5.4</v>
          </cell>
          <cell r="BH8">
            <v>5.4</v>
          </cell>
          <cell r="BI8">
            <v>5.4</v>
          </cell>
          <cell r="BJ8">
            <v>5.4</v>
          </cell>
          <cell r="BK8">
            <v>5.4000000000000021</v>
          </cell>
          <cell r="BL8">
            <v>60</v>
          </cell>
          <cell r="BM8">
            <v>70</v>
          </cell>
          <cell r="BN8">
            <v>1</v>
          </cell>
          <cell r="BO8" t="e">
            <v>#NAME?</v>
          </cell>
          <cell r="BP8">
            <v>9.8423767483913149</v>
          </cell>
          <cell r="BQ8">
            <v>14.757935145944009</v>
          </cell>
          <cell r="BR8">
            <v>0.8</v>
          </cell>
          <cell r="BS8">
            <v>2.2999999999999998</v>
          </cell>
          <cell r="BT8">
            <v>0.95</v>
          </cell>
          <cell r="BU8">
            <v>0.95</v>
          </cell>
          <cell r="BV8">
            <v>2.2999999999999998</v>
          </cell>
          <cell r="BW8">
            <v>1.6876972780994446</v>
          </cell>
          <cell r="BX8">
            <v>0.02</v>
          </cell>
          <cell r="BY8">
            <v>0.02</v>
          </cell>
          <cell r="BZ8">
            <v>0.5</v>
          </cell>
          <cell r="CA8">
            <v>58.5</v>
          </cell>
          <cell r="CB8">
            <v>1</v>
          </cell>
          <cell r="CC8">
            <v>0</v>
          </cell>
          <cell r="CD8">
            <v>0</v>
          </cell>
          <cell r="CE8">
            <v>0.5</v>
          </cell>
          <cell r="CF8">
            <v>90</v>
          </cell>
          <cell r="CG8">
            <v>0.9</v>
          </cell>
          <cell r="CH8">
            <v>0</v>
          </cell>
          <cell r="CI8">
            <v>60</v>
          </cell>
          <cell r="CJ8">
            <v>41000</v>
          </cell>
          <cell r="CK8">
            <v>1.1904761904761905E-4</v>
          </cell>
          <cell r="CL8">
            <v>1022484218.3657994</v>
          </cell>
          <cell r="CM8">
            <v>91.774607532979175</v>
          </cell>
          <cell r="CN8">
            <v>0.7</v>
          </cell>
          <cell r="CO8">
            <v>1.306354937203283</v>
          </cell>
          <cell r="CP8">
            <v>24.622455679579776</v>
          </cell>
          <cell r="CQ8">
            <v>0.5</v>
          </cell>
          <cell r="CR8">
            <v>0.9</v>
          </cell>
          <cell r="CS8">
            <v>0.7</v>
          </cell>
          <cell r="CT8">
            <v>0.17</v>
          </cell>
          <cell r="CU8">
            <v>1</v>
          </cell>
          <cell r="CV8">
            <v>1</v>
          </cell>
          <cell r="CW8">
            <v>1</v>
          </cell>
          <cell r="CX8">
            <v>1</v>
          </cell>
          <cell r="CZ8">
            <v>180</v>
          </cell>
          <cell r="DA8">
            <v>1.1904761904761905E-4</v>
          </cell>
          <cell r="DB8">
            <v>1.2</v>
          </cell>
          <cell r="DD8">
            <v>1</v>
          </cell>
          <cell r="DE8">
            <v>0.9</v>
          </cell>
          <cell r="DF8" t="str">
            <v>93 opt Pilz</v>
          </cell>
          <cell r="DG8">
            <v>0.49</v>
          </cell>
          <cell r="DH8">
            <v>0.21</v>
          </cell>
          <cell r="DI8">
            <v>0.03</v>
          </cell>
          <cell r="DJ8">
            <v>0.27</v>
          </cell>
          <cell r="DK8">
            <v>430.31966519003493</v>
          </cell>
          <cell r="DL8">
            <v>1377.1612960727314</v>
          </cell>
          <cell r="DM8">
            <v>86.274156009759253</v>
          </cell>
          <cell r="DN8">
            <v>3330.1393670660427</v>
          </cell>
          <cell r="DO8">
            <v>1278.5605020226744</v>
          </cell>
          <cell r="DP8">
            <v>135.05528984501103</v>
          </cell>
          <cell r="DQ8">
            <v>2125.8639401199266</v>
          </cell>
          <cell r="DR8">
            <v>1645.1759091955932</v>
          </cell>
          <cell r="DS8">
            <v>87.12779509223769</v>
          </cell>
          <cell r="DT8">
            <v>0.34</v>
          </cell>
          <cell r="DU8">
            <v>1.1611111111111112</v>
          </cell>
          <cell r="DV8">
            <v>4.18</v>
          </cell>
          <cell r="DY8">
            <v>13</v>
          </cell>
          <cell r="DZ8">
            <v>10</v>
          </cell>
          <cell r="EA8" t="str">
            <v>-</v>
          </cell>
          <cell r="EB8" t="str">
            <v>-</v>
          </cell>
          <cell r="EC8" t="str">
            <v>-</v>
          </cell>
          <cell r="ED8" t="str">
            <v>-</v>
          </cell>
          <cell r="EE8" t="str">
            <v>-</v>
          </cell>
          <cell r="EF8" t="str">
            <v>-</v>
          </cell>
          <cell r="EG8">
            <v>2</v>
          </cell>
          <cell r="EH8" t="b">
            <v>0</v>
          </cell>
          <cell r="EI8" t="b">
            <v>1</v>
          </cell>
          <cell r="EJ8" t="b">
            <v>1</v>
          </cell>
          <cell r="EK8" t="b">
            <v>1</v>
          </cell>
          <cell r="EL8" t="b">
            <v>1</v>
          </cell>
          <cell r="EM8" t="b">
            <v>0</v>
          </cell>
          <cell r="EN8" t="b">
            <v>0</v>
          </cell>
          <cell r="EO8" t="b">
            <v>1</v>
          </cell>
          <cell r="EP8">
            <v>1459.27</v>
          </cell>
          <cell r="EQ8">
            <v>690.72</v>
          </cell>
          <cell r="ER8">
            <v>1335.1299999999999</v>
          </cell>
          <cell r="ES8">
            <v>678.49000000000012</v>
          </cell>
          <cell r="ET8">
            <v>0</v>
          </cell>
          <cell r="EU8">
            <v>0.39489326478831027</v>
          </cell>
          <cell r="EV8">
            <v>0.39489326478831027</v>
          </cell>
          <cell r="EW8">
            <v>0.39489326478831027</v>
          </cell>
          <cell r="EX8">
            <v>0.39489326478831027</v>
          </cell>
          <cell r="EY8">
            <v>0.39489326478831027</v>
          </cell>
          <cell r="EZ8">
            <v>0.64795770602231528</v>
          </cell>
          <cell r="FA8">
            <v>0.60779825154475386</v>
          </cell>
          <cell r="FB8">
            <v>0.68530224545348639</v>
          </cell>
          <cell r="FC8">
            <v>0.60779825154475386</v>
          </cell>
          <cell r="FD8">
            <v>0</v>
          </cell>
          <cell r="FE8">
            <v>0.26787396065225272</v>
          </cell>
          <cell r="FF8">
            <v>0.28555338947362868</v>
          </cell>
          <cell r="FG8">
            <v>0.23039820583623963</v>
          </cell>
          <cell r="FH8">
            <v>0.28555338947362868</v>
          </cell>
          <cell r="FI8">
            <v>1</v>
          </cell>
          <cell r="FJ8">
            <v>1</v>
          </cell>
          <cell r="FK8">
            <v>1</v>
          </cell>
          <cell r="FL8">
            <v>1</v>
          </cell>
          <cell r="FM8">
            <v>1</v>
          </cell>
          <cell r="FN8">
            <v>1</v>
          </cell>
          <cell r="FO8">
            <v>1</v>
          </cell>
          <cell r="FP8">
            <v>1</v>
          </cell>
          <cell r="FQ8">
            <v>1</v>
          </cell>
          <cell r="FR8">
            <v>1</v>
          </cell>
          <cell r="FS8">
            <v>1</v>
          </cell>
          <cell r="FT8">
            <v>1</v>
          </cell>
          <cell r="FU8">
            <v>0.9</v>
          </cell>
          <cell r="FV8">
            <v>2.5</v>
          </cell>
          <cell r="FW8">
            <v>3</v>
          </cell>
          <cell r="FX8">
            <v>1</v>
          </cell>
          <cell r="FY8" t="b">
            <v>1</v>
          </cell>
          <cell r="FZ8" t="b">
            <v>1</v>
          </cell>
          <cell r="GA8" t="b">
            <v>1</v>
          </cell>
          <cell r="GB8" t="b">
            <v>1</v>
          </cell>
          <cell r="GC8">
            <v>7323.4</v>
          </cell>
          <cell r="GD8">
            <v>7</v>
          </cell>
          <cell r="GE8">
            <v>2</v>
          </cell>
          <cell r="GF8">
            <v>0.8</v>
          </cell>
          <cell r="GG8">
            <v>1</v>
          </cell>
          <cell r="GH8">
            <v>4</v>
          </cell>
          <cell r="GI8">
            <v>3</v>
          </cell>
          <cell r="GJ8">
            <v>1</v>
          </cell>
          <cell r="GK8">
            <v>1</v>
          </cell>
          <cell r="GL8">
            <v>3</v>
          </cell>
          <cell r="GM8">
            <v>3</v>
          </cell>
          <cell r="GN8">
            <v>3</v>
          </cell>
          <cell r="GO8">
            <v>3</v>
          </cell>
          <cell r="GP8">
            <v>3</v>
          </cell>
          <cell r="GQ8">
            <v>3</v>
          </cell>
          <cell r="GR8">
            <v>3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89962-659D-4947-A263-FCF91B0345CD}" name="IN" displayName="IN" ref="A1:AJ880" totalsRowShown="0" headerRowDxfId="87" dataDxfId="86">
  <autoFilter ref="A1:AJ880" xr:uid="{57A89962-659D-4947-A263-FCF91B0345CD}"/>
  <tableColumns count="36">
    <tableColumn id="19" xr3:uid="{9AFA5D21-49B2-46A3-A002-B59FD0D11530}" name="Icon" dataDxfId="85"/>
    <tableColumn id="2" xr3:uid="{E273731C-4A38-4D18-A503-7C02128B5439}" name="Name" dataDxfId="84"/>
    <tableColumn id="20" xr3:uid="{A7F4947B-C1E4-477D-9D51-005B15F658EF}" name="Einheit" dataDxfId="83"/>
    <tableColumn id="24" xr3:uid="{11814C4E-A4CE-4C15-9D11-0AA9C6C7B0A7}" name="Kommentar" dataDxfId="82"/>
    <tableColumn id="3" xr3:uid="{4F5C5455-30E1-4D67-8563-D4358FD60439}" name="Type" dataDxfId="81"/>
    <tableColumn id="21" xr3:uid="{8D86DE7F-4016-4B1C-AD89-A641C283B74D}" name="var_name" dataDxfId="80"/>
    <tableColumn id="1" xr3:uid="{88C14329-4A9E-40AC-86A7-8B020A052136}" name="Formel" dataDxfId="79"/>
    <tableColumn id="12" xr3:uid="{3578AA3F-BD7F-4894-8832-0576312FA655}" name="ka" dataDxfId="78"/>
    <tableColumn id="8" xr3:uid="{90556AA0-2554-4EDE-B1D1-D70E50117023}" name="STAGE" dataDxfId="77">
      <calculatedColumnFormula>IN[[#This Row],[Buffer]]</calculatedColumnFormula>
    </tableColumn>
    <tableColumn id="9" xr3:uid="{7A7C3C8E-849A-4E08-82AE-341D2CC3F519}" name="diff" dataDxfId="76">
      <calculatedColumnFormula>IF(IN[[#This Row],[Sim_]]=IN[[#This Row],[STAGE]],1,0)</calculatedColumnFormula>
    </tableColumn>
    <tableColumn id="4" xr3:uid="{598E13D8-6E49-4EC6-8989-260963ED4928}" name="Sim_" dataDxfId="75"/>
    <tableColumn id="5" xr3:uid="{3565CDF3-B322-4AFF-8A8F-38E57E132FAE}" name="Sim Var ref" dataDxfId="74"/>
    <tableColumn id="6" xr3:uid="{A505D026-2C64-48B6-802E-2723754693BB}" name="Var diff" dataDxfId="73">
      <calculatedColumnFormula>IF(IN[[#This Row],[Sim_]]=IN[[#This Row],[Sim Var ref]],1,0)</calculatedColumnFormula>
    </tableColumn>
    <tableColumn id="7" xr3:uid="{82D7E1EB-DDDC-4A3B-8BB0-34E2C83BBF24}" name="Sim Name" dataDxfId="72"/>
    <tableColumn id="27" xr3:uid="{A1D49C72-12B4-4831-BF9B-142C681B75AB}" name="IN Zeile" dataDxfId="71"/>
    <tableColumn id="10" xr3:uid="{21769C76-563B-4688-ADFE-2C6A4792C7AB}" name="Direkt alt" dataDxfId="70"/>
    <tableColumn id="11" xr3:uid="{AA5556FC-9A30-4CB8-BCCB-9DBD5606D120}" name="diff2" dataDxfId="69">
      <calculatedColumnFormula>IF(IN[[#This Row],[Sim_]]=IN[[#This Row],[Direkt alt]],1,0)</calculatedColumnFormula>
    </tableColumn>
    <tableColumn id="16" xr3:uid="{80A701FC-191A-4BB5-8C08-68E2686DA4D5}" name="Buffer" dataDxfId="68"/>
    <tableColumn id="17" xr3:uid="{A32B49AD-3F1C-436B-A674-BCAA1509CED0}" name="diff5" dataDxfId="67">
      <calculatedColumnFormula>IF(IN[[#This Row],[Sim_]]=IN[[#This Row],[Buffer]],1,0)</calculatedColumnFormula>
    </tableColumn>
    <tableColumn id="13" xr3:uid="{AF2D3CDA-E366-4ADD-8FA1-D03789B90A70}" name="Default" dataDxfId="66"/>
    <tableColumn id="26" xr3:uid="{B9FD7BB7-57A5-496E-A184-F2FAE816E5AF}" name="Neues Projekt" dataDxfId="65"/>
    <tableColumn id="23" xr3:uid="{EF55EE98-884F-441E-B3F9-9A34E848B962}" name="Beispiel Pilzgasse" dataDxfId="64"/>
    <tableColumn id="14" xr3:uid="{4A2710DC-31B3-42D5-9502-405CFEE1DA7A}" name="Beispiel Am Bichl" dataDxfId="63"/>
    <tableColumn id="15" xr3:uid="{599F96FD-CF49-474B-9B60-931F93F1CB5E}" name="Beispiel Rugierstraße" dataDxfId="62"/>
    <tableColumn id="18" xr3:uid="{99B9A042-4A6A-4FF7-90C8-4271DCC07774}" name="TESTWuerfel" dataDxfId="61"/>
    <tableColumn id="22" xr3:uid="{ED69C3B9-AAFE-4EBE-AFC4-A88AD15FF44D}" name="Alliiertenviertel Bestand" dataDxfId="60"/>
    <tableColumn id="25" xr3:uid="{A26BA6E7-65AA-45B5-B6D8-B46BDD5112B3}" name="Pgteilgeühlt" dataDxfId="59"/>
    <tableColumn id="28" xr3:uid="{9CC8F11B-88F3-4792-8D72-93B274467D12}" name="Beispielquartier ohne Kühlung" dataDxfId="58"/>
    <tableColumn id="29" xr3:uid="{DAF34E01-07F5-4C66-A7B1-7407A518B03D}" name="Test" dataDxfId="57"/>
    <tableColumn id="30" xr3:uid="{78FDEA4D-A078-4BF8-8531-432F7CF6E6DA}" name="WieNeu+ Alliiertenviertel" dataDxfId="56"/>
    <tableColumn id="31" xr3:uid="{C747C1C8-2771-4E06-970D-50E20BD32825}" name="WieNeu+ Alliiertenviertel SQ Gas" dataDxfId="55"/>
    <tableColumn id="32" xr3:uid="{DF936329-BB51-41DF-B900-042BFA8DEAC5}" name="WieNeu+ Alliiertenviertel Saniert FW" dataDxfId="54"/>
    <tableColumn id="33" xr3:uid="{D827BA6C-A525-4CC8-9099-0E3F2F6DB9AF}" name="WieNeu+ Alliiertenviertel Bestand Gas" dataDxfId="53"/>
    <tableColumn id="34" xr3:uid="{E074BEF4-4964-48F2-B342-2BC3F935DE7E}" name="WieNeu+ Alliiertenviertel WP Flex" dataDxfId="52"/>
    <tableColumn id="40" xr3:uid="{A408EBD2-0659-4382-911D-F5EDB255A284}" name="hm may" dataDxfId="51"/>
    <tableColumn id="41" xr3:uid="{2A1A3178-E7F0-4229-B7EE-79FD6E82065C}" name="mybe" dataDxfId="50"/>
  </tableColumns>
  <tableStyleInfo name="TableStyleLight1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3AE982-CA19-4DF9-A016-19FB4215E2A8}" name="OUT" displayName="OUT" ref="A1:AI351" totalsRowShown="0" headerRowDxfId="36" dataDxfId="35">
  <autoFilter ref="A1:AI351" xr:uid="{2A3AE982-CA19-4DF9-A016-19FB4215E2A8}"/>
  <tableColumns count="35">
    <tableColumn id="1" xr3:uid="{09AC4A4F-8BD6-428C-808B-35C1C7875670}" name="ID" dataDxfId="34" dataCellStyle="Erklärender Text"/>
    <tableColumn id="13" xr3:uid="{A6F89B41-8E86-46D3-A7A1-E5E172F2241A}" name="Kategorie" dataDxfId="33" dataCellStyle="Erklärender Text"/>
    <tableColumn id="31" xr3:uid="{61741DBF-6657-4C8F-B775-E20908774956}" name="Subkategorie" dataDxfId="32" dataCellStyle="Erklärender Text"/>
    <tableColumn id="2" xr3:uid="{CBBA0D32-64F0-448C-B28C-EC56DB17FD11}" name="Name" dataDxfId="31"/>
    <tableColumn id="30" xr3:uid="{1E4CDD72-12D7-4CC9-9EBE-AA2DC1634A59}" name="Spalte1" dataDxfId="30">
      <calculatedColumnFormula>LEFT(OUT[[#This Row],[Label]],1)</calculatedColumnFormula>
    </tableColumn>
    <tableColumn id="29" xr3:uid="{0434D0E9-9859-42CC-B41F-6F64DA0CCC5D}" name="Bereich" dataDxfId="29"/>
    <tableColumn id="15" xr3:uid="{645B1A4D-A770-4130-9575-091E32F5E308}" name="SIM2 Spaltenname" dataDxfId="28"/>
    <tableColumn id="9" xr3:uid="{654EF987-88F7-4B66-BCDF-8AF4D15368AF}" name="var_name" dataDxfId="27"/>
    <tableColumn id="4" xr3:uid="{F6593CEE-595C-4A44-A78A-4C7C8DBEC676}" name="Live" dataDxfId="26"/>
    <tableColumn id="3" xr3:uid="{537A6067-A83F-4C4A-9074-08D2E3127310}" name="Einheit" dataDxfId="25"/>
    <tableColumn id="14" xr3:uid="{D0E2E273-8043-4D83-910B-491992447897}" name="Formel" dataDxfId="24">
      <calculatedColumnFormula>IFERROR(_xlfn.FORMULATEXT(OUT[[#This Row],[Live]]),"")</calculatedColumnFormula>
    </tableColumn>
    <tableColumn id="5" xr3:uid="{7B84E3E4-C8B0-4C27-ACCF-E3B80C27B83B}" name="Label" dataDxfId="23"/>
    <tableColumn id="6" xr3:uid="{98DFCEFB-C3CF-49F4-B67D-FFF7126F8460}" name="Kommentar" dataDxfId="22"/>
    <tableColumn id="7" xr3:uid="{6491F945-B427-45D2-8050-EDCDBC2CC8FE}" name="Spalte4" dataDxfId="21"/>
    <tableColumn id="8" xr3:uid="{CC67E931-4D3B-4032-9097-196911083A62}" name="Spalte5" dataDxfId="20"/>
    <tableColumn id="10" xr3:uid="{6B031815-3DB3-4730-9510-C4DF2A43C08A}" name="Spalte6" dataDxfId="19"/>
    <tableColumn id="11" xr3:uid="{36602471-4BFA-469C-844D-400100D47F37}" name="Spalte7" dataDxfId="18"/>
    <tableColumn id="12" xr3:uid="{2A375B52-AE76-4B2D-8051-DD7DFA50FEFF}" name="Spalte8" dataDxfId="17"/>
    <tableColumn id="16" xr3:uid="{CE1B1E4B-FC33-4AFC-941D-2014C0AE6184}" name="test" dataDxfId="16"/>
    <tableColumn id="17" xr3:uid="{0186E252-8F20-473F-A5FF-982296EEBF79}" name="Kurze ID" dataDxfId="15"/>
    <tableColumn id="18" xr3:uid="{294B1DB8-1708-4A83-93F6-14FA920C81CF}" name="Kurze ID_2" dataDxfId="14"/>
    <tableColumn id="19" xr3:uid="{B9B92D4D-CA5B-4940-B4A9-7AFBB25E630A}" name="Kurze ID_2_2" dataDxfId="13"/>
    <tableColumn id="20" xr3:uid="{A3EE44AD-AD3E-4114-BE02-F92D24583E96}" name="Kurze ID_2_2_2_2" dataDxfId="12"/>
    <tableColumn id="21" xr3:uid="{1FB67009-15E4-497D-915C-646DF634798D}" name="test_2" dataDxfId="11"/>
    <tableColumn id="22" xr3:uid="{540E9F5F-A79F-4D82-97CD-E77888C246D7}" name="Kurze_ID" dataDxfId="10"/>
    <tableColumn id="23" xr3:uid="{CCD0ADC0-18C5-4BB7-AC68-15B4ADEFFEBA}" name="Test_RU" dataDxfId="9"/>
    <tableColumn id="24" xr3:uid="{A5E54EA5-2ED3-4067-B944-C91D1D6D3379}" name="Alliiertenviertel Bestand" dataDxfId="8"/>
    <tableColumn id="25" xr3:uid="{5FA0D26B-7CB2-4438-B9B9-68FB9DCC746F}" name="WieNeu+ Alliiertenviertel" dataDxfId="7"/>
    <tableColumn id="26" xr3:uid="{E408A5AF-A8C2-4682-9207-C40808F27AED}" name="WieNeu+ Alliiertenviertel SQ Gas" dataDxfId="6"/>
    <tableColumn id="27" xr3:uid="{401D85C1-786F-4257-BA5C-C35F16085F68}" name="WieNeu+ Alliiertenviertel Saniert FW" dataDxfId="5"/>
    <tableColumn id="28" xr3:uid="{DC9D5031-E730-4284-9594-F9D40A03E285}" name="WieNeu+ Alliiertenviertel Bestand Gas" dataDxfId="4"/>
    <tableColumn id="32" xr3:uid="{F78ABA3A-1C5F-4FD0-B868-65239CDC17B2}" name="WieNeu+ Alliiertenviertel WP Flex" dataDxfId="3"/>
    <tableColumn id="33" xr3:uid="{D5F43227-8333-4A7E-BF28-704BB2FE104A}" name="WN+ AV WP Flex ohne Batt" dataDxfId="2"/>
    <tableColumn id="34" xr3:uid="{5D7196BB-8B5B-481A-B9CC-E20FDF3FBD54}" name="WieNeu+ Alliiertenviertel WP Flex ohne Batt" dataDxfId="1"/>
    <tableColumn id="35" xr3:uid="{78AEE85B-57F0-4346-9AAA-C68ABB8FB679}" name="WieNeu+ Alliiertenviertel WP Flex Kühlung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682F-B680-41C5-8E38-F92A67CD18B5}">
  <sheetPr codeName="Tabelle2"/>
  <dimension ref="A1:AJ880"/>
  <sheetViews>
    <sheetView workbookViewId="0"/>
  </sheetViews>
  <sheetFormatPr baseColWidth="10" defaultRowHeight="15" x14ac:dyDescent="0.25"/>
  <cols>
    <col min="1" max="1" width="9.42578125" bestFit="1" customWidth="1"/>
    <col min="2" max="2" width="70.85546875" bestFit="1" customWidth="1"/>
    <col min="3" max="3" width="22.140625" bestFit="1" customWidth="1"/>
    <col min="4" max="4" width="32.42578125" bestFit="1" customWidth="1"/>
    <col min="5" max="5" width="21.42578125" bestFit="1" customWidth="1"/>
    <col min="6" max="6" width="43" bestFit="1" customWidth="1"/>
    <col min="7" max="7" width="147.5703125" bestFit="1" customWidth="1"/>
    <col min="8" max="8" width="12.42578125" bestFit="1" customWidth="1"/>
    <col min="9" max="9" width="32.140625" bestFit="1" customWidth="1"/>
    <col min="10" max="10" width="8.7109375" bestFit="1" customWidth="1"/>
    <col min="11" max="11" width="29" bestFit="1" customWidth="1"/>
    <col min="12" max="12" width="28.85546875" bestFit="1" customWidth="1"/>
    <col min="13" max="13" width="12" bestFit="1" customWidth="1"/>
    <col min="14" max="14" width="10.5703125" bestFit="1" customWidth="1"/>
    <col min="15" max="15" width="8.5703125" bestFit="1" customWidth="1"/>
    <col min="16" max="16" width="12.85546875" bestFit="1" customWidth="1"/>
    <col min="17" max="17" width="9.7109375" bestFit="1" customWidth="1"/>
    <col min="18" max="18" width="34.140625" bestFit="1" customWidth="1"/>
    <col min="19" max="19" width="9.7109375" bestFit="1" customWidth="1"/>
    <col min="20" max="20" width="16.7109375" bestFit="1" customWidth="1"/>
    <col min="21" max="21" width="255.7109375" bestFit="1" customWidth="1"/>
    <col min="22" max="22" width="23" bestFit="1" customWidth="1"/>
    <col min="23" max="23" width="17" bestFit="1" customWidth="1"/>
    <col min="24" max="24" width="38.140625" bestFit="1" customWidth="1"/>
    <col min="25" max="25" width="16.7109375" bestFit="1" customWidth="1"/>
    <col min="26" max="26" width="38.140625" bestFit="1" customWidth="1"/>
    <col min="27" max="27" width="16.7109375" bestFit="1" customWidth="1"/>
    <col min="28" max="28" width="138.7109375" bestFit="1" customWidth="1"/>
    <col min="29" max="29" width="38.140625" bestFit="1" customWidth="1"/>
    <col min="30" max="30" width="33" bestFit="1" customWidth="1"/>
    <col min="31" max="31" width="33.42578125" bestFit="1" customWidth="1"/>
    <col min="32" max="32" width="36.85546875" bestFit="1" customWidth="1"/>
    <col min="33" max="33" width="38.28515625" bestFit="1" customWidth="1"/>
    <col min="34" max="34" width="40.42578125" bestFit="1" customWidth="1"/>
    <col min="35" max="36" width="138.7109375" bestFit="1" customWidth="1"/>
  </cols>
  <sheetData>
    <row r="1" spans="1:36" ht="4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8" t="s">
        <v>13</v>
      </c>
      <c r="O1" s="8" t="s">
        <v>14</v>
      </c>
      <c r="P1" s="9" t="s">
        <v>15</v>
      </c>
      <c r="Q1" s="6" t="s">
        <v>16</v>
      </c>
      <c r="R1" s="10" t="s">
        <v>17</v>
      </c>
      <c r="S1" s="6" t="s">
        <v>18</v>
      </c>
      <c r="T1" s="11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13" t="s">
        <v>27</v>
      </c>
      <c r="AC1" s="5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4" t="s">
        <v>36</v>
      </c>
      <c r="B2" s="15" t="s">
        <v>37</v>
      </c>
      <c r="C2" s="16" t="s">
        <v>38</v>
      </c>
      <c r="D2" s="16"/>
      <c r="E2" s="17" t="s">
        <v>39</v>
      </c>
      <c r="F2" s="18"/>
      <c r="G2" s="19" t="s">
        <v>40</v>
      </c>
      <c r="H2" s="20">
        <v>0</v>
      </c>
      <c r="I2" s="21">
        <f>IN[[#This Row],[Buffer]]</f>
        <v>130784</v>
      </c>
      <c r="J2" s="22">
        <f>IF(IN[[#This Row],[Sim_]]=IN[[#This Row],[STAGE]],1,0)</f>
        <v>0</v>
      </c>
      <c r="K2" s="23">
        <f>[1]SIM!$B$8</f>
        <v>14028.96</v>
      </c>
      <c r="L2" s="24">
        <f>[1]SIM!$B$4</f>
        <v>14028.96</v>
      </c>
      <c r="M2" s="22">
        <f>IF(IN[[#This Row],[Sim_]]=IN[[#This Row],[Sim Var ref]],1,0)</f>
        <v>1</v>
      </c>
      <c r="N2" s="8" t="str">
        <f>[1]SIM!$B$7</f>
        <v>p1</v>
      </c>
      <c r="O2" s="8">
        <v>2</v>
      </c>
      <c r="P2" s="25" t="e">
        <f>[1]SIM!$B$3</f>
        <v>#REF!</v>
      </c>
      <c r="Q2" s="22" t="e">
        <f>IF(IN[[#This Row],[Sim_]]=IN[[#This Row],[Direkt alt]],1,0)</f>
        <v>#REF!</v>
      </c>
      <c r="R2" s="10">
        <v>130784</v>
      </c>
      <c r="S2" s="22">
        <f>IF(IN[[#This Row],[Sim_]]=IN[[#This Row],[Buffer]],1,0)</f>
        <v>0</v>
      </c>
      <c r="T2" s="11">
        <v>100</v>
      </c>
      <c r="U2" s="21">
        <f>IN[[#This Row],[Buffer]]</f>
        <v>130784</v>
      </c>
      <c r="V2" s="26">
        <v>14028.96</v>
      </c>
      <c r="W2" s="26">
        <v>4280.5</v>
      </c>
      <c r="X2" s="26">
        <v>7809.03</v>
      </c>
      <c r="Y2" s="11">
        <v>100</v>
      </c>
      <c r="Z2" s="27">
        <v>7809.03</v>
      </c>
      <c r="AA2" s="27">
        <v>14028.96</v>
      </c>
      <c r="AB2" s="27">
        <v>14028.96</v>
      </c>
      <c r="AC2" s="28">
        <v>7809.03</v>
      </c>
      <c r="AD2">
        <v>130784</v>
      </c>
      <c r="AE2">
        <v>130784</v>
      </c>
      <c r="AF2">
        <v>130784</v>
      </c>
      <c r="AG2">
        <v>130784</v>
      </c>
      <c r="AH2">
        <v>130784</v>
      </c>
      <c r="AI2">
        <v>14028.96</v>
      </c>
      <c r="AJ2">
        <v>14028.96</v>
      </c>
    </row>
    <row r="3" spans="1:36" x14ac:dyDescent="0.25">
      <c r="A3" s="14" t="s">
        <v>36</v>
      </c>
      <c r="B3" s="15" t="s">
        <v>41</v>
      </c>
      <c r="C3" s="16" t="s">
        <v>38</v>
      </c>
      <c r="D3" s="16"/>
      <c r="E3" s="17" t="s">
        <v>39</v>
      </c>
      <c r="F3" s="18"/>
      <c r="G3" s="19" t="s">
        <v>40</v>
      </c>
      <c r="H3" s="20">
        <v>0</v>
      </c>
      <c r="I3" s="21">
        <f>IN[[#This Row],[Buffer]]</f>
        <v>13609.600000000002</v>
      </c>
      <c r="J3" s="22">
        <f>IF(IN[[#This Row],[Sim_]]=IN[[#This Row],[STAGE]],1,0)</f>
        <v>0</v>
      </c>
      <c r="K3" s="23">
        <f>[1]SIM!$C$8</f>
        <v>10082.640000000001</v>
      </c>
      <c r="L3" s="24">
        <f>[1]SIM!$C$4</f>
        <v>10082.640000000001</v>
      </c>
      <c r="M3" s="22">
        <f>IF(IN[[#This Row],[Sim_]]=IN[[#This Row],[Sim Var ref]],1,0)</f>
        <v>1</v>
      </c>
      <c r="N3" s="8" t="str">
        <f>[1]SIM!$C$7</f>
        <v>p2</v>
      </c>
      <c r="O3" s="8">
        <v>3</v>
      </c>
      <c r="P3" s="25" t="e">
        <f>[1]SIM!$C$3</f>
        <v>#REF!</v>
      </c>
      <c r="Q3" s="22" t="e">
        <f>IF(IN[[#This Row],[Sim_]]=IN[[#This Row],[Direkt alt]],1,0)</f>
        <v>#REF!</v>
      </c>
      <c r="R3" s="10">
        <v>13609.600000000002</v>
      </c>
      <c r="S3" s="22">
        <f>IF(IN[[#This Row],[Sim_]]=IN[[#This Row],[Buffer]],1,0)</f>
        <v>0</v>
      </c>
      <c r="T3" s="11">
        <v>0</v>
      </c>
      <c r="U3" s="21">
        <f>IN[[#This Row],[Buffer]]</f>
        <v>13609.600000000002</v>
      </c>
      <c r="V3" s="29">
        <v>10082.640000000001</v>
      </c>
      <c r="W3" s="29">
        <v>0</v>
      </c>
      <c r="X3" s="29">
        <v>0</v>
      </c>
      <c r="Y3" s="11">
        <v>0</v>
      </c>
      <c r="Z3" s="27">
        <v>0</v>
      </c>
      <c r="AA3" s="27">
        <v>10082.640000000001</v>
      </c>
      <c r="AB3" s="27">
        <v>10082.640000000001</v>
      </c>
      <c r="AC3" s="28">
        <v>0</v>
      </c>
      <c r="AD3">
        <v>13609.600000000002</v>
      </c>
      <c r="AE3">
        <v>13609.600000000002</v>
      </c>
      <c r="AF3">
        <v>13609.600000000002</v>
      </c>
      <c r="AG3">
        <v>13609.600000000002</v>
      </c>
      <c r="AH3">
        <v>13609.600000000002</v>
      </c>
      <c r="AI3">
        <v>10082.640000000001</v>
      </c>
      <c r="AJ3">
        <v>10082.640000000001</v>
      </c>
    </row>
    <row r="4" spans="1:36" x14ac:dyDescent="0.25">
      <c r="A4" s="14" t="s">
        <v>36</v>
      </c>
      <c r="B4" s="15" t="s">
        <v>42</v>
      </c>
      <c r="C4" s="16" t="s">
        <v>38</v>
      </c>
      <c r="D4" s="16"/>
      <c r="E4" s="17" t="s">
        <v>39</v>
      </c>
      <c r="F4" s="18"/>
      <c r="G4" s="19" t="s">
        <v>40</v>
      </c>
      <c r="H4" s="20">
        <v>0</v>
      </c>
      <c r="I4" s="21">
        <f>IN[[#This Row],[Buffer]]</f>
        <v>0</v>
      </c>
      <c r="J4" s="22">
        <f>IF(IN[[#This Row],[Sim_]]=IN[[#This Row],[STAGE]],1,0)</f>
        <v>1</v>
      </c>
      <c r="K4" s="23">
        <f>[1]SIM!$D$8</f>
        <v>0</v>
      </c>
      <c r="L4" s="24">
        <f>[1]SIM!$D$4</f>
        <v>0</v>
      </c>
      <c r="M4" s="22">
        <f>IF(IN[[#This Row],[Sim_]]=IN[[#This Row],[Sim Var ref]],1,0)</f>
        <v>1</v>
      </c>
      <c r="N4" s="8" t="str">
        <f>[1]SIM!$D$7</f>
        <v>p3</v>
      </c>
      <c r="O4" s="8">
        <v>4</v>
      </c>
      <c r="P4" s="25" t="e">
        <f>[1]SIM!$D$3</f>
        <v>#REF!</v>
      </c>
      <c r="Q4" s="22" t="e">
        <f>IF(IN[[#This Row],[Sim_]]=IN[[#This Row],[Direkt alt]],1,0)</f>
        <v>#REF!</v>
      </c>
      <c r="R4" s="10">
        <v>0</v>
      </c>
      <c r="S4" s="22">
        <f>IF(IN[[#This Row],[Sim_]]=IN[[#This Row],[Buffer]],1,0)</f>
        <v>1</v>
      </c>
      <c r="T4" s="11">
        <v>0</v>
      </c>
      <c r="U4" s="21">
        <f>IN[[#This Row],[Buffer]]</f>
        <v>0</v>
      </c>
      <c r="V4" s="29">
        <v>0</v>
      </c>
      <c r="W4" s="29">
        <v>0</v>
      </c>
      <c r="X4" s="29">
        <v>0</v>
      </c>
      <c r="Y4" s="11">
        <v>0</v>
      </c>
      <c r="Z4" s="27">
        <v>0</v>
      </c>
      <c r="AA4" s="27">
        <v>0</v>
      </c>
      <c r="AB4" s="27">
        <v>0</v>
      </c>
      <c r="AC4" s="28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4" t="s">
        <v>36</v>
      </c>
      <c r="B5" s="15" t="s">
        <v>43</v>
      </c>
      <c r="C5" s="16" t="s">
        <v>38</v>
      </c>
      <c r="D5" s="16"/>
      <c r="E5" s="17" t="s">
        <v>39</v>
      </c>
      <c r="F5" s="18"/>
      <c r="G5" s="19" t="s">
        <v>40</v>
      </c>
      <c r="H5" s="20">
        <v>0</v>
      </c>
      <c r="I5" s="21">
        <f>IN[[#This Row],[Buffer]]</f>
        <v>0</v>
      </c>
      <c r="J5" s="22">
        <f>IF(IN[[#This Row],[Sim_]]=IN[[#This Row],[STAGE]],1,0)</f>
        <v>0</v>
      </c>
      <c r="K5" s="23">
        <f>[1]SIM!$E$8</f>
        <v>618.32000000000005</v>
      </c>
      <c r="L5" s="24">
        <f>[1]SIM!$E$4</f>
        <v>618.32000000000005</v>
      </c>
      <c r="M5" s="22">
        <f>IF(IN[[#This Row],[Sim_]]=IN[[#This Row],[Sim Var ref]],1,0)</f>
        <v>1</v>
      </c>
      <c r="N5" s="8" t="str">
        <f>[1]SIM!$E$7</f>
        <v>p4</v>
      </c>
      <c r="O5" s="8">
        <v>5</v>
      </c>
      <c r="P5" s="25" t="e">
        <f>[1]SIM!$E$3</f>
        <v>#REF!</v>
      </c>
      <c r="Q5" s="22" t="e">
        <f>IF(IN[[#This Row],[Sim_]]=IN[[#This Row],[Direkt alt]],1,0)</f>
        <v>#REF!</v>
      </c>
      <c r="R5" s="10">
        <v>0</v>
      </c>
      <c r="S5" s="22">
        <f>IF(IN[[#This Row],[Sim_]]=IN[[#This Row],[Buffer]],1,0)</f>
        <v>0</v>
      </c>
      <c r="T5" s="11">
        <v>0</v>
      </c>
      <c r="U5" s="21">
        <f>IN[[#This Row],[Buffer]]</f>
        <v>0</v>
      </c>
      <c r="V5" s="29">
        <v>618.32000000000005</v>
      </c>
      <c r="W5" s="29">
        <v>0</v>
      </c>
      <c r="X5" s="29">
        <v>0</v>
      </c>
      <c r="Y5" s="11">
        <v>0</v>
      </c>
      <c r="Z5" s="27">
        <v>0</v>
      </c>
      <c r="AA5" s="27">
        <v>618.32000000000005</v>
      </c>
      <c r="AB5" s="27">
        <v>618.32000000000005</v>
      </c>
      <c r="AC5" s="28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618.32000000000005</v>
      </c>
      <c r="AJ5">
        <v>618.32000000000005</v>
      </c>
    </row>
    <row r="6" spans="1:36" x14ac:dyDescent="0.25">
      <c r="A6" s="14" t="s">
        <v>36</v>
      </c>
      <c r="B6" s="15" t="s">
        <v>44</v>
      </c>
      <c r="C6" s="16" t="s">
        <v>38</v>
      </c>
      <c r="D6" s="16"/>
      <c r="E6" s="17" t="s">
        <v>39</v>
      </c>
      <c r="F6" s="18"/>
      <c r="G6" s="19" t="s">
        <v>40</v>
      </c>
      <c r="H6" s="20">
        <v>0</v>
      </c>
      <c r="I6" s="21">
        <f>IN[[#This Row],[Buffer]]</f>
        <v>0</v>
      </c>
      <c r="J6" s="22">
        <f>IF(IN[[#This Row],[Sim_]]=IN[[#This Row],[STAGE]],1,0)</f>
        <v>0</v>
      </c>
      <c r="K6" s="23">
        <f>[1]SIM!$F$8</f>
        <v>2074.88</v>
      </c>
      <c r="L6" s="24">
        <f>[1]SIM!$F$4</f>
        <v>2074.88</v>
      </c>
      <c r="M6" s="22">
        <f>IF(IN[[#This Row],[Sim_]]=IN[[#This Row],[Sim Var ref]],1,0)</f>
        <v>1</v>
      </c>
      <c r="N6" s="8" t="str">
        <f>[1]SIM!$F$7</f>
        <v>p5</v>
      </c>
      <c r="O6" s="8">
        <v>6</v>
      </c>
      <c r="P6" s="25" t="e">
        <f>[1]SIM!$F$3</f>
        <v>#REF!</v>
      </c>
      <c r="Q6" s="22" t="e">
        <f>IF(IN[[#This Row],[Sim_]]=IN[[#This Row],[Direkt alt]],1,0)</f>
        <v>#REF!</v>
      </c>
      <c r="R6" s="10">
        <v>0</v>
      </c>
      <c r="S6" s="22">
        <f>IF(IN[[#This Row],[Sim_]]=IN[[#This Row],[Buffer]],1,0)</f>
        <v>0</v>
      </c>
      <c r="T6" s="11">
        <v>0</v>
      </c>
      <c r="U6" s="21">
        <f>IN[[#This Row],[Buffer]]</f>
        <v>0</v>
      </c>
      <c r="V6" s="29">
        <v>2074.88</v>
      </c>
      <c r="W6" s="29">
        <v>0</v>
      </c>
      <c r="X6" s="29">
        <v>0</v>
      </c>
      <c r="Y6" s="11">
        <v>0</v>
      </c>
      <c r="Z6" s="27">
        <v>0</v>
      </c>
      <c r="AA6" s="27">
        <v>2074.88</v>
      </c>
      <c r="AB6" s="27">
        <v>2074.88</v>
      </c>
      <c r="AC6" s="28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2074.88</v>
      </c>
      <c r="AJ6">
        <v>2074.88</v>
      </c>
    </row>
    <row r="7" spans="1:36" x14ac:dyDescent="0.25">
      <c r="A7" s="14" t="s">
        <v>36</v>
      </c>
      <c r="B7" s="15" t="s">
        <v>45</v>
      </c>
      <c r="C7" s="16" t="s">
        <v>38</v>
      </c>
      <c r="D7" s="16"/>
      <c r="E7" s="17" t="s">
        <v>39</v>
      </c>
      <c r="F7" s="18"/>
      <c r="G7" s="19" t="s">
        <v>40</v>
      </c>
      <c r="H7" s="20">
        <v>0</v>
      </c>
      <c r="I7" s="21">
        <f>IN[[#This Row],[Buffer]]</f>
        <v>144393.60000000001</v>
      </c>
      <c r="J7" s="22">
        <f>IF(IN[[#This Row],[Sim_]]=IN[[#This Row],[STAGE]],1,0)</f>
        <v>0</v>
      </c>
      <c r="K7" s="23">
        <f>[1]SIM!$G$8</f>
        <v>26804.799999999999</v>
      </c>
      <c r="L7" s="24">
        <f>[1]SIM!$G$4</f>
        <v>26804.799999999999</v>
      </c>
      <c r="M7" s="22">
        <f>IF(IN[[#This Row],[Sim_]]=IN[[#This Row],[Sim Var ref]],1,0)</f>
        <v>1</v>
      </c>
      <c r="N7" s="8" t="str">
        <f>[1]SIM!$G$7</f>
        <v>p6</v>
      </c>
      <c r="O7" s="8">
        <v>7</v>
      </c>
      <c r="P7" s="25" t="e">
        <f>[1]SIM!$G$3</f>
        <v>#REF!</v>
      </c>
      <c r="Q7" s="22" t="e">
        <f>IF(IN[[#This Row],[Sim_]]=IN[[#This Row],[Direkt alt]],1,0)</f>
        <v>#REF!</v>
      </c>
      <c r="R7" s="10">
        <v>144393.60000000001</v>
      </c>
      <c r="S7" s="22">
        <f>IF(IN[[#This Row],[Sim_]]=IN[[#This Row],[Buffer]],1,0)</f>
        <v>0</v>
      </c>
      <c r="T7" s="11">
        <v>100</v>
      </c>
      <c r="U7" s="21">
        <f>IN[[#This Row],[Buffer]]</f>
        <v>144393.60000000001</v>
      </c>
      <c r="V7" s="29">
        <v>26804.799999999999</v>
      </c>
      <c r="W7" s="29">
        <v>4280.5</v>
      </c>
      <c r="X7" s="29">
        <v>7809.03</v>
      </c>
      <c r="Y7" s="11">
        <v>100</v>
      </c>
      <c r="Z7" s="27">
        <v>7809.03</v>
      </c>
      <c r="AA7" s="27">
        <v>26804.799999999999</v>
      </c>
      <c r="AB7" s="27">
        <v>26804.799999999999</v>
      </c>
      <c r="AC7" s="28">
        <v>7809.03</v>
      </c>
      <c r="AD7">
        <v>144393.60000000001</v>
      </c>
      <c r="AE7">
        <v>144393.60000000001</v>
      </c>
      <c r="AF7">
        <v>144393.60000000001</v>
      </c>
      <c r="AG7">
        <v>144393.60000000001</v>
      </c>
      <c r="AH7">
        <v>144393.60000000001</v>
      </c>
      <c r="AI7">
        <v>26804.799999999999</v>
      </c>
      <c r="AJ7">
        <v>26804.799999999999</v>
      </c>
    </row>
    <row r="8" spans="1:36" x14ac:dyDescent="0.25">
      <c r="A8" s="14" t="s">
        <v>36</v>
      </c>
      <c r="B8" s="15" t="s">
        <v>46</v>
      </c>
      <c r="C8" s="16"/>
      <c r="D8" s="16"/>
      <c r="E8" s="17" t="s">
        <v>39</v>
      </c>
      <c r="F8" s="18"/>
      <c r="G8" s="19" t="s">
        <v>40</v>
      </c>
      <c r="H8" s="20">
        <v>0</v>
      </c>
      <c r="I8" s="21">
        <f>IN[[#This Row],[Buffer]]</f>
        <v>0</v>
      </c>
      <c r="J8" s="22">
        <f>IF(IN[[#This Row],[Sim_]]=IN[[#This Row],[STAGE]],1,0)</f>
        <v>0</v>
      </c>
      <c r="K8" s="23">
        <f>[1]SIM!$H$8</f>
        <v>1</v>
      </c>
      <c r="L8" s="24">
        <f>[1]SIM!$H$4</f>
        <v>1</v>
      </c>
      <c r="M8" s="22">
        <f>IF(IN[[#This Row],[Sim_]]=IN[[#This Row],[Sim Var ref]],1,0)</f>
        <v>1</v>
      </c>
      <c r="N8" s="8" t="str">
        <f>[1]SIM!$H$7</f>
        <v>p7</v>
      </c>
      <c r="O8" s="8">
        <v>8</v>
      </c>
      <c r="P8" s="25" t="e">
        <f>[1]SIM!$H$3</f>
        <v>#REF!</v>
      </c>
      <c r="Q8" s="22" t="e">
        <f>IF(IN[[#This Row],[Sim_]]=IN[[#This Row],[Direkt alt]],1,0)</f>
        <v>#REF!</v>
      </c>
      <c r="R8" s="10">
        <v>0</v>
      </c>
      <c r="S8" s="22">
        <f>IF(IN[[#This Row],[Sim_]]=IN[[#This Row],[Buffer]],1,0)</f>
        <v>0</v>
      </c>
      <c r="T8" s="11">
        <v>0</v>
      </c>
      <c r="U8" s="21">
        <f>IN[[#This Row],[Buffer]]</f>
        <v>0</v>
      </c>
      <c r="V8" s="29">
        <v>1</v>
      </c>
      <c r="W8" s="29">
        <v>0</v>
      </c>
      <c r="X8" s="29">
        <v>0</v>
      </c>
      <c r="Y8" s="11">
        <v>0</v>
      </c>
      <c r="Z8" s="27">
        <v>0</v>
      </c>
      <c r="AA8" s="27">
        <v>1</v>
      </c>
      <c r="AB8" s="27">
        <v>1</v>
      </c>
      <c r="AC8" s="2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</row>
    <row r="9" spans="1:36" x14ac:dyDescent="0.25">
      <c r="A9" s="14" t="s">
        <v>36</v>
      </c>
      <c r="B9" s="15" t="s">
        <v>47</v>
      </c>
      <c r="C9" s="16"/>
      <c r="D9" s="16"/>
      <c r="E9" s="17" t="s">
        <v>39</v>
      </c>
      <c r="F9" s="18"/>
      <c r="G9" s="19" t="s">
        <v>40</v>
      </c>
      <c r="H9" s="20">
        <v>0</v>
      </c>
      <c r="I9" s="21">
        <f>IN[[#This Row],[Buffer]]</f>
        <v>112841.86911353406</v>
      </c>
      <c r="J9" s="22">
        <f>IF(IN[[#This Row],[Sim_]]=IN[[#This Row],[STAGE]],1,0)</f>
        <v>0</v>
      </c>
      <c r="K9" s="23">
        <f>[1]SIM!$I$8</f>
        <v>6081.9799999999977</v>
      </c>
      <c r="L9" s="24">
        <f>[1]SIM!$I$4</f>
        <v>6081.9799999999977</v>
      </c>
      <c r="M9" s="22">
        <f>IF(IN[[#This Row],[Sim_]]=IN[[#This Row],[Sim Var ref]],1,0)</f>
        <v>1</v>
      </c>
      <c r="N9" s="8" t="str">
        <f>[1]SIM!$I$7</f>
        <v>p8</v>
      </c>
      <c r="O9" s="8">
        <v>9</v>
      </c>
      <c r="P9" s="25" t="e">
        <f>[1]SIM!$I$3</f>
        <v>#REF!</v>
      </c>
      <c r="Q9" s="22" t="e">
        <f>IF(IN[[#This Row],[Sim_]]=IN[[#This Row],[Direkt alt]],1,0)</f>
        <v>#REF!</v>
      </c>
      <c r="R9" s="10">
        <v>112841.86911353406</v>
      </c>
      <c r="S9" s="22">
        <f>IF(IN[[#This Row],[Sim_]]=IN[[#This Row],[Buffer]],1,0)</f>
        <v>0</v>
      </c>
      <c r="T9" s="11">
        <v>2400</v>
      </c>
      <c r="U9" s="21">
        <f>IN[[#This Row],[Buffer]]</f>
        <v>112841.86911353406</v>
      </c>
      <c r="V9" s="29">
        <v>6081.9799999999977</v>
      </c>
      <c r="W9" s="29">
        <v>2220.0700000000002</v>
      </c>
      <c r="X9" s="29">
        <v>3795.39</v>
      </c>
      <c r="Y9" s="11">
        <v>2400</v>
      </c>
      <c r="Z9" s="27">
        <v>3795.39</v>
      </c>
      <c r="AA9" s="27">
        <v>6081.9799999999977</v>
      </c>
      <c r="AB9" s="27">
        <v>6081.9799999999977</v>
      </c>
      <c r="AC9" s="28">
        <v>3795.39</v>
      </c>
      <c r="AD9">
        <v>112841.86911353406</v>
      </c>
      <c r="AE9">
        <v>112841.86911353406</v>
      </c>
      <c r="AF9">
        <v>112841.86911353406</v>
      </c>
      <c r="AG9">
        <v>112841.86911353406</v>
      </c>
      <c r="AH9">
        <v>112841.86911353406</v>
      </c>
      <c r="AI9">
        <v>6081.9799999999977</v>
      </c>
      <c r="AJ9">
        <v>6081.9799999999977</v>
      </c>
    </row>
    <row r="10" spans="1:36" x14ac:dyDescent="0.25">
      <c r="A10" s="14" t="s">
        <v>36</v>
      </c>
      <c r="B10" s="15" t="s">
        <v>48</v>
      </c>
      <c r="C10" s="16"/>
      <c r="D10" s="16"/>
      <c r="E10" s="17" t="s">
        <v>39</v>
      </c>
      <c r="F10" s="18"/>
      <c r="G10" s="19" t="s">
        <v>40</v>
      </c>
      <c r="H10" s="20">
        <v>0</v>
      </c>
      <c r="I10" s="21">
        <f>IN[[#This Row],[Buffer]]</f>
        <v>30765.376058064576</v>
      </c>
      <c r="J10" s="22">
        <f>IF(IN[[#This Row],[Sim_]]=IN[[#This Row],[STAGE]],1,0)</f>
        <v>0</v>
      </c>
      <c r="K10" s="23">
        <f>[1]SIM!$J$8</f>
        <v>4163.6100000000015</v>
      </c>
      <c r="L10" s="24">
        <f>[1]SIM!$J$4</f>
        <v>4163.6100000000015</v>
      </c>
      <c r="M10" s="22">
        <f>IF(IN[[#This Row],[Sim_]]=IN[[#This Row],[Sim Var ref]],1,0)</f>
        <v>1</v>
      </c>
      <c r="N10" s="8" t="str">
        <f>[1]SIM!$J$7</f>
        <v>p9</v>
      </c>
      <c r="O10" s="8">
        <v>10</v>
      </c>
      <c r="P10" s="25" t="e">
        <f>[1]SIM!$J$3</f>
        <v>#REF!</v>
      </c>
      <c r="Q10" s="22" t="e">
        <f>IF(IN[[#This Row],[Sim_]]=IN[[#This Row],[Direkt alt]],1,0)</f>
        <v>#REF!</v>
      </c>
      <c r="R10" s="10">
        <v>30765.376058064576</v>
      </c>
      <c r="S10" s="22">
        <f>IF(IN[[#This Row],[Sim_]]=IN[[#This Row],[Buffer]],1,0)</f>
        <v>0</v>
      </c>
      <c r="T10" s="11">
        <v>1600</v>
      </c>
      <c r="U10" s="21">
        <f>IN[[#This Row],[Buffer]]</f>
        <v>30765.376058064576</v>
      </c>
      <c r="V10" s="29">
        <v>4163.6099999999997</v>
      </c>
      <c r="W10" s="29">
        <v>881.16</v>
      </c>
      <c r="X10" s="29">
        <v>1409.35</v>
      </c>
      <c r="Y10" s="11">
        <v>1600</v>
      </c>
      <c r="Z10" s="27">
        <v>1409.35</v>
      </c>
      <c r="AA10" s="27">
        <v>4163.6099999999997</v>
      </c>
      <c r="AB10" s="27">
        <v>4163.6100000000015</v>
      </c>
      <c r="AC10" s="28">
        <v>1409.35</v>
      </c>
      <c r="AD10">
        <v>30765.376058064576</v>
      </c>
      <c r="AE10">
        <v>30765.376058064576</v>
      </c>
      <c r="AF10">
        <v>30765.376058064576</v>
      </c>
      <c r="AG10">
        <v>30765.376058064576</v>
      </c>
      <c r="AH10">
        <v>30765.376058064576</v>
      </c>
      <c r="AI10">
        <v>4163.6100000000015</v>
      </c>
      <c r="AJ10">
        <v>4163.6100000000015</v>
      </c>
    </row>
    <row r="11" spans="1:36" x14ac:dyDescent="0.25">
      <c r="A11" s="14" t="s">
        <v>36</v>
      </c>
      <c r="B11" s="15" t="s">
        <v>49</v>
      </c>
      <c r="C11" s="16"/>
      <c r="D11" s="16"/>
      <c r="E11" s="17" t="s">
        <v>39</v>
      </c>
      <c r="F11" s="18"/>
      <c r="G11" s="19" t="s">
        <v>40</v>
      </c>
      <c r="H11" s="20">
        <v>0</v>
      </c>
      <c r="I11" s="21">
        <f>IN[[#This Row],[Buffer]]</f>
        <v>33823.92617996128</v>
      </c>
      <c r="J11" s="22">
        <f>IF(IN[[#This Row],[Sim_]]=IN[[#This Row],[STAGE]],1,0)</f>
        <v>0</v>
      </c>
      <c r="K11" s="23">
        <f>[1]SIM!$K$8</f>
        <v>6813.4900000000007</v>
      </c>
      <c r="L11" s="24">
        <f>[1]SIM!$K$4</f>
        <v>6813.4900000000007</v>
      </c>
      <c r="M11" s="22">
        <f>IF(IN[[#This Row],[Sim_]]=IN[[#This Row],[Sim Var ref]],1,0)</f>
        <v>1</v>
      </c>
      <c r="N11" s="8" t="str">
        <f>[1]SIM!$K$7</f>
        <v>p10</v>
      </c>
      <c r="O11" s="8">
        <v>11</v>
      </c>
      <c r="P11" s="25" t="e">
        <f>[1]SIM!$K$3</f>
        <v>#REF!</v>
      </c>
      <c r="Q11" s="22" t="e">
        <f>IF(IN[[#This Row],[Sim_]]=IN[[#This Row],[Direkt alt]],1,0)</f>
        <v>#REF!</v>
      </c>
      <c r="R11" s="10">
        <v>33823.92617996128</v>
      </c>
      <c r="S11" s="22">
        <f>IF(IN[[#This Row],[Sim_]]=IN[[#This Row],[Buffer]],1,0)</f>
        <v>0</v>
      </c>
      <c r="T11" s="11">
        <v>1000</v>
      </c>
      <c r="U11" s="21">
        <f>IN[[#This Row],[Buffer]]</f>
        <v>33823.92617996128</v>
      </c>
      <c r="V11" s="29">
        <v>6813.4900000000007</v>
      </c>
      <c r="W11" s="29">
        <v>1830.1</v>
      </c>
      <c r="X11" s="29">
        <v>2176.5</v>
      </c>
      <c r="Y11" s="11">
        <v>1000</v>
      </c>
      <c r="Z11" s="27">
        <v>2176.5</v>
      </c>
      <c r="AA11" s="27">
        <v>6813.4900000000007</v>
      </c>
      <c r="AB11" s="27">
        <v>6813.4900000000007</v>
      </c>
      <c r="AC11" s="28">
        <v>2176.5</v>
      </c>
      <c r="AD11">
        <v>33823.92617996128</v>
      </c>
      <c r="AE11">
        <v>33823.92617996128</v>
      </c>
      <c r="AF11">
        <v>33823.92617996128</v>
      </c>
      <c r="AG11">
        <v>33823.92617996128</v>
      </c>
      <c r="AH11">
        <v>33823.92617996128</v>
      </c>
      <c r="AI11">
        <v>6813.4900000000007</v>
      </c>
      <c r="AJ11">
        <v>6813.4900000000007</v>
      </c>
    </row>
    <row r="12" spans="1:36" x14ac:dyDescent="0.25">
      <c r="A12" s="14" t="s">
        <v>36</v>
      </c>
      <c r="B12" s="15" t="s">
        <v>50</v>
      </c>
      <c r="C12" s="16"/>
      <c r="D12" s="16"/>
      <c r="E12" s="17" t="s">
        <v>39</v>
      </c>
      <c r="F12" s="18"/>
      <c r="G12" s="19" t="s">
        <v>40</v>
      </c>
      <c r="H12" s="20">
        <v>0</v>
      </c>
      <c r="I12" s="21">
        <f>IN[[#This Row],[Buffer]]</f>
        <v>33823.92617996128</v>
      </c>
      <c r="J12" s="22">
        <f>IF(IN[[#This Row],[Sim_]]=IN[[#This Row],[STAGE]],1,0)</f>
        <v>0</v>
      </c>
      <c r="K12" s="23">
        <f>[1]SIM!$L$8</f>
        <v>3660.1400000000003</v>
      </c>
      <c r="L12" s="24">
        <f>[1]SIM!$L$4</f>
        <v>3660.1400000000003</v>
      </c>
      <c r="M12" s="22">
        <f>IF(IN[[#This Row],[Sim_]]=IN[[#This Row],[Sim Var ref]],1,0)</f>
        <v>1</v>
      </c>
      <c r="N12" s="8" t="str">
        <f>[1]SIM!$L$7</f>
        <v>p11</v>
      </c>
      <c r="O12" s="8">
        <v>12</v>
      </c>
      <c r="P12" s="25" t="e">
        <f>[1]SIM!$L$3</f>
        <v>#REF!</v>
      </c>
      <c r="Q12" s="22" t="e">
        <f>IF(IN[[#This Row],[Sim_]]=IN[[#This Row],[Direkt alt]],1,0)</f>
        <v>#REF!</v>
      </c>
      <c r="R12" s="10">
        <v>33823.92617996128</v>
      </c>
      <c r="S12" s="22">
        <f>IF(IN[[#This Row],[Sim_]]=IN[[#This Row],[Buffer]],1,0)</f>
        <v>0</v>
      </c>
      <c r="T12" s="11">
        <v>1000</v>
      </c>
      <c r="U12" s="21">
        <f>IN[[#This Row],[Buffer]]</f>
        <v>33823.92617996128</v>
      </c>
      <c r="V12" s="29">
        <v>3660.1400000000003</v>
      </c>
      <c r="W12" s="29">
        <v>1710.3</v>
      </c>
      <c r="X12" s="29">
        <v>2296.84</v>
      </c>
      <c r="Y12" s="11">
        <v>1000</v>
      </c>
      <c r="Z12" s="27">
        <v>2296.84</v>
      </c>
      <c r="AA12" s="27">
        <v>3660.1400000000003</v>
      </c>
      <c r="AB12" s="27">
        <v>3660.1400000000003</v>
      </c>
      <c r="AC12" s="28">
        <v>2296.84</v>
      </c>
      <c r="AD12">
        <v>33823.92617996128</v>
      </c>
      <c r="AE12">
        <v>33823.92617996128</v>
      </c>
      <c r="AF12">
        <v>33823.92617996128</v>
      </c>
      <c r="AG12">
        <v>33823.92617996128</v>
      </c>
      <c r="AH12">
        <v>33823.92617996128</v>
      </c>
      <c r="AI12">
        <v>3660.1400000000003</v>
      </c>
      <c r="AJ12">
        <v>3660.1400000000003</v>
      </c>
    </row>
    <row r="13" spans="1:36" x14ac:dyDescent="0.25">
      <c r="A13" s="30" t="s">
        <v>51</v>
      </c>
      <c r="B13" s="15" t="s">
        <v>52</v>
      </c>
      <c r="C13" s="16"/>
      <c r="D13" s="16"/>
      <c r="E13" s="31" t="s">
        <v>53</v>
      </c>
      <c r="F13" s="18"/>
      <c r="G13" s="32" t="s">
        <v>54</v>
      </c>
      <c r="H13" s="20">
        <v>0</v>
      </c>
      <c r="I13" s="21">
        <f>IN[[#This Row],[Buffer]]</f>
        <v>0</v>
      </c>
      <c r="J13" s="33">
        <f>IF(IN[[#This Row],[Sim_]]=IN[[#This Row],[STAGE]],1,0)</f>
        <v>1</v>
      </c>
      <c r="K13" s="34">
        <f>[1]SIM!$M$8</f>
        <v>0</v>
      </c>
      <c r="L13" s="24" t="str">
        <f>[1]SIM!$M$4</f>
        <v>Massgrob</v>
      </c>
      <c r="M13" s="33">
        <f>IF(IN[[#This Row],[Sim_]]=IN[[#This Row],[Sim Var ref]],1,0)</f>
        <v>0</v>
      </c>
      <c r="N13" s="8" t="str">
        <f>[1]SIM!$M$7</f>
        <v>p12</v>
      </c>
      <c r="O13" s="8">
        <v>13</v>
      </c>
      <c r="P13" s="25" t="str">
        <f>[1]SIM!$M$3</f>
        <v>SRS Standard</v>
      </c>
      <c r="Q13" s="33">
        <f>IF(IN[[#This Row],[Sim_]]=IN[[#This Row],[Direkt alt]],1,0)</f>
        <v>0</v>
      </c>
      <c r="R13" s="10">
        <v>0</v>
      </c>
      <c r="S13" s="33">
        <f>IF(IN[[#This Row],[Sim_]]=IN[[#This Row],[Buffer]],1,0)</f>
        <v>1</v>
      </c>
      <c r="T13" s="11"/>
      <c r="U13" s="21">
        <f>IN[[#This Row],[Buffer]]</f>
        <v>0</v>
      </c>
      <c r="V13" s="29" t="s">
        <v>55</v>
      </c>
      <c r="W13" s="29" t="s">
        <v>56</v>
      </c>
      <c r="X13" s="29" t="s">
        <v>57</v>
      </c>
      <c r="Y13" s="11"/>
      <c r="Z13" s="27" t="s">
        <v>57</v>
      </c>
      <c r="AA13" s="27" t="s">
        <v>55</v>
      </c>
      <c r="AB13" s="27">
        <v>0</v>
      </c>
      <c r="AC13" s="28" t="s">
        <v>57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30" t="s">
        <v>51</v>
      </c>
      <c r="B14" s="15" t="s">
        <v>58</v>
      </c>
      <c r="C14" s="16"/>
      <c r="D14" s="16"/>
      <c r="E14" s="17" t="s">
        <v>39</v>
      </c>
      <c r="F14" s="18"/>
      <c r="G14" s="32" t="s">
        <v>54</v>
      </c>
      <c r="H14" s="20">
        <v>0</v>
      </c>
      <c r="I14" s="21">
        <f>IN[[#This Row],[Buffer]]</f>
        <v>0.92792229018460659</v>
      </c>
      <c r="J14" s="22">
        <f>IF(IN[[#This Row],[Sim_]]=IN[[#This Row],[STAGE]],1,0)</f>
        <v>0</v>
      </c>
      <c r="K14" s="23">
        <f>[1]SIM!$N$8</f>
        <v>0.16700000000000001</v>
      </c>
      <c r="L14" s="24">
        <f>[1]SIM!$N$4</f>
        <v>0.16700000000000001</v>
      </c>
      <c r="M14" s="22">
        <f>IF(IN[[#This Row],[Sim_]]=IN[[#This Row],[Sim Var ref]],1,0)</f>
        <v>1</v>
      </c>
      <c r="N14" s="8" t="str">
        <f>[1]SIM!$N$7</f>
        <v>p13</v>
      </c>
      <c r="O14" s="8">
        <v>14</v>
      </c>
      <c r="P14" s="25">
        <f>[1]SIM!$N$3</f>
        <v>0.15</v>
      </c>
      <c r="Q14" s="22">
        <f>IF(IN[[#This Row],[Sim_]]=IN[[#This Row],[Direkt alt]],1,0)</f>
        <v>0</v>
      </c>
      <c r="R14" s="10">
        <v>0.92792229018460659</v>
      </c>
      <c r="S14" s="22">
        <f>IF(IN[[#This Row],[Sim_]]=IN[[#This Row],[Buffer]],1,0)</f>
        <v>0</v>
      </c>
      <c r="T14" s="11">
        <v>0.15</v>
      </c>
      <c r="U14" s="21">
        <f>IN[[#This Row],[Buffer]]</f>
        <v>0.92792229018460659</v>
      </c>
      <c r="V14" s="29">
        <v>0.16700000000000001</v>
      </c>
      <c r="W14" s="29">
        <v>0.12</v>
      </c>
      <c r="X14" s="29">
        <v>0.18178962488786005</v>
      </c>
      <c r="Y14" s="11">
        <v>0.15</v>
      </c>
      <c r="Z14" s="27">
        <v>0.18178962488786005</v>
      </c>
      <c r="AA14" s="27">
        <v>0.16700000000000001</v>
      </c>
      <c r="AB14" s="27">
        <v>0.16700000000000001</v>
      </c>
      <c r="AC14" s="28">
        <v>0.18178962488786005</v>
      </c>
      <c r="AD14">
        <v>0.92792229018460659</v>
      </c>
      <c r="AE14">
        <v>0.92792229018460659</v>
      </c>
      <c r="AF14">
        <v>0.92792229018460659</v>
      </c>
      <c r="AG14">
        <v>0.92792229018460659</v>
      </c>
      <c r="AH14">
        <v>0.92792229018460659</v>
      </c>
      <c r="AI14">
        <v>0.16700000000000001</v>
      </c>
      <c r="AJ14">
        <v>0.16700000000000001</v>
      </c>
    </row>
    <row r="15" spans="1:36" x14ac:dyDescent="0.25">
      <c r="A15" s="30" t="s">
        <v>51</v>
      </c>
      <c r="B15" s="15" t="s">
        <v>59</v>
      </c>
      <c r="C15" s="16"/>
      <c r="D15" s="16"/>
      <c r="E15" s="17" t="s">
        <v>39</v>
      </c>
      <c r="F15" s="18"/>
      <c r="G15" s="32" t="s">
        <v>54</v>
      </c>
      <c r="H15" s="20">
        <v>0</v>
      </c>
      <c r="I15" s="21">
        <f>IN[[#This Row],[Buffer]]</f>
        <v>1.9538597278549747</v>
      </c>
      <c r="J15" s="22">
        <f>IF(IN[[#This Row],[Sim_]]=IN[[#This Row],[STAGE]],1,0)</f>
        <v>0</v>
      </c>
      <c r="K15" s="23">
        <f>[1]SIM!$O$8</f>
        <v>0.75569500985923277</v>
      </c>
      <c r="L15" s="24">
        <f>[1]SIM!$O$4</f>
        <v>0.75569500985923277</v>
      </c>
      <c r="M15" s="22">
        <f>IF(IN[[#This Row],[Sim_]]=IN[[#This Row],[Sim Var ref]],1,0)</f>
        <v>1</v>
      </c>
      <c r="N15" s="8" t="str">
        <f>[1]SIM!$O$7</f>
        <v>p14</v>
      </c>
      <c r="O15" s="8">
        <v>15</v>
      </c>
      <c r="P15" s="25">
        <f>[1]SIM!$O$3</f>
        <v>0.87</v>
      </c>
      <c r="Q15" s="22">
        <f>IF(IN[[#This Row],[Sim_]]=IN[[#This Row],[Direkt alt]],1,0)</f>
        <v>0</v>
      </c>
      <c r="R15" s="10">
        <v>1.9538597278549747</v>
      </c>
      <c r="S15" s="22">
        <f>IF(IN[[#This Row],[Sim_]]=IN[[#This Row],[Buffer]],1,0)</f>
        <v>0</v>
      </c>
      <c r="T15" s="11">
        <v>0.6</v>
      </c>
      <c r="U15" s="21">
        <f>IN[[#This Row],[Buffer]]</f>
        <v>1.9538597278549747</v>
      </c>
      <c r="V15" s="29">
        <v>0.75569500985923277</v>
      </c>
      <c r="W15" s="29">
        <v>0.69</v>
      </c>
      <c r="X15" s="29">
        <v>0.85000000000000009</v>
      </c>
      <c r="Y15" s="11">
        <v>0.6</v>
      </c>
      <c r="Z15" s="27">
        <v>0.85000000000000009</v>
      </c>
      <c r="AA15" s="27">
        <v>0.75569500985923277</v>
      </c>
      <c r="AB15" s="27">
        <v>0.75569500985923277</v>
      </c>
      <c r="AC15" s="28">
        <v>0.85000000000000009</v>
      </c>
      <c r="AD15">
        <v>1.9538597278549747</v>
      </c>
      <c r="AE15">
        <v>1.9538597278549747</v>
      </c>
      <c r="AF15">
        <v>1.9538597278549747</v>
      </c>
      <c r="AG15">
        <v>1.9538597278549747</v>
      </c>
      <c r="AH15">
        <v>1.9538597278549747</v>
      </c>
      <c r="AI15">
        <v>0.75569500985923277</v>
      </c>
      <c r="AJ15">
        <v>0.75569500985923277</v>
      </c>
    </row>
    <row r="16" spans="1:36" x14ac:dyDescent="0.25">
      <c r="A16" s="30" t="s">
        <v>51</v>
      </c>
      <c r="B16" s="15" t="s">
        <v>60</v>
      </c>
      <c r="C16" s="16"/>
      <c r="D16" s="16"/>
      <c r="E16" s="17" t="s">
        <v>39</v>
      </c>
      <c r="F16" s="18"/>
      <c r="G16" s="32" t="s">
        <v>54</v>
      </c>
      <c r="H16" s="20">
        <v>0</v>
      </c>
      <c r="I16" s="21">
        <f>IN[[#This Row],[Buffer]]</f>
        <v>0.64541780245107794</v>
      </c>
      <c r="J16" s="22">
        <f>IF(IN[[#This Row],[Sim_]]=IN[[#This Row],[STAGE]],1,0)</f>
        <v>0</v>
      </c>
      <c r="K16" s="23">
        <f>[1]SIM!$P$8</f>
        <v>0.10882642522407752</v>
      </c>
      <c r="L16" s="24">
        <f>[1]SIM!$P$4</f>
        <v>0.10882642522407752</v>
      </c>
      <c r="M16" s="22">
        <f>IF(IN[[#This Row],[Sim_]]=IN[[#This Row],[Sim Var ref]],1,0)</f>
        <v>1</v>
      </c>
      <c r="N16" s="8" t="str">
        <f>[1]SIM!$P$7</f>
        <v>p15</v>
      </c>
      <c r="O16" s="8">
        <v>16</v>
      </c>
      <c r="P16" s="25">
        <f>[1]SIM!$P$3</f>
        <v>0.1</v>
      </c>
      <c r="Q16" s="22">
        <f>IF(IN[[#This Row],[Sim_]]=IN[[#This Row],[Direkt alt]],1,0)</f>
        <v>0</v>
      </c>
      <c r="R16" s="10">
        <v>0.64541780245107794</v>
      </c>
      <c r="S16" s="22">
        <f>IF(IN[[#This Row],[Sim_]]=IN[[#This Row],[Buffer]],1,0)</f>
        <v>0</v>
      </c>
      <c r="T16" s="11">
        <v>0.12</v>
      </c>
      <c r="U16" s="21">
        <f>IN[[#This Row],[Buffer]]</f>
        <v>0.64541780245107794</v>
      </c>
      <c r="V16" s="29">
        <v>0.10882642522407752</v>
      </c>
      <c r="W16" s="29">
        <v>0.11</v>
      </c>
      <c r="X16" s="29">
        <v>0.13929057613352627</v>
      </c>
      <c r="Y16" s="11">
        <v>0.12</v>
      </c>
      <c r="Z16" s="27">
        <v>0.13929057613352627</v>
      </c>
      <c r="AA16" s="27">
        <v>0.10882642522407752</v>
      </c>
      <c r="AB16" s="27">
        <v>0.10882642522407752</v>
      </c>
      <c r="AC16" s="28">
        <v>0.13929057613352627</v>
      </c>
      <c r="AD16">
        <v>0.64541780245107794</v>
      </c>
      <c r="AE16">
        <v>0.64541780245107794</v>
      </c>
      <c r="AF16">
        <v>0.64541780245107794</v>
      </c>
      <c r="AG16">
        <v>0.64541780245107794</v>
      </c>
      <c r="AH16">
        <v>0.64541780245107794</v>
      </c>
      <c r="AI16">
        <v>0.10882642522407752</v>
      </c>
      <c r="AJ16">
        <v>0.10882642522407752</v>
      </c>
    </row>
    <row r="17" spans="1:36" x14ac:dyDescent="0.25">
      <c r="A17" s="30" t="s">
        <v>51</v>
      </c>
      <c r="B17" s="15" t="s">
        <v>61</v>
      </c>
      <c r="C17" s="16"/>
      <c r="D17" s="16"/>
      <c r="E17" s="17" t="s">
        <v>39</v>
      </c>
      <c r="F17" s="18"/>
      <c r="G17" s="32" t="s">
        <v>54</v>
      </c>
      <c r="H17" s="20">
        <v>0</v>
      </c>
      <c r="I17" s="21">
        <f>IN[[#This Row],[Buffer]]</f>
        <v>0.91533308955521586</v>
      </c>
      <c r="J17" s="22">
        <f>IF(IN[[#This Row],[Sim_]]=IN[[#This Row],[STAGE]],1,0)</f>
        <v>0</v>
      </c>
      <c r="K17" s="23">
        <f>[1]SIM!$Q$8</f>
        <v>0.20121009578868568</v>
      </c>
      <c r="L17" s="24">
        <f>[1]SIM!$Q$4</f>
        <v>0.20121009578868568</v>
      </c>
      <c r="M17" s="22">
        <f>IF(IN[[#This Row],[Sim_]]=IN[[#This Row],[Sim Var ref]],1,0)</f>
        <v>1</v>
      </c>
      <c r="N17" s="8" t="str">
        <f>[1]SIM!$Q$7</f>
        <v>p16</v>
      </c>
      <c r="O17" s="8">
        <v>17</v>
      </c>
      <c r="P17" s="25">
        <f>[1]SIM!$Q$3</f>
        <v>0.16</v>
      </c>
      <c r="Q17" s="22">
        <f>IF(IN[[#This Row],[Sim_]]=IN[[#This Row],[Direkt alt]],1,0)</f>
        <v>0</v>
      </c>
      <c r="R17" s="10">
        <v>0.91533308955521586</v>
      </c>
      <c r="S17" s="22">
        <f>IF(IN[[#This Row],[Sim_]]=IN[[#This Row],[Buffer]],1,0)</f>
        <v>0</v>
      </c>
      <c r="T17" s="11">
        <v>0.12</v>
      </c>
      <c r="U17" s="21">
        <f>IN[[#This Row],[Buffer]]</f>
        <v>0.91533308955521586</v>
      </c>
      <c r="V17" s="29">
        <v>0.20121009578868568</v>
      </c>
      <c r="W17" s="29">
        <v>0.1</v>
      </c>
      <c r="X17" s="29">
        <v>0.2</v>
      </c>
      <c r="Y17" s="11">
        <v>0.12</v>
      </c>
      <c r="Z17" s="27">
        <v>0.2</v>
      </c>
      <c r="AA17" s="27">
        <v>0.20121009578868568</v>
      </c>
      <c r="AB17" s="27">
        <v>0.20121009578868568</v>
      </c>
      <c r="AC17" s="28">
        <v>0.2</v>
      </c>
      <c r="AD17">
        <v>0.91533308955521586</v>
      </c>
      <c r="AE17">
        <v>0.91533308955521586</v>
      </c>
      <c r="AF17">
        <v>0.91533308955521586</v>
      </c>
      <c r="AG17">
        <v>0.91533308955521586</v>
      </c>
      <c r="AH17">
        <v>0.91533308955521586</v>
      </c>
      <c r="AI17">
        <v>0.20121009578868568</v>
      </c>
      <c r="AJ17">
        <v>0.20121009578868568</v>
      </c>
    </row>
    <row r="18" spans="1:36" x14ac:dyDescent="0.25">
      <c r="A18" s="30" t="s">
        <v>51</v>
      </c>
      <c r="B18" s="15" t="s">
        <v>62</v>
      </c>
      <c r="C18" s="16"/>
      <c r="D18" s="16"/>
      <c r="E18" s="17" t="s">
        <v>39</v>
      </c>
      <c r="F18" s="18"/>
      <c r="G18" s="32" t="s">
        <v>54</v>
      </c>
      <c r="H18" s="20">
        <v>0</v>
      </c>
      <c r="I18" s="21">
        <f>IN[[#This Row],[Buffer]]</f>
        <v>0.71755784189881</v>
      </c>
      <c r="J18" s="33">
        <f>IF(IN[[#This Row],[Sim_]]=IN[[#This Row],[STAGE]],1,0)</f>
        <v>0</v>
      </c>
      <c r="K18" s="34">
        <f>[1]SIM!$R$8</f>
        <v>0.39489326478831027</v>
      </c>
      <c r="L18" s="24">
        <f>[1]SIM!$R$4</f>
        <v>0.39489326478831027</v>
      </c>
      <c r="M18" s="33">
        <f>IF(IN[[#This Row],[Sim_]]=IN[[#This Row],[Sim Var ref]],1,0)</f>
        <v>1</v>
      </c>
      <c r="N18" s="8" t="str">
        <f>[1]SIM!$R$7</f>
        <v>p17</v>
      </c>
      <c r="O18" s="8">
        <v>18</v>
      </c>
      <c r="P18" s="25">
        <f>[1]SIM!$R$3</f>
        <v>0.7</v>
      </c>
      <c r="Q18" s="33">
        <f>IF(IN[[#This Row],[Sim_]]=IN[[#This Row],[Direkt alt]],1,0)</f>
        <v>0</v>
      </c>
      <c r="R18" s="10">
        <v>0.71755784189881</v>
      </c>
      <c r="S18" s="33">
        <f>IF(IN[[#This Row],[Sim_]]=IN[[#This Row],[Buffer]],1,0)</f>
        <v>0</v>
      </c>
      <c r="T18" s="11">
        <v>0.5</v>
      </c>
      <c r="U18" s="21">
        <f>IN[[#This Row],[Buffer]]</f>
        <v>0.71755784189881</v>
      </c>
      <c r="V18" s="29">
        <v>0.39489326478831027</v>
      </c>
      <c r="W18" s="29">
        <v>0.5</v>
      </c>
      <c r="X18" s="29">
        <v>0.55000000000000004</v>
      </c>
      <c r="Y18" s="11">
        <v>0.5</v>
      </c>
      <c r="Z18" s="27">
        <v>0.55000000000000004</v>
      </c>
      <c r="AA18" s="27">
        <v>0.39489326478831027</v>
      </c>
      <c r="AB18" s="27">
        <v>0.39489326478831027</v>
      </c>
      <c r="AC18" s="28">
        <v>0.55000000000000004</v>
      </c>
      <c r="AD18">
        <v>0.71755784189881</v>
      </c>
      <c r="AE18">
        <v>0.71755784189881</v>
      </c>
      <c r="AF18">
        <v>0.71755784189881</v>
      </c>
      <c r="AG18">
        <v>0.71755784189881</v>
      </c>
      <c r="AH18">
        <v>0.71755784189881</v>
      </c>
      <c r="AI18">
        <v>0.39489326478831027</v>
      </c>
      <c r="AJ18">
        <v>0.39489326478831027</v>
      </c>
    </row>
    <row r="19" spans="1:36" x14ac:dyDescent="0.25">
      <c r="A19" s="30" t="s">
        <v>51</v>
      </c>
      <c r="B19" s="15" t="s">
        <v>63</v>
      </c>
      <c r="C19" s="16"/>
      <c r="D19" s="16"/>
      <c r="E19" s="17" t="s">
        <v>39</v>
      </c>
      <c r="F19" s="18"/>
      <c r="G19" s="32" t="s">
        <v>54</v>
      </c>
      <c r="H19" s="20">
        <v>0</v>
      </c>
      <c r="I19" s="21">
        <f>IN[[#This Row],[Buffer]]</f>
        <v>204.00000000000003</v>
      </c>
      <c r="J19" s="22">
        <f>IF(IN[[#This Row],[Sim_]]=IN[[#This Row],[STAGE]],1,0)</f>
        <v>1</v>
      </c>
      <c r="K19" s="23">
        <f>[1]SIM!$S$8</f>
        <v>204</v>
      </c>
      <c r="L19" s="24">
        <f>[1]SIM!$S$4</f>
        <v>204</v>
      </c>
      <c r="M19" s="22">
        <f>IF(IN[[#This Row],[Sim_]]=IN[[#This Row],[Sim Var ref]],1,0)</f>
        <v>1</v>
      </c>
      <c r="N19" s="8" t="str">
        <f>[1]SIM!$S$7</f>
        <v>sp_st_cap</v>
      </c>
      <c r="O19" s="8">
        <v>19</v>
      </c>
      <c r="P19" s="25">
        <f>[1]SIM!$S$3</f>
        <v>204</v>
      </c>
      <c r="Q19" s="22">
        <f>IF(IN[[#This Row],[Sim_]]=IN[[#This Row],[Direkt alt]],1,0)</f>
        <v>1</v>
      </c>
      <c r="R19" s="10">
        <v>204.00000000000003</v>
      </c>
      <c r="S19" s="22">
        <f>IF(IN[[#This Row],[Sim_]]=IN[[#This Row],[Buffer]],1,0)</f>
        <v>1</v>
      </c>
      <c r="T19" s="11">
        <v>200</v>
      </c>
      <c r="U19" s="21">
        <f>IN[[#This Row],[Buffer]]</f>
        <v>204.00000000000003</v>
      </c>
      <c r="V19" s="29">
        <v>204</v>
      </c>
      <c r="W19" s="29">
        <v>132</v>
      </c>
      <c r="X19" s="29">
        <v>135</v>
      </c>
      <c r="Y19" s="11">
        <v>200</v>
      </c>
      <c r="Z19" s="27">
        <v>135</v>
      </c>
      <c r="AA19" s="27">
        <v>204</v>
      </c>
      <c r="AB19" s="27">
        <v>204</v>
      </c>
      <c r="AC19" s="28">
        <v>135</v>
      </c>
      <c r="AD19">
        <v>204.00000000000003</v>
      </c>
      <c r="AE19">
        <v>204.00000000000003</v>
      </c>
      <c r="AF19">
        <v>204.00000000000003</v>
      </c>
      <c r="AG19">
        <v>204.00000000000003</v>
      </c>
      <c r="AH19">
        <v>204.00000000000003</v>
      </c>
      <c r="AI19">
        <v>204</v>
      </c>
      <c r="AJ19">
        <v>204</v>
      </c>
    </row>
    <row r="20" spans="1:36" x14ac:dyDescent="0.25">
      <c r="A20" s="30" t="s">
        <v>51</v>
      </c>
      <c r="B20" s="15" t="s">
        <v>64</v>
      </c>
      <c r="C20" s="16"/>
      <c r="D20" s="16"/>
      <c r="E20" s="17" t="s">
        <v>65</v>
      </c>
      <c r="F20" s="18"/>
      <c r="G20" s="32" t="s">
        <v>54</v>
      </c>
      <c r="H20" s="20">
        <v>0</v>
      </c>
      <c r="I20" s="21">
        <f>IN[[#This Row],[Buffer]]</f>
        <v>0</v>
      </c>
      <c r="J20" s="22">
        <f>IF(IN[[#This Row],[Sim_]]=IN[[#This Row],[STAGE]],1,0)</f>
        <v>0</v>
      </c>
      <c r="K20" s="23">
        <f>[1]SIM!$T$8</f>
        <v>0.80099999999999993</v>
      </c>
      <c r="L20" s="24">
        <f>[1]SIM!$T$4</f>
        <v>0.80099999999999993</v>
      </c>
      <c r="M20" s="22">
        <f>IF(IN[[#This Row],[Sim_]]=IN[[#This Row],[Sim Var ref]],1,0)</f>
        <v>1</v>
      </c>
      <c r="N20" s="8" t="str">
        <f>[1]SIM!$T$7</f>
        <v>p19</v>
      </c>
      <c r="O20" s="8">
        <v>20</v>
      </c>
      <c r="P20" s="25">
        <f>[1]SIM!$T$3</f>
        <v>0.80099999999999993</v>
      </c>
      <c r="Q20" s="22">
        <f>IF(IN[[#This Row],[Sim_]]=IN[[#This Row],[Direkt alt]],1,0)</f>
        <v>1</v>
      </c>
      <c r="R20" s="10">
        <v>0</v>
      </c>
      <c r="S20" s="22">
        <f>IF(IN[[#This Row],[Sim_]]=IN[[#This Row],[Buffer]],1,0)</f>
        <v>0</v>
      </c>
      <c r="T20" s="11">
        <v>0</v>
      </c>
      <c r="U20" s="21">
        <f>IN[[#This Row],[Buffer]]</f>
        <v>0</v>
      </c>
      <c r="V20" s="29">
        <v>0.80099999999999993</v>
      </c>
      <c r="W20" s="29">
        <v>0</v>
      </c>
      <c r="X20" s="29">
        <v>0</v>
      </c>
      <c r="Y20" s="11">
        <v>0</v>
      </c>
      <c r="Z20" s="27">
        <v>0</v>
      </c>
      <c r="AA20" s="27">
        <v>0.80099999999999993</v>
      </c>
      <c r="AB20" s="27">
        <v>0.80099999999999993</v>
      </c>
      <c r="AC20" s="28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0.80099999999999993</v>
      </c>
      <c r="AJ20">
        <v>0.80099999999999993</v>
      </c>
    </row>
    <row r="21" spans="1:36" x14ac:dyDescent="0.25">
      <c r="A21" s="30" t="s">
        <v>51</v>
      </c>
      <c r="B21" s="15" t="s">
        <v>66</v>
      </c>
      <c r="C21" s="16"/>
      <c r="D21" s="16"/>
      <c r="E21" s="17" t="s">
        <v>65</v>
      </c>
      <c r="F21" s="18"/>
      <c r="G21" s="32" t="s">
        <v>54</v>
      </c>
      <c r="H21" s="20">
        <v>0</v>
      </c>
      <c r="I21" s="21">
        <f>IN[[#This Row],[Buffer]]</f>
        <v>0</v>
      </c>
      <c r="J21" s="22">
        <f>IF(IN[[#This Row],[Sim_]]=IN[[#This Row],[STAGE]],1,0)</f>
        <v>0</v>
      </c>
      <c r="K21" s="23">
        <f>[1]SIM!$U$8</f>
        <v>0.23019999999999999</v>
      </c>
      <c r="L21" s="24">
        <f>[1]SIM!$U$4</f>
        <v>0.23019999999999999</v>
      </c>
      <c r="M21" s="22">
        <f>IF(IN[[#This Row],[Sim_]]=IN[[#This Row],[Sim Var ref]],1,0)</f>
        <v>1</v>
      </c>
      <c r="N21" s="8" t="str">
        <f>[1]SIM!$U$7</f>
        <v>p20</v>
      </c>
      <c r="O21" s="8">
        <v>21</v>
      </c>
      <c r="P21" s="25">
        <f>[1]SIM!$U$3</f>
        <v>0.23019999999999999</v>
      </c>
      <c r="Q21" s="22">
        <f>IF(IN[[#This Row],[Sim_]]=IN[[#This Row],[Direkt alt]],1,0)</f>
        <v>1</v>
      </c>
      <c r="R21" s="10">
        <v>0</v>
      </c>
      <c r="S21" s="22">
        <f>IF(IN[[#This Row],[Sim_]]=IN[[#This Row],[Buffer]],1,0)</f>
        <v>0</v>
      </c>
      <c r="T21" s="11">
        <v>0</v>
      </c>
      <c r="U21" s="21">
        <f>IN[[#This Row],[Buffer]]</f>
        <v>0</v>
      </c>
      <c r="V21" s="29">
        <v>0.23019999999999999</v>
      </c>
      <c r="W21" s="29">
        <v>0</v>
      </c>
      <c r="X21" s="29">
        <v>0</v>
      </c>
      <c r="Y21" s="11">
        <v>0</v>
      </c>
      <c r="Z21" s="27">
        <v>0</v>
      </c>
      <c r="AA21" s="27">
        <v>0.23019999999999999</v>
      </c>
      <c r="AB21" s="27">
        <v>0.23019999999999999</v>
      </c>
      <c r="AC21" s="28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0.23019999999999999</v>
      </c>
      <c r="AJ21">
        <v>0.23019999999999999</v>
      </c>
    </row>
    <row r="22" spans="1:36" x14ac:dyDescent="0.25">
      <c r="A22" s="30" t="s">
        <v>51</v>
      </c>
      <c r="B22" s="15" t="s">
        <v>67</v>
      </c>
      <c r="C22" s="16"/>
      <c r="D22" s="16"/>
      <c r="E22" s="17" t="s">
        <v>65</v>
      </c>
      <c r="F22" s="18"/>
      <c r="G22" s="32" t="s">
        <v>54</v>
      </c>
      <c r="H22" s="20">
        <v>0</v>
      </c>
      <c r="I22" s="21">
        <f>IN[[#This Row],[Buffer]]</f>
        <v>0</v>
      </c>
      <c r="J22" s="22">
        <f>IF(IN[[#This Row],[Sim_]]=IN[[#This Row],[STAGE]],1,0)</f>
        <v>0</v>
      </c>
      <c r="K22" s="23">
        <f>[1]SIM!$V$8</f>
        <v>1.06</v>
      </c>
      <c r="L22" s="24">
        <f>[1]SIM!$V$4</f>
        <v>1.06</v>
      </c>
      <c r="M22" s="22">
        <f>IF(IN[[#This Row],[Sim_]]=IN[[#This Row],[Sim Var ref]],1,0)</f>
        <v>1</v>
      </c>
      <c r="N22" s="8" t="str">
        <f>[1]SIM!$V$7</f>
        <v>p21</v>
      </c>
      <c r="O22" s="8">
        <v>22</v>
      </c>
      <c r="P22" s="25">
        <f>[1]SIM!$V$3</f>
        <v>1.06</v>
      </c>
      <c r="Q22" s="22">
        <f>IF(IN[[#This Row],[Sim_]]=IN[[#This Row],[Direkt alt]],1,0)</f>
        <v>1</v>
      </c>
      <c r="R22" s="10">
        <v>0</v>
      </c>
      <c r="S22" s="22">
        <f>IF(IN[[#This Row],[Sim_]]=IN[[#This Row],[Buffer]],1,0)</f>
        <v>0</v>
      </c>
      <c r="T22" s="11">
        <v>0</v>
      </c>
      <c r="U22" s="21">
        <f>IN[[#This Row],[Buffer]]</f>
        <v>0</v>
      </c>
      <c r="V22" s="29">
        <v>1.06</v>
      </c>
      <c r="W22" s="29">
        <v>0</v>
      </c>
      <c r="X22" s="29">
        <v>0</v>
      </c>
      <c r="Y22" s="11">
        <v>0</v>
      </c>
      <c r="Z22" s="27">
        <v>0</v>
      </c>
      <c r="AA22" s="27">
        <v>1.06</v>
      </c>
      <c r="AB22" s="27">
        <v>1.06</v>
      </c>
      <c r="AC22" s="28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1.06</v>
      </c>
      <c r="AJ22">
        <v>1.06</v>
      </c>
    </row>
    <row r="23" spans="1:36" x14ac:dyDescent="0.25">
      <c r="A23" s="30" t="s">
        <v>51</v>
      </c>
      <c r="B23" s="15" t="s">
        <v>68</v>
      </c>
      <c r="C23" s="16"/>
      <c r="D23" s="16"/>
      <c r="E23" s="17" t="s">
        <v>65</v>
      </c>
      <c r="F23" s="18"/>
      <c r="G23" s="32" t="s">
        <v>54</v>
      </c>
      <c r="H23" s="20">
        <v>0</v>
      </c>
      <c r="I23" s="21">
        <f>IN[[#This Row],[Buffer]]</f>
        <v>0</v>
      </c>
      <c r="J23" s="22">
        <f>IF(IN[[#This Row],[Sim_]]=IN[[#This Row],[STAGE]],1,0)</f>
        <v>0</v>
      </c>
      <c r="K23" s="23">
        <f>[1]SIM!$W$8</f>
        <v>1.64</v>
      </c>
      <c r="L23" s="24">
        <f>[1]SIM!$W$4</f>
        <v>1.64</v>
      </c>
      <c r="M23" s="22">
        <f>IF(IN[[#This Row],[Sim_]]=IN[[#This Row],[Sim Var ref]],1,0)</f>
        <v>1</v>
      </c>
      <c r="N23" s="8" t="str">
        <f>[1]SIM!$W$7</f>
        <v>p22</v>
      </c>
      <c r="O23" s="8">
        <v>23</v>
      </c>
      <c r="P23" s="25">
        <f>[1]SIM!$W$3</f>
        <v>1.64</v>
      </c>
      <c r="Q23" s="22">
        <f>IF(IN[[#This Row],[Sim_]]=IN[[#This Row],[Direkt alt]],1,0)</f>
        <v>1</v>
      </c>
      <c r="R23" s="10">
        <v>0</v>
      </c>
      <c r="S23" s="22">
        <f>IF(IN[[#This Row],[Sim_]]=IN[[#This Row],[Buffer]],1,0)</f>
        <v>0</v>
      </c>
      <c r="T23" s="11">
        <v>0</v>
      </c>
      <c r="U23" s="21">
        <f>IN[[#This Row],[Buffer]]</f>
        <v>0</v>
      </c>
      <c r="V23" s="29">
        <v>1.64</v>
      </c>
      <c r="W23" s="29">
        <v>0</v>
      </c>
      <c r="X23" s="29">
        <v>0</v>
      </c>
      <c r="Y23" s="11">
        <v>0</v>
      </c>
      <c r="Z23" s="27">
        <v>0</v>
      </c>
      <c r="AA23" s="27">
        <v>1.64</v>
      </c>
      <c r="AB23" s="27">
        <v>1.64</v>
      </c>
      <c r="AC23" s="28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1.64</v>
      </c>
      <c r="AJ23">
        <v>1.64</v>
      </c>
    </row>
    <row r="24" spans="1:36" x14ac:dyDescent="0.25">
      <c r="A24" s="30" t="s">
        <v>51</v>
      </c>
      <c r="B24" s="15" t="s">
        <v>69</v>
      </c>
      <c r="C24" s="16"/>
      <c r="D24" s="16"/>
      <c r="E24" s="17" t="s">
        <v>65</v>
      </c>
      <c r="F24" s="18"/>
      <c r="G24" s="32" t="s">
        <v>54</v>
      </c>
      <c r="H24" s="20">
        <v>0</v>
      </c>
      <c r="I24" s="21">
        <f>IN[[#This Row],[Buffer]]</f>
        <v>0</v>
      </c>
      <c r="J24" s="22">
        <f>IF(IN[[#This Row],[Sim_]]=IN[[#This Row],[STAGE]],1,0)</f>
        <v>0</v>
      </c>
      <c r="K24" s="23">
        <f>[1]SIM!$X$8</f>
        <v>1.64</v>
      </c>
      <c r="L24" s="24">
        <f>[1]SIM!$X$4</f>
        <v>1.64</v>
      </c>
      <c r="M24" s="22">
        <f>IF(IN[[#This Row],[Sim_]]=IN[[#This Row],[Sim Var ref]],1,0)</f>
        <v>1</v>
      </c>
      <c r="N24" s="8" t="str">
        <f>[1]SIM!$X$7</f>
        <v>p23</v>
      </c>
      <c r="O24" s="8">
        <v>24</v>
      </c>
      <c r="P24" s="25">
        <f>[1]SIM!$X$3</f>
        <v>1.64</v>
      </c>
      <c r="Q24" s="22">
        <f>IF(IN[[#This Row],[Sim_]]=IN[[#This Row],[Direkt alt]],1,0)</f>
        <v>1</v>
      </c>
      <c r="R24" s="10">
        <v>0</v>
      </c>
      <c r="S24" s="22">
        <f>IF(IN[[#This Row],[Sim_]]=IN[[#This Row],[Buffer]],1,0)</f>
        <v>0</v>
      </c>
      <c r="T24" s="11">
        <v>0</v>
      </c>
      <c r="U24" s="21">
        <f>IN[[#This Row],[Buffer]]</f>
        <v>0</v>
      </c>
      <c r="V24" s="29">
        <v>1.64</v>
      </c>
      <c r="W24" s="29">
        <v>0</v>
      </c>
      <c r="X24" s="29">
        <v>0</v>
      </c>
      <c r="Y24" s="11">
        <v>0</v>
      </c>
      <c r="Z24" s="27">
        <v>0</v>
      </c>
      <c r="AA24" s="27">
        <v>1.64</v>
      </c>
      <c r="AB24" s="27">
        <v>1.64</v>
      </c>
      <c r="AC24" s="28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1.64</v>
      </c>
      <c r="AJ24">
        <v>1.64</v>
      </c>
    </row>
    <row r="25" spans="1:36" x14ac:dyDescent="0.25">
      <c r="A25" s="30" t="s">
        <v>51</v>
      </c>
      <c r="B25" s="15" t="s">
        <v>70</v>
      </c>
      <c r="C25" s="16"/>
      <c r="D25" s="16"/>
      <c r="E25" s="17" t="s">
        <v>65</v>
      </c>
      <c r="F25" s="18"/>
      <c r="G25" s="32" t="s">
        <v>54</v>
      </c>
      <c r="H25" s="20">
        <v>0</v>
      </c>
      <c r="I25" s="21">
        <f>IN[[#This Row],[Buffer]]</f>
        <v>0</v>
      </c>
      <c r="J25" s="22">
        <f>IF(IN[[#This Row],[Sim_]]=IN[[#This Row],[STAGE]],1,0)</f>
        <v>0</v>
      </c>
      <c r="K25" s="23">
        <f>[1]SIM!$Y$8</f>
        <v>0.75</v>
      </c>
      <c r="L25" s="24">
        <f>[1]SIM!$Y$4</f>
        <v>0.75</v>
      </c>
      <c r="M25" s="22">
        <f>IF(IN[[#This Row],[Sim_]]=IN[[#This Row],[Sim Var ref]],1,0)</f>
        <v>1</v>
      </c>
      <c r="N25" s="8" t="str">
        <f>[1]SIM!$Y$7</f>
        <v>p24</v>
      </c>
      <c r="O25" s="8">
        <v>25</v>
      </c>
      <c r="P25" s="25">
        <f>[1]SIM!$Y$3</f>
        <v>0</v>
      </c>
      <c r="Q25" s="22">
        <f>IF(IN[[#This Row],[Sim_]]=IN[[#This Row],[Direkt alt]],1,0)</f>
        <v>0</v>
      </c>
      <c r="R25" s="10">
        <v>0</v>
      </c>
      <c r="S25" s="22">
        <f>IF(IN[[#This Row],[Sim_]]=IN[[#This Row],[Buffer]],1,0)</f>
        <v>0</v>
      </c>
      <c r="T25" s="11">
        <v>0</v>
      </c>
      <c r="U25" s="21">
        <f>IN[[#This Row],[Buffer]]</f>
        <v>0</v>
      </c>
      <c r="V25" s="29">
        <v>0.75</v>
      </c>
      <c r="W25" s="29">
        <v>0</v>
      </c>
      <c r="X25" s="29">
        <v>0</v>
      </c>
      <c r="Y25" s="11">
        <v>0</v>
      </c>
      <c r="Z25" s="27">
        <v>0</v>
      </c>
      <c r="AA25" s="27">
        <v>0.75</v>
      </c>
      <c r="AB25" s="27">
        <v>0.75</v>
      </c>
      <c r="AC25" s="28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0.75</v>
      </c>
      <c r="AJ25">
        <v>0.75</v>
      </c>
    </row>
    <row r="26" spans="1:36" x14ac:dyDescent="0.25">
      <c r="A26" s="30" t="s">
        <v>51</v>
      </c>
      <c r="B26" s="15" t="s">
        <v>71</v>
      </c>
      <c r="C26" s="16"/>
      <c r="D26" s="16"/>
      <c r="E26" s="17" t="s">
        <v>65</v>
      </c>
      <c r="F26" s="18"/>
      <c r="G26" s="32" t="s">
        <v>54</v>
      </c>
      <c r="H26" s="20">
        <v>0</v>
      </c>
      <c r="I26" s="21">
        <f>IN[[#This Row],[Buffer]]</f>
        <v>0</v>
      </c>
      <c r="J26" s="22">
        <f>IF(IN[[#This Row],[Sim_]]=IN[[#This Row],[STAGE]],1,0)</f>
        <v>1</v>
      </c>
      <c r="K26" s="23">
        <f>[1]SIM!$Z$8</f>
        <v>0</v>
      </c>
      <c r="L26" s="24">
        <f>[1]SIM!$Z$4</f>
        <v>0</v>
      </c>
      <c r="M26" s="22">
        <f>IF(IN[[#This Row],[Sim_]]=IN[[#This Row],[Sim Var ref]],1,0)</f>
        <v>1</v>
      </c>
      <c r="N26" s="8" t="str">
        <f>[1]SIM!$Z$7</f>
        <v>p25</v>
      </c>
      <c r="O26" s="8">
        <v>26</v>
      </c>
      <c r="P26" s="25">
        <f>[1]SIM!$Z$3</f>
        <v>0</v>
      </c>
      <c r="Q26" s="22">
        <f>IF(IN[[#This Row],[Sim_]]=IN[[#This Row],[Direkt alt]],1,0)</f>
        <v>1</v>
      </c>
      <c r="R26" s="10">
        <v>0</v>
      </c>
      <c r="S26" s="22">
        <f>IF(IN[[#This Row],[Sim_]]=IN[[#This Row],[Buffer]],1,0)</f>
        <v>1</v>
      </c>
      <c r="T26" s="11">
        <v>0</v>
      </c>
      <c r="U26" s="21">
        <f>IN[[#This Row],[Buffer]]</f>
        <v>0</v>
      </c>
      <c r="V26" s="29">
        <v>0</v>
      </c>
      <c r="W26" s="29">
        <v>0</v>
      </c>
      <c r="X26" s="29">
        <v>0</v>
      </c>
      <c r="Y26" s="11">
        <v>0</v>
      </c>
      <c r="Z26" s="27">
        <v>0</v>
      </c>
      <c r="AA26" s="27">
        <v>0</v>
      </c>
      <c r="AB26" s="27">
        <v>0</v>
      </c>
      <c r="AC26" s="28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30" t="s">
        <v>51</v>
      </c>
      <c r="B27" s="15" t="s">
        <v>72</v>
      </c>
      <c r="C27" s="16"/>
      <c r="D27" s="16"/>
      <c r="E27" s="17" t="s">
        <v>65</v>
      </c>
      <c r="F27" s="18"/>
      <c r="G27" s="32" t="s">
        <v>54</v>
      </c>
      <c r="H27" s="20">
        <v>0</v>
      </c>
      <c r="I27" s="21">
        <f>IN[[#This Row],[Buffer]]</f>
        <v>0</v>
      </c>
      <c r="J27" s="22">
        <f>IF(IN[[#This Row],[Sim_]]=IN[[#This Row],[STAGE]],1,0)</f>
        <v>0</v>
      </c>
      <c r="K27" s="23">
        <f>[1]SIM!$AA$8</f>
        <v>0.2</v>
      </c>
      <c r="L27" s="24">
        <f>[1]SIM!$AA$4</f>
        <v>0.2</v>
      </c>
      <c r="M27" s="22">
        <f>IF(IN[[#This Row],[Sim_]]=IN[[#This Row],[Sim Var ref]],1,0)</f>
        <v>1</v>
      </c>
      <c r="N27" s="8" t="str">
        <f>[1]SIM!$AA$7</f>
        <v>p26</v>
      </c>
      <c r="O27" s="8">
        <v>27</v>
      </c>
      <c r="P27" s="25">
        <f>[1]SIM!$AA$3</f>
        <v>0.2</v>
      </c>
      <c r="Q27" s="22">
        <f>IF(IN[[#This Row],[Sim_]]=IN[[#This Row],[Direkt alt]],1,0)</f>
        <v>1</v>
      </c>
      <c r="R27" s="10">
        <v>0</v>
      </c>
      <c r="S27" s="22">
        <f>IF(IN[[#This Row],[Sim_]]=IN[[#This Row],[Buffer]],1,0)</f>
        <v>0</v>
      </c>
      <c r="T27" s="11">
        <v>0</v>
      </c>
      <c r="U27" s="21">
        <f>IN[[#This Row],[Buffer]]</f>
        <v>0</v>
      </c>
      <c r="V27" s="29">
        <v>0.2</v>
      </c>
      <c r="W27" s="29">
        <v>0</v>
      </c>
      <c r="X27" s="29">
        <v>0</v>
      </c>
      <c r="Y27" s="11">
        <v>0</v>
      </c>
      <c r="Z27" s="27">
        <v>0</v>
      </c>
      <c r="AA27" s="27">
        <v>0.2</v>
      </c>
      <c r="AB27" s="27">
        <v>0.2</v>
      </c>
      <c r="AC27" s="28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</v>
      </c>
      <c r="AJ27">
        <v>0.2</v>
      </c>
    </row>
    <row r="28" spans="1:36" x14ac:dyDescent="0.25">
      <c r="A28" s="30" t="s">
        <v>51</v>
      </c>
      <c r="B28" s="15" t="s">
        <v>73</v>
      </c>
      <c r="C28" s="16"/>
      <c r="D28" s="16"/>
      <c r="E28" s="17" t="s">
        <v>65</v>
      </c>
      <c r="F28" s="18"/>
      <c r="G28" s="32" t="s">
        <v>54</v>
      </c>
      <c r="H28" s="20">
        <v>0</v>
      </c>
      <c r="I28" s="21">
        <f>IN[[#This Row],[Buffer]]</f>
        <v>0</v>
      </c>
      <c r="J28" s="22">
        <f>IF(IN[[#This Row],[Sim_]]=IN[[#This Row],[STAGE]],1,0)</f>
        <v>0</v>
      </c>
      <c r="K28" s="23">
        <f>[1]SIM!$AB$8</f>
        <v>0.06</v>
      </c>
      <c r="L28" s="24">
        <f>[1]SIM!$AB$4</f>
        <v>0.06</v>
      </c>
      <c r="M28" s="22">
        <f>IF(IN[[#This Row],[Sim_]]=IN[[#This Row],[Sim Var ref]],1,0)</f>
        <v>1</v>
      </c>
      <c r="N28" s="8" t="str">
        <f>[1]SIM!$AB$7</f>
        <v>p27</v>
      </c>
      <c r="O28" s="8">
        <v>28</v>
      </c>
      <c r="P28" s="25">
        <f>[1]SIM!$AB$3</f>
        <v>0.06</v>
      </c>
      <c r="Q28" s="22">
        <f>IF(IN[[#This Row],[Sim_]]=IN[[#This Row],[Direkt alt]],1,0)</f>
        <v>1</v>
      </c>
      <c r="R28" s="10">
        <v>0</v>
      </c>
      <c r="S28" s="22">
        <f>IF(IN[[#This Row],[Sim_]]=IN[[#This Row],[Buffer]],1,0)</f>
        <v>0</v>
      </c>
      <c r="T28" s="11">
        <v>0</v>
      </c>
      <c r="U28" s="21">
        <f>IN[[#This Row],[Buffer]]</f>
        <v>0</v>
      </c>
      <c r="V28" s="29">
        <v>0.06</v>
      </c>
      <c r="W28" s="29">
        <v>0</v>
      </c>
      <c r="X28" s="29">
        <v>0</v>
      </c>
      <c r="Y28" s="11">
        <v>0</v>
      </c>
      <c r="Z28" s="27">
        <v>0</v>
      </c>
      <c r="AA28" s="27">
        <v>0.06</v>
      </c>
      <c r="AB28" s="27">
        <v>0.06</v>
      </c>
      <c r="AC28" s="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0.06</v>
      </c>
      <c r="AJ28">
        <v>0.06</v>
      </c>
    </row>
    <row r="29" spans="1:36" x14ac:dyDescent="0.25">
      <c r="A29" s="30" t="s">
        <v>51</v>
      </c>
      <c r="B29" s="15" t="s">
        <v>74</v>
      </c>
      <c r="C29" s="16"/>
      <c r="D29" s="16"/>
      <c r="E29" s="17" t="s">
        <v>65</v>
      </c>
      <c r="F29" s="18"/>
      <c r="G29" s="32" t="s">
        <v>54</v>
      </c>
      <c r="H29" s="20">
        <v>0</v>
      </c>
      <c r="I29" s="21">
        <f>IN[[#This Row],[Buffer]]</f>
        <v>0</v>
      </c>
      <c r="J29" s="22">
        <f>IF(IN[[#This Row],[Sim_]]=IN[[#This Row],[STAGE]],1,0)</f>
        <v>1</v>
      </c>
      <c r="K29" s="23">
        <f>[1]SIM!$AC$8</f>
        <v>0</v>
      </c>
      <c r="L29" s="24">
        <f>[1]SIM!$AC$4</f>
        <v>0</v>
      </c>
      <c r="M29" s="22">
        <f>IF(IN[[#This Row],[Sim_]]=IN[[#This Row],[Sim Var ref]],1,0)</f>
        <v>1</v>
      </c>
      <c r="N29" s="8" t="str">
        <f>[1]SIM!$AC$7</f>
        <v>p28</v>
      </c>
      <c r="O29" s="8">
        <v>29</v>
      </c>
      <c r="P29" s="25">
        <f>[1]SIM!$AC$3</f>
        <v>0</v>
      </c>
      <c r="Q29" s="22">
        <f>IF(IN[[#This Row],[Sim_]]=IN[[#This Row],[Direkt alt]],1,0)</f>
        <v>1</v>
      </c>
      <c r="R29" s="10">
        <v>0</v>
      </c>
      <c r="S29" s="22">
        <f>IF(IN[[#This Row],[Sim_]]=IN[[#This Row],[Buffer]],1,0)</f>
        <v>1</v>
      </c>
      <c r="T29" s="11">
        <v>0</v>
      </c>
      <c r="U29" s="21">
        <f>IN[[#This Row],[Buffer]]</f>
        <v>0</v>
      </c>
      <c r="V29" s="29">
        <v>0</v>
      </c>
      <c r="W29" s="29">
        <v>0</v>
      </c>
      <c r="X29" s="29">
        <v>0</v>
      </c>
      <c r="Y29" s="11">
        <v>0</v>
      </c>
      <c r="Z29" s="27">
        <v>0</v>
      </c>
      <c r="AA29" s="27">
        <v>0</v>
      </c>
      <c r="AB29" s="27">
        <v>0</v>
      </c>
      <c r="AC29" s="28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30" t="s">
        <v>51</v>
      </c>
      <c r="B30" s="15" t="s">
        <v>75</v>
      </c>
      <c r="C30" s="16"/>
      <c r="D30" s="16"/>
      <c r="E30" s="17" t="s">
        <v>65</v>
      </c>
      <c r="F30" s="18"/>
      <c r="G30" s="32" t="s">
        <v>54</v>
      </c>
      <c r="H30" s="20">
        <v>0</v>
      </c>
      <c r="I30" s="21">
        <f>IN[[#This Row],[Buffer]]</f>
        <v>0</v>
      </c>
      <c r="J30" s="22">
        <f>IF(IN[[#This Row],[Sim_]]=IN[[#This Row],[STAGE]],1,0)</f>
        <v>0</v>
      </c>
      <c r="K30" s="23">
        <f>[1]SIM!$AD$8</f>
        <v>1.25</v>
      </c>
      <c r="L30" s="24">
        <f>[1]SIM!$AD$4</f>
        <v>1.25</v>
      </c>
      <c r="M30" s="22">
        <f>IF(IN[[#This Row],[Sim_]]=IN[[#This Row],[Sim Var ref]],1,0)</f>
        <v>1</v>
      </c>
      <c r="N30" s="8" t="str">
        <f>[1]SIM!$AD$7</f>
        <v>p29</v>
      </c>
      <c r="O30" s="8">
        <v>30</v>
      </c>
      <c r="P30" s="25">
        <f>[1]SIM!$AD$3</f>
        <v>0</v>
      </c>
      <c r="Q30" s="22">
        <f>IF(IN[[#This Row],[Sim_]]=IN[[#This Row],[Direkt alt]],1,0)</f>
        <v>0</v>
      </c>
      <c r="R30" s="10">
        <v>0</v>
      </c>
      <c r="S30" s="22">
        <f>IF(IN[[#This Row],[Sim_]]=IN[[#This Row],[Buffer]],1,0)</f>
        <v>0</v>
      </c>
      <c r="T30" s="11">
        <v>0</v>
      </c>
      <c r="U30" s="21">
        <f>IN[[#This Row],[Buffer]]</f>
        <v>0</v>
      </c>
      <c r="V30" s="29">
        <v>1.25</v>
      </c>
      <c r="W30" s="29">
        <v>0</v>
      </c>
      <c r="X30" s="29">
        <v>0</v>
      </c>
      <c r="Y30" s="11">
        <v>0</v>
      </c>
      <c r="Z30" s="27">
        <v>0</v>
      </c>
      <c r="AA30" s="27">
        <v>1.25</v>
      </c>
      <c r="AB30" s="27">
        <v>1.25</v>
      </c>
      <c r="AC30" s="28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1.25</v>
      </c>
      <c r="AJ30">
        <v>1.25</v>
      </c>
    </row>
    <row r="31" spans="1:36" x14ac:dyDescent="0.25">
      <c r="A31" s="14"/>
      <c r="B31" s="15" t="s">
        <v>76</v>
      </c>
      <c r="C31" s="16"/>
      <c r="D31" s="16"/>
      <c r="E31" s="17" t="s">
        <v>39</v>
      </c>
      <c r="F31" s="18"/>
      <c r="G31" s="19" t="s">
        <v>40</v>
      </c>
      <c r="H31" s="20">
        <v>0</v>
      </c>
      <c r="I31" s="21">
        <f>IN[[#This Row],[Buffer]]</f>
        <v>5.000000000000001E-2</v>
      </c>
      <c r="J31" s="22">
        <f>IF(IN[[#This Row],[Sim_]]=IN[[#This Row],[STAGE]],1,0)</f>
        <v>0</v>
      </c>
      <c r="K31" s="23">
        <f>[1]SIM!$AE$8</f>
        <v>0.1</v>
      </c>
      <c r="L31" s="24">
        <f>[1]SIM!$AE$4</f>
        <v>0.1</v>
      </c>
      <c r="M31" s="22">
        <f>IF(IN[[#This Row],[Sim_]]=IN[[#This Row],[Sim Var ref]],1,0)</f>
        <v>1</v>
      </c>
      <c r="N31" s="8" t="str">
        <f>[1]SIM!$AE$7</f>
        <v>p30</v>
      </c>
      <c r="O31" s="8">
        <v>31</v>
      </c>
      <c r="P31" s="35" t="e">
        <f>[1]SIM!$AE$3</f>
        <v>#REF!</v>
      </c>
      <c r="Q31" s="22" t="e">
        <f>IF(IN[[#This Row],[Sim_]]=IN[[#This Row],[Direkt alt]],1,0)</f>
        <v>#REF!</v>
      </c>
      <c r="R31" s="10">
        <v>5.000000000000001E-2</v>
      </c>
      <c r="S31" s="22">
        <f>IF(IN[[#This Row],[Sim_]]=IN[[#This Row],[Buffer]],1,0)</f>
        <v>0</v>
      </c>
      <c r="T31" s="11">
        <v>0.1</v>
      </c>
      <c r="U31" s="21">
        <f>IN[[#This Row],[Buffer]]</f>
        <v>5.000000000000001E-2</v>
      </c>
      <c r="V31" s="29">
        <v>0.1</v>
      </c>
      <c r="W31" s="29">
        <v>0.12939571947519746</v>
      </c>
      <c r="X31" s="29">
        <v>0.05</v>
      </c>
      <c r="Y31" s="11">
        <v>0.1</v>
      </c>
      <c r="Z31" s="27">
        <v>0.05</v>
      </c>
      <c r="AA31" s="27">
        <v>0.1</v>
      </c>
      <c r="AB31" s="27">
        <v>0.1</v>
      </c>
      <c r="AC31" s="28">
        <v>0.05</v>
      </c>
      <c r="AD31">
        <v>5.000000000000001E-2</v>
      </c>
      <c r="AE31">
        <v>5.000000000000001E-2</v>
      </c>
      <c r="AF31">
        <v>5.000000000000001E-2</v>
      </c>
      <c r="AG31">
        <v>5.000000000000001E-2</v>
      </c>
      <c r="AH31">
        <v>5.000000000000001E-2</v>
      </c>
      <c r="AI31">
        <v>0.1</v>
      </c>
      <c r="AJ31">
        <v>0.1</v>
      </c>
    </row>
    <row r="32" spans="1:36" x14ac:dyDescent="0.25">
      <c r="A32" s="14"/>
      <c r="B32" s="15" t="s">
        <v>77</v>
      </c>
      <c r="C32" s="16"/>
      <c r="D32" s="16"/>
      <c r="E32" s="17" t="s">
        <v>78</v>
      </c>
      <c r="F32" s="18"/>
      <c r="G32" s="19" t="s">
        <v>40</v>
      </c>
      <c r="H32" s="20">
        <v>0</v>
      </c>
      <c r="I32" s="21">
        <f>IN[[#This Row],[Buffer]]</f>
        <v>0</v>
      </c>
      <c r="J32" s="22">
        <f>IF(IN[[#This Row],[Sim_]]=IN[[#This Row],[STAGE]],1,0)</f>
        <v>0</v>
      </c>
      <c r="K32" s="23">
        <f>[1]SIM!$AF$8</f>
        <v>0.23145333388049905</v>
      </c>
      <c r="L32" s="24">
        <f>[1]SIM!$AF$4</f>
        <v>0.23145333388049905</v>
      </c>
      <c r="M32" s="22">
        <f>IF(IN[[#This Row],[Sim_]]=IN[[#This Row],[Sim Var ref]],1,0)</f>
        <v>1</v>
      </c>
      <c r="N32" s="8" t="str">
        <f>[1]SIM!$AF$7</f>
        <v>QT_dT</v>
      </c>
      <c r="O32" s="8">
        <v>32</v>
      </c>
      <c r="P32" s="35" t="e">
        <f>[1]SIM!$AF$3</f>
        <v>#REF!</v>
      </c>
      <c r="Q32" s="22" t="e">
        <f>IF(IN[[#This Row],[Sim_]]=IN[[#This Row],[Direkt alt]],1,0)</f>
        <v>#REF!</v>
      </c>
      <c r="R32" s="10">
        <v>0</v>
      </c>
      <c r="S32" s="22">
        <f>IF(IN[[#This Row],[Sim_]]=IN[[#This Row],[Buffer]],1,0)</f>
        <v>0</v>
      </c>
      <c r="T32" s="11"/>
      <c r="U32" s="21">
        <f>IN[[#This Row],[Buffer]]</f>
        <v>0</v>
      </c>
      <c r="V32" s="29"/>
      <c r="W32" s="29">
        <v>0.34155475662064022</v>
      </c>
      <c r="X32" s="29">
        <v>1.1443728261859238</v>
      </c>
      <c r="Y32" s="11"/>
      <c r="Z32" s="27">
        <v>1.1443728261859238</v>
      </c>
      <c r="AA32" s="27">
        <v>0</v>
      </c>
      <c r="AB32" s="27">
        <v>0.23145333388049905</v>
      </c>
      <c r="AC32" s="28">
        <v>1.1443728261859238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0.23145333388049905</v>
      </c>
      <c r="AJ32">
        <v>0.23145333388049905</v>
      </c>
    </row>
    <row r="33" spans="1:36" x14ac:dyDescent="0.25">
      <c r="A33" s="14"/>
      <c r="B33" s="15" t="s">
        <v>79</v>
      </c>
      <c r="C33" s="16"/>
      <c r="D33" s="16"/>
      <c r="E33" s="17" t="s">
        <v>39</v>
      </c>
      <c r="F33" s="18"/>
      <c r="G33" s="19" t="s">
        <v>40</v>
      </c>
      <c r="H33" s="20">
        <v>0</v>
      </c>
      <c r="I33" s="21">
        <f>IN[[#This Row],[Buffer]]</f>
        <v>2.5</v>
      </c>
      <c r="J33" s="22">
        <f>IF(IN[[#This Row],[Sim_]]=IN[[#This Row],[STAGE]],1,0)</f>
        <v>0</v>
      </c>
      <c r="K33" s="23">
        <f>[1]SIM!$AG$8</f>
        <v>2.6</v>
      </c>
      <c r="L33" s="24">
        <f>[1]SIM!$AG$4</f>
        <v>2.6</v>
      </c>
      <c r="M33" s="22">
        <f>IF(IN[[#This Row],[Sim_]]=IN[[#This Row],[Sim Var ref]],1,0)</f>
        <v>1</v>
      </c>
      <c r="N33" s="8" t="str">
        <f>[1]SIM!$AG$7</f>
        <v>p32</v>
      </c>
      <c r="O33" s="8">
        <v>33</v>
      </c>
      <c r="P33" s="35" t="e">
        <f>[1]SIM!$AG$3</f>
        <v>#REF!</v>
      </c>
      <c r="Q33" s="22" t="e">
        <f>IF(IN[[#This Row],[Sim_]]=IN[[#This Row],[Direkt alt]],1,0)</f>
        <v>#REF!</v>
      </c>
      <c r="R33" s="10">
        <v>2.5</v>
      </c>
      <c r="S33" s="22">
        <f>IF(IN[[#This Row],[Sim_]]=IN[[#This Row],[Buffer]],1,0)</f>
        <v>0</v>
      </c>
      <c r="T33" s="11">
        <v>2.9</v>
      </c>
      <c r="U33" s="21">
        <f>IN[[#This Row],[Buffer]]</f>
        <v>2.5</v>
      </c>
      <c r="V33" s="29">
        <v>2.6</v>
      </c>
      <c r="W33" s="29">
        <v>2.5</v>
      </c>
      <c r="X33" s="29">
        <v>2.5</v>
      </c>
      <c r="Y33" s="11">
        <v>2.9</v>
      </c>
      <c r="Z33" s="27">
        <v>2.5</v>
      </c>
      <c r="AA33" s="27">
        <v>2.6</v>
      </c>
      <c r="AB33" s="27">
        <v>2.6</v>
      </c>
      <c r="AC33" s="28">
        <v>2.5</v>
      </c>
      <c r="AD33">
        <v>2.5</v>
      </c>
      <c r="AE33">
        <v>2.5</v>
      </c>
      <c r="AF33">
        <v>2.5</v>
      </c>
      <c r="AG33">
        <v>2.5</v>
      </c>
      <c r="AH33">
        <v>2.5</v>
      </c>
      <c r="AI33">
        <v>2.6</v>
      </c>
      <c r="AJ33">
        <v>2.6</v>
      </c>
    </row>
    <row r="34" spans="1:36" x14ac:dyDescent="0.25">
      <c r="A34" s="14"/>
      <c r="B34" s="15" t="s">
        <v>80</v>
      </c>
      <c r="C34" s="16"/>
      <c r="D34" s="16"/>
      <c r="E34" s="17" t="s">
        <v>39</v>
      </c>
      <c r="F34" s="18"/>
      <c r="G34" s="19" t="s">
        <v>40</v>
      </c>
      <c r="H34" s="20">
        <v>0</v>
      </c>
      <c r="I34" s="21">
        <f>IN[[#This Row],[Buffer]]</f>
        <v>1.0655999999999999</v>
      </c>
      <c r="J34" s="22">
        <f>IF(IN[[#This Row],[Sim_]]=IN[[#This Row],[STAGE]],1,0)</f>
        <v>0</v>
      </c>
      <c r="K34" s="23">
        <f>[1]SIM!$AH$8</f>
        <v>1.0656015703573898</v>
      </c>
      <c r="L34" s="24">
        <f>[1]SIM!$AH$4</f>
        <v>1.0656015703573898</v>
      </c>
      <c r="M34" s="22">
        <f>IF(IN[[#This Row],[Sim_]]=IN[[#This Row],[Sim Var ref]],1,0)</f>
        <v>1</v>
      </c>
      <c r="N34" s="8" t="str">
        <f>[1]SIM!$AH$7</f>
        <v>p33</v>
      </c>
      <c r="O34" s="8">
        <v>34</v>
      </c>
      <c r="P34" s="36" t="e">
        <f>[1]SIM!$AH$3</f>
        <v>#REF!</v>
      </c>
      <c r="Q34" s="22" t="e">
        <f>IF(IN[[#This Row],[Sim_]]=IN[[#This Row],[Direkt alt]],1,0)</f>
        <v>#REF!</v>
      </c>
      <c r="R34" s="10">
        <v>1.0655999999999999</v>
      </c>
      <c r="S34" s="22">
        <f>IF(IN[[#This Row],[Sim_]]=IN[[#This Row],[Buffer]],1,0)</f>
        <v>0</v>
      </c>
      <c r="T34" s="11">
        <v>1.0656015703573898</v>
      </c>
      <c r="U34" s="21">
        <f>IN[[#This Row],[Buffer]]</f>
        <v>1.0655999999999999</v>
      </c>
      <c r="V34" s="29">
        <v>1.0656015703573898</v>
      </c>
      <c r="W34" s="29">
        <v>1.0656015703573898</v>
      </c>
      <c r="X34" s="29">
        <v>1.0656015703573898</v>
      </c>
      <c r="Y34" s="11">
        <v>1.0656015703573898</v>
      </c>
      <c r="Z34" s="27">
        <v>1.0656015703573898</v>
      </c>
      <c r="AA34" s="27">
        <v>1.0656015703573898</v>
      </c>
      <c r="AB34" s="27">
        <v>1.0656015703573898</v>
      </c>
      <c r="AC34" s="28">
        <v>1.0656015703573898</v>
      </c>
      <c r="AD34">
        <v>1.0655999999999999</v>
      </c>
      <c r="AE34">
        <v>1.0655999999999999</v>
      </c>
      <c r="AF34">
        <v>1.0655999999999999</v>
      </c>
      <c r="AG34">
        <v>1.0655999999999999</v>
      </c>
      <c r="AH34">
        <v>1.0655999999999999</v>
      </c>
      <c r="AI34">
        <v>1.0656015703573898</v>
      </c>
      <c r="AJ34">
        <v>1.0656015703573898</v>
      </c>
    </row>
    <row r="35" spans="1:36" x14ac:dyDescent="0.25">
      <c r="A35" s="6"/>
      <c r="B35" s="15" t="s">
        <v>81</v>
      </c>
      <c r="C35" s="16"/>
      <c r="D35" s="16"/>
      <c r="E35" s="31" t="s">
        <v>65</v>
      </c>
      <c r="F35" s="18"/>
      <c r="G35" s="37" t="s">
        <v>40</v>
      </c>
      <c r="H35" s="20">
        <v>0</v>
      </c>
      <c r="I35" s="21">
        <f>IN[[#This Row],[Buffer]]</f>
        <v>0.95999999999999974</v>
      </c>
      <c r="J35" s="33">
        <f>IF(IN[[#This Row],[Sim_]]=IN[[#This Row],[STAGE]],1,0)</f>
        <v>0</v>
      </c>
      <c r="K35" s="34">
        <f>[1]SIM!$AI$8</f>
        <v>0.96059387681792829</v>
      </c>
      <c r="L35" s="38">
        <f>[1]SIM!$AI$4</f>
        <v>0.96059387681792829</v>
      </c>
      <c r="M35" s="33">
        <f>IF(IN[[#This Row],[Sim_]]=IN[[#This Row],[Sim Var ref]],1,0)</f>
        <v>1</v>
      </c>
      <c r="N35" s="8" t="str">
        <f>[1]SIM!$AI$7</f>
        <v>p34</v>
      </c>
      <c r="O35" s="8">
        <v>35</v>
      </c>
      <c r="P35" s="39" t="e">
        <f>[1]SIM!$AI$3</f>
        <v>#REF!</v>
      </c>
      <c r="Q35" s="33" t="e">
        <f>IF(IN[[#This Row],[Sim_]]=IN[[#This Row],[Direkt alt]],1,0)</f>
        <v>#REF!</v>
      </c>
      <c r="R35" s="10">
        <v>0.95999999999999974</v>
      </c>
      <c r="S35" s="33">
        <f>IF(IN[[#This Row],[Sim_]]=IN[[#This Row],[Buffer]],1,0)</f>
        <v>0</v>
      </c>
      <c r="T35" s="11">
        <v>1</v>
      </c>
      <c r="U35" s="21">
        <f>IN[[#This Row],[Buffer]]</f>
        <v>0.95999999999999974</v>
      </c>
      <c r="V35" s="29">
        <v>0.96059387681792829</v>
      </c>
      <c r="W35" s="29">
        <v>0.57999999999999996</v>
      </c>
      <c r="X35" s="29">
        <v>0.96059387681792829</v>
      </c>
      <c r="Y35" s="11">
        <v>1</v>
      </c>
      <c r="Z35" s="40">
        <v>0.96059387681792829</v>
      </c>
      <c r="AA35" s="40">
        <v>0.96059387681792829</v>
      </c>
      <c r="AB35" s="40">
        <v>0.96059387681792829</v>
      </c>
      <c r="AC35" s="28">
        <v>0.96059387681792829</v>
      </c>
      <c r="AD35">
        <v>0.95999999999999974</v>
      </c>
      <c r="AE35">
        <v>0.95999999999999974</v>
      </c>
      <c r="AF35">
        <v>0.95999999999999974</v>
      </c>
      <c r="AG35">
        <v>0.95999999999999974</v>
      </c>
      <c r="AH35">
        <v>0.95999999999999974</v>
      </c>
      <c r="AI35">
        <v>0.96059387681792829</v>
      </c>
      <c r="AJ35">
        <v>0.96059387681792829</v>
      </c>
    </row>
    <row r="36" spans="1:36" x14ac:dyDescent="0.25">
      <c r="A36" s="6"/>
      <c r="B36" s="15" t="s">
        <v>82</v>
      </c>
      <c r="C36" s="16"/>
      <c r="D36" s="16"/>
      <c r="E36" s="31" t="s">
        <v>65</v>
      </c>
      <c r="F36" s="18"/>
      <c r="G36" s="37" t="s">
        <v>40</v>
      </c>
      <c r="H36" s="20">
        <v>0</v>
      </c>
      <c r="I36" s="21">
        <f>IN[[#This Row],[Buffer]]</f>
        <v>0.5</v>
      </c>
      <c r="J36" s="33">
        <f>IF(IN[[#This Row],[Sim_]]=IN[[#This Row],[STAGE]],1,0)</f>
        <v>1</v>
      </c>
      <c r="K36" s="34">
        <f>[1]SIM!$AJ$8</f>
        <v>0.5</v>
      </c>
      <c r="L36" s="38">
        <f>[1]SIM!$AJ$4</f>
        <v>0.5</v>
      </c>
      <c r="M36" s="33">
        <f>IF(IN[[#This Row],[Sim_]]=IN[[#This Row],[Sim Var ref]],1,0)</f>
        <v>1</v>
      </c>
      <c r="N36" s="8" t="str">
        <f>[1]SIM!$AJ$7</f>
        <v>p35</v>
      </c>
      <c r="O36" s="8">
        <v>36</v>
      </c>
      <c r="P36" s="39" t="e">
        <f>[1]SIM!$AJ$3</f>
        <v>#REF!</v>
      </c>
      <c r="Q36" s="33" t="e">
        <f>IF(IN[[#This Row],[Sim_]]=IN[[#This Row],[Direkt alt]],1,0)</f>
        <v>#REF!</v>
      </c>
      <c r="R36" s="10">
        <v>0.5</v>
      </c>
      <c r="S36" s="33">
        <f>IF(IN[[#This Row],[Sim_]]=IN[[#This Row],[Buffer]],1,0)</f>
        <v>1</v>
      </c>
      <c r="T36" s="11">
        <v>0.5</v>
      </c>
      <c r="U36" s="21">
        <f>IN[[#This Row],[Buffer]]</f>
        <v>0.5</v>
      </c>
      <c r="V36" s="29">
        <v>0.5</v>
      </c>
      <c r="W36" s="29">
        <v>0.5</v>
      </c>
      <c r="X36" s="29">
        <v>0.5</v>
      </c>
      <c r="Y36" s="11">
        <v>0.5</v>
      </c>
      <c r="Z36" s="40">
        <v>0.5</v>
      </c>
      <c r="AA36" s="40">
        <v>0.5</v>
      </c>
      <c r="AB36" s="40">
        <v>0.5</v>
      </c>
      <c r="AC36" s="28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</row>
    <row r="37" spans="1:36" x14ac:dyDescent="0.25">
      <c r="A37" s="14"/>
      <c r="B37" s="15" t="s">
        <v>83</v>
      </c>
      <c r="C37" s="16"/>
      <c r="D37" s="16"/>
      <c r="E37" s="17" t="s">
        <v>78</v>
      </c>
      <c r="F37" s="18"/>
      <c r="G37" s="19" t="s">
        <v>40</v>
      </c>
      <c r="H37" s="20">
        <v>0</v>
      </c>
      <c r="I37" s="21">
        <f>IN[[#This Row],[Buffer]]</f>
        <v>0</v>
      </c>
      <c r="J37" s="22">
        <f>IF(IN[[#This Row],[Sim_]]=IN[[#This Row],[STAGE]],1,0)</f>
        <v>0</v>
      </c>
      <c r="K37" s="23">
        <f>[1]SIM!$AK$8</f>
        <v>0.80843366092074653</v>
      </c>
      <c r="L37" s="24">
        <f>[1]SIM!$AK$4</f>
        <v>0.80843366092074653</v>
      </c>
      <c r="M37" s="22">
        <f>IF(IN[[#This Row],[Sim_]]=IN[[#This Row],[Sim Var ref]],1,0)</f>
        <v>1</v>
      </c>
      <c r="N37" s="8" t="str">
        <f>[1]SIM!$AK$7</f>
        <v>p36</v>
      </c>
      <c r="O37" s="8">
        <v>37</v>
      </c>
      <c r="P37" s="35" t="e">
        <f>[1]SIM!$AK$3</f>
        <v>#REF!</v>
      </c>
      <c r="Q37" s="22" t="e">
        <f>IF(IN[[#This Row],[Sim_]]=IN[[#This Row],[Direkt alt]],1,0)</f>
        <v>#REF!</v>
      </c>
      <c r="R37" s="10">
        <v>0</v>
      </c>
      <c r="S37" s="22">
        <f>IF(IN[[#This Row],[Sim_]]=IN[[#This Row],[Buffer]],1,0)</f>
        <v>0</v>
      </c>
      <c r="T37" s="11">
        <v>1.0236103436128774</v>
      </c>
      <c r="U37" s="21">
        <f>IN[[#This Row],[Buffer]]</f>
        <v>0</v>
      </c>
      <c r="V37" s="29">
        <v>1.0236103436128774</v>
      </c>
      <c r="W37" s="29">
        <v>0.61804891080728608</v>
      </c>
      <c r="X37" s="29">
        <v>1.2283324123354529</v>
      </c>
      <c r="Y37" s="11">
        <v>1.0236103436128774</v>
      </c>
      <c r="Z37" s="27">
        <v>1.2283324123354529</v>
      </c>
      <c r="AA37" s="27">
        <v>1.0236103436128774</v>
      </c>
      <c r="AB37" s="27">
        <v>0.80843366092074653</v>
      </c>
      <c r="AC37" s="28">
        <v>1.2283324123354529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0.80843366092074653</v>
      </c>
      <c r="AJ37">
        <v>0.80843366092074653</v>
      </c>
    </row>
    <row r="38" spans="1:36" x14ac:dyDescent="0.25">
      <c r="A38" s="14"/>
      <c r="B38" s="15" t="s">
        <v>84</v>
      </c>
      <c r="C38" s="16"/>
      <c r="D38" s="16"/>
      <c r="E38" s="17" t="s">
        <v>65</v>
      </c>
      <c r="F38" s="18"/>
      <c r="G38" s="19" t="s">
        <v>40</v>
      </c>
      <c r="H38" s="20">
        <v>0</v>
      </c>
      <c r="I38" s="21">
        <f>IN[[#This Row],[Buffer]]</f>
        <v>0</v>
      </c>
      <c r="J38" s="22">
        <f>IF(IN[[#This Row],[Sim_]]=IN[[#This Row],[STAGE]],1,0)</f>
        <v>0</v>
      </c>
      <c r="K38" s="23">
        <f>[1]SIM!$AL$8</f>
        <v>190</v>
      </c>
      <c r="L38" s="24">
        <f>[1]SIM!$AL$4</f>
        <v>190</v>
      </c>
      <c r="M38" s="22">
        <f>IF(IN[[#This Row],[Sim_]]=IN[[#This Row],[Sim Var ref]],1,0)</f>
        <v>1</v>
      </c>
      <c r="N38" s="8" t="str">
        <f>[1]SIM!$AL$7</f>
        <v>p37</v>
      </c>
      <c r="O38" s="8">
        <v>38</v>
      </c>
      <c r="P38" s="35" t="e">
        <f>[1]SIM!$AL$3</f>
        <v>#REF!</v>
      </c>
      <c r="Q38" s="22" t="e">
        <f>IF(IN[[#This Row],[Sim_]]=IN[[#This Row],[Direkt alt]],1,0)</f>
        <v>#REF!</v>
      </c>
      <c r="R38" s="10">
        <v>0</v>
      </c>
      <c r="S38" s="22">
        <f>IF(IN[[#This Row],[Sim_]]=IN[[#This Row],[Buffer]],1,0)</f>
        <v>0</v>
      </c>
      <c r="T38" s="11"/>
      <c r="U38" s="21">
        <f>IN[[#This Row],[Buffer]]</f>
        <v>0</v>
      </c>
      <c r="V38" s="29">
        <v>190</v>
      </c>
      <c r="W38" s="29">
        <v>61</v>
      </c>
      <c r="X38" s="29">
        <v>60</v>
      </c>
      <c r="Y38" s="11"/>
      <c r="Z38" s="27">
        <v>60</v>
      </c>
      <c r="AA38" s="27">
        <v>190</v>
      </c>
      <c r="AB38" s="27">
        <v>190</v>
      </c>
      <c r="AC38" s="28">
        <v>60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190</v>
      </c>
      <c r="AJ38">
        <v>190</v>
      </c>
    </row>
    <row r="39" spans="1:36" x14ac:dyDescent="0.25">
      <c r="A39" s="14"/>
      <c r="B39" s="15" t="s">
        <v>85</v>
      </c>
      <c r="C39" s="16"/>
      <c r="D39" s="16"/>
      <c r="E39" s="17" t="s">
        <v>65</v>
      </c>
      <c r="F39" s="18"/>
      <c r="G39" s="19" t="s">
        <v>40</v>
      </c>
      <c r="H39" s="20">
        <v>0</v>
      </c>
      <c r="I39" s="21">
        <f>IN[[#This Row],[Buffer]]</f>
        <v>36.200000000000003</v>
      </c>
      <c r="J39" s="22">
        <f>IF(IN[[#This Row],[Sim_]]=IN[[#This Row],[STAGE]],1,0)</f>
        <v>0</v>
      </c>
      <c r="K39" s="23">
        <f>[1]SIM!$AM$8</f>
        <v>41.7</v>
      </c>
      <c r="L39" s="24">
        <f>[1]SIM!$AM$4</f>
        <v>41.7</v>
      </c>
      <c r="M39" s="22">
        <f>IF(IN[[#This Row],[Sim_]]=IN[[#This Row],[Sim Var ref]],1,0)</f>
        <v>1</v>
      </c>
      <c r="N39" s="8" t="str">
        <f>[1]SIM!$AM$7</f>
        <v>p38</v>
      </c>
      <c r="O39" s="8">
        <v>39</v>
      </c>
      <c r="P39" s="35" t="e">
        <f>[1]SIM!$AM$3</f>
        <v>#REF!</v>
      </c>
      <c r="Q39" s="22" t="e">
        <f>IF(IN[[#This Row],[Sim_]]=IN[[#This Row],[Direkt alt]],1,0)</f>
        <v>#REF!</v>
      </c>
      <c r="R39" s="10">
        <v>36.200000000000003</v>
      </c>
      <c r="S39" s="22">
        <f>IF(IN[[#This Row],[Sim_]]=IN[[#This Row],[Buffer]],1,0)</f>
        <v>0</v>
      </c>
      <c r="T39" s="11"/>
      <c r="U39" s="21">
        <f>IN[[#This Row],[Buffer]]</f>
        <v>36.200000000000003</v>
      </c>
      <c r="V39" s="29">
        <v>41.7</v>
      </c>
      <c r="W39" s="29">
        <v>25.777987421383646</v>
      </c>
      <c r="X39" s="29">
        <v>36.200000000000003</v>
      </c>
      <c r="Y39" s="11"/>
      <c r="Z39" s="27">
        <v>36.200000000000003</v>
      </c>
      <c r="AA39" s="27">
        <v>41.7</v>
      </c>
      <c r="AB39" s="27">
        <v>41.7</v>
      </c>
      <c r="AC39" s="28">
        <v>36.200000000000003</v>
      </c>
      <c r="AD39">
        <v>36.200000000000003</v>
      </c>
      <c r="AE39">
        <v>36.200000000000003</v>
      </c>
      <c r="AF39">
        <v>36.200000000000003</v>
      </c>
      <c r="AG39">
        <v>36.200000000000003</v>
      </c>
      <c r="AH39">
        <v>36.200000000000003</v>
      </c>
      <c r="AI39">
        <v>41.7</v>
      </c>
      <c r="AJ39">
        <v>41.7</v>
      </c>
    </row>
    <row r="40" spans="1:36" x14ac:dyDescent="0.25">
      <c r="A40" s="14"/>
      <c r="B40" s="15" t="s">
        <v>86</v>
      </c>
      <c r="C40" s="16"/>
      <c r="D40" s="16"/>
      <c r="E40" s="17" t="s">
        <v>65</v>
      </c>
      <c r="F40" s="18"/>
      <c r="G40" s="19" t="s">
        <v>40</v>
      </c>
      <c r="H40" s="20">
        <v>0</v>
      </c>
      <c r="I40" s="21">
        <f>IN[[#This Row],[Buffer]]</f>
        <v>5.8000000000000007</v>
      </c>
      <c r="J40" s="22">
        <f>IF(IN[[#This Row],[Sim_]]=IN[[#This Row],[STAGE]],1,0)</f>
        <v>0</v>
      </c>
      <c r="K40" s="23">
        <f>[1]SIM!$AN$8</f>
        <v>5.9</v>
      </c>
      <c r="L40" s="24">
        <f>[1]SIM!$AN$4</f>
        <v>5.9</v>
      </c>
      <c r="M40" s="22">
        <f>IF(IN[[#This Row],[Sim_]]=IN[[#This Row],[Sim Var ref]],1,0)</f>
        <v>1</v>
      </c>
      <c r="N40" s="8" t="str">
        <f>[1]SIM!$AN$7</f>
        <v>p39</v>
      </c>
      <c r="O40" s="8">
        <v>40</v>
      </c>
      <c r="P40" s="35" t="e">
        <f>[1]SIM!$AN$3</f>
        <v>#REF!</v>
      </c>
      <c r="Q40" s="22" t="e">
        <f>IF(IN[[#This Row],[Sim_]]=IN[[#This Row],[Direkt alt]],1,0)</f>
        <v>#REF!</v>
      </c>
      <c r="R40" s="10">
        <v>5.8000000000000007</v>
      </c>
      <c r="S40" s="22">
        <f>IF(IN[[#This Row],[Sim_]]=IN[[#This Row],[Buffer]],1,0)</f>
        <v>0</v>
      </c>
      <c r="T40" s="11"/>
      <c r="U40" s="21">
        <f>IN[[#This Row],[Buffer]]</f>
        <v>5.8000000000000007</v>
      </c>
      <c r="V40" s="29">
        <v>5.9</v>
      </c>
      <c r="W40" s="29">
        <v>5.8</v>
      </c>
      <c r="X40" s="29">
        <v>5.8</v>
      </c>
      <c r="Y40" s="11"/>
      <c r="Z40" s="27">
        <v>5.8</v>
      </c>
      <c r="AA40" s="27">
        <v>5.9</v>
      </c>
      <c r="AB40" s="27">
        <v>5.9</v>
      </c>
      <c r="AC40" s="28">
        <v>5.8</v>
      </c>
      <c r="AD40">
        <v>5.8000000000000007</v>
      </c>
      <c r="AE40">
        <v>5.8000000000000007</v>
      </c>
      <c r="AF40">
        <v>5.8000000000000007</v>
      </c>
      <c r="AG40">
        <v>5.8000000000000007</v>
      </c>
      <c r="AH40">
        <v>5.8000000000000007</v>
      </c>
      <c r="AI40">
        <v>5.9</v>
      </c>
      <c r="AJ40">
        <v>5.9</v>
      </c>
    </row>
    <row r="41" spans="1:36" x14ac:dyDescent="0.25">
      <c r="A41" s="14"/>
      <c r="B41" s="15" t="s">
        <v>87</v>
      </c>
      <c r="C41" s="16"/>
      <c r="D41" s="16"/>
      <c r="E41" s="17" t="s">
        <v>65</v>
      </c>
      <c r="F41" s="18"/>
      <c r="G41" s="19" t="s">
        <v>40</v>
      </c>
      <c r="H41" s="20">
        <v>0</v>
      </c>
      <c r="I41" s="21">
        <f>IN[[#This Row],[Buffer]]</f>
        <v>2.6000000000000005</v>
      </c>
      <c r="J41" s="22">
        <f>IF(IN[[#This Row],[Sim_]]=IN[[#This Row],[STAGE]],1,0)</f>
        <v>0</v>
      </c>
      <c r="K41" s="23">
        <f>[1]SIM!$AO$8</f>
        <v>2.5</v>
      </c>
      <c r="L41" s="24">
        <f>[1]SIM!$AO$4</f>
        <v>2.5</v>
      </c>
      <c r="M41" s="22">
        <f>IF(IN[[#This Row],[Sim_]]=IN[[#This Row],[Sim Var ref]],1,0)</f>
        <v>1</v>
      </c>
      <c r="N41" s="8" t="str">
        <f>[1]SIM!$AO$7</f>
        <v>p40</v>
      </c>
      <c r="O41" s="8">
        <v>41</v>
      </c>
      <c r="P41" s="35" t="e">
        <f>[1]SIM!$AO$3</f>
        <v>#REF!</v>
      </c>
      <c r="Q41" s="22" t="e">
        <f>IF(IN[[#This Row],[Sim_]]=IN[[#This Row],[Direkt alt]],1,0)</f>
        <v>#REF!</v>
      </c>
      <c r="R41" s="10">
        <v>2.6000000000000005</v>
      </c>
      <c r="S41" s="22">
        <f>IF(IN[[#This Row],[Sim_]]=IN[[#This Row],[Buffer]],1,0)</f>
        <v>0</v>
      </c>
      <c r="T41" s="11"/>
      <c r="U41" s="21">
        <f>IN[[#This Row],[Buffer]]</f>
        <v>2.6000000000000005</v>
      </c>
      <c r="V41" s="29">
        <v>2.5</v>
      </c>
      <c r="W41" s="29">
        <v>2.6</v>
      </c>
      <c r="X41" s="29">
        <v>2.6</v>
      </c>
      <c r="Y41" s="11"/>
      <c r="Z41" s="27">
        <v>2.6</v>
      </c>
      <c r="AA41" s="27">
        <v>2.5</v>
      </c>
      <c r="AB41" s="27">
        <v>2.5</v>
      </c>
      <c r="AC41" s="28">
        <v>2.6</v>
      </c>
      <c r="AD41">
        <v>2.6000000000000005</v>
      </c>
      <c r="AE41">
        <v>2.6000000000000005</v>
      </c>
      <c r="AF41">
        <v>2.6000000000000005</v>
      </c>
      <c r="AG41">
        <v>2.6000000000000005</v>
      </c>
      <c r="AH41">
        <v>2.6000000000000005</v>
      </c>
      <c r="AI41">
        <v>2.5</v>
      </c>
      <c r="AJ41">
        <v>2.5</v>
      </c>
    </row>
    <row r="42" spans="1:36" x14ac:dyDescent="0.25">
      <c r="A42" s="14"/>
      <c r="B42" s="15" t="s">
        <v>88</v>
      </c>
      <c r="C42" s="16"/>
      <c r="D42" s="16"/>
      <c r="E42" s="17" t="s">
        <v>65</v>
      </c>
      <c r="F42" s="18"/>
      <c r="G42" s="19" t="s">
        <v>40</v>
      </c>
      <c r="H42" s="20">
        <v>0</v>
      </c>
      <c r="I42" s="21">
        <f>IN[[#This Row],[Buffer]]</f>
        <v>20</v>
      </c>
      <c r="J42" s="22">
        <f>IF(IN[[#This Row],[Sim_]]=IN[[#This Row],[STAGE]],1,0)</f>
        <v>0</v>
      </c>
      <c r="K42" s="23">
        <f>[1]SIM!$AP$8</f>
        <v>10.7</v>
      </c>
      <c r="L42" s="24">
        <f>[1]SIM!$AP$4</f>
        <v>10.7</v>
      </c>
      <c r="M42" s="22">
        <f>IF(IN[[#This Row],[Sim_]]=IN[[#This Row],[Sim Var ref]],1,0)</f>
        <v>1</v>
      </c>
      <c r="N42" s="8" t="str">
        <f>[1]SIM!$AP$7</f>
        <v>p41</v>
      </c>
      <c r="O42" s="8">
        <v>42</v>
      </c>
      <c r="P42" s="35" t="e">
        <f>[1]SIM!$AP$3</f>
        <v>#REF!</v>
      </c>
      <c r="Q42" s="22" t="e">
        <f>IF(IN[[#This Row],[Sim_]]=IN[[#This Row],[Direkt alt]],1,0)</f>
        <v>#REF!</v>
      </c>
      <c r="R42" s="10">
        <v>20</v>
      </c>
      <c r="S42" s="22">
        <f>IF(IN[[#This Row],[Sim_]]=IN[[#This Row],[Buffer]],1,0)</f>
        <v>0</v>
      </c>
      <c r="T42" s="11"/>
      <c r="U42" s="21">
        <f>IN[[#This Row],[Buffer]]</f>
        <v>20</v>
      </c>
      <c r="V42" s="29">
        <v>10.7</v>
      </c>
      <c r="W42" s="29">
        <v>20</v>
      </c>
      <c r="X42" s="29">
        <v>20</v>
      </c>
      <c r="Y42" s="11"/>
      <c r="Z42" s="27">
        <v>20</v>
      </c>
      <c r="AA42" s="27">
        <v>10.7</v>
      </c>
      <c r="AB42" s="27">
        <v>10.7</v>
      </c>
      <c r="AC42" s="28">
        <v>20</v>
      </c>
      <c r="AD42">
        <v>20</v>
      </c>
      <c r="AE42">
        <v>20</v>
      </c>
      <c r="AF42">
        <v>20</v>
      </c>
      <c r="AG42">
        <v>20</v>
      </c>
      <c r="AH42">
        <v>20</v>
      </c>
      <c r="AI42">
        <v>10.7</v>
      </c>
      <c r="AJ42">
        <v>10.7</v>
      </c>
    </row>
    <row r="43" spans="1:36" x14ac:dyDescent="0.25">
      <c r="A43" s="41" t="s">
        <v>89</v>
      </c>
      <c r="B43" s="15" t="s">
        <v>90</v>
      </c>
      <c r="C43" s="16"/>
      <c r="D43" s="16"/>
      <c r="E43" s="17" t="s">
        <v>65</v>
      </c>
      <c r="F43" s="18"/>
      <c r="G43" s="42" t="s">
        <v>91</v>
      </c>
      <c r="H43" s="20">
        <v>0</v>
      </c>
      <c r="I43" s="21">
        <f>IN[[#This Row],[Buffer]]</f>
        <v>21</v>
      </c>
      <c r="J43" s="22">
        <f>IF(IN[[#This Row],[Sim_]]=IN[[#This Row],[STAGE]],1,0)</f>
        <v>1</v>
      </c>
      <c r="K43" s="23">
        <f>[1]SIM!$AQ$8</f>
        <v>21</v>
      </c>
      <c r="L43" s="24">
        <f>[1]SIM!$AQ$4</f>
        <v>21</v>
      </c>
      <c r="M43" s="22">
        <f>IF(IN[[#This Row],[Sim_]]=IN[[#This Row],[Sim Var ref]],1,0)</f>
        <v>1</v>
      </c>
      <c r="N43" s="8" t="str">
        <f>[1]SIM!$AQ$7</f>
        <v>TI_h_min</v>
      </c>
      <c r="O43" s="8">
        <v>43</v>
      </c>
      <c r="P43" s="25" t="e">
        <f>[1]SIM!$AQ$3</f>
        <v>#REF!</v>
      </c>
      <c r="Q43" s="22" t="e">
        <f>IF(IN[[#This Row],[Sim_]]=IN[[#This Row],[Direkt alt]],1,0)</f>
        <v>#REF!</v>
      </c>
      <c r="R43" s="10">
        <v>21</v>
      </c>
      <c r="S43" s="22">
        <f>IF(IN[[#This Row],[Sim_]]=IN[[#This Row],[Buffer]],1,0)</f>
        <v>1</v>
      </c>
      <c r="T43" s="11">
        <v>22</v>
      </c>
      <c r="U43" s="21">
        <f>IN[[#This Row],[Buffer]]</f>
        <v>21</v>
      </c>
      <c r="V43" s="29">
        <v>21</v>
      </c>
      <c r="W43" s="29">
        <v>22</v>
      </c>
      <c r="X43" s="29">
        <v>22</v>
      </c>
      <c r="Y43" s="11">
        <v>22</v>
      </c>
      <c r="Z43" s="27">
        <v>22</v>
      </c>
      <c r="AA43" s="27">
        <v>21</v>
      </c>
      <c r="AB43" s="27">
        <v>21</v>
      </c>
      <c r="AC43" s="28">
        <v>22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</row>
    <row r="44" spans="1:36" x14ac:dyDescent="0.25">
      <c r="A44" s="41" t="s">
        <v>89</v>
      </c>
      <c r="B44" s="15" t="s">
        <v>92</v>
      </c>
      <c r="C44" s="16"/>
      <c r="D44" s="16"/>
      <c r="E44" s="17" t="s">
        <v>65</v>
      </c>
      <c r="F44" s="18"/>
      <c r="G44" s="42" t="s">
        <v>91</v>
      </c>
      <c r="H44" s="20">
        <v>0</v>
      </c>
      <c r="I44" s="21">
        <f>IN[[#This Row],[Buffer]]</f>
        <v>21</v>
      </c>
      <c r="J44" s="22">
        <f>IF(IN[[#This Row],[Sim_]]=IN[[#This Row],[STAGE]],1,0)</f>
        <v>0</v>
      </c>
      <c r="K44" s="23">
        <f>[1]SIM!$AR$8</f>
        <v>25</v>
      </c>
      <c r="L44" s="24">
        <f>[1]SIM!$AR$4</f>
        <v>25</v>
      </c>
      <c r="M44" s="22">
        <f>IF(IN[[#This Row],[Sim_]]=IN[[#This Row],[Sim Var ref]],1,0)</f>
        <v>1</v>
      </c>
      <c r="N44" s="8" t="str">
        <f>[1]SIM!$AR$7</f>
        <v>TI_h_max</v>
      </c>
      <c r="O44" s="8">
        <v>44</v>
      </c>
      <c r="P44" s="25" t="e">
        <f>[1]SIM!$AR$3</f>
        <v>#REF!</v>
      </c>
      <c r="Q44" s="22" t="e">
        <f>IF(IN[[#This Row],[Sim_]]=IN[[#This Row],[Direkt alt]],1,0)</f>
        <v>#REF!</v>
      </c>
      <c r="R44" s="10">
        <v>21</v>
      </c>
      <c r="S44" s="22">
        <f>IF(IN[[#This Row],[Sim_]]=IN[[#This Row],[Buffer]],1,0)</f>
        <v>0</v>
      </c>
      <c r="T44" s="11">
        <v>25</v>
      </c>
      <c r="U44" s="21">
        <f>IN[[#This Row],[Buffer]]</f>
        <v>21</v>
      </c>
      <c r="V44" s="29">
        <v>25</v>
      </c>
      <c r="W44" s="29">
        <v>25</v>
      </c>
      <c r="X44" s="29">
        <v>25</v>
      </c>
      <c r="Y44" s="11">
        <v>25</v>
      </c>
      <c r="Z44" s="27">
        <v>25</v>
      </c>
      <c r="AA44" s="27">
        <v>25</v>
      </c>
      <c r="AB44" s="27">
        <v>25</v>
      </c>
      <c r="AC44" s="28">
        <v>25</v>
      </c>
      <c r="AD44">
        <v>21</v>
      </c>
      <c r="AE44">
        <v>21</v>
      </c>
      <c r="AF44">
        <v>21</v>
      </c>
      <c r="AG44">
        <v>21</v>
      </c>
      <c r="AH44">
        <v>21</v>
      </c>
      <c r="AI44">
        <v>25</v>
      </c>
      <c r="AJ44">
        <v>25</v>
      </c>
    </row>
    <row r="45" spans="1:36" x14ac:dyDescent="0.25">
      <c r="A45" s="41" t="s">
        <v>89</v>
      </c>
      <c r="B45" s="15" t="s">
        <v>93</v>
      </c>
      <c r="C45" s="16"/>
      <c r="D45" s="16"/>
      <c r="E45" s="17" t="s">
        <v>65</v>
      </c>
      <c r="F45" s="18"/>
      <c r="G45" s="42" t="s">
        <v>91</v>
      </c>
      <c r="H45" s="20">
        <v>0</v>
      </c>
      <c r="I45" s="21">
        <f>IN[[#This Row],[Buffer]]</f>
        <v>0.84999999999999976</v>
      </c>
      <c r="J45" s="22">
        <f>IF(IN[[#This Row],[Sim_]]=IN[[#This Row],[STAGE]],1,0)</f>
        <v>0</v>
      </c>
      <c r="K45" s="23">
        <f>[1]SIM!$AS$8</f>
        <v>0.95</v>
      </c>
      <c r="L45" s="24">
        <f>[1]SIM!$AS$4</f>
        <v>0.95</v>
      </c>
      <c r="M45" s="22">
        <f>IF(IN[[#This Row],[Sim_]]=IN[[#This Row],[Sim Var ref]],1,0)</f>
        <v>1</v>
      </c>
      <c r="N45" s="8" t="str">
        <f>[1]SIM!$AS$7</f>
        <v>p44</v>
      </c>
      <c r="O45" s="8">
        <v>45</v>
      </c>
      <c r="P45" s="43" t="e">
        <f>[1]SIM!$AS$3</f>
        <v>#REF!</v>
      </c>
      <c r="Q45" s="22" t="e">
        <f>IF(IN[[#This Row],[Sim_]]=IN[[#This Row],[Direkt alt]],1,0)</f>
        <v>#REF!</v>
      </c>
      <c r="R45" s="10">
        <v>0.84999999999999976</v>
      </c>
      <c r="S45" s="22">
        <f>IF(IN[[#This Row],[Sim_]]=IN[[#This Row],[Buffer]],1,0)</f>
        <v>0</v>
      </c>
      <c r="T45" s="11">
        <v>0.95</v>
      </c>
      <c r="U45" s="21">
        <f>IN[[#This Row],[Buffer]]</f>
        <v>0.84999999999999976</v>
      </c>
      <c r="V45" s="29">
        <v>0.95</v>
      </c>
      <c r="W45" s="29">
        <v>0.94713837199581496</v>
      </c>
      <c r="X45" s="29">
        <v>0.95</v>
      </c>
      <c r="Y45" s="11">
        <v>0.95</v>
      </c>
      <c r="Z45" s="27">
        <v>0.95</v>
      </c>
      <c r="AA45" s="27">
        <v>0.95</v>
      </c>
      <c r="AB45" s="27">
        <v>0.95</v>
      </c>
      <c r="AC45" s="28">
        <v>0.95</v>
      </c>
      <c r="AD45">
        <v>0.84999999999999976</v>
      </c>
      <c r="AE45">
        <v>0.84999999999999976</v>
      </c>
      <c r="AF45">
        <v>0.84999999999999976</v>
      </c>
      <c r="AG45">
        <v>0.84999999999999976</v>
      </c>
      <c r="AH45">
        <v>0.84999999999999976</v>
      </c>
      <c r="AI45">
        <v>0.95</v>
      </c>
      <c r="AJ45">
        <v>0.95</v>
      </c>
    </row>
    <row r="46" spans="1:36" x14ac:dyDescent="0.25">
      <c r="A46" s="41" t="s">
        <v>89</v>
      </c>
      <c r="B46" s="15" t="s">
        <v>94</v>
      </c>
      <c r="C46" s="16"/>
      <c r="D46" s="16"/>
      <c r="E46" s="17" t="s">
        <v>65</v>
      </c>
      <c r="F46" s="18"/>
      <c r="G46" s="42" t="s">
        <v>91</v>
      </c>
      <c r="H46" s="20">
        <v>0</v>
      </c>
      <c r="I46" s="21">
        <f>IN[[#This Row],[Buffer]]</f>
        <v>90</v>
      </c>
      <c r="J46" s="22">
        <f>IF(IN[[#This Row],[Sim_]]=IN[[#This Row],[STAGE]],1,0)</f>
        <v>0</v>
      </c>
      <c r="K46" s="23">
        <f>[1]SIM!$AT$8</f>
        <v>23.727093654867787</v>
      </c>
      <c r="L46" s="24">
        <f>[1]SIM!$AT$4</f>
        <v>23.727093654867787</v>
      </c>
      <c r="M46" s="22">
        <f>IF(IN[[#This Row],[Sim_]]=IN[[#This Row],[Sim Var ref]],1,0)</f>
        <v>1</v>
      </c>
      <c r="N46" s="8" t="str">
        <f>[1]SIM!$AT$7</f>
        <v>p45</v>
      </c>
      <c r="O46" s="8">
        <v>46</v>
      </c>
      <c r="P46" s="25" t="e">
        <f>[1]SIM!$AT$3</f>
        <v>#REF!</v>
      </c>
      <c r="Q46" s="22" t="e">
        <f>IF(IN[[#This Row],[Sim_]]=IN[[#This Row],[Direkt alt]],1,0)</f>
        <v>#REF!</v>
      </c>
      <c r="R46" s="10">
        <v>90</v>
      </c>
      <c r="S46" s="22">
        <f>IF(IN[[#This Row],[Sim_]]=IN[[#This Row],[Buffer]],1,0)</f>
        <v>0</v>
      </c>
      <c r="T46" s="11">
        <v>30</v>
      </c>
      <c r="U46" s="21">
        <f>IN[[#This Row],[Buffer]]</f>
        <v>90</v>
      </c>
      <c r="V46" s="29">
        <v>23.727093654867787</v>
      </c>
      <c r="W46" s="29">
        <v>9.8076465131972768</v>
      </c>
      <c r="X46" s="29">
        <v>60</v>
      </c>
      <c r="Y46" s="11">
        <v>30</v>
      </c>
      <c r="Z46" s="27">
        <v>60</v>
      </c>
      <c r="AA46" s="27">
        <v>23.727093654867787</v>
      </c>
      <c r="AB46" s="27">
        <v>23.727093654867787</v>
      </c>
      <c r="AC46" s="28">
        <v>60</v>
      </c>
      <c r="AD46">
        <v>90</v>
      </c>
      <c r="AE46">
        <v>90</v>
      </c>
      <c r="AF46">
        <v>90</v>
      </c>
      <c r="AG46">
        <v>90</v>
      </c>
      <c r="AH46">
        <v>90</v>
      </c>
      <c r="AI46">
        <v>23.727093654867787</v>
      </c>
      <c r="AJ46">
        <v>23.727093654867787</v>
      </c>
    </row>
    <row r="47" spans="1:36" x14ac:dyDescent="0.25">
      <c r="A47" s="41" t="s">
        <v>89</v>
      </c>
      <c r="B47" s="15" t="s">
        <v>95</v>
      </c>
      <c r="C47" s="16"/>
      <c r="D47" s="16"/>
      <c r="E47" s="17" t="s">
        <v>65</v>
      </c>
      <c r="F47" s="18"/>
      <c r="G47" s="42" t="s">
        <v>91</v>
      </c>
      <c r="H47" s="20">
        <v>0</v>
      </c>
      <c r="I47" s="21">
        <f>IN[[#This Row],[Buffer]]</f>
        <v>4.5</v>
      </c>
      <c r="J47" s="22">
        <f>IF(IN[[#This Row],[Sim_]]=IN[[#This Row],[STAGE]],1,0)</f>
        <v>0</v>
      </c>
      <c r="K47" s="23">
        <f>[1]SIM!$AU$8</f>
        <v>4.6100000000000003</v>
      </c>
      <c r="L47" s="24">
        <f>[1]SIM!$AU$4</f>
        <v>4.6100000000000003</v>
      </c>
      <c r="M47" s="22">
        <f>IF(IN[[#This Row],[Sim_]]=IN[[#This Row],[Sim Var ref]],1,0)</f>
        <v>1</v>
      </c>
      <c r="N47" s="8" t="str">
        <f>[1]SIM!$AU$7</f>
        <v>p46</v>
      </c>
      <c r="O47" s="8">
        <v>47</v>
      </c>
      <c r="P47" s="25" t="e">
        <f>[1]SIM!$AU$3</f>
        <v>#REF!</v>
      </c>
      <c r="Q47" s="22" t="e">
        <f>IF(IN[[#This Row],[Sim_]]=IN[[#This Row],[Direkt alt]],1,0)</f>
        <v>#REF!</v>
      </c>
      <c r="R47" s="10">
        <v>4.5</v>
      </c>
      <c r="S47" s="22">
        <f>IF(IN[[#This Row],[Sim_]]=IN[[#This Row],[Buffer]],1,0)</f>
        <v>0</v>
      </c>
      <c r="T47" s="11">
        <v>4</v>
      </c>
      <c r="U47" s="21">
        <f>IN[[#This Row],[Buffer]]</f>
        <v>4.5</v>
      </c>
      <c r="V47" s="29">
        <v>4.6100000000000003</v>
      </c>
      <c r="W47" s="29">
        <v>2.8784676015576101</v>
      </c>
      <c r="X47" s="29">
        <v>5</v>
      </c>
      <c r="Y47" s="11">
        <v>4</v>
      </c>
      <c r="Z47" s="27">
        <v>5</v>
      </c>
      <c r="AA47" s="27">
        <v>4.6100000000000003</v>
      </c>
      <c r="AB47" s="27">
        <v>4.6100000000000003</v>
      </c>
      <c r="AC47" s="28">
        <v>5</v>
      </c>
      <c r="AD47">
        <v>4.5</v>
      </c>
      <c r="AE47">
        <v>4.5</v>
      </c>
      <c r="AF47">
        <v>4.5</v>
      </c>
      <c r="AG47">
        <v>4.5</v>
      </c>
      <c r="AH47">
        <v>4.5</v>
      </c>
      <c r="AI47">
        <v>4.6100000000000003</v>
      </c>
      <c r="AJ47">
        <v>4.6100000000000003</v>
      </c>
    </row>
    <row r="48" spans="1:36" x14ac:dyDescent="0.25">
      <c r="A48" s="41" t="s">
        <v>89</v>
      </c>
      <c r="B48" s="15" t="s">
        <v>96</v>
      </c>
      <c r="C48" s="16"/>
      <c r="D48" s="16"/>
      <c r="E48" s="17" t="s">
        <v>65</v>
      </c>
      <c r="F48" s="18"/>
      <c r="G48" s="42" t="s">
        <v>91</v>
      </c>
      <c r="H48" s="20">
        <v>0</v>
      </c>
      <c r="I48" s="21">
        <f>IN[[#This Row],[Buffer]]</f>
        <v>4.5</v>
      </c>
      <c r="J48" s="22">
        <f>IF(IN[[#This Row],[Sim_]]=IN[[#This Row],[STAGE]],1,0)</f>
        <v>0</v>
      </c>
      <c r="K48" s="23">
        <f>[1]SIM!$AV$8</f>
        <v>4.6100000000000003</v>
      </c>
      <c r="L48" s="24">
        <f>[1]SIM!$AV$4</f>
        <v>4.6100000000000003</v>
      </c>
      <c r="M48" s="22">
        <f>IF(IN[[#This Row],[Sim_]]=IN[[#This Row],[Sim Var ref]],1,0)</f>
        <v>1</v>
      </c>
      <c r="N48" s="8" t="str">
        <f>[1]SIM!$AV$7</f>
        <v>p47</v>
      </c>
      <c r="O48" s="8">
        <v>48</v>
      </c>
      <c r="P48" s="25" t="e">
        <f>[1]SIM!$AV$3</f>
        <v>#REF!</v>
      </c>
      <c r="Q48" s="22" t="e">
        <f>IF(IN[[#This Row],[Sim_]]=IN[[#This Row],[Direkt alt]],1,0)</f>
        <v>#REF!</v>
      </c>
      <c r="R48" s="10">
        <v>4.5</v>
      </c>
      <c r="S48" s="22">
        <f>IF(IN[[#This Row],[Sim_]]=IN[[#This Row],[Buffer]],1,0)</f>
        <v>0</v>
      </c>
      <c r="T48" s="11">
        <v>4</v>
      </c>
      <c r="U48" s="21">
        <f>IN[[#This Row],[Buffer]]</f>
        <v>4.5</v>
      </c>
      <c r="V48" s="29">
        <v>4.6100000000000003</v>
      </c>
      <c r="W48" s="29">
        <v>2.8784676015576101</v>
      </c>
      <c r="X48" s="29">
        <v>5</v>
      </c>
      <c r="Y48" s="11">
        <v>4</v>
      </c>
      <c r="Z48" s="27">
        <v>5</v>
      </c>
      <c r="AA48" s="27">
        <v>4.6100000000000003</v>
      </c>
      <c r="AB48" s="27">
        <v>4.6100000000000003</v>
      </c>
      <c r="AC48" s="28">
        <v>5</v>
      </c>
      <c r="AD48">
        <v>4.5</v>
      </c>
      <c r="AE48">
        <v>4.5</v>
      </c>
      <c r="AF48">
        <v>4.5</v>
      </c>
      <c r="AG48">
        <v>4.5</v>
      </c>
      <c r="AH48">
        <v>4.5</v>
      </c>
      <c r="AI48">
        <v>4.6100000000000003</v>
      </c>
      <c r="AJ48">
        <v>4.6100000000000003</v>
      </c>
    </row>
    <row r="49" spans="1:36" x14ac:dyDescent="0.25">
      <c r="A49" s="41" t="s">
        <v>89</v>
      </c>
      <c r="B49" s="15" t="s">
        <v>97</v>
      </c>
      <c r="C49" s="16"/>
      <c r="D49" s="16"/>
      <c r="E49" s="17" t="s">
        <v>65</v>
      </c>
      <c r="F49" s="18"/>
      <c r="G49" s="42" t="s">
        <v>91</v>
      </c>
      <c r="H49" s="20">
        <v>0</v>
      </c>
      <c r="I49" s="21">
        <f>IN[[#This Row],[Buffer]]</f>
        <v>4.5</v>
      </c>
      <c r="J49" s="22">
        <f>IF(IN[[#This Row],[Sim_]]=IN[[#This Row],[STAGE]],1,0)</f>
        <v>0</v>
      </c>
      <c r="K49" s="23">
        <f>[1]SIM!$AW$8</f>
        <v>4.6100000000000003</v>
      </c>
      <c r="L49" s="24">
        <f>[1]SIM!$AW$4</f>
        <v>4.6100000000000003</v>
      </c>
      <c r="M49" s="22">
        <f>IF(IN[[#This Row],[Sim_]]=IN[[#This Row],[Sim Var ref]],1,0)</f>
        <v>1</v>
      </c>
      <c r="N49" s="8" t="str">
        <f>[1]SIM!$AW$7</f>
        <v>p48</v>
      </c>
      <c r="O49" s="8">
        <v>49</v>
      </c>
      <c r="P49" s="25" t="e">
        <f>[1]SIM!$AW$3</f>
        <v>#REF!</v>
      </c>
      <c r="Q49" s="22" t="e">
        <f>IF(IN[[#This Row],[Sim_]]=IN[[#This Row],[Direkt alt]],1,0)</f>
        <v>#REF!</v>
      </c>
      <c r="R49" s="10">
        <v>4.5</v>
      </c>
      <c r="S49" s="22">
        <f>IF(IN[[#This Row],[Sim_]]=IN[[#This Row],[Buffer]],1,0)</f>
        <v>0</v>
      </c>
      <c r="T49" s="11">
        <v>4</v>
      </c>
      <c r="U49" s="21">
        <f>IN[[#This Row],[Buffer]]</f>
        <v>4.5</v>
      </c>
      <c r="V49" s="29">
        <v>4.6100000000000003</v>
      </c>
      <c r="W49" s="29">
        <v>2.8784676015576101</v>
      </c>
      <c r="X49" s="29">
        <v>5</v>
      </c>
      <c r="Y49" s="11">
        <v>4</v>
      </c>
      <c r="Z49" s="27">
        <v>5</v>
      </c>
      <c r="AA49" s="27">
        <v>4.6100000000000003</v>
      </c>
      <c r="AB49" s="27">
        <v>4.6100000000000003</v>
      </c>
      <c r="AC49" s="28">
        <v>5</v>
      </c>
      <c r="AD49">
        <v>4.5</v>
      </c>
      <c r="AE49">
        <v>4.5</v>
      </c>
      <c r="AF49">
        <v>4.5</v>
      </c>
      <c r="AG49">
        <v>4.5</v>
      </c>
      <c r="AH49">
        <v>4.5</v>
      </c>
      <c r="AI49">
        <v>4.6100000000000003</v>
      </c>
      <c r="AJ49">
        <v>4.6100000000000003</v>
      </c>
    </row>
    <row r="50" spans="1:36" x14ac:dyDescent="0.25">
      <c r="A50" s="41" t="s">
        <v>89</v>
      </c>
      <c r="B50" s="15" t="s">
        <v>98</v>
      </c>
      <c r="C50" s="16"/>
      <c r="D50" s="16"/>
      <c r="E50" s="17" t="s">
        <v>65</v>
      </c>
      <c r="F50" s="18"/>
      <c r="G50" s="42" t="s">
        <v>91</v>
      </c>
      <c r="H50" s="20">
        <v>0</v>
      </c>
      <c r="I50" s="21">
        <f>IN[[#This Row],[Buffer]]</f>
        <v>4.5</v>
      </c>
      <c r="J50" s="22">
        <f>IF(IN[[#This Row],[Sim_]]=IN[[#This Row],[STAGE]],1,0)</f>
        <v>0</v>
      </c>
      <c r="K50" s="23">
        <f>[1]SIM!$AX$8</f>
        <v>4.6100000000000003</v>
      </c>
      <c r="L50" s="24">
        <f>[1]SIM!$AX$4</f>
        <v>4.6100000000000003</v>
      </c>
      <c r="M50" s="22">
        <f>IF(IN[[#This Row],[Sim_]]=IN[[#This Row],[Sim Var ref]],1,0)</f>
        <v>1</v>
      </c>
      <c r="N50" s="8" t="str">
        <f>[1]SIM!$AX$7</f>
        <v>p49</v>
      </c>
      <c r="O50" s="8">
        <v>50</v>
      </c>
      <c r="P50" s="25" t="e">
        <f>[1]SIM!$AX$3</f>
        <v>#REF!</v>
      </c>
      <c r="Q50" s="22" t="e">
        <f>IF(IN[[#This Row],[Sim_]]=IN[[#This Row],[Direkt alt]],1,0)</f>
        <v>#REF!</v>
      </c>
      <c r="R50" s="10">
        <v>4.5</v>
      </c>
      <c r="S50" s="22">
        <f>IF(IN[[#This Row],[Sim_]]=IN[[#This Row],[Buffer]],1,0)</f>
        <v>0</v>
      </c>
      <c r="T50" s="11">
        <v>4</v>
      </c>
      <c r="U50" s="21">
        <f>IN[[#This Row],[Buffer]]</f>
        <v>4.5</v>
      </c>
      <c r="V50" s="29">
        <v>4.6100000000000003</v>
      </c>
      <c r="W50" s="29">
        <v>2.8784676015576101</v>
      </c>
      <c r="X50" s="29">
        <v>5</v>
      </c>
      <c r="Y50" s="11">
        <v>4</v>
      </c>
      <c r="Z50" s="27">
        <v>5</v>
      </c>
      <c r="AA50" s="27">
        <v>4.6100000000000003</v>
      </c>
      <c r="AB50" s="27">
        <v>4.6100000000000003</v>
      </c>
      <c r="AC50" s="28">
        <v>5</v>
      </c>
      <c r="AD50">
        <v>4.5</v>
      </c>
      <c r="AE50">
        <v>4.5</v>
      </c>
      <c r="AF50">
        <v>4.5</v>
      </c>
      <c r="AG50">
        <v>4.5</v>
      </c>
      <c r="AH50">
        <v>4.5</v>
      </c>
      <c r="AI50">
        <v>4.6100000000000003</v>
      </c>
      <c r="AJ50">
        <v>4.6100000000000003</v>
      </c>
    </row>
    <row r="51" spans="1:36" x14ac:dyDescent="0.25">
      <c r="A51" s="41" t="s">
        <v>89</v>
      </c>
      <c r="B51" s="15" t="s">
        <v>99</v>
      </c>
      <c r="C51" s="16"/>
      <c r="D51" s="16"/>
      <c r="E51" s="17" t="s">
        <v>78</v>
      </c>
      <c r="F51" s="18"/>
      <c r="G51" s="42" t="s">
        <v>91</v>
      </c>
      <c r="H51" s="20">
        <v>0</v>
      </c>
      <c r="I51" s="21">
        <f>IN[[#This Row],[Buffer]]</f>
        <v>4.5</v>
      </c>
      <c r="J51" s="22">
        <f>IF(IN[[#This Row],[Sim_]]=IN[[#This Row],[STAGE]],1,0)</f>
        <v>0</v>
      </c>
      <c r="K51" s="23">
        <f>[1]SIM!$AY$8</f>
        <v>4.6100000000000003</v>
      </c>
      <c r="L51" s="44">
        <f>[1]SIM!$AY$4</f>
        <v>4.6100000000000003</v>
      </c>
      <c r="M51" s="22">
        <f>IF(IN[[#This Row],[Sim_]]=IN[[#This Row],[Sim Var ref]],1,0)</f>
        <v>1</v>
      </c>
      <c r="N51" s="8" t="str">
        <f>[1]SIM!$AY$7</f>
        <v>p50</v>
      </c>
      <c r="O51" s="8">
        <v>51</v>
      </c>
      <c r="P51" s="45" t="e">
        <f>[1]SIM!$AY$3</f>
        <v>#REF!</v>
      </c>
      <c r="Q51" s="22" t="e">
        <f>IF(IN[[#This Row],[Sim_]]=IN[[#This Row],[Direkt alt]],1,0)</f>
        <v>#REF!</v>
      </c>
      <c r="R51" s="10">
        <v>4.5</v>
      </c>
      <c r="S51" s="22">
        <f>IF(IN[[#This Row],[Sim_]]=IN[[#This Row],[Buffer]],1,0)</f>
        <v>0</v>
      </c>
      <c r="T51" s="11">
        <v>4</v>
      </c>
      <c r="U51" s="21">
        <f>IN[[#This Row],[Buffer]]</f>
        <v>4.5</v>
      </c>
      <c r="V51" s="29">
        <v>4.5999999999999996</v>
      </c>
      <c r="W51" s="29">
        <v>2.8784676015576101</v>
      </c>
      <c r="X51" s="29">
        <v>5</v>
      </c>
      <c r="Y51" s="11">
        <v>4</v>
      </c>
      <c r="Z51" s="27">
        <v>5</v>
      </c>
      <c r="AA51" s="27">
        <v>4.5999999999999996</v>
      </c>
      <c r="AB51" s="27">
        <v>4.6100000000000003</v>
      </c>
      <c r="AC51" s="28">
        <v>5</v>
      </c>
      <c r="AD51">
        <v>4.5</v>
      </c>
      <c r="AE51">
        <v>4.5</v>
      </c>
      <c r="AF51">
        <v>4.5</v>
      </c>
      <c r="AG51">
        <v>4.5</v>
      </c>
      <c r="AH51">
        <v>4.5</v>
      </c>
      <c r="AI51">
        <v>4.6100000000000003</v>
      </c>
      <c r="AJ51">
        <v>4.6100000000000003</v>
      </c>
    </row>
    <row r="52" spans="1:36" x14ac:dyDescent="0.25">
      <c r="A52" s="41" t="s">
        <v>89</v>
      </c>
      <c r="B52" s="15" t="s">
        <v>100</v>
      </c>
      <c r="C52" s="16"/>
      <c r="D52" s="16"/>
      <c r="E52" s="17" t="s">
        <v>65</v>
      </c>
      <c r="F52" s="18"/>
      <c r="G52" s="42" t="s">
        <v>91</v>
      </c>
      <c r="H52" s="20">
        <v>0</v>
      </c>
      <c r="I52" s="21">
        <f>IN[[#This Row],[Buffer]]</f>
        <v>0.80000000000000016</v>
      </c>
      <c r="J52" s="22">
        <f>IF(IN[[#This Row],[Sim_]]=IN[[#This Row],[STAGE]],1,0)</f>
        <v>0</v>
      </c>
      <c r="K52" s="23">
        <f>[1]SIM!$AZ$8</f>
        <v>0.95</v>
      </c>
      <c r="L52" s="24">
        <f>[1]SIM!$AZ$4</f>
        <v>0.95</v>
      </c>
      <c r="M52" s="22">
        <f>IF(IN[[#This Row],[Sim_]]=IN[[#This Row],[Sim Var ref]],1,0)</f>
        <v>1</v>
      </c>
      <c r="N52" s="8" t="str">
        <f>[1]SIM!$AZ$7</f>
        <v>p51</v>
      </c>
      <c r="O52" s="8">
        <v>52</v>
      </c>
      <c r="P52" s="25" t="e">
        <f>[1]SIM!$AZ$3</f>
        <v>#REF!</v>
      </c>
      <c r="Q52" s="22" t="e">
        <f>IF(IN[[#This Row],[Sim_]]=IN[[#This Row],[Direkt alt]],1,0)</f>
        <v>#REF!</v>
      </c>
      <c r="R52" s="10">
        <v>0.80000000000000016</v>
      </c>
      <c r="S52" s="22">
        <f>IF(IN[[#This Row],[Sim_]]=IN[[#This Row],[Buffer]],1,0)</f>
        <v>0</v>
      </c>
      <c r="T52" s="11">
        <v>0.95</v>
      </c>
      <c r="U52" s="21">
        <f>IN[[#This Row],[Buffer]]</f>
        <v>0.80000000000000016</v>
      </c>
      <c r="V52" s="29">
        <v>0.95</v>
      </c>
      <c r="W52" s="29">
        <v>0.95</v>
      </c>
      <c r="X52" s="29">
        <v>0.95</v>
      </c>
      <c r="Y52" s="11">
        <v>0.95</v>
      </c>
      <c r="Z52" s="27">
        <v>0.95</v>
      </c>
      <c r="AA52" s="27">
        <v>0.95</v>
      </c>
      <c r="AB52" s="27">
        <v>0.95</v>
      </c>
      <c r="AC52" s="28">
        <v>0.95</v>
      </c>
      <c r="AD52">
        <v>0.80000000000000016</v>
      </c>
      <c r="AE52">
        <v>0.80000000000000016</v>
      </c>
      <c r="AF52">
        <v>0.80000000000000016</v>
      </c>
      <c r="AG52">
        <v>0.80000000000000016</v>
      </c>
      <c r="AH52">
        <v>0.80000000000000016</v>
      </c>
      <c r="AI52">
        <v>0.95</v>
      </c>
      <c r="AJ52">
        <v>0.95</v>
      </c>
    </row>
    <row r="53" spans="1:36" x14ac:dyDescent="0.25">
      <c r="A53" s="41" t="s">
        <v>89</v>
      </c>
      <c r="B53" s="15" t="s">
        <v>101</v>
      </c>
      <c r="C53" s="16"/>
      <c r="D53" s="16"/>
      <c r="E53" s="17" t="s">
        <v>65</v>
      </c>
      <c r="F53" s="18"/>
      <c r="G53" s="42" t="s">
        <v>91</v>
      </c>
      <c r="H53" s="20">
        <v>0</v>
      </c>
      <c r="I53" s="21">
        <f>IN[[#This Row],[Buffer]]</f>
        <v>0.80000000000000016</v>
      </c>
      <c r="J53" s="22">
        <f>IF(IN[[#This Row],[Sim_]]=IN[[#This Row],[STAGE]],1,0)</f>
        <v>0</v>
      </c>
      <c r="K53" s="23">
        <f>[1]SIM!$BA$8</f>
        <v>0.95</v>
      </c>
      <c r="L53" s="24">
        <f>[1]SIM!$BA$4</f>
        <v>0.95</v>
      </c>
      <c r="M53" s="22">
        <f>IF(IN[[#This Row],[Sim_]]=IN[[#This Row],[Sim Var ref]],1,0)</f>
        <v>1</v>
      </c>
      <c r="N53" s="8" t="str">
        <f>[1]SIM!$BA$7</f>
        <v>p52</v>
      </c>
      <c r="O53" s="8">
        <v>53</v>
      </c>
      <c r="P53" s="25" t="e">
        <f>[1]SIM!$BA$3</f>
        <v>#REF!</v>
      </c>
      <c r="Q53" s="22" t="e">
        <f>IF(IN[[#This Row],[Sim_]]=IN[[#This Row],[Direkt alt]],1,0)</f>
        <v>#REF!</v>
      </c>
      <c r="R53" s="10">
        <v>0.80000000000000016</v>
      </c>
      <c r="S53" s="22">
        <f>IF(IN[[#This Row],[Sim_]]=IN[[#This Row],[Buffer]],1,0)</f>
        <v>0</v>
      </c>
      <c r="T53" s="11">
        <v>0.95</v>
      </c>
      <c r="U53" s="21">
        <f>IN[[#This Row],[Buffer]]</f>
        <v>0.80000000000000016</v>
      </c>
      <c r="V53" s="29">
        <v>0.95</v>
      </c>
      <c r="W53" s="29">
        <v>0.95</v>
      </c>
      <c r="X53" s="29">
        <v>0.95</v>
      </c>
      <c r="Y53" s="11">
        <v>0.95</v>
      </c>
      <c r="Z53" s="27">
        <v>0.95</v>
      </c>
      <c r="AA53" s="27">
        <v>0.95</v>
      </c>
      <c r="AB53" s="27">
        <v>0.95</v>
      </c>
      <c r="AC53" s="28">
        <v>0.95</v>
      </c>
      <c r="AD53">
        <v>0.80000000000000016</v>
      </c>
      <c r="AE53">
        <v>0.80000000000000016</v>
      </c>
      <c r="AF53">
        <v>0.80000000000000016</v>
      </c>
      <c r="AG53">
        <v>0.80000000000000016</v>
      </c>
      <c r="AH53">
        <v>0.80000000000000016</v>
      </c>
      <c r="AI53">
        <v>0.95</v>
      </c>
      <c r="AJ53">
        <v>0.95</v>
      </c>
    </row>
    <row r="54" spans="1:36" x14ac:dyDescent="0.25">
      <c r="A54" s="46" t="s">
        <v>102</v>
      </c>
      <c r="B54" s="15" t="s">
        <v>103</v>
      </c>
      <c r="C54" s="16"/>
      <c r="D54" s="16"/>
      <c r="E54" s="17" t="s">
        <v>65</v>
      </c>
      <c r="F54" s="18"/>
      <c r="G54" s="47" t="s">
        <v>104</v>
      </c>
      <c r="H54" s="20">
        <v>0</v>
      </c>
      <c r="I54" s="21">
        <f>IN[[#This Row],[Buffer]]</f>
        <v>26.000000000000004</v>
      </c>
      <c r="J54" s="22">
        <f>IF(IN[[#This Row],[Sim_]]=IN[[#This Row],[STAGE]],1,0)</f>
        <v>0</v>
      </c>
      <c r="K54" s="23">
        <f>[1]SIM!$BB$8</f>
        <v>25</v>
      </c>
      <c r="L54" s="24">
        <f>[1]SIM!$BB$4</f>
        <v>25</v>
      </c>
      <c r="M54" s="22">
        <f>IF(IN[[#This Row],[Sim_]]=IN[[#This Row],[Sim Var ref]],1,0)</f>
        <v>1</v>
      </c>
      <c r="N54" s="8" t="str">
        <f>[1]SIM!$BB$7</f>
        <v>p53</v>
      </c>
      <c r="O54" s="8">
        <v>54</v>
      </c>
      <c r="P54" s="25" t="e">
        <f>[1]SIM!$BB$3</f>
        <v>#REF!</v>
      </c>
      <c r="Q54" s="22" t="e">
        <f>IF(IN[[#This Row],[Sim_]]=IN[[#This Row],[Direkt alt]],1,0)</f>
        <v>#REF!</v>
      </c>
      <c r="R54" s="10">
        <v>26.000000000000004</v>
      </c>
      <c r="S54" s="22">
        <f>IF(IN[[#This Row],[Sim_]]=IN[[#This Row],[Buffer]],1,0)</f>
        <v>0</v>
      </c>
      <c r="T54" s="11">
        <v>26</v>
      </c>
      <c r="U54" s="21">
        <f>IN[[#This Row],[Buffer]]</f>
        <v>26.000000000000004</v>
      </c>
      <c r="V54" s="29">
        <v>25</v>
      </c>
      <c r="W54" s="29">
        <v>25</v>
      </c>
      <c r="X54" s="29">
        <v>25</v>
      </c>
      <c r="Y54" s="11">
        <v>26</v>
      </c>
      <c r="Z54" s="27">
        <v>25</v>
      </c>
      <c r="AA54" s="27">
        <v>25</v>
      </c>
      <c r="AB54" s="27">
        <v>25</v>
      </c>
      <c r="AC54" s="28">
        <v>25</v>
      </c>
      <c r="AD54">
        <v>26.000000000000004</v>
      </c>
      <c r="AE54">
        <v>26.000000000000004</v>
      </c>
      <c r="AF54">
        <v>26.000000000000004</v>
      </c>
      <c r="AG54">
        <v>26.000000000000004</v>
      </c>
      <c r="AH54">
        <v>26.000000000000004</v>
      </c>
      <c r="AI54">
        <v>25</v>
      </c>
      <c r="AJ54">
        <v>25</v>
      </c>
    </row>
    <row r="55" spans="1:36" x14ac:dyDescent="0.25">
      <c r="A55" s="46" t="s">
        <v>102</v>
      </c>
      <c r="B55" s="15" t="s">
        <v>105</v>
      </c>
      <c r="C55" s="16"/>
      <c r="D55" s="16"/>
      <c r="E55" s="17" t="s">
        <v>65</v>
      </c>
      <c r="F55" s="18"/>
      <c r="G55" s="47" t="s">
        <v>104</v>
      </c>
      <c r="H55" s="20">
        <v>0</v>
      </c>
      <c r="I55" s="21">
        <f>IN[[#This Row],[Buffer]]</f>
        <v>26.000000000000004</v>
      </c>
      <c r="J55" s="22">
        <f>IF(IN[[#This Row],[Sim_]]=IN[[#This Row],[STAGE]],1,0)</f>
        <v>0</v>
      </c>
      <c r="K55" s="23">
        <f>[1]SIM!$BC$8</f>
        <v>23</v>
      </c>
      <c r="L55" s="24">
        <f>[1]SIM!$BC$4</f>
        <v>23</v>
      </c>
      <c r="M55" s="22">
        <f>IF(IN[[#This Row],[Sim_]]=IN[[#This Row],[Sim Var ref]],1,0)</f>
        <v>1</v>
      </c>
      <c r="N55" s="8" t="str">
        <f>[1]SIM!$BC$7</f>
        <v>p54</v>
      </c>
      <c r="O55" s="8">
        <v>55</v>
      </c>
      <c r="P55" s="25" t="e">
        <f>[1]SIM!$BC$3</f>
        <v>#REF!</v>
      </c>
      <c r="Q55" s="22" t="e">
        <f>IF(IN[[#This Row],[Sim_]]=IN[[#This Row],[Direkt alt]],1,0)</f>
        <v>#REF!</v>
      </c>
      <c r="R55" s="10">
        <v>26.000000000000004</v>
      </c>
      <c r="S55" s="22">
        <f>IF(IN[[#This Row],[Sim_]]=IN[[#This Row],[Buffer]],1,0)</f>
        <v>0</v>
      </c>
      <c r="T55" s="11">
        <v>23</v>
      </c>
      <c r="U55" s="21">
        <f>IN[[#This Row],[Buffer]]</f>
        <v>26.000000000000004</v>
      </c>
      <c r="V55" s="29">
        <v>23</v>
      </c>
      <c r="W55" s="29">
        <v>23</v>
      </c>
      <c r="X55" s="29">
        <v>23</v>
      </c>
      <c r="Y55" s="11">
        <v>23</v>
      </c>
      <c r="Z55" s="27">
        <v>23</v>
      </c>
      <c r="AA55" s="27">
        <v>23</v>
      </c>
      <c r="AB55" s="27">
        <v>23</v>
      </c>
      <c r="AC55" s="28">
        <v>23</v>
      </c>
      <c r="AD55">
        <v>26.000000000000004</v>
      </c>
      <c r="AE55">
        <v>26.000000000000004</v>
      </c>
      <c r="AF55">
        <v>26.000000000000004</v>
      </c>
      <c r="AG55">
        <v>26.000000000000004</v>
      </c>
      <c r="AH55">
        <v>26.000000000000004</v>
      </c>
      <c r="AI55">
        <v>23</v>
      </c>
      <c r="AJ55">
        <v>23</v>
      </c>
    </row>
    <row r="56" spans="1:36" x14ac:dyDescent="0.25">
      <c r="A56" s="46" t="s">
        <v>102</v>
      </c>
      <c r="B56" s="15" t="s">
        <v>93</v>
      </c>
      <c r="C56" s="16"/>
      <c r="D56" s="16"/>
      <c r="E56" s="17" t="s">
        <v>65</v>
      </c>
      <c r="F56" s="18"/>
      <c r="G56" s="47" t="s">
        <v>104</v>
      </c>
      <c r="H56" s="20">
        <v>0</v>
      </c>
      <c r="I56" s="21">
        <f>IN[[#This Row],[Buffer]]</f>
        <v>0.84999999999999976</v>
      </c>
      <c r="J56" s="22">
        <f>IF(IN[[#This Row],[Sim_]]=IN[[#This Row],[STAGE]],1,0)</f>
        <v>0</v>
      </c>
      <c r="K56" s="23">
        <f>[1]SIM!$BD$8</f>
        <v>0.95</v>
      </c>
      <c r="L56" s="24">
        <f>[1]SIM!$BD$4</f>
        <v>0.95</v>
      </c>
      <c r="M56" s="22">
        <f>IF(IN[[#This Row],[Sim_]]=IN[[#This Row],[Sim Var ref]],1,0)</f>
        <v>1</v>
      </c>
      <c r="N56" s="8" t="str">
        <f>[1]SIM!$BD$7</f>
        <v>p55</v>
      </c>
      <c r="O56" s="8">
        <v>56</v>
      </c>
      <c r="P56" s="25" t="e">
        <f>[1]SIM!$BD$3</f>
        <v>#REF!</v>
      </c>
      <c r="Q56" s="22" t="e">
        <f>IF(IN[[#This Row],[Sim_]]=IN[[#This Row],[Direkt alt]],1,0)</f>
        <v>#REF!</v>
      </c>
      <c r="R56" s="10">
        <v>0.84999999999999976</v>
      </c>
      <c r="S56" s="22">
        <f>IF(IN[[#This Row],[Sim_]]=IN[[#This Row],[Buffer]],1,0)</f>
        <v>0</v>
      </c>
      <c r="T56" s="11">
        <v>0.95</v>
      </c>
      <c r="U56" s="21">
        <f>IN[[#This Row],[Buffer]]</f>
        <v>0.84999999999999976</v>
      </c>
      <c r="V56" s="29">
        <v>0.95</v>
      </c>
      <c r="W56" s="29">
        <v>0.95</v>
      </c>
      <c r="X56" s="29">
        <v>0.95</v>
      </c>
      <c r="Y56" s="11">
        <v>0.95</v>
      </c>
      <c r="Z56" s="27">
        <v>0.95</v>
      </c>
      <c r="AA56" s="27">
        <v>0.95</v>
      </c>
      <c r="AB56" s="27">
        <v>0.95</v>
      </c>
      <c r="AC56" s="28">
        <v>0.95</v>
      </c>
      <c r="AD56">
        <v>0.84999999999999976</v>
      </c>
      <c r="AE56">
        <v>0.84999999999999976</v>
      </c>
      <c r="AF56">
        <v>0.84999999999999976</v>
      </c>
      <c r="AG56">
        <v>0.84999999999999976</v>
      </c>
      <c r="AH56">
        <v>0.84999999999999976</v>
      </c>
      <c r="AI56">
        <v>0.95</v>
      </c>
      <c r="AJ56">
        <v>0.95</v>
      </c>
    </row>
    <row r="57" spans="1:36" x14ac:dyDescent="0.25">
      <c r="A57" s="46" t="s">
        <v>102</v>
      </c>
      <c r="B57" s="15" t="s">
        <v>106</v>
      </c>
      <c r="C57" s="16"/>
      <c r="D57" s="16"/>
      <c r="E57" s="17" t="s">
        <v>65</v>
      </c>
      <c r="F57" s="18"/>
      <c r="G57" s="47" t="s">
        <v>104</v>
      </c>
      <c r="H57" s="20">
        <v>0</v>
      </c>
      <c r="I57" s="21">
        <f>IN[[#This Row],[Buffer]]</f>
        <v>50</v>
      </c>
      <c r="J57" s="22">
        <f>IF(IN[[#This Row],[Sim_]]=IN[[#This Row],[STAGE]],1,0)</f>
        <v>0</v>
      </c>
      <c r="K57" s="23">
        <f>[1]SIM!$BE$8</f>
        <v>25.331283949143437</v>
      </c>
      <c r="L57" s="24">
        <f>[1]SIM!$BE$4</f>
        <v>25.331283949143437</v>
      </c>
      <c r="M57" s="22">
        <f>IF(IN[[#This Row],[Sim_]]=IN[[#This Row],[Sim Var ref]],1,0)</f>
        <v>1</v>
      </c>
      <c r="N57" s="8" t="str">
        <f>[1]SIM!$BE$7</f>
        <v>p56</v>
      </c>
      <c r="O57" s="8">
        <v>57</v>
      </c>
      <c r="P57" s="25" t="e">
        <f>[1]SIM!$BE$3</f>
        <v>#REF!</v>
      </c>
      <c r="Q57" s="22" t="e">
        <f>IF(IN[[#This Row],[Sim_]]=IN[[#This Row],[Direkt alt]],1,0)</f>
        <v>#REF!</v>
      </c>
      <c r="R57" s="10">
        <v>50</v>
      </c>
      <c r="S57" s="22">
        <f>IF(IN[[#This Row],[Sim_]]=IN[[#This Row],[Buffer]],1,0)</f>
        <v>0</v>
      </c>
      <c r="T57" s="11">
        <v>40</v>
      </c>
      <c r="U57" s="21">
        <f>IN[[#This Row],[Buffer]]</f>
        <v>50</v>
      </c>
      <c r="V57" s="29">
        <v>25.331283949143437</v>
      </c>
      <c r="W57" s="29">
        <v>10</v>
      </c>
      <c r="X57" s="29">
        <v>50</v>
      </c>
      <c r="Y57" s="11">
        <v>40</v>
      </c>
      <c r="Z57" s="27">
        <v>50</v>
      </c>
      <c r="AA57" s="27">
        <v>25.331283949143437</v>
      </c>
      <c r="AB57" s="27">
        <v>25.331283949143437</v>
      </c>
      <c r="AC57" s="28">
        <v>50</v>
      </c>
      <c r="AD57">
        <v>50</v>
      </c>
      <c r="AE57">
        <v>50</v>
      </c>
      <c r="AF57">
        <v>50</v>
      </c>
      <c r="AG57">
        <v>50</v>
      </c>
      <c r="AH57">
        <v>50</v>
      </c>
      <c r="AI57">
        <v>25.331283949143437</v>
      </c>
      <c r="AJ57">
        <v>25.331283949143437</v>
      </c>
    </row>
    <row r="58" spans="1:36" x14ac:dyDescent="0.25">
      <c r="A58" s="46" t="s">
        <v>102</v>
      </c>
      <c r="B58" s="48"/>
      <c r="C58" s="49"/>
      <c r="D58" s="49"/>
      <c r="E58" s="31" t="s">
        <v>53</v>
      </c>
      <c r="F58" s="50"/>
      <c r="G58" s="51"/>
      <c r="H58" s="20">
        <v>0</v>
      </c>
      <c r="I58" s="21">
        <f>IN[[#This Row],[Buffer]]</f>
        <v>0</v>
      </c>
      <c r="J58" s="33">
        <f>IF(IN[[#This Row],[Sim_]]=IN[[#This Row],[STAGE]],1,0)</f>
        <v>1</v>
      </c>
      <c r="K58" s="34">
        <f>[1]SIM!$BF$8</f>
        <v>0</v>
      </c>
      <c r="L58" s="52">
        <f>[1]SIM!$BF$4</f>
        <v>0</v>
      </c>
      <c r="M58" s="33">
        <f>IF(IN[[#This Row],[Sim_]]=IN[[#This Row],[Sim Var ref]],1,0)</f>
        <v>1</v>
      </c>
      <c r="N58" s="8">
        <f>[1]SIM!$BF$7</f>
        <v>0</v>
      </c>
      <c r="O58" s="8">
        <v>58</v>
      </c>
      <c r="P58" s="53">
        <f>[1]SIM!$BF$3</f>
        <v>0</v>
      </c>
      <c r="Q58" s="33">
        <f>IF(IN[[#This Row],[Sim_]]=IN[[#This Row],[Direkt alt]],1,0)</f>
        <v>1</v>
      </c>
      <c r="R58" s="10">
        <v>0</v>
      </c>
      <c r="S58" s="33">
        <f>IF(IN[[#This Row],[Sim_]]=IN[[#This Row],[Buffer]],1,0)</f>
        <v>1</v>
      </c>
      <c r="T58" s="11">
        <v>4.84</v>
      </c>
      <c r="U58" s="21">
        <f>IN[[#This Row],[Buffer]]</f>
        <v>0</v>
      </c>
      <c r="V58" s="29">
        <v>4.84</v>
      </c>
      <c r="W58" s="29">
        <v>3</v>
      </c>
      <c r="X58" s="29">
        <v>0</v>
      </c>
      <c r="Y58" s="11">
        <v>4.84</v>
      </c>
      <c r="Z58" s="54">
        <v>0</v>
      </c>
      <c r="AA58" s="54">
        <v>4.84</v>
      </c>
      <c r="AB58" s="54">
        <v>0</v>
      </c>
      <c r="AC58" s="2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46" t="s">
        <v>102</v>
      </c>
      <c r="B59" s="15" t="s">
        <v>95</v>
      </c>
      <c r="C59" s="16"/>
      <c r="D59" s="16"/>
      <c r="E59" s="17" t="s">
        <v>65</v>
      </c>
      <c r="F59" s="18"/>
      <c r="G59" s="47" t="s">
        <v>104</v>
      </c>
      <c r="H59" s="20">
        <v>0</v>
      </c>
      <c r="I59" s="21">
        <f>IN[[#This Row],[Buffer]]</f>
        <v>5</v>
      </c>
      <c r="J59" s="22">
        <f>IF(IN[[#This Row],[Sim_]]=IN[[#This Row],[STAGE]],1,0)</f>
        <v>0</v>
      </c>
      <c r="K59" s="23">
        <f>[1]SIM!$BG$8</f>
        <v>5.4</v>
      </c>
      <c r="L59" s="24">
        <f>[1]SIM!$BG$4</f>
        <v>5.4</v>
      </c>
      <c r="M59" s="22">
        <f>IF(IN[[#This Row],[Sim_]]=IN[[#This Row],[Sim Var ref]],1,0)</f>
        <v>1</v>
      </c>
      <c r="N59" s="8" t="str">
        <f>[1]SIM!$BG$7</f>
        <v>p58</v>
      </c>
      <c r="O59" s="8">
        <v>59</v>
      </c>
      <c r="P59" s="55" t="e">
        <f>[1]SIM!$BG$3</f>
        <v>#REF!</v>
      </c>
      <c r="Q59" s="22" t="e">
        <f>IF(IN[[#This Row],[Sim_]]=IN[[#This Row],[Direkt alt]],1,0)</f>
        <v>#REF!</v>
      </c>
      <c r="R59" s="10">
        <v>5</v>
      </c>
      <c r="S59" s="22">
        <f>IF(IN[[#This Row],[Sim_]]=IN[[#This Row],[Buffer]],1,0)</f>
        <v>0</v>
      </c>
      <c r="T59" s="11">
        <v>6</v>
      </c>
      <c r="U59" s="21">
        <f>IN[[#This Row],[Buffer]]</f>
        <v>5</v>
      </c>
      <c r="V59" s="29">
        <v>5.4</v>
      </c>
      <c r="W59" s="29">
        <v>5</v>
      </c>
      <c r="X59" s="29">
        <v>7.5</v>
      </c>
      <c r="Y59" s="11">
        <v>6</v>
      </c>
      <c r="Z59" s="27">
        <v>7.5</v>
      </c>
      <c r="AA59" s="27">
        <v>5.4</v>
      </c>
      <c r="AB59" s="27">
        <v>5.4</v>
      </c>
      <c r="AC59" s="28">
        <v>7.5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5.4</v>
      </c>
      <c r="AJ59">
        <v>5.4</v>
      </c>
    </row>
    <row r="60" spans="1:36" x14ac:dyDescent="0.25">
      <c r="A60" s="46" t="s">
        <v>102</v>
      </c>
      <c r="B60" s="15" t="s">
        <v>96</v>
      </c>
      <c r="C60" s="16"/>
      <c r="D60" s="16"/>
      <c r="E60" s="17" t="s">
        <v>65</v>
      </c>
      <c r="F60" s="18"/>
      <c r="G60" s="47" t="s">
        <v>104</v>
      </c>
      <c r="H60" s="20">
        <v>0</v>
      </c>
      <c r="I60" s="21">
        <f>IN[[#This Row],[Buffer]]</f>
        <v>5</v>
      </c>
      <c r="J60" s="22">
        <f>IF(IN[[#This Row],[Sim_]]=IN[[#This Row],[STAGE]],1,0)</f>
        <v>0</v>
      </c>
      <c r="K60" s="23">
        <f>[1]SIM!$BH$8</f>
        <v>5.4</v>
      </c>
      <c r="L60" s="24">
        <f>[1]SIM!$BH$4</f>
        <v>5.4</v>
      </c>
      <c r="M60" s="22">
        <f>IF(IN[[#This Row],[Sim_]]=IN[[#This Row],[Sim Var ref]],1,0)</f>
        <v>1</v>
      </c>
      <c r="N60" s="8" t="str">
        <f>[1]SIM!$BH$7</f>
        <v>p59</v>
      </c>
      <c r="O60" s="8">
        <v>60</v>
      </c>
      <c r="P60" s="55" t="e">
        <f>[1]SIM!$BH$3</f>
        <v>#REF!</v>
      </c>
      <c r="Q60" s="22" t="e">
        <f>IF(IN[[#This Row],[Sim_]]=IN[[#This Row],[Direkt alt]],1,0)</f>
        <v>#REF!</v>
      </c>
      <c r="R60" s="10">
        <v>5</v>
      </c>
      <c r="S60" s="22">
        <f>IF(IN[[#This Row],[Sim_]]=IN[[#This Row],[Buffer]],1,0)</f>
        <v>0</v>
      </c>
      <c r="T60" s="11">
        <v>6</v>
      </c>
      <c r="U60" s="21">
        <f>IN[[#This Row],[Buffer]]</f>
        <v>5</v>
      </c>
      <c r="V60" s="29">
        <v>5.4</v>
      </c>
      <c r="W60" s="29">
        <v>5</v>
      </c>
      <c r="X60" s="29">
        <v>7.5</v>
      </c>
      <c r="Y60" s="11">
        <v>6</v>
      </c>
      <c r="Z60" s="27">
        <v>7.5</v>
      </c>
      <c r="AA60" s="27">
        <v>5.4</v>
      </c>
      <c r="AB60" s="27">
        <v>5.4</v>
      </c>
      <c r="AC60" s="28">
        <v>7.5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5.4</v>
      </c>
      <c r="AJ60">
        <v>5.4</v>
      </c>
    </row>
    <row r="61" spans="1:36" x14ac:dyDescent="0.25">
      <c r="A61" s="46" t="s">
        <v>102</v>
      </c>
      <c r="B61" s="15" t="s">
        <v>97</v>
      </c>
      <c r="C61" s="16"/>
      <c r="D61" s="16"/>
      <c r="E61" s="17" t="s">
        <v>65</v>
      </c>
      <c r="F61" s="18"/>
      <c r="G61" s="47" t="s">
        <v>104</v>
      </c>
      <c r="H61" s="20">
        <v>0</v>
      </c>
      <c r="I61" s="21">
        <f>IN[[#This Row],[Buffer]]</f>
        <v>5</v>
      </c>
      <c r="J61" s="22">
        <f>IF(IN[[#This Row],[Sim_]]=IN[[#This Row],[STAGE]],1,0)</f>
        <v>0</v>
      </c>
      <c r="K61" s="23">
        <f>[1]SIM!$BI$8</f>
        <v>5.4</v>
      </c>
      <c r="L61" s="24">
        <f>[1]SIM!$BI$4</f>
        <v>5.4</v>
      </c>
      <c r="M61" s="22">
        <f>IF(IN[[#This Row],[Sim_]]=IN[[#This Row],[Sim Var ref]],1,0)</f>
        <v>1</v>
      </c>
      <c r="N61" s="8" t="str">
        <f>[1]SIM!$BI$7</f>
        <v>p60</v>
      </c>
      <c r="O61" s="8">
        <v>61</v>
      </c>
      <c r="P61" s="55" t="e">
        <f>[1]SIM!$BI$3</f>
        <v>#REF!</v>
      </c>
      <c r="Q61" s="22" t="e">
        <f>IF(IN[[#This Row],[Sim_]]=IN[[#This Row],[Direkt alt]],1,0)</f>
        <v>#REF!</v>
      </c>
      <c r="R61" s="10">
        <v>5</v>
      </c>
      <c r="S61" s="22">
        <f>IF(IN[[#This Row],[Sim_]]=IN[[#This Row],[Buffer]],1,0)</f>
        <v>0</v>
      </c>
      <c r="T61" s="11">
        <v>6</v>
      </c>
      <c r="U61" s="21">
        <f>IN[[#This Row],[Buffer]]</f>
        <v>5</v>
      </c>
      <c r="V61" s="29">
        <v>5.4</v>
      </c>
      <c r="W61" s="29">
        <v>5</v>
      </c>
      <c r="X61" s="29">
        <v>7.5</v>
      </c>
      <c r="Y61" s="11">
        <v>6</v>
      </c>
      <c r="Z61" s="27">
        <v>7.5</v>
      </c>
      <c r="AA61" s="27">
        <v>5.4</v>
      </c>
      <c r="AB61" s="27">
        <v>5.4</v>
      </c>
      <c r="AC61" s="28">
        <v>7.5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5.4</v>
      </c>
      <c r="AJ61">
        <v>5.4</v>
      </c>
    </row>
    <row r="62" spans="1:36" x14ac:dyDescent="0.25">
      <c r="A62" s="46" t="s">
        <v>102</v>
      </c>
      <c r="B62" s="15" t="s">
        <v>98</v>
      </c>
      <c r="C62" s="16"/>
      <c r="D62" s="16"/>
      <c r="E62" s="17" t="s">
        <v>65</v>
      </c>
      <c r="F62" s="18"/>
      <c r="G62" s="47" t="s">
        <v>104</v>
      </c>
      <c r="H62" s="20">
        <v>0</v>
      </c>
      <c r="I62" s="21">
        <f>IN[[#This Row],[Buffer]]</f>
        <v>5</v>
      </c>
      <c r="J62" s="22">
        <f>IF(IN[[#This Row],[Sim_]]=IN[[#This Row],[STAGE]],1,0)</f>
        <v>0</v>
      </c>
      <c r="K62" s="23">
        <f>[1]SIM!$BJ$8</f>
        <v>5.4</v>
      </c>
      <c r="L62" s="24">
        <f>[1]SIM!$BJ$4</f>
        <v>5.4</v>
      </c>
      <c r="M62" s="22">
        <f>IF(IN[[#This Row],[Sim_]]=IN[[#This Row],[Sim Var ref]],1,0)</f>
        <v>1</v>
      </c>
      <c r="N62" s="8" t="str">
        <f>[1]SIM!$BJ$7</f>
        <v>p61</v>
      </c>
      <c r="O62" s="8">
        <v>62</v>
      </c>
      <c r="P62" s="55" t="e">
        <f>[1]SIM!$BJ$3</f>
        <v>#REF!</v>
      </c>
      <c r="Q62" s="22" t="e">
        <f>IF(IN[[#This Row],[Sim_]]=IN[[#This Row],[Direkt alt]],1,0)</f>
        <v>#REF!</v>
      </c>
      <c r="R62" s="10">
        <v>5</v>
      </c>
      <c r="S62" s="22">
        <f>IF(IN[[#This Row],[Sim_]]=IN[[#This Row],[Buffer]],1,0)</f>
        <v>0</v>
      </c>
      <c r="T62" s="11">
        <v>6</v>
      </c>
      <c r="U62" s="21">
        <f>IN[[#This Row],[Buffer]]</f>
        <v>5</v>
      </c>
      <c r="V62" s="29">
        <v>5.4</v>
      </c>
      <c r="W62" s="29">
        <v>5</v>
      </c>
      <c r="X62" s="29">
        <v>7.5</v>
      </c>
      <c r="Y62" s="11">
        <v>6</v>
      </c>
      <c r="Z62" s="27">
        <v>7.5</v>
      </c>
      <c r="AA62" s="27">
        <v>5.4</v>
      </c>
      <c r="AB62" s="27">
        <v>5.4</v>
      </c>
      <c r="AC62" s="28">
        <v>7.5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5.4</v>
      </c>
      <c r="AJ62">
        <v>5.4</v>
      </c>
    </row>
    <row r="63" spans="1:36" x14ac:dyDescent="0.25">
      <c r="A63" s="46" t="s">
        <v>102</v>
      </c>
      <c r="B63" s="15" t="s">
        <v>99</v>
      </c>
      <c r="C63" s="16"/>
      <c r="D63" s="16"/>
      <c r="E63" s="17" t="s">
        <v>78</v>
      </c>
      <c r="F63" s="18"/>
      <c r="G63" s="47" t="s">
        <v>104</v>
      </c>
      <c r="H63" s="20">
        <v>0</v>
      </c>
      <c r="I63" s="21">
        <f>IN[[#This Row],[Buffer]]</f>
        <v>5</v>
      </c>
      <c r="J63" s="22">
        <f>IF(IN[[#This Row],[Sim_]]=IN[[#This Row],[STAGE]],1,0)</f>
        <v>0</v>
      </c>
      <c r="K63" s="23">
        <f>[1]SIM!$BK$8</f>
        <v>5.4000000000000021</v>
      </c>
      <c r="L63" s="44">
        <f>[1]SIM!$BK$4</f>
        <v>5.4000000000000021</v>
      </c>
      <c r="M63" s="22">
        <f>IF(IN[[#This Row],[Sim_]]=IN[[#This Row],[Sim Var ref]],1,0)</f>
        <v>1</v>
      </c>
      <c r="N63" s="8" t="str">
        <f>[1]SIM!$BK$7</f>
        <v>p62</v>
      </c>
      <c r="O63" s="8">
        <v>63</v>
      </c>
      <c r="P63" s="56" t="e">
        <f>[1]SIM!$BK$3</f>
        <v>#REF!</v>
      </c>
      <c r="Q63" s="22" t="e">
        <f>IF(IN[[#This Row],[Sim_]]=IN[[#This Row],[Direkt alt]],1,0)</f>
        <v>#REF!</v>
      </c>
      <c r="R63" s="10">
        <v>5</v>
      </c>
      <c r="S63" s="22">
        <f>IF(IN[[#This Row],[Sim_]]=IN[[#This Row],[Buffer]],1,0)</f>
        <v>0</v>
      </c>
      <c r="T63" s="11">
        <v>6</v>
      </c>
      <c r="U63" s="21">
        <f>IN[[#This Row],[Buffer]]</f>
        <v>5</v>
      </c>
      <c r="V63" s="29"/>
      <c r="W63" s="29">
        <v>5</v>
      </c>
      <c r="X63" s="29">
        <v>7.5</v>
      </c>
      <c r="Y63" s="11">
        <v>6</v>
      </c>
      <c r="Z63" s="57">
        <v>7.5</v>
      </c>
      <c r="AA63" s="57">
        <v>0</v>
      </c>
      <c r="AB63" s="57">
        <v>5.4000000000000021</v>
      </c>
      <c r="AC63" s="28">
        <v>7.5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5.4000000000000021</v>
      </c>
      <c r="AJ63">
        <v>5.4000000000000021</v>
      </c>
    </row>
    <row r="64" spans="1:36" x14ac:dyDescent="0.25">
      <c r="A64" s="58" t="s">
        <v>107</v>
      </c>
      <c r="B64" s="15" t="s">
        <v>108</v>
      </c>
      <c r="C64" s="16"/>
      <c r="D64" s="16"/>
      <c r="E64" s="17" t="s">
        <v>65</v>
      </c>
      <c r="F64" s="18"/>
      <c r="G64" s="59" t="s">
        <v>109</v>
      </c>
      <c r="H64" s="20">
        <v>0</v>
      </c>
      <c r="I64" s="21">
        <f>IN[[#This Row],[Buffer]]</f>
        <v>60</v>
      </c>
      <c r="J64" s="22">
        <f>IF(IN[[#This Row],[Sim_]]=IN[[#This Row],[STAGE]],1,0)</f>
        <v>1</v>
      </c>
      <c r="K64" s="23">
        <f>[1]SIM!$BL$8</f>
        <v>60</v>
      </c>
      <c r="L64" s="24">
        <f>[1]SIM!$BL$4</f>
        <v>60</v>
      </c>
      <c r="M64" s="22">
        <f>IF(IN[[#This Row],[Sim_]]=IN[[#This Row],[Sim Var ref]],1,0)</f>
        <v>1</v>
      </c>
      <c r="N64" s="8" t="str">
        <f>[1]SIM!$BL$7</f>
        <v>p63</v>
      </c>
      <c r="O64" s="8">
        <v>64</v>
      </c>
      <c r="P64" s="55" t="e">
        <f>[1]SIM!$BL$3</f>
        <v>#REF!</v>
      </c>
      <c r="Q64" s="22" t="e">
        <f>IF(IN[[#This Row],[Sim_]]=IN[[#This Row],[Direkt alt]],1,0)</f>
        <v>#REF!</v>
      </c>
      <c r="R64" s="10">
        <v>60</v>
      </c>
      <c r="S64" s="22">
        <f>IF(IN[[#This Row],[Sim_]]=IN[[#This Row],[Buffer]],1,0)</f>
        <v>1</v>
      </c>
      <c r="T64" s="11">
        <v>60</v>
      </c>
      <c r="U64" s="21">
        <f>IN[[#This Row],[Buffer]]</f>
        <v>60</v>
      </c>
      <c r="V64" s="29">
        <v>60</v>
      </c>
      <c r="W64" s="29">
        <v>60</v>
      </c>
      <c r="X64" s="29">
        <v>60</v>
      </c>
      <c r="Y64" s="11">
        <v>60</v>
      </c>
      <c r="Z64" s="27">
        <v>60</v>
      </c>
      <c r="AA64" s="27">
        <v>60</v>
      </c>
      <c r="AB64" s="27">
        <v>60</v>
      </c>
      <c r="AC64" s="28">
        <v>60</v>
      </c>
      <c r="AD64">
        <v>60</v>
      </c>
      <c r="AE64">
        <v>60</v>
      </c>
      <c r="AF64">
        <v>60</v>
      </c>
      <c r="AG64">
        <v>60</v>
      </c>
      <c r="AH64">
        <v>60</v>
      </c>
      <c r="AI64">
        <v>60</v>
      </c>
      <c r="AJ64">
        <v>60</v>
      </c>
    </row>
    <row r="65" spans="1:36" x14ac:dyDescent="0.25">
      <c r="A65" s="58" t="s">
        <v>107</v>
      </c>
      <c r="B65" s="15" t="s">
        <v>110</v>
      </c>
      <c r="C65" s="16"/>
      <c r="D65" s="16"/>
      <c r="E65" s="17" t="s">
        <v>65</v>
      </c>
      <c r="F65" s="18"/>
      <c r="G65" s="59" t="s">
        <v>109</v>
      </c>
      <c r="H65" s="20">
        <v>0</v>
      </c>
      <c r="I65" s="21">
        <f>IN[[#This Row],[Buffer]]</f>
        <v>70</v>
      </c>
      <c r="J65" s="22">
        <f>IF(IN[[#This Row],[Sim_]]=IN[[#This Row],[STAGE]],1,0)</f>
        <v>1</v>
      </c>
      <c r="K65" s="23">
        <f>[1]SIM!$BM$8</f>
        <v>70</v>
      </c>
      <c r="L65" s="24">
        <f>[1]SIM!$BM$4</f>
        <v>70</v>
      </c>
      <c r="M65" s="22">
        <f>IF(IN[[#This Row],[Sim_]]=IN[[#This Row],[Sim Var ref]],1,0)</f>
        <v>1</v>
      </c>
      <c r="N65" s="8" t="str">
        <f>[1]SIM!$BM$7</f>
        <v>p64</v>
      </c>
      <c r="O65" s="8">
        <v>65</v>
      </c>
      <c r="P65" s="55" t="e">
        <f>[1]SIM!$BM$3</f>
        <v>#REF!</v>
      </c>
      <c r="Q65" s="22" t="e">
        <f>IF(IN[[#This Row],[Sim_]]=IN[[#This Row],[Direkt alt]],1,0)</f>
        <v>#REF!</v>
      </c>
      <c r="R65" s="10">
        <v>70</v>
      </c>
      <c r="S65" s="22">
        <f>IF(IN[[#This Row],[Sim_]]=IN[[#This Row],[Buffer]],1,0)</f>
        <v>1</v>
      </c>
      <c r="T65" s="11">
        <v>70</v>
      </c>
      <c r="U65" s="21">
        <f>IN[[#This Row],[Buffer]]</f>
        <v>70</v>
      </c>
      <c r="V65" s="29">
        <v>70</v>
      </c>
      <c r="W65" s="29">
        <v>70</v>
      </c>
      <c r="X65" s="29">
        <v>70</v>
      </c>
      <c r="Y65" s="11">
        <v>70</v>
      </c>
      <c r="Z65" s="27">
        <v>70</v>
      </c>
      <c r="AA65" s="27">
        <v>70</v>
      </c>
      <c r="AB65" s="27">
        <v>70</v>
      </c>
      <c r="AC65" s="28">
        <v>70</v>
      </c>
      <c r="AD65">
        <v>70</v>
      </c>
      <c r="AE65">
        <v>70</v>
      </c>
      <c r="AF65">
        <v>70</v>
      </c>
      <c r="AG65">
        <v>70</v>
      </c>
      <c r="AH65">
        <v>70</v>
      </c>
      <c r="AI65">
        <v>70</v>
      </c>
      <c r="AJ65">
        <v>70</v>
      </c>
    </row>
    <row r="66" spans="1:36" x14ac:dyDescent="0.25">
      <c r="A66" s="58" t="s">
        <v>107</v>
      </c>
      <c r="B66" s="15" t="s">
        <v>111</v>
      </c>
      <c r="C66" s="16"/>
      <c r="D66" s="16"/>
      <c r="E66" s="17" t="s">
        <v>65</v>
      </c>
      <c r="F66" s="18"/>
      <c r="G66" s="59" t="s">
        <v>109</v>
      </c>
      <c r="H66" s="20">
        <v>0</v>
      </c>
      <c r="I66" s="21">
        <f>IN[[#This Row],[Buffer]]</f>
        <v>1</v>
      </c>
      <c r="J66" s="22">
        <f>IF(IN[[#This Row],[Sim_]]=IN[[#This Row],[STAGE]],1,0)</f>
        <v>1</v>
      </c>
      <c r="K66" s="23">
        <f>[1]SIM!$BN$8</f>
        <v>1</v>
      </c>
      <c r="L66" s="24">
        <f>[1]SIM!$BN$4</f>
        <v>1</v>
      </c>
      <c r="M66" s="22">
        <f>IF(IN[[#This Row],[Sim_]]=IN[[#This Row],[Sim Var ref]],1,0)</f>
        <v>1</v>
      </c>
      <c r="N66" s="8" t="str">
        <f>[1]SIM!$BN$7</f>
        <v>p65</v>
      </c>
      <c r="O66" s="8">
        <v>66</v>
      </c>
      <c r="P66" s="55" t="e">
        <f>[1]SIM!$BN$3</f>
        <v>#REF!</v>
      </c>
      <c r="Q66" s="22" t="e">
        <f>IF(IN[[#This Row],[Sim_]]=IN[[#This Row],[Direkt alt]],1,0)</f>
        <v>#REF!</v>
      </c>
      <c r="R66" s="10">
        <v>1</v>
      </c>
      <c r="S66" s="22">
        <f>IF(IN[[#This Row],[Sim_]]=IN[[#This Row],[Buffer]],1,0)</f>
        <v>1</v>
      </c>
      <c r="T66" s="11">
        <v>0.95</v>
      </c>
      <c r="U66" s="21">
        <f>IN[[#This Row],[Buffer]]</f>
        <v>1</v>
      </c>
      <c r="V66" s="27">
        <v>1</v>
      </c>
      <c r="W66" s="27">
        <v>1</v>
      </c>
      <c r="X66" s="27">
        <v>1</v>
      </c>
      <c r="Y66" s="11">
        <v>0.95</v>
      </c>
      <c r="Z66" s="60">
        <v>1</v>
      </c>
      <c r="AA66" s="60">
        <v>1</v>
      </c>
      <c r="AB66" s="60">
        <v>1</v>
      </c>
      <c r="AC66" s="28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25">
      <c r="A67" s="58" t="s">
        <v>107</v>
      </c>
      <c r="B67" s="15" t="s">
        <v>112</v>
      </c>
      <c r="C67" s="16"/>
      <c r="D67" s="16"/>
      <c r="E67" s="17" t="s">
        <v>78</v>
      </c>
      <c r="F67" s="18"/>
      <c r="G67" s="59" t="s">
        <v>109</v>
      </c>
      <c r="H67" s="20">
        <v>0</v>
      </c>
      <c r="I67" s="21">
        <f>IN[[#This Row],[Buffer]]</f>
        <v>0</v>
      </c>
      <c r="J67" s="22" t="e">
        <f>IF(IN[[#This Row],[Sim_]]=IN[[#This Row],[STAGE]],1,0)</f>
        <v>#NAME?</v>
      </c>
      <c r="K67" s="23" t="e">
        <f>[1]SIM!$BO$8</f>
        <v>#NAME?</v>
      </c>
      <c r="L67" s="44" t="e">
        <f>[1]SIM!$BO$4</f>
        <v>#NAME?</v>
      </c>
      <c r="M67" s="22" t="e">
        <f>IF(IN[[#This Row],[Sim_]]=IN[[#This Row],[Sim Var ref]],1,0)</f>
        <v>#NAME?</v>
      </c>
      <c r="N67" s="8" t="str">
        <f>[1]SIM!$BO$7</f>
        <v>p66</v>
      </c>
      <c r="O67" s="8">
        <v>67</v>
      </c>
      <c r="P67" s="61" t="e">
        <f>[1]SIM!$BO$3</f>
        <v>#REF!</v>
      </c>
      <c r="Q67" s="22" t="e">
        <f>IF(IN[[#This Row],[Sim_]]=IN[[#This Row],[Direkt alt]],1,0)</f>
        <v>#NAME?</v>
      </c>
      <c r="R67" s="10">
        <v>0</v>
      </c>
      <c r="S67" s="22" t="e">
        <f>IF(IN[[#This Row],[Sim_]]=IN[[#This Row],[Buffer]],1,0)</f>
        <v>#NAME?</v>
      </c>
      <c r="T67" s="11"/>
      <c r="U67" s="21">
        <f>IN[[#This Row],[Buffer]]</f>
        <v>0</v>
      </c>
      <c r="V67" s="29"/>
      <c r="W67" s="29">
        <v>100</v>
      </c>
      <c r="X67" s="29">
        <v>0</v>
      </c>
      <c r="Y67" s="11"/>
      <c r="Z67" s="27">
        <v>0</v>
      </c>
      <c r="AA67" s="27">
        <v>0</v>
      </c>
      <c r="AB67" s="27">
        <v>184.23446584256439</v>
      </c>
      <c r="AC67" s="28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184.23446584256439</v>
      </c>
      <c r="AJ67">
        <v>184.23446584256439</v>
      </c>
    </row>
    <row r="68" spans="1:36" x14ac:dyDescent="0.25">
      <c r="A68" s="58" t="s">
        <v>107</v>
      </c>
      <c r="B68" s="15" t="s">
        <v>113</v>
      </c>
      <c r="C68" s="16"/>
      <c r="D68" s="16"/>
      <c r="E68" s="17" t="s">
        <v>65</v>
      </c>
      <c r="F68" s="18"/>
      <c r="G68" s="59" t="s">
        <v>109</v>
      </c>
      <c r="H68" s="20">
        <v>0</v>
      </c>
      <c r="I68" s="21">
        <f>IN[[#This Row],[Buffer]]</f>
        <v>50</v>
      </c>
      <c r="J68" s="22">
        <f>IF(IN[[#This Row],[Sim_]]=IN[[#This Row],[STAGE]],1,0)</f>
        <v>0</v>
      </c>
      <c r="K68" s="23">
        <f>[1]SIM!$BP$8</f>
        <v>9.8423767483913149</v>
      </c>
      <c r="L68" s="24">
        <f>[1]SIM!$BP$4</f>
        <v>9.8423767483913149</v>
      </c>
      <c r="M68" s="22">
        <f>IF(IN[[#This Row],[Sim_]]=IN[[#This Row],[Sim Var ref]],1,0)</f>
        <v>1</v>
      </c>
      <c r="N68" s="8">
        <f>[1]SIM!$BP$7</f>
        <v>0</v>
      </c>
      <c r="O68" s="8">
        <v>68</v>
      </c>
      <c r="P68" s="55" t="e">
        <f>[1]SIM!$BP$3</f>
        <v>#REF!</v>
      </c>
      <c r="Q68" s="22" t="e">
        <f>IF(IN[[#This Row],[Sim_]]=IN[[#This Row],[Direkt alt]],1,0)</f>
        <v>#REF!</v>
      </c>
      <c r="R68" s="10">
        <v>50</v>
      </c>
      <c r="S68" s="22">
        <f>IF(IN[[#This Row],[Sim_]]=IN[[#This Row],[Buffer]],1,0)</f>
        <v>0</v>
      </c>
      <c r="T68" s="11">
        <v>50</v>
      </c>
      <c r="U68" s="21">
        <f>IN[[#This Row],[Buffer]]</f>
        <v>50</v>
      </c>
      <c r="V68" s="29">
        <v>9.8423767483913149</v>
      </c>
      <c r="W68" s="29">
        <v>470</v>
      </c>
      <c r="X68" s="29">
        <v>50</v>
      </c>
      <c r="Y68" s="11">
        <v>50</v>
      </c>
      <c r="Z68" s="27">
        <v>50</v>
      </c>
      <c r="AA68" s="27">
        <v>9.8423767483913149</v>
      </c>
      <c r="AB68" s="27">
        <v>9.8423767483913149</v>
      </c>
      <c r="AC68" s="28">
        <v>50</v>
      </c>
      <c r="AD68">
        <v>50</v>
      </c>
      <c r="AE68">
        <v>50</v>
      </c>
      <c r="AF68">
        <v>50</v>
      </c>
      <c r="AG68">
        <v>50</v>
      </c>
      <c r="AH68">
        <v>50</v>
      </c>
      <c r="AI68">
        <v>9.8423767483913149</v>
      </c>
      <c r="AJ68">
        <v>9.8423767483913149</v>
      </c>
    </row>
    <row r="69" spans="1:36" x14ac:dyDescent="0.25">
      <c r="A69" s="58" t="s">
        <v>107</v>
      </c>
      <c r="B69" s="15" t="s">
        <v>114</v>
      </c>
      <c r="C69" s="16"/>
      <c r="D69" s="16"/>
      <c r="E69" s="17" t="s">
        <v>65</v>
      </c>
      <c r="F69" s="18"/>
      <c r="G69" s="59" t="s">
        <v>109</v>
      </c>
      <c r="H69" s="20">
        <v>0</v>
      </c>
      <c r="I69" s="21">
        <f>IN[[#This Row],[Buffer]]</f>
        <v>15.948106121049859</v>
      </c>
      <c r="J69" s="22">
        <f>IF(IN[[#This Row],[Sim_]]=IN[[#This Row],[STAGE]],1,0)</f>
        <v>0</v>
      </c>
      <c r="K69" s="23">
        <f>[1]SIM!$BQ$8</f>
        <v>14.757935145944009</v>
      </c>
      <c r="L69" s="24">
        <f>[1]SIM!$BQ$4</f>
        <v>14.757935145944009</v>
      </c>
      <c r="M69" s="22">
        <f>IF(IN[[#This Row],[Sim_]]=IN[[#This Row],[Sim Var ref]],1,0)</f>
        <v>1</v>
      </c>
      <c r="N69" s="8" t="str">
        <f>[1]SIM!$BQ$7</f>
        <v>p68</v>
      </c>
      <c r="O69" s="8">
        <v>69</v>
      </c>
      <c r="P69" s="55" t="e">
        <f>[1]SIM!$BQ$3</f>
        <v>#REF!</v>
      </c>
      <c r="Q69" s="22" t="e">
        <f>IF(IN[[#This Row],[Sim_]]=IN[[#This Row],[Direkt alt]],1,0)</f>
        <v>#REF!</v>
      </c>
      <c r="R69" s="10">
        <v>15.948106121049859</v>
      </c>
      <c r="S69" s="22">
        <f>IF(IN[[#This Row],[Sim_]]=IN[[#This Row],[Buffer]],1,0)</f>
        <v>0</v>
      </c>
      <c r="T69" s="11">
        <v>20</v>
      </c>
      <c r="U69" s="21">
        <f>IN[[#This Row],[Buffer]]</f>
        <v>15.948106121049859</v>
      </c>
      <c r="V69" s="29">
        <v>14.757935145944009</v>
      </c>
      <c r="W69" s="29">
        <v>9.5033869238241415</v>
      </c>
      <c r="X69" s="29">
        <v>15.948106121049857</v>
      </c>
      <c r="Y69" s="11">
        <v>20</v>
      </c>
      <c r="Z69" s="27">
        <v>15.948106121049857</v>
      </c>
      <c r="AA69" s="27">
        <v>14.757935145944009</v>
      </c>
      <c r="AB69" s="27">
        <v>14.757935145944009</v>
      </c>
      <c r="AC69" s="28">
        <v>15.948106121049857</v>
      </c>
      <c r="AD69">
        <v>15.948106121049859</v>
      </c>
      <c r="AE69">
        <v>15.948106121049859</v>
      </c>
      <c r="AF69">
        <v>15.948106121049859</v>
      </c>
      <c r="AG69">
        <v>15.948106121049859</v>
      </c>
      <c r="AH69">
        <v>15.948106121049859</v>
      </c>
      <c r="AI69">
        <v>14.757935145944009</v>
      </c>
      <c r="AJ69">
        <v>14.757935145944009</v>
      </c>
    </row>
    <row r="70" spans="1:36" x14ac:dyDescent="0.25">
      <c r="A70" s="58" t="s">
        <v>107</v>
      </c>
      <c r="B70" s="15" t="s">
        <v>115</v>
      </c>
      <c r="C70" s="16"/>
      <c r="D70" s="16"/>
      <c r="E70" s="17" t="s">
        <v>65</v>
      </c>
      <c r="F70" s="18"/>
      <c r="G70" s="59" t="s">
        <v>109</v>
      </c>
      <c r="H70" s="20">
        <v>0</v>
      </c>
      <c r="I70" s="21">
        <f>IN[[#This Row],[Buffer]]</f>
        <v>0.69999999999999984</v>
      </c>
      <c r="J70" s="22">
        <f>IF(IN[[#This Row],[Sim_]]=IN[[#This Row],[STAGE]],1,0)</f>
        <v>0</v>
      </c>
      <c r="K70" s="23">
        <f>[1]SIM!$BR$8</f>
        <v>0.8</v>
      </c>
      <c r="L70" s="24">
        <f>[1]SIM!$BR$4</f>
        <v>0.8</v>
      </c>
      <c r="M70" s="22">
        <f>IF(IN[[#This Row],[Sim_]]=IN[[#This Row],[Sim Var ref]],1,0)</f>
        <v>1</v>
      </c>
      <c r="N70" s="8" t="str">
        <f>[1]SIM!$BR$7</f>
        <v>p69</v>
      </c>
      <c r="O70" s="8">
        <v>70</v>
      </c>
      <c r="P70" s="55" t="e">
        <f>[1]SIM!$BR$3</f>
        <v>#REF!</v>
      </c>
      <c r="Q70" s="22" t="e">
        <f>IF(IN[[#This Row],[Sim_]]=IN[[#This Row],[Direkt alt]],1,0)</f>
        <v>#REF!</v>
      </c>
      <c r="R70" s="10">
        <v>0.69999999999999984</v>
      </c>
      <c r="S70" s="22">
        <f>IF(IN[[#This Row],[Sim_]]=IN[[#This Row],[Buffer]],1,0)</f>
        <v>0</v>
      </c>
      <c r="T70" s="11">
        <v>0.8</v>
      </c>
      <c r="U70" s="21">
        <f>IN[[#This Row],[Buffer]]</f>
        <v>0.69999999999999984</v>
      </c>
      <c r="V70" s="29">
        <v>0.8</v>
      </c>
      <c r="W70" s="29">
        <v>0.95</v>
      </c>
      <c r="X70" s="29">
        <v>0.7</v>
      </c>
      <c r="Y70" s="11">
        <v>0.8</v>
      </c>
      <c r="Z70" s="27">
        <v>0.7</v>
      </c>
      <c r="AA70" s="27">
        <v>0.8</v>
      </c>
      <c r="AB70" s="27">
        <v>0.8</v>
      </c>
      <c r="AC70" s="28">
        <v>0.7</v>
      </c>
      <c r="AD70">
        <v>0.69999999999999984</v>
      </c>
      <c r="AE70">
        <v>0.69999999999999984</v>
      </c>
      <c r="AF70">
        <v>0.69999999999999984</v>
      </c>
      <c r="AG70">
        <v>0.69999999999999984</v>
      </c>
      <c r="AH70">
        <v>0.69999999999999984</v>
      </c>
      <c r="AI70">
        <v>0.8</v>
      </c>
      <c r="AJ70">
        <v>0.8</v>
      </c>
    </row>
    <row r="71" spans="1:36" x14ac:dyDescent="0.25">
      <c r="A71" s="58" t="s">
        <v>107</v>
      </c>
      <c r="B71" s="15" t="s">
        <v>95</v>
      </c>
      <c r="C71" s="16"/>
      <c r="D71" s="16"/>
      <c r="E71" s="17" t="s">
        <v>65</v>
      </c>
      <c r="F71" s="18"/>
      <c r="G71" s="59" t="s">
        <v>109</v>
      </c>
      <c r="H71" s="20">
        <v>0</v>
      </c>
      <c r="I71" s="21">
        <f>IN[[#This Row],[Buffer]]</f>
        <v>2.9999999999999996</v>
      </c>
      <c r="J71" s="22">
        <f>IF(IN[[#This Row],[Sim_]]=IN[[#This Row],[STAGE]],1,0)</f>
        <v>0</v>
      </c>
      <c r="K71" s="23">
        <f>[1]SIM!$BS$8</f>
        <v>2.2999999999999998</v>
      </c>
      <c r="L71" s="24">
        <f>[1]SIM!$BS$4</f>
        <v>2.2999999999999998</v>
      </c>
      <c r="M71" s="22">
        <f>IF(IN[[#This Row],[Sim_]]=IN[[#This Row],[Sim Var ref]],1,0)</f>
        <v>1</v>
      </c>
      <c r="N71" s="8" t="str">
        <f>[1]SIM!$BS$7</f>
        <v>p70</v>
      </c>
      <c r="O71" s="8">
        <v>71</v>
      </c>
      <c r="P71" s="55" t="e">
        <f>[1]SIM!$BS$3</f>
        <v>#REF!</v>
      </c>
      <c r="Q71" s="22" t="e">
        <f>IF(IN[[#This Row],[Sim_]]=IN[[#This Row],[Direkt alt]],1,0)</f>
        <v>#REF!</v>
      </c>
      <c r="R71" s="10">
        <v>2.9999999999999996</v>
      </c>
      <c r="S71" s="22">
        <f>IF(IN[[#This Row],[Sim_]]=IN[[#This Row],[Buffer]],1,0)</f>
        <v>0</v>
      </c>
      <c r="T71" s="11">
        <v>2.2999999999999998</v>
      </c>
      <c r="U71" s="21">
        <f>IN[[#This Row],[Buffer]]</f>
        <v>2.9999999999999996</v>
      </c>
      <c r="V71" s="29">
        <v>2.2999999999999998</v>
      </c>
      <c r="W71" s="29">
        <v>5</v>
      </c>
      <c r="X71" s="29">
        <v>3</v>
      </c>
      <c r="Y71" s="11">
        <v>2.2999999999999998</v>
      </c>
      <c r="Z71" s="27">
        <v>3</v>
      </c>
      <c r="AA71" s="27">
        <v>2.2999999999999998</v>
      </c>
      <c r="AB71" s="27">
        <v>2.2999999999999998</v>
      </c>
      <c r="AC71" s="28">
        <v>3</v>
      </c>
      <c r="AD71">
        <v>2.9999999999999996</v>
      </c>
      <c r="AE71">
        <v>2.9999999999999996</v>
      </c>
      <c r="AF71">
        <v>2.9999999999999996</v>
      </c>
      <c r="AG71">
        <v>2.9999999999999996</v>
      </c>
      <c r="AH71">
        <v>2.9999999999999996</v>
      </c>
      <c r="AI71">
        <v>2.2999999999999998</v>
      </c>
      <c r="AJ71">
        <v>2.2999999999999998</v>
      </c>
    </row>
    <row r="72" spans="1:36" x14ac:dyDescent="0.25">
      <c r="A72" s="58" t="s">
        <v>107</v>
      </c>
      <c r="B72" s="15" t="s">
        <v>96</v>
      </c>
      <c r="C72" s="16"/>
      <c r="D72" s="16"/>
      <c r="E72" s="17" t="s">
        <v>65</v>
      </c>
      <c r="F72" s="18"/>
      <c r="G72" s="59" t="s">
        <v>109</v>
      </c>
      <c r="H72" s="20">
        <v>0</v>
      </c>
      <c r="I72" s="21">
        <f>IN[[#This Row],[Buffer]]</f>
        <v>2.9999999999999996</v>
      </c>
      <c r="J72" s="22">
        <f>IF(IN[[#This Row],[Sim_]]=IN[[#This Row],[STAGE]],1,0)</f>
        <v>0</v>
      </c>
      <c r="K72" s="23">
        <f>[1]SIM!$BT$8</f>
        <v>0.95</v>
      </c>
      <c r="L72" s="24">
        <f>[1]SIM!$BT$4</f>
        <v>0.95</v>
      </c>
      <c r="M72" s="22">
        <f>IF(IN[[#This Row],[Sim_]]=IN[[#This Row],[Sim Var ref]],1,0)</f>
        <v>1</v>
      </c>
      <c r="N72" s="8" t="str">
        <f>[1]SIM!$BT$7</f>
        <v>p71</v>
      </c>
      <c r="O72" s="8">
        <v>72</v>
      </c>
      <c r="P72" s="55" t="e">
        <f>[1]SIM!$BT$3</f>
        <v>#REF!</v>
      </c>
      <c r="Q72" s="22" t="e">
        <f>IF(IN[[#This Row],[Sim_]]=IN[[#This Row],[Direkt alt]],1,0)</f>
        <v>#REF!</v>
      </c>
      <c r="R72" s="10">
        <v>2.9999999999999996</v>
      </c>
      <c r="S72" s="22">
        <f>IF(IN[[#This Row],[Sim_]]=IN[[#This Row],[Buffer]],1,0)</f>
        <v>0</v>
      </c>
      <c r="T72" s="11">
        <v>2.2999999999999998</v>
      </c>
      <c r="U72" s="21">
        <f>IN[[#This Row],[Buffer]]</f>
        <v>2.9999999999999996</v>
      </c>
      <c r="V72" s="29">
        <v>0.95</v>
      </c>
      <c r="W72" s="29">
        <v>5</v>
      </c>
      <c r="X72" s="29">
        <v>3</v>
      </c>
      <c r="Y72" s="11">
        <v>2.2999999999999998</v>
      </c>
      <c r="Z72" s="27">
        <v>3</v>
      </c>
      <c r="AA72" s="27">
        <v>0.95</v>
      </c>
      <c r="AB72" s="27">
        <v>0.95</v>
      </c>
      <c r="AC72" s="28">
        <v>3</v>
      </c>
      <c r="AD72">
        <v>2.9999999999999996</v>
      </c>
      <c r="AE72">
        <v>2.9999999999999996</v>
      </c>
      <c r="AF72">
        <v>2.9999999999999996</v>
      </c>
      <c r="AG72">
        <v>2.9999999999999996</v>
      </c>
      <c r="AH72">
        <v>2.9999999999999996</v>
      </c>
      <c r="AI72">
        <v>0.95</v>
      </c>
      <c r="AJ72">
        <v>0.95</v>
      </c>
    </row>
    <row r="73" spans="1:36" x14ac:dyDescent="0.25">
      <c r="A73" s="58" t="s">
        <v>107</v>
      </c>
      <c r="B73" s="15" t="s">
        <v>116</v>
      </c>
      <c r="C73" s="16"/>
      <c r="D73" s="16"/>
      <c r="E73" s="17" t="s">
        <v>65</v>
      </c>
      <c r="F73" s="18"/>
      <c r="G73" s="59" t="s">
        <v>109</v>
      </c>
      <c r="H73" s="20">
        <v>0</v>
      </c>
      <c r="I73" s="21">
        <f>IN[[#This Row],[Buffer]]</f>
        <v>2.9999999999999996</v>
      </c>
      <c r="J73" s="22">
        <f>IF(IN[[#This Row],[Sim_]]=IN[[#This Row],[STAGE]],1,0)</f>
        <v>0</v>
      </c>
      <c r="K73" s="23">
        <f>[1]SIM!$BU$8</f>
        <v>0.95</v>
      </c>
      <c r="L73" s="24">
        <f>[1]SIM!$BU$4</f>
        <v>0.95</v>
      </c>
      <c r="M73" s="22">
        <f>IF(IN[[#This Row],[Sim_]]=IN[[#This Row],[Sim Var ref]],1,0)</f>
        <v>1</v>
      </c>
      <c r="N73" s="8" t="str">
        <f>[1]SIM!$BU$7</f>
        <v>p72</v>
      </c>
      <c r="O73" s="8">
        <v>73</v>
      </c>
      <c r="P73" s="55" t="e">
        <f>[1]SIM!$BU$3</f>
        <v>#REF!</v>
      </c>
      <c r="Q73" s="22" t="e">
        <f>IF(IN[[#This Row],[Sim_]]=IN[[#This Row],[Direkt alt]],1,0)</f>
        <v>#REF!</v>
      </c>
      <c r="R73" s="10">
        <v>2.9999999999999996</v>
      </c>
      <c r="S73" s="22">
        <f>IF(IN[[#This Row],[Sim_]]=IN[[#This Row],[Buffer]],1,0)</f>
        <v>0</v>
      </c>
      <c r="T73" s="11">
        <v>2.2999999999999998</v>
      </c>
      <c r="U73" s="21">
        <f>IN[[#This Row],[Buffer]]</f>
        <v>2.9999999999999996</v>
      </c>
      <c r="V73" s="29">
        <v>0.95</v>
      </c>
      <c r="W73" s="29">
        <v>5</v>
      </c>
      <c r="X73" s="29">
        <v>3</v>
      </c>
      <c r="Y73" s="11">
        <v>2.2999999999999998</v>
      </c>
      <c r="Z73" s="27">
        <v>3</v>
      </c>
      <c r="AA73" s="27">
        <v>0.95</v>
      </c>
      <c r="AB73" s="27">
        <v>0.95</v>
      </c>
      <c r="AC73" s="28">
        <v>3</v>
      </c>
      <c r="AD73">
        <v>2.9999999999999996</v>
      </c>
      <c r="AE73">
        <v>2.9999999999999996</v>
      </c>
      <c r="AF73">
        <v>2.9999999999999996</v>
      </c>
      <c r="AG73">
        <v>2.9999999999999996</v>
      </c>
      <c r="AH73">
        <v>2.9999999999999996</v>
      </c>
      <c r="AI73">
        <v>0.95</v>
      </c>
      <c r="AJ73">
        <v>0.95</v>
      </c>
    </row>
    <row r="74" spans="1:36" x14ac:dyDescent="0.25">
      <c r="A74" s="58" t="s">
        <v>107</v>
      </c>
      <c r="B74" s="15" t="s">
        <v>117</v>
      </c>
      <c r="C74" s="16"/>
      <c r="D74" s="16"/>
      <c r="E74" s="17" t="s">
        <v>65</v>
      </c>
      <c r="F74" s="18"/>
      <c r="G74" s="59" t="s">
        <v>109</v>
      </c>
      <c r="H74" s="20">
        <v>0</v>
      </c>
      <c r="I74" s="21">
        <f>IN[[#This Row],[Buffer]]</f>
        <v>2.9999999999999996</v>
      </c>
      <c r="J74" s="22">
        <f>IF(IN[[#This Row],[Sim_]]=IN[[#This Row],[STAGE]],1,0)</f>
        <v>0</v>
      </c>
      <c r="K74" s="23">
        <f>[1]SIM!$BV$8</f>
        <v>2.2999999999999998</v>
      </c>
      <c r="L74" s="24">
        <f>[1]SIM!$BV$4</f>
        <v>2.2999999999999998</v>
      </c>
      <c r="M74" s="22">
        <f>IF(IN[[#This Row],[Sim_]]=IN[[#This Row],[Sim Var ref]],1,0)</f>
        <v>1</v>
      </c>
      <c r="N74" s="8" t="str">
        <f>[1]SIM!$BV$7</f>
        <v>p73</v>
      </c>
      <c r="O74" s="8">
        <v>74</v>
      </c>
      <c r="P74" s="55" t="e">
        <f>[1]SIM!$BV$3</f>
        <v>#REF!</v>
      </c>
      <c r="Q74" s="22" t="e">
        <f>IF(IN[[#This Row],[Sim_]]=IN[[#This Row],[Direkt alt]],1,0)</f>
        <v>#REF!</v>
      </c>
      <c r="R74" s="10">
        <v>2.9999999999999996</v>
      </c>
      <c r="S74" s="22">
        <f>IF(IN[[#This Row],[Sim_]]=IN[[#This Row],[Buffer]],1,0)</f>
        <v>0</v>
      </c>
      <c r="T74" s="11">
        <v>2.2999999999999998</v>
      </c>
      <c r="U74" s="21">
        <f>IN[[#This Row],[Buffer]]</f>
        <v>2.9999999999999996</v>
      </c>
      <c r="V74" s="29">
        <v>2.2999999999999998</v>
      </c>
      <c r="W74" s="29">
        <v>5</v>
      </c>
      <c r="X74" s="29">
        <v>3</v>
      </c>
      <c r="Y74" s="11">
        <v>2.2999999999999998</v>
      </c>
      <c r="Z74" s="27">
        <v>3</v>
      </c>
      <c r="AA74" s="27">
        <v>2.2999999999999998</v>
      </c>
      <c r="AB74" s="27">
        <v>2.2999999999999998</v>
      </c>
      <c r="AC74" s="28">
        <v>3</v>
      </c>
      <c r="AD74">
        <v>2.9999999999999996</v>
      </c>
      <c r="AE74">
        <v>2.9999999999999996</v>
      </c>
      <c r="AF74">
        <v>2.9999999999999996</v>
      </c>
      <c r="AG74">
        <v>2.9999999999999996</v>
      </c>
      <c r="AH74">
        <v>2.9999999999999996</v>
      </c>
      <c r="AI74">
        <v>2.2999999999999998</v>
      </c>
      <c r="AJ74">
        <v>2.2999999999999998</v>
      </c>
    </row>
    <row r="75" spans="1:36" x14ac:dyDescent="0.25">
      <c r="A75" s="58" t="s">
        <v>107</v>
      </c>
      <c r="B75" s="15" t="s">
        <v>118</v>
      </c>
      <c r="C75" s="16"/>
      <c r="D75" s="16"/>
      <c r="E75" s="17" t="s">
        <v>78</v>
      </c>
      <c r="F75" s="18"/>
      <c r="G75" s="59" t="s">
        <v>109</v>
      </c>
      <c r="H75" s="20">
        <v>0</v>
      </c>
      <c r="I75" s="21">
        <f>(I71*I2+I72*I3+I73*I6+I74*(I4+I5))/I7</f>
        <v>2.9999999999999996</v>
      </c>
      <c r="J75" s="22">
        <f>IF(IN[[#This Row],[Sim_]]=IN[[#This Row],[STAGE]],1,0)</f>
        <v>0</v>
      </c>
      <c r="K75" s="23">
        <f>[1]SIM!$BW$8</f>
        <v>1.6876972780994446</v>
      </c>
      <c r="L75" s="44">
        <f>[1]SIM!$BW$4</f>
        <v>1.6876972780994446</v>
      </c>
      <c r="M75" s="22">
        <f>IF(IN[[#This Row],[Sim_]]=IN[[#This Row],[Sim Var ref]],1,0)</f>
        <v>1</v>
      </c>
      <c r="N75" s="8" t="str">
        <f>[1]SIM!$BW$7</f>
        <v>p74</v>
      </c>
      <c r="O75" s="8">
        <v>75</v>
      </c>
      <c r="P75" s="62" t="e">
        <f>[1]SIM!$BW$3</f>
        <v>#REF!</v>
      </c>
      <c r="Q75" s="22" t="e">
        <f>IF(IN[[#This Row],[Sim_]]=IN[[#This Row],[Direkt alt]],1,0)</f>
        <v>#REF!</v>
      </c>
      <c r="R75" s="10">
        <v>2.9999999999999996</v>
      </c>
      <c r="S75" s="22">
        <f>IF(IN[[#This Row],[Sim_]]=IN[[#This Row],[Buffer]],1,0)</f>
        <v>0</v>
      </c>
      <c r="T75" s="11"/>
      <c r="U75" s="21">
        <f>(U71*U2+U72*U3+U73*U6+U74*(U4+U5))/U7</f>
        <v>2.9999999999999996</v>
      </c>
      <c r="V75" s="29"/>
      <c r="W75" s="29">
        <v>4</v>
      </c>
      <c r="X75" s="29">
        <v>3</v>
      </c>
      <c r="Y75" s="11"/>
      <c r="Z75" s="27">
        <v>3</v>
      </c>
      <c r="AA75" s="27">
        <v>0</v>
      </c>
      <c r="AB75" s="27">
        <v>1.6876972780994446</v>
      </c>
      <c r="AC75" s="28">
        <v>3</v>
      </c>
      <c r="AD75">
        <v>2.9999999999999996</v>
      </c>
      <c r="AE75">
        <v>2.9999999999999996</v>
      </c>
      <c r="AF75">
        <v>2.9999999999999996</v>
      </c>
      <c r="AG75">
        <v>2.9999999999999996</v>
      </c>
      <c r="AH75">
        <v>2.9999999999999996</v>
      </c>
      <c r="AI75">
        <v>1.6876972780994446</v>
      </c>
      <c r="AJ75">
        <v>1.6876972780994446</v>
      </c>
    </row>
    <row r="76" spans="1:36" x14ac:dyDescent="0.25">
      <c r="A76" s="63" t="s">
        <v>119</v>
      </c>
      <c r="B76" s="15" t="s">
        <v>120</v>
      </c>
      <c r="C76" s="16"/>
      <c r="D76" s="16"/>
      <c r="E76" s="17" t="s">
        <v>65</v>
      </c>
      <c r="F76" s="18"/>
      <c r="G76" s="64" t="s">
        <v>121</v>
      </c>
      <c r="H76" s="20">
        <v>0</v>
      </c>
      <c r="I76" s="21">
        <f>IN[[#This Row],[Buffer]]</f>
        <v>0.02</v>
      </c>
      <c r="J76" s="22">
        <f>IF(IN[[#This Row],[Sim_]]=IN[[#This Row],[STAGE]],1,0)</f>
        <v>1</v>
      </c>
      <c r="K76" s="23">
        <f>[1]SIM!$BX$8</f>
        <v>0.02</v>
      </c>
      <c r="L76" s="24">
        <f>[1]SIM!$BX$4</f>
        <v>0.02</v>
      </c>
      <c r="M76" s="22">
        <f>IF(IN[[#This Row],[Sim_]]=IN[[#This Row],[Sim Var ref]],1,0)</f>
        <v>1</v>
      </c>
      <c r="N76" s="8" t="str">
        <f>[1]SIM!$BX$7</f>
        <v>p75</v>
      </c>
      <c r="O76" s="8">
        <v>76</v>
      </c>
      <c r="P76" s="55" t="e">
        <f>[1]SIM!$BX$3</f>
        <v>#REF!</v>
      </c>
      <c r="Q76" s="22" t="e">
        <f>IF(IN[[#This Row],[Sim_]]=IN[[#This Row],[Direkt alt]],1,0)</f>
        <v>#REF!</v>
      </c>
      <c r="R76" s="10">
        <v>0.02</v>
      </c>
      <c r="S76" s="22">
        <f>IF(IN[[#This Row],[Sim_]]=IN[[#This Row],[Buffer]],1,0)</f>
        <v>1</v>
      </c>
      <c r="T76" s="11">
        <v>0.02</v>
      </c>
      <c r="U76" s="21">
        <f>IN[[#This Row],[Buffer]]</f>
        <v>0.02</v>
      </c>
      <c r="V76" s="29">
        <v>0.02</v>
      </c>
      <c r="W76" s="29">
        <v>0.02</v>
      </c>
      <c r="X76" s="29">
        <v>0.02</v>
      </c>
      <c r="Y76" s="11">
        <v>0.02</v>
      </c>
      <c r="Z76" s="27">
        <v>0.02</v>
      </c>
      <c r="AA76" s="27">
        <v>0.02</v>
      </c>
      <c r="AB76" s="27">
        <v>0.02</v>
      </c>
      <c r="AC76" s="28">
        <v>0.02</v>
      </c>
      <c r="AD76">
        <v>0.02</v>
      </c>
      <c r="AE76">
        <v>0.02</v>
      </c>
      <c r="AF76">
        <v>0.02</v>
      </c>
      <c r="AG76">
        <v>0.02</v>
      </c>
      <c r="AH76">
        <v>0.02</v>
      </c>
      <c r="AI76">
        <v>0.02</v>
      </c>
      <c r="AJ76">
        <v>0.02</v>
      </c>
    </row>
    <row r="77" spans="1:36" x14ac:dyDescent="0.25">
      <c r="A77" s="63" t="s">
        <v>119</v>
      </c>
      <c r="B77" s="15" t="s">
        <v>122</v>
      </c>
      <c r="C77" s="16"/>
      <c r="D77" s="16"/>
      <c r="E77" s="17" t="s">
        <v>65</v>
      </c>
      <c r="F77" s="18"/>
      <c r="G77" s="64" t="s">
        <v>121</v>
      </c>
      <c r="H77" s="20">
        <v>0</v>
      </c>
      <c r="I77" s="21">
        <f>IN[[#This Row],[Buffer]]</f>
        <v>0.02</v>
      </c>
      <c r="J77" s="22">
        <f>IF(IN[[#This Row],[Sim_]]=IN[[#This Row],[STAGE]],1,0)</f>
        <v>1</v>
      </c>
      <c r="K77" s="23">
        <f>[1]SIM!$BY$8</f>
        <v>0.02</v>
      </c>
      <c r="L77" s="24">
        <f>[1]SIM!$BY$4</f>
        <v>0.02</v>
      </c>
      <c r="M77" s="22">
        <f>IF(IN[[#This Row],[Sim_]]=IN[[#This Row],[Sim Var ref]],1,0)</f>
        <v>1</v>
      </c>
      <c r="N77" s="8" t="str">
        <f>[1]SIM!$BY$7</f>
        <v>p76</v>
      </c>
      <c r="O77" s="8">
        <v>77</v>
      </c>
      <c r="P77" s="55" t="e">
        <f>[1]SIM!$BY$3</f>
        <v>#REF!</v>
      </c>
      <c r="Q77" s="22" t="e">
        <f>IF(IN[[#This Row],[Sim_]]=IN[[#This Row],[Direkt alt]],1,0)</f>
        <v>#REF!</v>
      </c>
      <c r="R77" s="10">
        <v>0.02</v>
      </c>
      <c r="S77" s="22">
        <f>IF(IN[[#This Row],[Sim_]]=IN[[#This Row],[Buffer]],1,0)</f>
        <v>1</v>
      </c>
      <c r="T77" s="11">
        <v>0.02</v>
      </c>
      <c r="U77" s="21">
        <f>IN[[#This Row],[Buffer]]</f>
        <v>0.02</v>
      </c>
      <c r="V77" s="29">
        <v>0.02</v>
      </c>
      <c r="W77" s="29">
        <v>0.02</v>
      </c>
      <c r="X77" s="29">
        <v>0.02</v>
      </c>
      <c r="Y77" s="11">
        <v>0.02</v>
      </c>
      <c r="Z77" s="27">
        <v>0.02</v>
      </c>
      <c r="AA77" s="27">
        <v>0.02</v>
      </c>
      <c r="AB77" s="27">
        <v>0.02</v>
      </c>
      <c r="AC77" s="28">
        <v>0.02</v>
      </c>
      <c r="AD77">
        <v>0.02</v>
      </c>
      <c r="AE77">
        <v>0.02</v>
      </c>
      <c r="AF77">
        <v>0.02</v>
      </c>
      <c r="AG77">
        <v>0.02</v>
      </c>
      <c r="AH77">
        <v>0.02</v>
      </c>
      <c r="AI77">
        <v>0.02</v>
      </c>
      <c r="AJ77">
        <v>0.02</v>
      </c>
    </row>
    <row r="78" spans="1:36" x14ac:dyDescent="0.25">
      <c r="A78" s="65" t="s">
        <v>123</v>
      </c>
      <c r="B78" s="15" t="s">
        <v>124</v>
      </c>
      <c r="C78" s="16"/>
      <c r="D78" s="16"/>
      <c r="E78" s="17" t="s">
        <v>65</v>
      </c>
      <c r="F78" s="18"/>
      <c r="G78" s="66" t="s">
        <v>125</v>
      </c>
      <c r="H78" s="20">
        <v>0</v>
      </c>
      <c r="I78" s="21">
        <f>IN[[#This Row],[Buffer]]</f>
        <v>0.5</v>
      </c>
      <c r="J78" s="22">
        <f>IF(IN[[#This Row],[Sim_]]=IN[[#This Row],[STAGE]],1,0)</f>
        <v>1</v>
      </c>
      <c r="K78" s="23">
        <f>[1]SIM!$BZ$8</f>
        <v>0.5</v>
      </c>
      <c r="L78" s="24">
        <f>[1]SIM!$BZ$4</f>
        <v>0.5</v>
      </c>
      <c r="M78" s="22">
        <f>IF(IN[[#This Row],[Sim_]]=IN[[#This Row],[Sim Var ref]],1,0)</f>
        <v>1</v>
      </c>
      <c r="N78" s="8" t="str">
        <f>[1]SIM!$BZ$7</f>
        <v>p77</v>
      </c>
      <c r="O78" s="8">
        <v>78</v>
      </c>
      <c r="P78" s="55" t="e">
        <f>[1]SIM!$BZ$3</f>
        <v>#REF!</v>
      </c>
      <c r="Q78" s="22" t="e">
        <f>IF(IN[[#This Row],[Sim_]]=IN[[#This Row],[Direkt alt]],1,0)</f>
        <v>#REF!</v>
      </c>
      <c r="R78" s="10">
        <v>0.5</v>
      </c>
      <c r="S78" s="22">
        <f>IF(IN[[#This Row],[Sim_]]=IN[[#This Row],[Buffer]],1,0)</f>
        <v>1</v>
      </c>
      <c r="T78" s="11">
        <v>0.5</v>
      </c>
      <c r="U78" s="21">
        <f>IN[[#This Row],[Buffer]]</f>
        <v>0.5</v>
      </c>
      <c r="V78" s="29">
        <v>0.5</v>
      </c>
      <c r="W78" s="29">
        <v>0.5</v>
      </c>
      <c r="X78" s="29">
        <v>0.5</v>
      </c>
      <c r="Y78" s="11">
        <v>0.5</v>
      </c>
      <c r="Z78" s="27">
        <v>0.5</v>
      </c>
      <c r="AA78" s="27">
        <v>0.5</v>
      </c>
      <c r="AB78" s="27">
        <v>0.5</v>
      </c>
      <c r="AC78" s="2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</row>
    <row r="79" spans="1:36" x14ac:dyDescent="0.25">
      <c r="A79" s="65" t="s">
        <v>123</v>
      </c>
      <c r="B79" s="15" t="s">
        <v>126</v>
      </c>
      <c r="C79" s="16"/>
      <c r="D79" s="16"/>
      <c r="E79" s="17" t="s">
        <v>65</v>
      </c>
      <c r="F79" s="18"/>
      <c r="G79" s="66" t="s">
        <v>125</v>
      </c>
      <c r="H79" s="20">
        <v>0</v>
      </c>
      <c r="I79" s="21">
        <f>IN[[#This Row],[Buffer]]</f>
        <v>40</v>
      </c>
      <c r="J79" s="22">
        <f>IF(IN[[#This Row],[Sim_]]=IN[[#This Row],[STAGE]],1,0)</f>
        <v>0</v>
      </c>
      <c r="K79" s="23">
        <f>[1]SIM!$CA$8</f>
        <v>58.5</v>
      </c>
      <c r="L79" s="24">
        <f>[1]SIM!$CA$4</f>
        <v>58.5</v>
      </c>
      <c r="M79" s="22">
        <f>IF(IN[[#This Row],[Sim_]]=IN[[#This Row],[Sim Var ref]],1,0)</f>
        <v>1</v>
      </c>
      <c r="N79" s="8" t="str">
        <f>[1]SIM!$CA$7</f>
        <v>p78</v>
      </c>
      <c r="O79" s="8">
        <v>79</v>
      </c>
      <c r="P79" s="55" t="e">
        <f>[1]SIM!$CA$3</f>
        <v>#REF!</v>
      </c>
      <c r="Q79" s="22" t="e">
        <f>IF(IN[[#This Row],[Sim_]]=IN[[#This Row],[Direkt alt]],1,0)</f>
        <v>#REF!</v>
      </c>
      <c r="R79" s="10">
        <v>40</v>
      </c>
      <c r="S79" s="22">
        <f>IF(IN[[#This Row],[Sim_]]=IN[[#This Row],[Buffer]],1,0)</f>
        <v>0</v>
      </c>
      <c r="T79" s="11">
        <v>50</v>
      </c>
      <c r="U79" s="21">
        <f>IN[[#This Row],[Buffer]]</f>
        <v>40</v>
      </c>
      <c r="V79" s="29">
        <v>58.5</v>
      </c>
      <c r="W79" s="29">
        <v>50</v>
      </c>
      <c r="X79" s="29">
        <v>40</v>
      </c>
      <c r="Y79" s="11">
        <v>50</v>
      </c>
      <c r="Z79" s="27">
        <v>40</v>
      </c>
      <c r="AA79" s="27">
        <v>58.5</v>
      </c>
      <c r="AB79" s="27">
        <v>58.5</v>
      </c>
      <c r="AC79" s="28">
        <v>40</v>
      </c>
      <c r="AD79">
        <v>40</v>
      </c>
      <c r="AE79">
        <v>40</v>
      </c>
      <c r="AF79">
        <v>40</v>
      </c>
      <c r="AG79">
        <v>40</v>
      </c>
      <c r="AH79">
        <v>40</v>
      </c>
      <c r="AI79">
        <v>58.5</v>
      </c>
      <c r="AJ79">
        <v>58.5</v>
      </c>
    </row>
    <row r="80" spans="1:36" x14ac:dyDescent="0.25">
      <c r="A80" s="67" t="s">
        <v>127</v>
      </c>
      <c r="B80" s="15" t="s">
        <v>128</v>
      </c>
      <c r="C80" s="16"/>
      <c r="D80" s="16"/>
      <c r="E80" s="17" t="s">
        <v>65</v>
      </c>
      <c r="F80" s="18"/>
      <c r="G80" s="68" t="s">
        <v>129</v>
      </c>
      <c r="H80" s="20">
        <v>0</v>
      </c>
      <c r="I80" s="21">
        <f>IN[[#This Row],[Buffer]]</f>
        <v>1</v>
      </c>
      <c r="J80" s="22">
        <f>IF(IN[[#This Row],[Sim_]]=IN[[#This Row],[STAGE]],1,0)</f>
        <v>1</v>
      </c>
      <c r="K80" s="23">
        <f>[1]SIM!$CB$8</f>
        <v>1</v>
      </c>
      <c r="L80" s="24">
        <f>[1]SIM!$CB$4</f>
        <v>1</v>
      </c>
      <c r="M80" s="22">
        <f>IF(IN[[#This Row],[Sim_]]=IN[[#This Row],[Sim Var ref]],1,0)</f>
        <v>1</v>
      </c>
      <c r="N80" s="8" t="str">
        <f>[1]SIM!$CB$7</f>
        <v>p79</v>
      </c>
      <c r="O80" s="8">
        <v>80</v>
      </c>
      <c r="P80" s="55">
        <f>[1]SIM!$CB$3</f>
        <v>1</v>
      </c>
      <c r="Q80" s="22">
        <f>IF(IN[[#This Row],[Sim_]]=IN[[#This Row],[Direkt alt]],1,0)</f>
        <v>1</v>
      </c>
      <c r="R80" s="10">
        <v>1</v>
      </c>
      <c r="S80" s="22">
        <f>IF(IN[[#This Row],[Sim_]]=IN[[#This Row],[Buffer]],1,0)</f>
        <v>1</v>
      </c>
      <c r="T80" s="11">
        <v>0</v>
      </c>
      <c r="U80" s="21">
        <f>IN[[#This Row],[Buffer]]</f>
        <v>1</v>
      </c>
      <c r="V80" s="29">
        <v>0</v>
      </c>
      <c r="W80" s="29">
        <v>1</v>
      </c>
      <c r="X80" s="29">
        <v>1</v>
      </c>
      <c r="Y80" s="11">
        <v>0</v>
      </c>
      <c r="Z80" s="27">
        <v>1</v>
      </c>
      <c r="AA80" s="27">
        <v>0</v>
      </c>
      <c r="AB80" s="27">
        <v>1</v>
      </c>
      <c r="AC80" s="28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25">
      <c r="A81" s="67" t="s">
        <v>127</v>
      </c>
      <c r="B81" s="15" t="s">
        <v>130</v>
      </c>
      <c r="C81" s="16"/>
      <c r="D81" s="16"/>
      <c r="E81" s="17" t="s">
        <v>39</v>
      </c>
      <c r="F81" s="18"/>
      <c r="G81" s="68" t="s">
        <v>129</v>
      </c>
      <c r="H81" s="20">
        <v>0</v>
      </c>
      <c r="I81" s="21">
        <f>IN[[#This Row],[Buffer]]</f>
        <v>0</v>
      </c>
      <c r="J81" s="22">
        <f>IF(IN[[#This Row],[Sim_]]=IN[[#This Row],[STAGE]],1,0)</f>
        <v>1</v>
      </c>
      <c r="K81" s="23">
        <f>[1]SIM!$CC$8</f>
        <v>0</v>
      </c>
      <c r="L81" s="24">
        <f>[1]SIM!$CC$4</f>
        <v>0</v>
      </c>
      <c r="M81" s="22">
        <f>IF(IN[[#This Row],[Sim_]]=IN[[#This Row],[Sim Var ref]],1,0)</f>
        <v>1</v>
      </c>
      <c r="N81" s="8" t="str">
        <f>[1]SIM!$CC$7</f>
        <v>p80</v>
      </c>
      <c r="O81" s="8">
        <v>81</v>
      </c>
      <c r="P81" s="55" t="e">
        <f>[1]SIM!$CC$3</f>
        <v>#REF!</v>
      </c>
      <c r="Q81" s="22" t="e">
        <f>IF(IN[[#This Row],[Sim_]]=IN[[#This Row],[Direkt alt]],1,0)</f>
        <v>#REF!</v>
      </c>
      <c r="R81" s="10">
        <v>0</v>
      </c>
      <c r="S81" s="22">
        <f>IF(IN[[#This Row],[Sim_]]=IN[[#This Row],[Buffer]],1,0)</f>
        <v>1</v>
      </c>
      <c r="T81" s="11">
        <v>0</v>
      </c>
      <c r="U81" s="21">
        <f>IN[[#This Row],[Buffer]]</f>
        <v>0</v>
      </c>
      <c r="V81" s="29">
        <v>0</v>
      </c>
      <c r="W81" s="29">
        <v>0</v>
      </c>
      <c r="X81" s="29">
        <v>0</v>
      </c>
      <c r="Y81" s="11">
        <v>0</v>
      </c>
      <c r="Z81" s="27">
        <v>0</v>
      </c>
      <c r="AA81" s="27">
        <v>0</v>
      </c>
      <c r="AB81" s="27">
        <v>0</v>
      </c>
      <c r="AC81" s="28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s="67" t="s">
        <v>127</v>
      </c>
      <c r="B82" s="15" t="s">
        <v>131</v>
      </c>
      <c r="C82" s="16"/>
      <c r="D82" s="16"/>
      <c r="E82" s="17" t="s">
        <v>65</v>
      </c>
      <c r="F82" s="18"/>
      <c r="G82" s="68" t="s">
        <v>129</v>
      </c>
      <c r="H82" s="20">
        <v>0</v>
      </c>
      <c r="I82" s="21">
        <f>IN[[#This Row],[Buffer]]</f>
        <v>0</v>
      </c>
      <c r="J82" s="22">
        <f>IF(IN[[#This Row],[Sim_]]=IN[[#This Row],[STAGE]],1,0)</f>
        <v>1</v>
      </c>
      <c r="K82" s="23">
        <f>[1]SIM!$CD$8</f>
        <v>0</v>
      </c>
      <c r="L82" s="24">
        <f>[1]SIM!$CD$4</f>
        <v>0</v>
      </c>
      <c r="M82" s="22">
        <f>IF(IN[[#This Row],[Sim_]]=IN[[#This Row],[Sim Var ref]],1,0)</f>
        <v>1</v>
      </c>
      <c r="N82" s="8" t="str">
        <f>[1]SIM!$CD$7</f>
        <v>p81</v>
      </c>
      <c r="O82" s="8">
        <v>82</v>
      </c>
      <c r="P82" s="55" t="e">
        <f>[1]SIM!$CD$3</f>
        <v>#REF!</v>
      </c>
      <c r="Q82" s="22" t="e">
        <f>IF(IN[[#This Row],[Sim_]]=IN[[#This Row],[Direkt alt]],1,0)</f>
        <v>#REF!</v>
      </c>
      <c r="R82" s="10">
        <v>0</v>
      </c>
      <c r="S82" s="22">
        <f>IF(IN[[#This Row],[Sim_]]=IN[[#This Row],[Buffer]],1,0)</f>
        <v>1</v>
      </c>
      <c r="T82" s="11">
        <v>0</v>
      </c>
      <c r="U82" s="21">
        <f>IN[[#This Row],[Buffer]]</f>
        <v>0</v>
      </c>
      <c r="V82" s="29">
        <v>0</v>
      </c>
      <c r="W82" s="29">
        <v>0</v>
      </c>
      <c r="X82" s="29">
        <v>0</v>
      </c>
      <c r="Y82" s="11">
        <v>0</v>
      </c>
      <c r="Z82" s="27">
        <v>0</v>
      </c>
      <c r="AA82" s="27">
        <v>0</v>
      </c>
      <c r="AB82" s="27">
        <v>0</v>
      </c>
      <c r="AC82" s="28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s="67" t="s">
        <v>127</v>
      </c>
      <c r="B83" s="15" t="s">
        <v>132</v>
      </c>
      <c r="C83" s="16"/>
      <c r="D83" s="16"/>
      <c r="E83" s="17" t="s">
        <v>65</v>
      </c>
      <c r="F83" s="18"/>
      <c r="G83" s="68" t="s">
        <v>129</v>
      </c>
      <c r="H83" s="20">
        <v>0</v>
      </c>
      <c r="I83" s="21">
        <f>IN[[#This Row],[Buffer]]</f>
        <v>0.5</v>
      </c>
      <c r="J83" s="22">
        <f>IF(IN[[#This Row],[Sim_]]=IN[[#This Row],[STAGE]],1,0)</f>
        <v>1</v>
      </c>
      <c r="K83" s="23">
        <f>[1]SIM!$CE$8</f>
        <v>0.5</v>
      </c>
      <c r="L83" s="24">
        <f>[1]SIM!$CE$4</f>
        <v>0.5</v>
      </c>
      <c r="M83" s="22">
        <f>IF(IN[[#This Row],[Sim_]]=IN[[#This Row],[Sim Var ref]],1,0)</f>
        <v>1</v>
      </c>
      <c r="N83" s="8" t="str">
        <f>[1]SIM!$CE$7</f>
        <v>p82</v>
      </c>
      <c r="O83" s="8">
        <v>83</v>
      </c>
      <c r="P83" s="55" t="e">
        <f>[1]SIM!$CE$3</f>
        <v>#REF!</v>
      </c>
      <c r="Q83" s="22" t="e">
        <f>IF(IN[[#This Row],[Sim_]]=IN[[#This Row],[Direkt alt]],1,0)</f>
        <v>#REF!</v>
      </c>
      <c r="R83" s="10">
        <v>0.5</v>
      </c>
      <c r="S83" s="22">
        <f>IF(IN[[#This Row],[Sim_]]=IN[[#This Row],[Buffer]],1,0)</f>
        <v>1</v>
      </c>
      <c r="T83" s="11">
        <v>0</v>
      </c>
      <c r="U83" s="21">
        <f>IN[[#This Row],[Buffer]]</f>
        <v>0.5</v>
      </c>
      <c r="V83" s="29">
        <v>0.5</v>
      </c>
      <c r="W83" s="29">
        <v>0.37145449291503624</v>
      </c>
      <c r="X83" s="29">
        <v>0.5</v>
      </c>
      <c r="Y83" s="11">
        <v>0</v>
      </c>
      <c r="Z83" s="27">
        <v>0.5</v>
      </c>
      <c r="AA83" s="27">
        <v>0.5</v>
      </c>
      <c r="AB83" s="27">
        <v>0.5</v>
      </c>
      <c r="AC83" s="28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</row>
    <row r="84" spans="1:36" x14ac:dyDescent="0.25">
      <c r="A84" s="58" t="s">
        <v>107</v>
      </c>
      <c r="B84" s="15" t="s">
        <v>133</v>
      </c>
      <c r="C84" s="16"/>
      <c r="D84" s="16"/>
      <c r="E84" s="17" t="s">
        <v>65</v>
      </c>
      <c r="F84" s="18"/>
      <c r="G84" s="69" t="s">
        <v>109</v>
      </c>
      <c r="H84" s="20">
        <v>0</v>
      </c>
      <c r="I84" s="21">
        <f>IN[[#This Row],[Buffer]]</f>
        <v>90</v>
      </c>
      <c r="J84" s="22">
        <f>IF(IN[[#This Row],[Sim_]]=IN[[#This Row],[STAGE]],1,0)</f>
        <v>1</v>
      </c>
      <c r="K84" s="23">
        <f>[1]SIM!$CF$8</f>
        <v>90</v>
      </c>
      <c r="L84" s="24">
        <f>[1]SIM!$CF$4</f>
        <v>90</v>
      </c>
      <c r="M84" s="22">
        <f>IF(IN[[#This Row],[Sim_]]=IN[[#This Row],[Sim Var ref]],1,0)</f>
        <v>1</v>
      </c>
      <c r="N84" s="8" t="str">
        <f>[1]SIM!$CF$7</f>
        <v>p83</v>
      </c>
      <c r="O84" s="8">
        <v>84</v>
      </c>
      <c r="P84" s="55" t="e">
        <f>[1]SIM!$CF$3</f>
        <v>#REF!</v>
      </c>
      <c r="Q84" s="22" t="e">
        <f>IF(IN[[#This Row],[Sim_]]=IN[[#This Row],[Direkt alt]],1,0)</f>
        <v>#REF!</v>
      </c>
      <c r="R84" s="10">
        <v>90</v>
      </c>
      <c r="S84" s="22">
        <f>IF(IN[[#This Row],[Sim_]]=IN[[#This Row],[Buffer]],1,0)</f>
        <v>1</v>
      </c>
      <c r="T84" s="11">
        <v>90</v>
      </c>
      <c r="U84" s="21">
        <f>IN[[#This Row],[Buffer]]</f>
        <v>90</v>
      </c>
      <c r="V84" s="29">
        <v>90</v>
      </c>
      <c r="W84" s="29">
        <v>70</v>
      </c>
      <c r="X84" s="29">
        <v>90</v>
      </c>
      <c r="Y84" s="11">
        <v>90</v>
      </c>
      <c r="Z84" s="27">
        <v>90</v>
      </c>
      <c r="AA84" s="27">
        <v>90</v>
      </c>
      <c r="AB84" s="27">
        <v>90</v>
      </c>
      <c r="AC84" s="28">
        <v>90</v>
      </c>
      <c r="AD84">
        <v>90</v>
      </c>
      <c r="AE84">
        <v>90</v>
      </c>
      <c r="AF84">
        <v>90</v>
      </c>
      <c r="AG84">
        <v>90</v>
      </c>
      <c r="AH84">
        <v>90</v>
      </c>
      <c r="AI84">
        <v>90</v>
      </c>
      <c r="AJ84">
        <v>90</v>
      </c>
    </row>
    <row r="85" spans="1:36" x14ac:dyDescent="0.25">
      <c r="A85" s="58" t="s">
        <v>107</v>
      </c>
      <c r="B85" s="15" t="s">
        <v>134</v>
      </c>
      <c r="C85" s="16"/>
      <c r="D85" s="16"/>
      <c r="E85" s="17" t="s">
        <v>65</v>
      </c>
      <c r="F85" s="18"/>
      <c r="G85" s="69" t="s">
        <v>109</v>
      </c>
      <c r="H85" s="20">
        <v>0</v>
      </c>
      <c r="I85" s="21">
        <f>IN[[#This Row],[Buffer]]</f>
        <v>0.89999999999999991</v>
      </c>
      <c r="J85" s="22">
        <f>IF(IN[[#This Row],[Sim_]]=IN[[#This Row],[STAGE]],1,0)</f>
        <v>1</v>
      </c>
      <c r="K85" s="23">
        <f>[1]SIM!$CG$8</f>
        <v>0.9</v>
      </c>
      <c r="L85" s="24">
        <f>[1]SIM!$CG$4</f>
        <v>0.9</v>
      </c>
      <c r="M85" s="22">
        <f>IF(IN[[#This Row],[Sim_]]=IN[[#This Row],[Sim Var ref]],1,0)</f>
        <v>1</v>
      </c>
      <c r="N85" s="8" t="str">
        <f>[1]SIM!$CG$7</f>
        <v>p84</v>
      </c>
      <c r="O85" s="8">
        <v>85</v>
      </c>
      <c r="P85" s="55" t="e">
        <f>[1]SIM!$CG$3</f>
        <v>#REF!</v>
      </c>
      <c r="Q85" s="22" t="e">
        <f>IF(IN[[#This Row],[Sim_]]=IN[[#This Row],[Direkt alt]],1,0)</f>
        <v>#REF!</v>
      </c>
      <c r="R85" s="10">
        <v>0.89999999999999991</v>
      </c>
      <c r="S85" s="22">
        <f>IF(IN[[#This Row],[Sim_]]=IN[[#This Row],[Buffer]],1,0)</f>
        <v>1</v>
      </c>
      <c r="T85" s="11">
        <v>0.9</v>
      </c>
      <c r="U85" s="21">
        <f>IN[[#This Row],[Buffer]]</f>
        <v>0.89999999999999991</v>
      </c>
      <c r="V85" s="29">
        <v>0.9</v>
      </c>
      <c r="W85" s="29">
        <v>0.9</v>
      </c>
      <c r="X85" s="29">
        <v>0.9</v>
      </c>
      <c r="Y85" s="11">
        <v>0.9</v>
      </c>
      <c r="Z85" s="27">
        <v>0.9</v>
      </c>
      <c r="AA85" s="27">
        <v>0.9</v>
      </c>
      <c r="AB85" s="27">
        <v>0.9</v>
      </c>
      <c r="AC85" s="28">
        <v>0.9</v>
      </c>
      <c r="AD85">
        <v>0.89999999999999991</v>
      </c>
      <c r="AE85">
        <v>0.89999999999999991</v>
      </c>
      <c r="AF85">
        <v>0.89999999999999991</v>
      </c>
      <c r="AG85">
        <v>0.89999999999999991</v>
      </c>
      <c r="AH85">
        <v>0.89999999999999991</v>
      </c>
      <c r="AI85">
        <v>0.9</v>
      </c>
      <c r="AJ85">
        <v>0.9</v>
      </c>
    </row>
    <row r="86" spans="1:36" x14ac:dyDescent="0.25">
      <c r="A86" s="58" t="s">
        <v>107</v>
      </c>
      <c r="B86" s="15" t="s">
        <v>135</v>
      </c>
      <c r="C86" s="16"/>
      <c r="D86" s="16"/>
      <c r="E86" s="17" t="s">
        <v>65</v>
      </c>
      <c r="F86" s="18"/>
      <c r="G86" s="69" t="s">
        <v>109</v>
      </c>
      <c r="H86" s="20">
        <v>0</v>
      </c>
      <c r="I86" s="21">
        <f>IN[[#This Row],[Buffer]]</f>
        <v>1.5518518518518523</v>
      </c>
      <c r="J86" s="22">
        <f>IF(IN[[#This Row],[Sim_]]=IN[[#This Row],[STAGE]],1,0)</f>
        <v>0</v>
      </c>
      <c r="K86" s="23">
        <f>[1]SIM!$CH$8</f>
        <v>0</v>
      </c>
      <c r="L86" s="24">
        <f>[1]SIM!$CH$4</f>
        <v>0</v>
      </c>
      <c r="M86" s="22">
        <f>IF(IN[[#This Row],[Sim_]]=IN[[#This Row],[Sim Var ref]],1,0)</f>
        <v>1</v>
      </c>
      <c r="N86" s="8">
        <f>[1]SIM!$CH$7</f>
        <v>0</v>
      </c>
      <c r="O86" s="8">
        <v>86</v>
      </c>
      <c r="P86" s="55" t="e">
        <f>[1]SIM!$CH$3</f>
        <v>#REF!</v>
      </c>
      <c r="Q86" s="22" t="e">
        <f>IF(IN[[#This Row],[Sim_]]=IN[[#This Row],[Direkt alt]],1,0)</f>
        <v>#REF!</v>
      </c>
      <c r="R86" s="10">
        <v>1.5518518518518523</v>
      </c>
      <c r="S86" s="22">
        <f>IF(IN[[#This Row],[Sim_]]=IN[[#This Row],[Buffer]],1,0)</f>
        <v>0</v>
      </c>
      <c r="T86" s="11"/>
      <c r="U86" s="21">
        <f>IN[[#This Row],[Buffer]]</f>
        <v>1.5518518518518523</v>
      </c>
      <c r="V86" s="29"/>
      <c r="W86" s="29">
        <v>3.2</v>
      </c>
      <c r="X86" s="29">
        <v>1.551851851851852</v>
      </c>
      <c r="Y86" s="11"/>
      <c r="Z86" s="27">
        <v>1.551851851851852</v>
      </c>
      <c r="AA86" s="27">
        <v>0</v>
      </c>
      <c r="AB86" s="27">
        <v>0</v>
      </c>
      <c r="AC86" s="28">
        <v>1.551851851851852</v>
      </c>
      <c r="AD86">
        <v>1.5518518518518523</v>
      </c>
      <c r="AE86">
        <v>1.5518518518518523</v>
      </c>
      <c r="AF86">
        <v>1.5518518518518523</v>
      </c>
      <c r="AG86">
        <v>1.5518518518518523</v>
      </c>
      <c r="AH86">
        <v>1.5518518518518523</v>
      </c>
      <c r="AI86">
        <v>0</v>
      </c>
      <c r="AJ86">
        <v>0</v>
      </c>
    </row>
    <row r="87" spans="1:36" x14ac:dyDescent="0.25">
      <c r="A87" s="46" t="s">
        <v>136</v>
      </c>
      <c r="B87" s="15" t="s">
        <v>137</v>
      </c>
      <c r="C87" s="16"/>
      <c r="D87" s="16"/>
      <c r="E87" s="17" t="s">
        <v>65</v>
      </c>
      <c r="F87" s="18"/>
      <c r="G87" s="47" t="s">
        <v>138</v>
      </c>
      <c r="H87" s="20">
        <v>0</v>
      </c>
      <c r="I87" s="21">
        <f>IN[[#This Row],[Buffer]]</f>
        <v>5232.0500999999949</v>
      </c>
      <c r="J87" s="22">
        <f>IF(IN[[#This Row],[Sim_]]=IN[[#This Row],[STAGE]],1,0)</f>
        <v>0</v>
      </c>
      <c r="K87" s="23">
        <f>[1]SIM!$CI$8</f>
        <v>60</v>
      </c>
      <c r="L87" s="24">
        <f>[1]SIM!$CI$4</f>
        <v>60</v>
      </c>
      <c r="M87" s="22">
        <f>IF(IN[[#This Row],[Sim_]]=IN[[#This Row],[Sim Var ref]],1,0)</f>
        <v>1</v>
      </c>
      <c r="N87" s="8" t="str">
        <f>[1]SIM!$CI$7</f>
        <v>p86</v>
      </c>
      <c r="O87" s="8">
        <v>87</v>
      </c>
      <c r="P87" s="55" t="e">
        <f>[1]SIM!$CI$3</f>
        <v>#REF!</v>
      </c>
      <c r="Q87" s="22" t="e">
        <f>IF(IN[[#This Row],[Sim_]]=IN[[#This Row],[Direkt alt]],1,0)</f>
        <v>#REF!</v>
      </c>
      <c r="R87" s="10">
        <v>5232.0500999999949</v>
      </c>
      <c r="S87" s="22">
        <f>IF(IN[[#This Row],[Sim_]]=IN[[#This Row],[Buffer]],1,0)</f>
        <v>0</v>
      </c>
      <c r="T87" s="11">
        <v>60</v>
      </c>
      <c r="U87" s="21">
        <f>IN[[#This Row],[Buffer]]</f>
        <v>5232.0500999999949</v>
      </c>
      <c r="V87" s="29">
        <v>60</v>
      </c>
      <c r="W87" s="29">
        <v>30.5</v>
      </c>
      <c r="X87" s="29">
        <v>0</v>
      </c>
      <c r="Y87" s="11">
        <v>60</v>
      </c>
      <c r="Z87" s="27">
        <v>0</v>
      </c>
      <c r="AA87" s="27">
        <v>60</v>
      </c>
      <c r="AB87" s="27">
        <v>60</v>
      </c>
      <c r="AC87" s="28">
        <v>0</v>
      </c>
      <c r="AD87">
        <v>5232.0500999999949</v>
      </c>
      <c r="AE87">
        <v>5232.0500999999949</v>
      </c>
      <c r="AF87">
        <v>5232.0500999999949</v>
      </c>
      <c r="AG87">
        <v>5232.0500999999949</v>
      </c>
      <c r="AH87">
        <v>5232.0500999999949</v>
      </c>
      <c r="AI87">
        <v>60</v>
      </c>
      <c r="AJ87">
        <v>60</v>
      </c>
    </row>
    <row r="88" spans="1:36" x14ac:dyDescent="0.25">
      <c r="A88" s="46" t="s">
        <v>136</v>
      </c>
      <c r="B88" s="15" t="s">
        <v>139</v>
      </c>
      <c r="C88" s="16"/>
      <c r="D88" s="16"/>
      <c r="E88" s="17" t="s">
        <v>65</v>
      </c>
      <c r="F88" s="18"/>
      <c r="G88" s="47" t="s">
        <v>138</v>
      </c>
      <c r="H88" s="20">
        <v>0</v>
      </c>
      <c r="I88" s="21">
        <f>IN[[#This Row],[Buffer]]</f>
        <v>41000</v>
      </c>
      <c r="J88" s="22">
        <f>IF(IN[[#This Row],[Sim_]]=IN[[#This Row],[STAGE]],1,0)</f>
        <v>1</v>
      </c>
      <c r="K88" s="23">
        <f>[1]SIM!$CJ$8</f>
        <v>41000</v>
      </c>
      <c r="L88" s="24">
        <f>[1]SIM!$CJ$4</f>
        <v>41000</v>
      </c>
      <c r="M88" s="22">
        <f>IF(IN[[#This Row],[Sim_]]=IN[[#This Row],[Sim Var ref]],1,0)</f>
        <v>1</v>
      </c>
      <c r="N88" s="8" t="str">
        <f>[1]SIM!$CJ$7</f>
        <v>p87</v>
      </c>
      <c r="O88" s="8">
        <v>88</v>
      </c>
      <c r="P88" s="55" t="e">
        <f>[1]SIM!$CJ$3</f>
        <v>#REF!</v>
      </c>
      <c r="Q88" s="22" t="e">
        <f>IF(IN[[#This Row],[Sim_]]=IN[[#This Row],[Direkt alt]],1,0)</f>
        <v>#REF!</v>
      </c>
      <c r="R88" s="10">
        <v>41000</v>
      </c>
      <c r="S88" s="22">
        <f>IF(IN[[#This Row],[Sim_]]=IN[[#This Row],[Buffer]],1,0)</f>
        <v>1</v>
      </c>
      <c r="T88" s="11">
        <v>41000</v>
      </c>
      <c r="U88" s="21">
        <f>IN[[#This Row],[Buffer]]</f>
        <v>41000</v>
      </c>
      <c r="V88" s="29">
        <v>41000</v>
      </c>
      <c r="W88" s="29">
        <v>41000</v>
      </c>
      <c r="X88" s="29">
        <v>41000</v>
      </c>
      <c r="Y88" s="11">
        <v>41000</v>
      </c>
      <c r="Z88" s="27">
        <v>41000</v>
      </c>
      <c r="AA88" s="27">
        <v>41000</v>
      </c>
      <c r="AB88" s="27">
        <v>41000</v>
      </c>
      <c r="AC88" s="28">
        <v>41000</v>
      </c>
      <c r="AD88">
        <v>41000</v>
      </c>
      <c r="AE88">
        <v>41000</v>
      </c>
      <c r="AF88">
        <v>41000</v>
      </c>
      <c r="AG88">
        <v>41000</v>
      </c>
      <c r="AH88">
        <v>41000</v>
      </c>
      <c r="AI88">
        <v>41000</v>
      </c>
      <c r="AJ88">
        <v>41000</v>
      </c>
    </row>
    <row r="89" spans="1:36" x14ac:dyDescent="0.25">
      <c r="A89" s="46" t="s">
        <v>136</v>
      </c>
      <c r="B89" s="15" t="s">
        <v>140</v>
      </c>
      <c r="C89" s="16"/>
      <c r="D89" s="16"/>
      <c r="E89" s="17" t="s">
        <v>65</v>
      </c>
      <c r="F89" s="18"/>
      <c r="G89" s="47" t="s">
        <v>138</v>
      </c>
      <c r="H89" s="20">
        <v>0</v>
      </c>
      <c r="I89" s="21">
        <f>IN[[#This Row],[Buffer]]</f>
        <v>1.1904761904761906E-4</v>
      </c>
      <c r="J89" s="22">
        <f>IF(IN[[#This Row],[Sim_]]=IN[[#This Row],[STAGE]],1,0)</f>
        <v>1</v>
      </c>
      <c r="K89" s="23">
        <f>[1]SIM!$CK$8</f>
        <v>1.1904761904761905E-4</v>
      </c>
      <c r="L89" s="24">
        <f>[1]SIM!$CK$4</f>
        <v>1.1904761904761905E-4</v>
      </c>
      <c r="M89" s="22">
        <f>IF(IN[[#This Row],[Sim_]]=IN[[#This Row],[Sim Var ref]],1,0)</f>
        <v>1</v>
      </c>
      <c r="N89" s="8" t="str">
        <f>[1]SIM!$CK$7</f>
        <v>p88</v>
      </c>
      <c r="O89" s="8">
        <v>89</v>
      </c>
      <c r="P89" s="55" t="e">
        <f>[1]SIM!$CK$3</f>
        <v>#REF!</v>
      </c>
      <c r="Q89" s="22" t="e">
        <f>IF(IN[[#This Row],[Sim_]]=IN[[#This Row],[Direkt alt]],1,0)</f>
        <v>#REF!</v>
      </c>
      <c r="R89" s="10">
        <v>1.1904761904761906E-4</v>
      </c>
      <c r="S89" s="22">
        <f>IF(IN[[#This Row],[Sim_]]=IN[[#This Row],[Buffer]],1,0)</f>
        <v>1</v>
      </c>
      <c r="T89" s="11">
        <v>1.1904761904761905E-4</v>
      </c>
      <c r="U89" s="21">
        <f>IN[[#This Row],[Buffer]]</f>
        <v>1.1904761904761906E-4</v>
      </c>
      <c r="V89" s="29">
        <v>1.1904761904761905E-4</v>
      </c>
      <c r="W89" s="29">
        <v>1.1904761904761905E-4</v>
      </c>
      <c r="X89" s="29">
        <v>1.1904761904761905E-4</v>
      </c>
      <c r="Y89" s="11">
        <v>1.1904761904761905E-4</v>
      </c>
      <c r="Z89" s="27">
        <v>1.1904761904761905E-4</v>
      </c>
      <c r="AA89" s="27">
        <v>1.1904761904761905E-4</v>
      </c>
      <c r="AB89" s="27">
        <v>1.1904761904761905E-4</v>
      </c>
      <c r="AC89" s="28">
        <v>1.1904761904761905E-4</v>
      </c>
      <c r="AD89">
        <v>1.1904761904761906E-4</v>
      </c>
      <c r="AE89">
        <v>1.1904761904761906E-4</v>
      </c>
      <c r="AF89">
        <v>1.1904761904761906E-4</v>
      </c>
      <c r="AG89">
        <v>1.1904761904761906E-4</v>
      </c>
      <c r="AH89">
        <v>1.1904761904761906E-4</v>
      </c>
      <c r="AI89">
        <v>1.1904761904761905E-4</v>
      </c>
      <c r="AJ89">
        <v>1.1904761904761905E-4</v>
      </c>
    </row>
    <row r="90" spans="1:36" x14ac:dyDescent="0.25">
      <c r="A90" s="46" t="s">
        <v>136</v>
      </c>
      <c r="B90" s="15" t="s">
        <v>141</v>
      </c>
      <c r="C90" s="16"/>
      <c r="D90" s="16"/>
      <c r="E90" s="17" t="s">
        <v>78</v>
      </c>
      <c r="F90" s="18"/>
      <c r="G90" s="47" t="s">
        <v>138</v>
      </c>
      <c r="H90" s="20">
        <v>0</v>
      </c>
      <c r="I90" s="21">
        <f>IN[[#This Row],[Buffer]]</f>
        <v>0</v>
      </c>
      <c r="J90" s="70">
        <f>IF(IN[[#This Row],[Sim_]]=IN[[#This Row],[STAGE]],1,0)</f>
        <v>0</v>
      </c>
      <c r="K90" s="71">
        <f>[1]SIM!$CL$8</f>
        <v>1022484218.3657994</v>
      </c>
      <c r="L90" s="24">
        <f>[1]SIM!$CL$4</f>
        <v>0</v>
      </c>
      <c r="M90" s="70">
        <f>IF(IN[[#This Row],[Sim_]]=IN[[#This Row],[Sim Var ref]],1,0)</f>
        <v>0</v>
      </c>
      <c r="N90" s="8" t="str">
        <f>[1]SIM!$CL$7</f>
        <v>p89</v>
      </c>
      <c r="O90" s="8">
        <v>90</v>
      </c>
      <c r="P90" s="55" t="str">
        <f>[1]SIM!$CL$3</f>
        <v>-</v>
      </c>
      <c r="Q90" s="70">
        <f>IF(IN[[#This Row],[Sim_]]=IN[[#This Row],[Direkt alt]],1,0)</f>
        <v>0</v>
      </c>
      <c r="R90" s="10">
        <v>0</v>
      </c>
      <c r="S90" s="70">
        <f>IF(IN[[#This Row],[Sim_]]=IN[[#This Row],[Buffer]],1,0)</f>
        <v>0</v>
      </c>
      <c r="T90" s="11"/>
      <c r="U90" s="21">
        <f>IN[[#This Row],[Buffer]]</f>
        <v>0</v>
      </c>
      <c r="V90" s="29"/>
      <c r="W90" s="29">
        <v>22857405.929999996</v>
      </c>
      <c r="X90" s="29" t="s">
        <v>142</v>
      </c>
      <c r="Y90" s="11"/>
      <c r="Z90" s="27" t="s">
        <v>142</v>
      </c>
      <c r="AA90" s="27">
        <v>0</v>
      </c>
      <c r="AB90" s="27">
        <v>0</v>
      </c>
      <c r="AC90" s="28" t="s">
        <v>142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s="46" t="s">
        <v>136</v>
      </c>
      <c r="B91" s="15" t="s">
        <v>143</v>
      </c>
      <c r="C91" s="16"/>
      <c r="D91" s="16"/>
      <c r="E91" s="17" t="s">
        <v>78</v>
      </c>
      <c r="F91" s="18"/>
      <c r="G91" s="47" t="s">
        <v>138</v>
      </c>
      <c r="H91" s="20">
        <v>0</v>
      </c>
      <c r="I91" s="21">
        <f>IN[[#This Row],[Buffer]]</f>
        <v>0</v>
      </c>
      <c r="J91" s="70">
        <f>IF(IN[[#This Row],[Sim_]]=IN[[#This Row],[STAGE]],1,0)</f>
        <v>0</v>
      </c>
      <c r="K91" s="71">
        <f>[1]SIM!$CM$8</f>
        <v>91.774607532979175</v>
      </c>
      <c r="L91" s="24">
        <f>[1]SIM!$CM$4</f>
        <v>0</v>
      </c>
      <c r="M91" s="70">
        <f>IF(IN[[#This Row],[Sim_]]=IN[[#This Row],[Sim Var ref]],1,0)</f>
        <v>0</v>
      </c>
      <c r="N91" s="8" t="str">
        <f>[1]SIM!$CM$7</f>
        <v>p90</v>
      </c>
      <c r="O91" s="8">
        <v>91</v>
      </c>
      <c r="P91" s="55" t="str">
        <f>[1]SIM!$CM$3</f>
        <v>-</v>
      </c>
      <c r="Q91" s="70">
        <f>IF(IN[[#This Row],[Sim_]]=IN[[#This Row],[Direkt alt]],1,0)</f>
        <v>0</v>
      </c>
      <c r="R91" s="10">
        <v>0</v>
      </c>
      <c r="S91" s="70">
        <f>IF(IN[[#This Row],[Sim_]]=IN[[#This Row],[Buffer]],1,0)</f>
        <v>0</v>
      </c>
      <c r="T91" s="11"/>
      <c r="U91" s="21">
        <f>IN[[#This Row],[Buffer]]</f>
        <v>0</v>
      </c>
      <c r="V91" s="29"/>
      <c r="W91" s="29">
        <v>132.04186693341791</v>
      </c>
      <c r="X91" s="29" t="s">
        <v>142</v>
      </c>
      <c r="Y91" s="11"/>
      <c r="Z91" s="27" t="s">
        <v>142</v>
      </c>
      <c r="AA91" s="27">
        <v>0</v>
      </c>
      <c r="AB91" s="27">
        <v>91.774607532979175</v>
      </c>
      <c r="AC91" s="28" t="s">
        <v>142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91.774607532979175</v>
      </c>
      <c r="AJ91">
        <v>91.774607532979175</v>
      </c>
    </row>
    <row r="92" spans="1:36" x14ac:dyDescent="0.25">
      <c r="A92" s="46" t="s">
        <v>136</v>
      </c>
      <c r="B92" s="15" t="s">
        <v>144</v>
      </c>
      <c r="C92" s="16"/>
      <c r="D92" s="16"/>
      <c r="E92" s="17"/>
      <c r="F92" s="18"/>
      <c r="G92" s="47" t="s">
        <v>138</v>
      </c>
      <c r="H92" s="20">
        <v>0</v>
      </c>
      <c r="I92" s="21">
        <f>IN[[#This Row],[Buffer]]</f>
        <v>0</v>
      </c>
      <c r="J92" s="22">
        <f>IF(IN[[#This Row],[Sim_]]=IN[[#This Row],[STAGE]],1,0)</f>
        <v>0</v>
      </c>
      <c r="K92" s="23">
        <f>[1]SIM!$CN$8</f>
        <v>0.7</v>
      </c>
      <c r="L92" s="24">
        <f>[1]SIM!$CN$4</f>
        <v>0.7</v>
      </c>
      <c r="M92" s="22">
        <f>IF(IN[[#This Row],[Sim_]]=IN[[#This Row],[Sim Var ref]],1,0)</f>
        <v>1</v>
      </c>
      <c r="N92" s="8" t="str">
        <f>[1]SIM!$CN$7</f>
        <v>p91</v>
      </c>
      <c r="O92" s="8">
        <v>92</v>
      </c>
      <c r="P92" s="55">
        <f>[1]SIM!$CN$3</f>
        <v>0</v>
      </c>
      <c r="Q92" s="22">
        <f>IF(IN[[#This Row],[Sim_]]=IN[[#This Row],[Direkt alt]],1,0)</f>
        <v>0</v>
      </c>
      <c r="R92" s="10">
        <v>0</v>
      </c>
      <c r="S92" s="22">
        <f>IF(IN[[#This Row],[Sim_]]=IN[[#This Row],[Buffer]],1,0)</f>
        <v>0</v>
      </c>
      <c r="T92" s="11">
        <v>0.7</v>
      </c>
      <c r="U92" s="21">
        <f>IN[[#This Row],[Buffer]]</f>
        <v>0</v>
      </c>
      <c r="V92" s="29">
        <v>0.7</v>
      </c>
      <c r="W92" s="29">
        <v>0.4</v>
      </c>
      <c r="X92" s="29">
        <v>0</v>
      </c>
      <c r="Y92" s="11">
        <v>0.7</v>
      </c>
      <c r="Z92" s="27">
        <v>0</v>
      </c>
      <c r="AA92" s="27">
        <v>0.7</v>
      </c>
      <c r="AB92" s="27">
        <v>0.7</v>
      </c>
      <c r="AC92" s="28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0.7</v>
      </c>
      <c r="AJ92">
        <v>0.7</v>
      </c>
    </row>
    <row r="93" spans="1:36" x14ac:dyDescent="0.25">
      <c r="A93" s="46" t="s">
        <v>136</v>
      </c>
      <c r="B93" s="15" t="s">
        <v>145</v>
      </c>
      <c r="C93" s="16"/>
      <c r="D93" s="16"/>
      <c r="E93" s="17" t="s">
        <v>78</v>
      </c>
      <c r="F93" s="18"/>
      <c r="G93" s="47" t="s">
        <v>138</v>
      </c>
      <c r="H93" s="20">
        <v>0</v>
      </c>
      <c r="I93" s="21">
        <f>IN[[#This Row],[Buffer]]</f>
        <v>0</v>
      </c>
      <c r="J93" s="70">
        <f>IF(IN[[#This Row],[Sim_]]=IN[[#This Row],[STAGE]],1,0)</f>
        <v>0</v>
      </c>
      <c r="K93" s="71">
        <f>[1]SIM!$CO$8</f>
        <v>1.306354937203283</v>
      </c>
      <c r="L93" s="24">
        <f>[1]SIM!$CO$4</f>
        <v>0</v>
      </c>
      <c r="M93" s="70">
        <f>IF(IN[[#This Row],[Sim_]]=IN[[#This Row],[Sim Var ref]],1,0)</f>
        <v>0</v>
      </c>
      <c r="N93" s="8" t="str">
        <f>[1]SIM!$CO$7</f>
        <v>p92</v>
      </c>
      <c r="O93" s="8">
        <v>93</v>
      </c>
      <c r="P93" s="55" t="e">
        <f>[1]SIM!$CO$3</f>
        <v>#REF!</v>
      </c>
      <c r="Q93" s="70" t="e">
        <f>IF(IN[[#This Row],[Sim_]]=IN[[#This Row],[Direkt alt]],1,0)</f>
        <v>#REF!</v>
      </c>
      <c r="R93" s="10">
        <v>0</v>
      </c>
      <c r="S93" s="70">
        <f>IF(IN[[#This Row],[Sim_]]=IN[[#This Row],[Buffer]],1,0)</f>
        <v>0</v>
      </c>
      <c r="T93" s="11"/>
      <c r="U93" s="21">
        <f>IN[[#This Row],[Buffer]]</f>
        <v>0</v>
      </c>
      <c r="V93" s="29"/>
      <c r="W93" s="29">
        <v>0.38196885564450594</v>
      </c>
      <c r="X93" s="29">
        <v>0</v>
      </c>
      <c r="Y93" s="11"/>
      <c r="Z93" s="27">
        <v>0</v>
      </c>
      <c r="AA93" s="27">
        <v>0</v>
      </c>
      <c r="AB93" s="27">
        <v>0</v>
      </c>
      <c r="AC93" s="28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s="46" t="s">
        <v>136</v>
      </c>
      <c r="B94" s="15" t="s">
        <v>146</v>
      </c>
      <c r="C94" s="16"/>
      <c r="D94" s="16"/>
      <c r="E94" s="17" t="s">
        <v>78</v>
      </c>
      <c r="F94" s="18"/>
      <c r="G94" s="47" t="s">
        <v>138</v>
      </c>
      <c r="H94" s="20">
        <v>0</v>
      </c>
      <c r="I94" s="21">
        <f>IN[[#This Row],[Buffer]]</f>
        <v>0</v>
      </c>
      <c r="J94" s="70">
        <f>IF(IN[[#This Row],[Sim_]]=IN[[#This Row],[STAGE]],1,0)</f>
        <v>0</v>
      </c>
      <c r="K94" s="71">
        <f>[1]SIM!$CP$8</f>
        <v>24.622455679579776</v>
      </c>
      <c r="L94" s="24">
        <f>[1]SIM!$CP$4</f>
        <v>0</v>
      </c>
      <c r="M94" s="70">
        <f>IF(IN[[#This Row],[Sim_]]=IN[[#This Row],[Sim Var ref]],1,0)</f>
        <v>0</v>
      </c>
      <c r="N94" s="8" t="str">
        <f>[1]SIM!$CP$7</f>
        <v>p93</v>
      </c>
      <c r="O94" s="8">
        <v>94</v>
      </c>
      <c r="P94" s="55" t="str">
        <f>[1]SIM!$CP$3</f>
        <v>-</v>
      </c>
      <c r="Q94" s="70">
        <f>IF(IN[[#This Row],[Sim_]]=IN[[#This Row],[Direkt alt]],1,0)</f>
        <v>0</v>
      </c>
      <c r="R94" s="10">
        <v>0</v>
      </c>
      <c r="S94" s="70">
        <f>IF(IN[[#This Row],[Sim_]]=IN[[#This Row],[Buffer]],1,0)</f>
        <v>0</v>
      </c>
      <c r="T94" s="11"/>
      <c r="U94" s="21">
        <f>IN[[#This Row],[Buffer]]</f>
        <v>0</v>
      </c>
      <c r="V94" s="29"/>
      <c r="W94" s="29">
        <v>35.425866738234078</v>
      </c>
      <c r="X94" s="29" t="s">
        <v>142</v>
      </c>
      <c r="Y94" s="11"/>
      <c r="Z94" s="27" t="s">
        <v>142</v>
      </c>
      <c r="AA94" s="27">
        <v>0</v>
      </c>
      <c r="AB94" s="27">
        <v>24.622455679579776</v>
      </c>
      <c r="AC94" s="28" t="s">
        <v>142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24.622455679579776</v>
      </c>
      <c r="AJ94">
        <v>24.622455679579776</v>
      </c>
    </row>
    <row r="95" spans="1:36" x14ac:dyDescent="0.25">
      <c r="A95" s="46" t="s">
        <v>136</v>
      </c>
      <c r="B95" s="15" t="s">
        <v>147</v>
      </c>
      <c r="C95" s="16"/>
      <c r="D95" s="16"/>
      <c r="E95" s="17" t="s">
        <v>65</v>
      </c>
      <c r="F95" s="18"/>
      <c r="G95" s="47" t="s">
        <v>138</v>
      </c>
      <c r="H95" s="20">
        <v>0</v>
      </c>
      <c r="I95" s="21">
        <f>IN[[#This Row],[Buffer]]</f>
        <v>0.5</v>
      </c>
      <c r="J95" s="22">
        <f>IF(IN[[#This Row],[Sim_]]=IN[[#This Row],[STAGE]],1,0)</f>
        <v>1</v>
      </c>
      <c r="K95" s="23">
        <f>[1]SIM!$CQ$8</f>
        <v>0.5</v>
      </c>
      <c r="L95" s="24">
        <f>[1]SIM!$CQ$4</f>
        <v>0.5</v>
      </c>
      <c r="M95" s="22">
        <f>IF(IN[[#This Row],[Sim_]]=IN[[#This Row],[Sim Var ref]],1,0)</f>
        <v>1</v>
      </c>
      <c r="N95" s="8" t="str">
        <f>[1]SIM!$CQ$7</f>
        <v>p94</v>
      </c>
      <c r="O95" s="8">
        <v>95</v>
      </c>
      <c r="P95" s="55" t="e">
        <f>[1]SIM!$CQ$3</f>
        <v>#REF!</v>
      </c>
      <c r="Q95" s="22" t="e">
        <f>IF(IN[[#This Row],[Sim_]]=IN[[#This Row],[Direkt alt]],1,0)</f>
        <v>#REF!</v>
      </c>
      <c r="R95" s="10">
        <v>0.5</v>
      </c>
      <c r="S95" s="22">
        <f>IF(IN[[#This Row],[Sim_]]=IN[[#This Row],[Buffer]],1,0)</f>
        <v>1</v>
      </c>
      <c r="T95" s="11">
        <v>0.5</v>
      </c>
      <c r="U95" s="21">
        <f>IN[[#This Row],[Buffer]]</f>
        <v>0.5</v>
      </c>
      <c r="V95" s="29">
        <v>0.5</v>
      </c>
      <c r="W95" s="29">
        <v>0.5</v>
      </c>
      <c r="X95" s="29">
        <v>0.5</v>
      </c>
      <c r="Y95" s="11">
        <v>0.5</v>
      </c>
      <c r="Z95" s="27">
        <v>0.5</v>
      </c>
      <c r="AA95" s="27">
        <v>0.5</v>
      </c>
      <c r="AB95" s="27">
        <v>0.5</v>
      </c>
      <c r="AC95" s="28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</row>
    <row r="96" spans="1:36" x14ac:dyDescent="0.25">
      <c r="A96" s="46" t="s">
        <v>136</v>
      </c>
      <c r="B96" s="15" t="s">
        <v>148</v>
      </c>
      <c r="C96" s="16"/>
      <c r="D96" s="16"/>
      <c r="E96" s="17" t="s">
        <v>65</v>
      </c>
      <c r="F96" s="18"/>
      <c r="G96" s="47" t="s">
        <v>138</v>
      </c>
      <c r="H96" s="20">
        <v>0</v>
      </c>
      <c r="I96" s="21">
        <f>IN[[#This Row],[Buffer]]</f>
        <v>0.89999999999999991</v>
      </c>
      <c r="J96" s="22">
        <f>IF(IN[[#This Row],[Sim_]]=IN[[#This Row],[STAGE]],1,0)</f>
        <v>1</v>
      </c>
      <c r="K96" s="23">
        <f>[1]SIM!$CR$8</f>
        <v>0.9</v>
      </c>
      <c r="L96" s="24">
        <f>[1]SIM!$CR$4</f>
        <v>0.9</v>
      </c>
      <c r="M96" s="22">
        <f>IF(IN[[#This Row],[Sim_]]=IN[[#This Row],[Sim Var ref]],1,0)</f>
        <v>1</v>
      </c>
      <c r="N96" s="8" t="str">
        <f>[1]SIM!$CR$7</f>
        <v>p95</v>
      </c>
      <c r="O96" s="8">
        <v>96</v>
      </c>
      <c r="P96" s="55" t="e">
        <f>[1]SIM!$CR$3</f>
        <v>#REF!</v>
      </c>
      <c r="Q96" s="22" t="e">
        <f>IF(IN[[#This Row],[Sim_]]=IN[[#This Row],[Direkt alt]],1,0)</f>
        <v>#REF!</v>
      </c>
      <c r="R96" s="10">
        <v>0.89999999999999991</v>
      </c>
      <c r="S96" s="22">
        <f>IF(IN[[#This Row],[Sim_]]=IN[[#This Row],[Buffer]],1,0)</f>
        <v>1</v>
      </c>
      <c r="T96" s="11">
        <v>0.9</v>
      </c>
      <c r="U96" s="21">
        <f>IN[[#This Row],[Buffer]]</f>
        <v>0.89999999999999991</v>
      </c>
      <c r="V96" s="29">
        <v>0.9</v>
      </c>
      <c r="W96" s="29">
        <v>0.9</v>
      </c>
      <c r="X96" s="29">
        <v>0.9</v>
      </c>
      <c r="Y96" s="11">
        <v>0.9</v>
      </c>
      <c r="Z96" s="27">
        <v>0.9</v>
      </c>
      <c r="AA96" s="27">
        <v>0.9</v>
      </c>
      <c r="AB96" s="27">
        <v>0.9</v>
      </c>
      <c r="AC96" s="28">
        <v>0.9</v>
      </c>
      <c r="AD96">
        <v>0.89999999999999991</v>
      </c>
      <c r="AE96">
        <v>0.89999999999999991</v>
      </c>
      <c r="AF96">
        <v>0.89999999999999991</v>
      </c>
      <c r="AG96">
        <v>0.89999999999999991</v>
      </c>
      <c r="AH96">
        <v>0.89999999999999991</v>
      </c>
      <c r="AI96">
        <v>0.9</v>
      </c>
      <c r="AJ96">
        <v>0.9</v>
      </c>
    </row>
    <row r="97" spans="1:36" x14ac:dyDescent="0.25">
      <c r="A97" s="46" t="s">
        <v>136</v>
      </c>
      <c r="B97" s="15" t="s">
        <v>149</v>
      </c>
      <c r="C97" s="16"/>
      <c r="D97" s="16"/>
      <c r="E97" s="17" t="s">
        <v>65</v>
      </c>
      <c r="F97" s="18"/>
      <c r="G97" s="47" t="s">
        <v>138</v>
      </c>
      <c r="H97" s="20">
        <v>0</v>
      </c>
      <c r="I97" s="21">
        <f>IN[[#This Row],[Buffer]]</f>
        <v>0.69999999999999984</v>
      </c>
      <c r="J97" s="22">
        <f>IF(IN[[#This Row],[Sim_]]=IN[[#This Row],[STAGE]],1,0)</f>
        <v>1</v>
      </c>
      <c r="K97" s="23">
        <f>[1]SIM!$CS$8</f>
        <v>0.7</v>
      </c>
      <c r="L97" s="24">
        <f>[1]SIM!$CS$4</f>
        <v>0.7</v>
      </c>
      <c r="M97" s="22">
        <f>IF(IN[[#This Row],[Sim_]]=IN[[#This Row],[Sim Var ref]],1,0)</f>
        <v>1</v>
      </c>
      <c r="N97" s="8" t="str">
        <f>[1]SIM!$CS$7</f>
        <v>p96</v>
      </c>
      <c r="O97" s="8">
        <v>97</v>
      </c>
      <c r="P97" s="55" t="e">
        <f>[1]SIM!$CS$3</f>
        <v>#REF!</v>
      </c>
      <c r="Q97" s="22" t="e">
        <f>IF(IN[[#This Row],[Sim_]]=IN[[#This Row],[Direkt alt]],1,0)</f>
        <v>#REF!</v>
      </c>
      <c r="R97" s="10">
        <v>0.69999999999999984</v>
      </c>
      <c r="S97" s="22">
        <f>IF(IN[[#This Row],[Sim_]]=IN[[#This Row],[Buffer]],1,0)</f>
        <v>1</v>
      </c>
      <c r="T97" s="11">
        <v>0.7</v>
      </c>
      <c r="U97" s="21">
        <f>IN[[#This Row],[Buffer]]</f>
        <v>0.69999999999999984</v>
      </c>
      <c r="V97" s="29">
        <v>0.7</v>
      </c>
      <c r="W97" s="29">
        <v>0.5</v>
      </c>
      <c r="X97" s="29">
        <v>0.7</v>
      </c>
      <c r="Y97" s="11">
        <v>0.7</v>
      </c>
      <c r="Z97" s="27">
        <v>0.7</v>
      </c>
      <c r="AA97" s="27">
        <v>0.7</v>
      </c>
      <c r="AB97" s="27">
        <v>0.7</v>
      </c>
      <c r="AC97" s="28">
        <v>0.7</v>
      </c>
      <c r="AD97">
        <v>0.69999999999999984</v>
      </c>
      <c r="AE97">
        <v>0.69999999999999984</v>
      </c>
      <c r="AF97">
        <v>0.69999999999999984</v>
      </c>
      <c r="AG97">
        <v>0.69999999999999984</v>
      </c>
      <c r="AH97">
        <v>0.69999999999999984</v>
      </c>
      <c r="AI97">
        <v>0.7</v>
      </c>
      <c r="AJ97">
        <v>0.7</v>
      </c>
    </row>
    <row r="98" spans="1:36" x14ac:dyDescent="0.25">
      <c r="A98" s="46" t="s">
        <v>136</v>
      </c>
      <c r="B98" s="15" t="s">
        <v>150</v>
      </c>
      <c r="C98" s="16"/>
      <c r="D98" s="16"/>
      <c r="E98" s="17" t="s">
        <v>65</v>
      </c>
      <c r="F98" s="18"/>
      <c r="G98" s="47" t="s">
        <v>138</v>
      </c>
      <c r="H98" s="20">
        <v>0</v>
      </c>
      <c r="I98" s="21">
        <f>IN[[#This Row],[Buffer]]</f>
        <v>0.16999999999999998</v>
      </c>
      <c r="J98" s="22">
        <f>IF(IN[[#This Row],[Sim_]]=IN[[#This Row],[STAGE]],1,0)</f>
        <v>1</v>
      </c>
      <c r="K98" s="23">
        <f>[1]SIM!$CT$8</f>
        <v>0.17</v>
      </c>
      <c r="L98" s="24">
        <f>[1]SIM!$CT$4</f>
        <v>0.17</v>
      </c>
      <c r="M98" s="22">
        <f>IF(IN[[#This Row],[Sim_]]=IN[[#This Row],[Sim Var ref]],1,0)</f>
        <v>1</v>
      </c>
      <c r="N98" s="8" t="str">
        <f>[1]SIM!$CT$7</f>
        <v>p97</v>
      </c>
      <c r="O98" s="8">
        <v>98</v>
      </c>
      <c r="P98" s="55" t="e">
        <f>[1]SIM!$CT$3</f>
        <v>#REF!</v>
      </c>
      <c r="Q98" s="22" t="e">
        <f>IF(IN[[#This Row],[Sim_]]=IN[[#This Row],[Direkt alt]],1,0)</f>
        <v>#REF!</v>
      </c>
      <c r="R98" s="10">
        <v>0.16999999999999998</v>
      </c>
      <c r="S98" s="22">
        <f>IF(IN[[#This Row],[Sim_]]=IN[[#This Row],[Buffer]],1,0)</f>
        <v>1</v>
      </c>
      <c r="T98" s="11">
        <v>0.17</v>
      </c>
      <c r="U98" s="21">
        <f>IN[[#This Row],[Buffer]]</f>
        <v>0.16999999999999998</v>
      </c>
      <c r="V98" s="29">
        <v>0.17</v>
      </c>
      <c r="W98" s="29">
        <v>0.17</v>
      </c>
      <c r="X98" s="29">
        <v>0.17</v>
      </c>
      <c r="Y98" s="11">
        <v>0.17</v>
      </c>
      <c r="Z98" s="27">
        <v>0.17</v>
      </c>
      <c r="AA98" s="27">
        <v>0.17</v>
      </c>
      <c r="AB98" s="27">
        <v>0.17</v>
      </c>
      <c r="AC98" s="28">
        <v>0.17</v>
      </c>
      <c r="AD98">
        <v>0.16999999999999998</v>
      </c>
      <c r="AE98">
        <v>0.16999999999999998</v>
      </c>
      <c r="AF98">
        <v>0.16999999999999998</v>
      </c>
      <c r="AG98">
        <v>0.16999999999999998</v>
      </c>
      <c r="AH98">
        <v>0.16999999999999998</v>
      </c>
      <c r="AI98">
        <v>0.17</v>
      </c>
      <c r="AJ98">
        <v>0.17</v>
      </c>
    </row>
    <row r="99" spans="1:36" x14ac:dyDescent="0.25">
      <c r="A99" s="46" t="s">
        <v>136</v>
      </c>
      <c r="B99" s="15" t="s">
        <v>151</v>
      </c>
      <c r="C99" s="16"/>
      <c r="D99" s="16"/>
      <c r="E99" s="17" t="s">
        <v>65</v>
      </c>
      <c r="F99" s="18"/>
      <c r="G99" s="47" t="s">
        <v>138</v>
      </c>
      <c r="H99" s="20">
        <v>0</v>
      </c>
      <c r="I99" s="21">
        <f>IN[[#This Row],[Buffer]]</f>
        <v>1</v>
      </c>
      <c r="J99" s="22">
        <f>IF(IN[[#This Row],[Sim_]]=IN[[#This Row],[STAGE]],1,0)</f>
        <v>1</v>
      </c>
      <c r="K99" s="23">
        <f>[1]SIM!$CU$8</f>
        <v>1</v>
      </c>
      <c r="L99" s="24">
        <f>[1]SIM!$CU$4</f>
        <v>1</v>
      </c>
      <c r="M99" s="22">
        <f>IF(IN[[#This Row],[Sim_]]=IN[[#This Row],[Sim Var ref]],1,0)</f>
        <v>1</v>
      </c>
      <c r="N99" s="8" t="str">
        <f>[1]SIM!$CU$7</f>
        <v>p98</v>
      </c>
      <c r="O99" s="8">
        <v>99</v>
      </c>
      <c r="P99" s="55">
        <f>[1]SIM!$CU$3</f>
        <v>1</v>
      </c>
      <c r="Q99" s="22">
        <f>IF(IN[[#This Row],[Sim_]]=IN[[#This Row],[Direkt alt]],1,0)</f>
        <v>1</v>
      </c>
      <c r="R99" s="10">
        <v>1</v>
      </c>
      <c r="S99" s="22">
        <f>IF(IN[[#This Row],[Sim_]]=IN[[#This Row],[Buffer]],1,0)</f>
        <v>1</v>
      </c>
      <c r="T99" s="11">
        <v>1</v>
      </c>
      <c r="U99" s="21">
        <f>IN[[#This Row],[Buffer]]</f>
        <v>1</v>
      </c>
      <c r="V99" s="29">
        <v>1</v>
      </c>
      <c r="W99" s="29">
        <v>1</v>
      </c>
      <c r="X99" s="29">
        <v>1</v>
      </c>
      <c r="Y99" s="11">
        <v>1</v>
      </c>
      <c r="Z99" s="72">
        <v>1</v>
      </c>
      <c r="AA99" s="72">
        <v>1</v>
      </c>
      <c r="AB99" s="72">
        <v>1</v>
      </c>
      <c r="AC99" s="28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25">
      <c r="A100" s="46" t="s">
        <v>136</v>
      </c>
      <c r="B100" s="15" t="s">
        <v>152</v>
      </c>
      <c r="C100" s="16"/>
      <c r="D100" s="16"/>
      <c r="E100" s="17" t="s">
        <v>65</v>
      </c>
      <c r="F100" s="18"/>
      <c r="G100" s="47" t="s">
        <v>138</v>
      </c>
      <c r="H100" s="20">
        <v>0</v>
      </c>
      <c r="I100" s="21">
        <f>IN[[#This Row],[Buffer]]</f>
        <v>1</v>
      </c>
      <c r="J100" s="22">
        <f>IF(IN[[#This Row],[Sim_]]=IN[[#This Row],[STAGE]],1,0)</f>
        <v>1</v>
      </c>
      <c r="K100" s="23">
        <f>[1]SIM!$CV$8</f>
        <v>1</v>
      </c>
      <c r="L100" s="24">
        <f>[1]SIM!$CV$4</f>
        <v>1</v>
      </c>
      <c r="M100" s="22">
        <f>IF(IN[[#This Row],[Sim_]]=IN[[#This Row],[Sim Var ref]],1,0)</f>
        <v>1</v>
      </c>
      <c r="N100" s="8" t="str">
        <f>[1]SIM!$CV$7</f>
        <v>p99</v>
      </c>
      <c r="O100" s="8">
        <v>100</v>
      </c>
      <c r="P100" s="55">
        <f>[1]SIM!$CV$3</f>
        <v>1</v>
      </c>
      <c r="Q100" s="22">
        <f>IF(IN[[#This Row],[Sim_]]=IN[[#This Row],[Direkt alt]],1,0)</f>
        <v>1</v>
      </c>
      <c r="R100" s="10">
        <v>1</v>
      </c>
      <c r="S100" s="22">
        <f>IF(IN[[#This Row],[Sim_]]=IN[[#This Row],[Buffer]],1,0)</f>
        <v>1</v>
      </c>
      <c r="T100" s="11">
        <v>1</v>
      </c>
      <c r="U100" s="21">
        <f>IN[[#This Row],[Buffer]]</f>
        <v>1</v>
      </c>
      <c r="V100" s="29">
        <v>1</v>
      </c>
      <c r="W100" s="29">
        <v>1</v>
      </c>
      <c r="X100" s="29">
        <v>1</v>
      </c>
      <c r="Y100" s="11">
        <v>1</v>
      </c>
      <c r="Z100" s="72">
        <v>1</v>
      </c>
      <c r="AA100" s="72">
        <v>1</v>
      </c>
      <c r="AB100" s="72">
        <v>1</v>
      </c>
      <c r="AC100" s="28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25">
      <c r="A101" s="46" t="s">
        <v>136</v>
      </c>
      <c r="B101" s="15" t="s">
        <v>153</v>
      </c>
      <c r="C101" s="16"/>
      <c r="D101" s="16"/>
      <c r="E101" s="17" t="s">
        <v>65</v>
      </c>
      <c r="F101" s="18"/>
      <c r="G101" s="47" t="s">
        <v>138</v>
      </c>
      <c r="H101" s="20">
        <v>0</v>
      </c>
      <c r="I101" s="21">
        <f>IN[[#This Row],[Buffer]]</f>
        <v>1</v>
      </c>
      <c r="J101" s="22">
        <f>IF(IN[[#This Row],[Sim_]]=IN[[#This Row],[STAGE]],1,0)</f>
        <v>1</v>
      </c>
      <c r="K101" s="23">
        <f>[1]SIM!$CW$8</f>
        <v>1</v>
      </c>
      <c r="L101" s="24">
        <f>[1]SIM!$CW$4</f>
        <v>1</v>
      </c>
      <c r="M101" s="22">
        <f>IF(IN[[#This Row],[Sim_]]=IN[[#This Row],[Sim Var ref]],1,0)</f>
        <v>1</v>
      </c>
      <c r="N101" s="8" t="str">
        <f>[1]SIM!$CW$7</f>
        <v>p100</v>
      </c>
      <c r="O101" s="8">
        <v>101</v>
      </c>
      <c r="P101" s="55">
        <f>[1]SIM!$CW$3</f>
        <v>1</v>
      </c>
      <c r="Q101" s="22">
        <f>IF(IN[[#This Row],[Sim_]]=IN[[#This Row],[Direkt alt]],1,0)</f>
        <v>1</v>
      </c>
      <c r="R101" s="10">
        <v>1</v>
      </c>
      <c r="S101" s="22">
        <f>IF(IN[[#This Row],[Sim_]]=IN[[#This Row],[Buffer]],1,0)</f>
        <v>1</v>
      </c>
      <c r="T101" s="11">
        <v>1</v>
      </c>
      <c r="U101" s="21">
        <f>IN[[#This Row],[Buffer]]</f>
        <v>1</v>
      </c>
      <c r="V101" s="29">
        <v>1</v>
      </c>
      <c r="W101" s="29">
        <v>1</v>
      </c>
      <c r="X101" s="29">
        <v>1</v>
      </c>
      <c r="Y101" s="11">
        <v>1</v>
      </c>
      <c r="Z101" s="72">
        <v>1</v>
      </c>
      <c r="AA101" s="72">
        <v>1</v>
      </c>
      <c r="AB101" s="72">
        <v>1</v>
      </c>
      <c r="AC101" s="28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25">
      <c r="A102" s="46" t="s">
        <v>136</v>
      </c>
      <c r="B102" s="15" t="s">
        <v>154</v>
      </c>
      <c r="C102" s="16"/>
      <c r="D102" s="16"/>
      <c r="E102" s="17" t="s">
        <v>65</v>
      </c>
      <c r="F102" s="18"/>
      <c r="G102" s="47" t="s">
        <v>138</v>
      </c>
      <c r="H102" s="20">
        <v>0</v>
      </c>
      <c r="I102" s="21">
        <f>IN[[#This Row],[Buffer]]</f>
        <v>1</v>
      </c>
      <c r="J102" s="22">
        <f>IF(IN[[#This Row],[Sim_]]=IN[[#This Row],[STAGE]],1,0)</f>
        <v>1</v>
      </c>
      <c r="K102" s="23">
        <f>[1]SIM!$CX$8</f>
        <v>1</v>
      </c>
      <c r="L102" s="24">
        <f>[1]SIM!$CX$4</f>
        <v>1</v>
      </c>
      <c r="M102" s="22">
        <f>IF(IN[[#This Row],[Sim_]]=IN[[#This Row],[Sim Var ref]],1,0)</f>
        <v>1</v>
      </c>
      <c r="N102" s="8" t="str">
        <f>[1]SIM!$CX$7</f>
        <v>p101</v>
      </c>
      <c r="O102" s="8">
        <v>102</v>
      </c>
      <c r="P102" s="55">
        <f>[1]SIM!$CX$3</f>
        <v>1</v>
      </c>
      <c r="Q102" s="22">
        <f>IF(IN[[#This Row],[Sim_]]=IN[[#This Row],[Direkt alt]],1,0)</f>
        <v>1</v>
      </c>
      <c r="R102" s="10">
        <v>1</v>
      </c>
      <c r="S102" s="22">
        <f>IF(IN[[#This Row],[Sim_]]=IN[[#This Row],[Buffer]],1,0)</f>
        <v>1</v>
      </c>
      <c r="T102" s="11">
        <v>1</v>
      </c>
      <c r="U102" s="21">
        <f>IN[[#This Row],[Buffer]]</f>
        <v>1</v>
      </c>
      <c r="V102" s="29">
        <v>1</v>
      </c>
      <c r="W102" s="29">
        <v>1</v>
      </c>
      <c r="X102" s="29">
        <v>1</v>
      </c>
      <c r="Y102" s="11">
        <v>1</v>
      </c>
      <c r="Z102" s="72">
        <v>1</v>
      </c>
      <c r="AA102" s="72">
        <v>1</v>
      </c>
      <c r="AB102" s="72">
        <v>1</v>
      </c>
      <c r="AC102" s="28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25">
      <c r="A103" s="73" t="s">
        <v>155</v>
      </c>
      <c r="B103" s="15" t="s">
        <v>156</v>
      </c>
      <c r="C103" s="16"/>
      <c r="D103" s="16"/>
      <c r="E103" s="31" t="s">
        <v>53</v>
      </c>
      <c r="F103" s="18"/>
      <c r="G103" s="74" t="s">
        <v>157</v>
      </c>
      <c r="H103" s="20">
        <v>0</v>
      </c>
      <c r="I103" s="21">
        <f>IN[[#This Row],[Buffer]]</f>
        <v>0</v>
      </c>
      <c r="J103" s="33">
        <f>IF(IN[[#This Row],[Sim_]]=IN[[#This Row],[STAGE]],1,0)</f>
        <v>1</v>
      </c>
      <c r="K103" s="34">
        <f>[1]SIM!$CY$8</f>
        <v>0</v>
      </c>
      <c r="L103" s="24">
        <f>[1]SIM!$CY$4</f>
        <v>0</v>
      </c>
      <c r="M103" s="33">
        <f>IF(IN[[#This Row],[Sim_]]=IN[[#This Row],[Sim Var ref]],1,0)</f>
        <v>1</v>
      </c>
      <c r="N103" s="8" t="str">
        <f>[1]SIM!$CY$7</f>
        <v>p102</v>
      </c>
      <c r="O103" s="8">
        <v>103</v>
      </c>
      <c r="P103" s="55">
        <f>[1]SIM!$CY$3</f>
        <v>0</v>
      </c>
      <c r="Q103" s="33">
        <f>IF(IN[[#This Row],[Sim_]]=IN[[#This Row],[Direkt alt]],1,0)</f>
        <v>1</v>
      </c>
      <c r="R103" s="10">
        <v>0</v>
      </c>
      <c r="S103" s="33">
        <f>IF(IN[[#This Row],[Sim_]]=IN[[#This Row],[Buffer]],1,0)</f>
        <v>1</v>
      </c>
      <c r="T103" s="11"/>
      <c r="U103" s="21">
        <f>IN[[#This Row],[Buffer]]</f>
        <v>0</v>
      </c>
      <c r="V103" s="29">
        <v>1</v>
      </c>
      <c r="W103" s="29">
        <v>0</v>
      </c>
      <c r="X103" s="29">
        <v>0</v>
      </c>
      <c r="Y103" s="11"/>
      <c r="Z103" s="27">
        <v>0</v>
      </c>
      <c r="AA103" s="27">
        <v>1</v>
      </c>
      <c r="AB103" s="27">
        <v>0</v>
      </c>
      <c r="AC103" s="28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3" t="s">
        <v>155</v>
      </c>
      <c r="B104" s="15" t="s">
        <v>158</v>
      </c>
      <c r="C104" s="16"/>
      <c r="D104" s="16"/>
      <c r="E104" s="17" t="s">
        <v>65</v>
      </c>
      <c r="F104" s="18"/>
      <c r="G104" s="74" t="s">
        <v>157</v>
      </c>
      <c r="H104" s="20">
        <v>0</v>
      </c>
      <c r="I104" s="21">
        <f>IN[[#This Row],[Buffer]]</f>
        <v>67202.683692980019</v>
      </c>
      <c r="J104" s="22">
        <f>IF(IN[[#This Row],[Sim_]]=IN[[#This Row],[STAGE]],1,0)</f>
        <v>0</v>
      </c>
      <c r="K104" s="23">
        <f>[1]SIM!$CZ$8</f>
        <v>180</v>
      </c>
      <c r="L104" s="24">
        <f>[1]SIM!$CZ$4</f>
        <v>180</v>
      </c>
      <c r="M104" s="22">
        <f>IF(IN[[#This Row],[Sim_]]=IN[[#This Row],[Sim Var ref]],1,0)</f>
        <v>1</v>
      </c>
      <c r="N104" s="8" t="str">
        <f>[1]SIM!$CZ$7</f>
        <v>p103</v>
      </c>
      <c r="O104" s="8">
        <v>104</v>
      </c>
      <c r="P104" s="55" t="e">
        <f>[1]SIM!$CZ$3</f>
        <v>#REF!</v>
      </c>
      <c r="Q104" s="22" t="e">
        <f>IF(IN[[#This Row],[Sim_]]=IN[[#This Row],[Direkt alt]],1,0)</f>
        <v>#REF!</v>
      </c>
      <c r="R104" s="10">
        <v>67202.683692980019</v>
      </c>
      <c r="S104" s="22">
        <f>IF(IN[[#This Row],[Sim_]]=IN[[#This Row],[Buffer]],1,0)</f>
        <v>0</v>
      </c>
      <c r="T104" s="11">
        <v>180</v>
      </c>
      <c r="U104" s="21">
        <f>IN[[#This Row],[Buffer]]</f>
        <v>67202.683692980019</v>
      </c>
      <c r="V104" s="29">
        <v>180</v>
      </c>
      <c r="W104" s="29">
        <v>18</v>
      </c>
      <c r="X104" s="29">
        <v>1003.0251297459711</v>
      </c>
      <c r="Y104" s="11">
        <v>180</v>
      </c>
      <c r="Z104" s="72">
        <v>1003.0251297459711</v>
      </c>
      <c r="AA104" s="72">
        <v>180</v>
      </c>
      <c r="AB104" s="72">
        <v>180</v>
      </c>
      <c r="AC104" s="28">
        <v>1003.0251297459711</v>
      </c>
      <c r="AD104">
        <v>67202.683692980019</v>
      </c>
      <c r="AE104">
        <v>67202.683692980019</v>
      </c>
      <c r="AF104">
        <v>67202.683692980019</v>
      </c>
      <c r="AG104">
        <v>67202.683692980019</v>
      </c>
      <c r="AH104">
        <v>67202.683692980019</v>
      </c>
      <c r="AI104">
        <v>180</v>
      </c>
      <c r="AJ104">
        <v>180</v>
      </c>
    </row>
    <row r="105" spans="1:36" x14ac:dyDescent="0.25">
      <c r="A105" s="73" t="s">
        <v>155</v>
      </c>
      <c r="B105" s="15" t="s">
        <v>140</v>
      </c>
      <c r="C105" s="16"/>
      <c r="D105" s="16"/>
      <c r="E105" s="17" t="s">
        <v>65</v>
      </c>
      <c r="F105" s="18"/>
      <c r="G105" s="74" t="s">
        <v>157</v>
      </c>
      <c r="H105" s="20">
        <v>0</v>
      </c>
      <c r="I105" s="21">
        <f>IN[[#This Row],[Buffer]]</f>
        <v>1.1904761904761906E-4</v>
      </c>
      <c r="J105" s="22">
        <f>IF(IN[[#This Row],[Sim_]]=IN[[#This Row],[STAGE]],1,0)</f>
        <v>1</v>
      </c>
      <c r="K105" s="23">
        <f>[1]SIM!$DA$8</f>
        <v>1.1904761904761905E-4</v>
      </c>
      <c r="L105" s="24">
        <f>[1]SIM!$DA$4</f>
        <v>1.1904761904761905E-4</v>
      </c>
      <c r="M105" s="22">
        <f>IF(IN[[#This Row],[Sim_]]=IN[[#This Row],[Sim Var ref]],1,0)</f>
        <v>1</v>
      </c>
      <c r="N105" s="8" t="str">
        <f>[1]SIM!$DA$7</f>
        <v>p104</v>
      </c>
      <c r="O105" s="8">
        <v>105</v>
      </c>
      <c r="P105" s="55" t="e">
        <f>[1]SIM!$DA$3</f>
        <v>#REF!</v>
      </c>
      <c r="Q105" s="22" t="e">
        <f>IF(IN[[#This Row],[Sim_]]=IN[[#This Row],[Direkt alt]],1,0)</f>
        <v>#REF!</v>
      </c>
      <c r="R105" s="10">
        <v>1.1904761904761906E-4</v>
      </c>
      <c r="S105" s="22">
        <f>IF(IN[[#This Row],[Sim_]]=IN[[#This Row],[Buffer]],1,0)</f>
        <v>1</v>
      </c>
      <c r="T105" s="11">
        <v>1.1904761904761905E-4</v>
      </c>
      <c r="U105" s="21">
        <f>IN[[#This Row],[Buffer]]</f>
        <v>1.1904761904761906E-4</v>
      </c>
      <c r="V105" s="29">
        <v>1.1904761904761905E-4</v>
      </c>
      <c r="W105" s="29">
        <v>1.1904761904761905E-4</v>
      </c>
      <c r="X105" s="29">
        <v>1.1904761904761905E-4</v>
      </c>
      <c r="Y105" s="11">
        <v>1.1904761904761905E-4</v>
      </c>
      <c r="Z105" s="27">
        <v>1.1904761904761905E-4</v>
      </c>
      <c r="AA105" s="27">
        <v>1.1904761904761905E-4</v>
      </c>
      <c r="AB105" s="27">
        <v>1.1904761904761905E-4</v>
      </c>
      <c r="AC105" s="28">
        <v>1.1904761904761905E-4</v>
      </c>
      <c r="AD105">
        <v>1.1904761904761906E-4</v>
      </c>
      <c r="AE105">
        <v>1.1904761904761906E-4</v>
      </c>
      <c r="AF105">
        <v>1.1904761904761906E-4</v>
      </c>
      <c r="AG105">
        <v>1.1904761904761906E-4</v>
      </c>
      <c r="AH105">
        <v>1.1904761904761906E-4</v>
      </c>
      <c r="AI105">
        <v>1.1904761904761905E-4</v>
      </c>
      <c r="AJ105">
        <v>1.1904761904761905E-4</v>
      </c>
    </row>
    <row r="106" spans="1:36" x14ac:dyDescent="0.25">
      <c r="A106" s="73" t="s">
        <v>155</v>
      </c>
      <c r="B106" s="15" t="s">
        <v>159</v>
      </c>
      <c r="C106" s="16"/>
      <c r="D106" s="16"/>
      <c r="E106" s="17" t="s">
        <v>65</v>
      </c>
      <c r="F106" s="18"/>
      <c r="G106" s="74" t="s">
        <v>157</v>
      </c>
      <c r="H106" s="20">
        <v>0</v>
      </c>
      <c r="I106" s="21">
        <f>IN[[#This Row],[Buffer]]</f>
        <v>501.51256487298559</v>
      </c>
      <c r="J106" s="22">
        <f>IF(IN[[#This Row],[Sim_]]=IN[[#This Row],[STAGE]],1,0)</f>
        <v>0</v>
      </c>
      <c r="K106" s="23">
        <f>[1]SIM!$DB$8</f>
        <v>1.2</v>
      </c>
      <c r="L106" s="24">
        <f>[1]SIM!$DB$4</f>
        <v>1.2</v>
      </c>
      <c r="M106" s="22">
        <f>IF(IN[[#This Row],[Sim_]]=IN[[#This Row],[Sim Var ref]],1,0)</f>
        <v>1</v>
      </c>
      <c r="N106" s="8" t="str">
        <f>[1]SIM!$DB$7</f>
        <v>p105</v>
      </c>
      <c r="O106" s="8">
        <v>106</v>
      </c>
      <c r="P106" s="55" t="e">
        <f>[1]SIM!$DB$3</f>
        <v>#REF!</v>
      </c>
      <c r="Q106" s="22" t="e">
        <f>IF(IN[[#This Row],[Sim_]]=IN[[#This Row],[Direkt alt]],1,0)</f>
        <v>#REF!</v>
      </c>
      <c r="R106" s="10">
        <v>501.51256487298559</v>
      </c>
      <c r="S106" s="22">
        <f>IF(IN[[#This Row],[Sim_]]=IN[[#This Row],[Buffer]],1,0)</f>
        <v>0</v>
      </c>
      <c r="T106" s="11">
        <v>1.2</v>
      </c>
      <c r="U106" s="21">
        <f>IN[[#This Row],[Buffer]]</f>
        <v>501.51256487298559</v>
      </c>
      <c r="V106" s="29">
        <v>1.2</v>
      </c>
      <c r="W106" s="29">
        <v>27.8</v>
      </c>
      <c r="X106" s="29">
        <v>501.51256487298554</v>
      </c>
      <c r="Y106" s="11">
        <v>1.2</v>
      </c>
      <c r="Z106" s="27">
        <v>501.51256487298554</v>
      </c>
      <c r="AA106" s="27">
        <v>1.2</v>
      </c>
      <c r="AB106" s="27">
        <v>1.2</v>
      </c>
      <c r="AC106" s="28">
        <v>501.51256487298554</v>
      </c>
      <c r="AD106">
        <v>501.51256487298559</v>
      </c>
      <c r="AE106">
        <v>501.51256487298559</v>
      </c>
      <c r="AF106">
        <v>501.51256487298559</v>
      </c>
      <c r="AG106">
        <v>501.51256487298559</v>
      </c>
      <c r="AH106">
        <v>501.51256487298559</v>
      </c>
      <c r="AI106">
        <v>1.2</v>
      </c>
      <c r="AJ106">
        <v>1.2</v>
      </c>
    </row>
    <row r="107" spans="1:36" x14ac:dyDescent="0.25">
      <c r="A107" s="73" t="s">
        <v>155</v>
      </c>
      <c r="C107" s="16"/>
      <c r="D107" s="16"/>
      <c r="E107" s="31" t="s">
        <v>53</v>
      </c>
      <c r="F107" s="75"/>
      <c r="G107" s="74"/>
      <c r="H107" s="20">
        <v>0</v>
      </c>
      <c r="I107" s="21">
        <f>IN[[#This Row],[Buffer]]</f>
        <v>0</v>
      </c>
      <c r="J107" s="33">
        <f>IF(IN[[#This Row],[Sim_]]=IN[[#This Row],[STAGE]],1,0)</f>
        <v>1</v>
      </c>
      <c r="K107" s="34">
        <f>[1]SIM!$DC$8</f>
        <v>0</v>
      </c>
      <c r="L107" s="24">
        <f>[1]SIM!$DC$4</f>
        <v>0</v>
      </c>
      <c r="M107" s="33">
        <f>IF(IN[[#This Row],[Sim_]]=IN[[#This Row],[Sim Var ref]],1,0)</f>
        <v>1</v>
      </c>
      <c r="N107" s="8" t="str">
        <f>[1]SIM!$DC$7</f>
        <v>p106</v>
      </c>
      <c r="O107" s="8">
        <v>107</v>
      </c>
      <c r="P107" s="55">
        <f>[1]SIM!$DC$3</f>
        <v>0</v>
      </c>
      <c r="Q107" s="33">
        <f>IF(IN[[#This Row],[Sim_]]=IN[[#This Row],[Direkt alt]],1,0)</f>
        <v>1</v>
      </c>
      <c r="R107" s="10">
        <v>0</v>
      </c>
      <c r="S107" s="33">
        <f>IF(IN[[#This Row],[Sim_]]=IN[[#This Row],[Buffer]],1,0)</f>
        <v>1</v>
      </c>
      <c r="T107" s="11"/>
      <c r="U107" s="21">
        <f>IN[[#This Row],[Buffer]]</f>
        <v>0</v>
      </c>
      <c r="V107" s="29">
        <v>6.8</v>
      </c>
      <c r="W107" s="29">
        <v>0</v>
      </c>
      <c r="X107" s="29">
        <v>0</v>
      </c>
      <c r="Y107" s="11"/>
      <c r="Z107" s="27">
        <v>0</v>
      </c>
      <c r="AA107" s="27">
        <v>6.8</v>
      </c>
      <c r="AB107" s="27">
        <v>0</v>
      </c>
      <c r="AC107" s="28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s="73" t="s">
        <v>155</v>
      </c>
      <c r="B108" s="15" t="s">
        <v>160</v>
      </c>
      <c r="C108" s="16"/>
      <c r="D108" s="16"/>
      <c r="E108" s="17" t="s">
        <v>65</v>
      </c>
      <c r="F108" s="18"/>
      <c r="G108" s="74" t="s">
        <v>157</v>
      </c>
      <c r="H108" s="20">
        <v>0</v>
      </c>
      <c r="I108" s="21">
        <f>IN[[#This Row],[Buffer]]</f>
        <v>0.89999999999999991</v>
      </c>
      <c r="J108" s="22">
        <f>IF(IN[[#This Row],[Sim_]]=IN[[#This Row],[STAGE]],1,0)</f>
        <v>0</v>
      </c>
      <c r="K108" s="23">
        <f>[1]SIM!$DD$8</f>
        <v>1</v>
      </c>
      <c r="L108" s="24">
        <f>[1]SIM!$DD$4</f>
        <v>1</v>
      </c>
      <c r="M108" s="22">
        <f>IF(IN[[#This Row],[Sim_]]=IN[[#This Row],[Sim Var ref]],1,0)</f>
        <v>1</v>
      </c>
      <c r="N108" s="8" t="str">
        <f>[1]SIM!$DD$7</f>
        <v>p107</v>
      </c>
      <c r="O108" s="8">
        <v>108</v>
      </c>
      <c r="P108" s="55" t="e">
        <f>[1]SIM!$DD$3</f>
        <v>#REF!</v>
      </c>
      <c r="Q108" s="22" t="e">
        <f>IF(IN[[#This Row],[Sim_]]=IN[[#This Row],[Direkt alt]],1,0)</f>
        <v>#REF!</v>
      </c>
      <c r="R108" s="10">
        <v>0.89999999999999991</v>
      </c>
      <c r="S108" s="22">
        <f>IF(IN[[#This Row],[Sim_]]=IN[[#This Row],[Buffer]],1,0)</f>
        <v>0</v>
      </c>
      <c r="T108" s="11">
        <v>1</v>
      </c>
      <c r="U108" s="21">
        <f>IN[[#This Row],[Buffer]]</f>
        <v>0.89999999999999991</v>
      </c>
      <c r="V108" s="29">
        <v>1</v>
      </c>
      <c r="W108" s="29">
        <v>0.9</v>
      </c>
      <c r="X108" s="29">
        <v>0.9</v>
      </c>
      <c r="Y108" s="11">
        <v>1</v>
      </c>
      <c r="Z108" s="27">
        <v>0.9</v>
      </c>
      <c r="AA108" s="27">
        <v>1</v>
      </c>
      <c r="AB108" s="27">
        <v>1</v>
      </c>
      <c r="AC108" s="28">
        <v>0.9</v>
      </c>
      <c r="AD108">
        <v>0.89999999999999991</v>
      </c>
      <c r="AE108">
        <v>0.89999999999999991</v>
      </c>
      <c r="AF108">
        <v>0.89999999999999991</v>
      </c>
      <c r="AG108">
        <v>0.89999999999999991</v>
      </c>
      <c r="AH108">
        <v>0.89999999999999991</v>
      </c>
      <c r="AI108">
        <v>1</v>
      </c>
      <c r="AJ108">
        <v>1</v>
      </c>
    </row>
    <row r="109" spans="1:36" x14ac:dyDescent="0.25">
      <c r="A109" s="73" t="s">
        <v>155</v>
      </c>
      <c r="B109" s="15" t="s">
        <v>161</v>
      </c>
      <c r="C109" s="16"/>
      <c r="D109" s="16"/>
      <c r="E109" s="17" t="s">
        <v>65</v>
      </c>
      <c r="F109" s="18"/>
      <c r="G109" s="74" t="s">
        <v>157</v>
      </c>
      <c r="H109" s="20">
        <v>0</v>
      </c>
      <c r="I109" s="21">
        <f>IN[[#This Row],[Buffer]]</f>
        <v>0.89999999999999991</v>
      </c>
      <c r="J109" s="22">
        <f>IF(IN[[#This Row],[Sim_]]=IN[[#This Row],[STAGE]],1,0)</f>
        <v>1</v>
      </c>
      <c r="K109" s="23">
        <f>[1]SIM!$DE$8</f>
        <v>0.9</v>
      </c>
      <c r="L109" s="24">
        <f>[1]SIM!$DE$4</f>
        <v>0.9</v>
      </c>
      <c r="M109" s="22">
        <f>IF(IN[[#This Row],[Sim_]]=IN[[#This Row],[Sim Var ref]],1,0)</f>
        <v>1</v>
      </c>
      <c r="N109" s="8" t="str">
        <f>[1]SIM!$DE$7</f>
        <v>p108</v>
      </c>
      <c r="O109" s="8">
        <v>109</v>
      </c>
      <c r="P109" s="55" t="e">
        <f>[1]SIM!$DE$3</f>
        <v>#REF!</v>
      </c>
      <c r="Q109" s="22" t="e">
        <f>IF(IN[[#This Row],[Sim_]]=IN[[#This Row],[Direkt alt]],1,0)</f>
        <v>#REF!</v>
      </c>
      <c r="R109" s="10">
        <v>0.89999999999999991</v>
      </c>
      <c r="S109" s="22">
        <f>IF(IN[[#This Row],[Sim_]]=IN[[#This Row],[Buffer]],1,0)</f>
        <v>1</v>
      </c>
      <c r="T109" s="11">
        <v>0.9</v>
      </c>
      <c r="U109" s="21">
        <f>IN[[#This Row],[Buffer]]</f>
        <v>0.89999999999999991</v>
      </c>
      <c r="V109" s="29">
        <v>0.9</v>
      </c>
      <c r="W109" s="29">
        <v>0.9</v>
      </c>
      <c r="X109" s="29">
        <v>0.9</v>
      </c>
      <c r="Y109" s="11">
        <v>0.9</v>
      </c>
      <c r="Z109" s="27">
        <v>0.9</v>
      </c>
      <c r="AA109" s="27">
        <v>0.9</v>
      </c>
      <c r="AB109" s="27">
        <v>0.9</v>
      </c>
      <c r="AC109" s="28">
        <v>0.9</v>
      </c>
      <c r="AD109">
        <v>0.89999999999999991</v>
      </c>
      <c r="AE109">
        <v>0.89999999999999991</v>
      </c>
      <c r="AF109">
        <v>0.89999999999999991</v>
      </c>
      <c r="AG109">
        <v>0.89999999999999991</v>
      </c>
      <c r="AH109">
        <v>0.89999999999999991</v>
      </c>
      <c r="AI109">
        <v>0.9</v>
      </c>
      <c r="AJ109">
        <v>0.9</v>
      </c>
    </row>
    <row r="110" spans="1:36" x14ac:dyDescent="0.25">
      <c r="A110" s="76" t="s">
        <v>162</v>
      </c>
      <c r="B110" s="15" t="s">
        <v>163</v>
      </c>
      <c r="C110" s="16"/>
      <c r="D110" s="16"/>
      <c r="E110" s="17" t="s">
        <v>65</v>
      </c>
      <c r="F110" s="18"/>
      <c r="G110" s="77" t="s">
        <v>164</v>
      </c>
      <c r="H110" s="20">
        <v>0</v>
      </c>
      <c r="I110" s="21">
        <f>IN[[#This Row],[Buffer]]</f>
        <v>92.999999999999986</v>
      </c>
      <c r="J110" s="22">
        <f>IF(IN[[#This Row],[Sim_]]=IN[[#This Row],[STAGE]],1,0)</f>
        <v>0</v>
      </c>
      <c r="K110" s="23" t="str">
        <f>[1]SIM!$DF$8</f>
        <v>93 opt Pilz</v>
      </c>
      <c r="L110" s="24" t="str">
        <f>[1]SIM!$DF$4</f>
        <v>93 opt Pilz</v>
      </c>
      <c r="M110" s="22">
        <f>IF(IN[[#This Row],[Sim_]]=IN[[#This Row],[Sim Var ref]],1,0)</f>
        <v>1</v>
      </c>
      <c r="N110" s="8" t="str">
        <f>[1]SIM!$DF$7</f>
        <v>p109</v>
      </c>
      <c r="O110" s="8">
        <v>110</v>
      </c>
      <c r="P110" s="55" t="str">
        <f>[1]SIM!$DF$3</f>
        <v>93 optimiert</v>
      </c>
      <c r="Q110" s="22">
        <f>IF(IN[[#This Row],[Sim_]]=IN[[#This Row],[Direkt alt]],1,0)</f>
        <v>0</v>
      </c>
      <c r="R110" s="10">
        <v>92.999999999999986</v>
      </c>
      <c r="S110" s="22">
        <f>IF(IN[[#This Row],[Sim_]]=IN[[#This Row],[Buffer]],1,0)</f>
        <v>0</v>
      </c>
      <c r="T110" s="11" t="s">
        <v>165</v>
      </c>
      <c r="U110" s="21">
        <f>IN[[#This Row],[Buffer]]</f>
        <v>92.999999999999986</v>
      </c>
      <c r="V110" s="29" t="s">
        <v>165</v>
      </c>
      <c r="W110" s="29" t="s">
        <v>166</v>
      </c>
      <c r="X110" s="29">
        <v>93</v>
      </c>
      <c r="Y110" s="11" t="s">
        <v>165</v>
      </c>
      <c r="Z110" s="27">
        <v>93</v>
      </c>
      <c r="AA110" s="27" t="s">
        <v>165</v>
      </c>
      <c r="AB110" s="27" t="s">
        <v>165</v>
      </c>
      <c r="AC110" s="28">
        <v>93</v>
      </c>
      <c r="AD110">
        <v>92.999999999999986</v>
      </c>
      <c r="AE110">
        <v>92.999999999999986</v>
      </c>
      <c r="AF110">
        <v>92.999999999999986</v>
      </c>
      <c r="AG110">
        <v>92.999999999999986</v>
      </c>
      <c r="AH110">
        <v>92.999999999999986</v>
      </c>
      <c r="AI110" t="s">
        <v>165</v>
      </c>
      <c r="AJ110" t="s">
        <v>165</v>
      </c>
    </row>
    <row r="111" spans="1:36" x14ac:dyDescent="0.25">
      <c r="A111" s="76" t="s">
        <v>162</v>
      </c>
      <c r="B111" s="15" t="s">
        <v>167</v>
      </c>
      <c r="C111" s="16"/>
      <c r="D111" s="16"/>
      <c r="E111" s="17" t="s">
        <v>65</v>
      </c>
      <c r="F111" s="18"/>
      <c r="G111" s="77" t="s">
        <v>164</v>
      </c>
      <c r="H111" s="20">
        <v>0</v>
      </c>
      <c r="I111" s="21">
        <f>IN[[#This Row],[Buffer]]</f>
        <v>0.5</v>
      </c>
      <c r="J111" s="22">
        <f>IF(IN[[#This Row],[Sim_]]=IN[[#This Row],[STAGE]],1,0)</f>
        <v>0</v>
      </c>
      <c r="K111" s="23">
        <f>[1]SIM!$DG$8</f>
        <v>0.49</v>
      </c>
      <c r="L111" s="24">
        <f>[1]SIM!$DG$4</f>
        <v>0.49</v>
      </c>
      <c r="M111" s="22">
        <f>IF(IN[[#This Row],[Sim_]]=IN[[#This Row],[Sim Var ref]],1,0)</f>
        <v>1</v>
      </c>
      <c r="N111" s="8" t="str">
        <f>[1]SIM!$DG$7</f>
        <v>p110</v>
      </c>
      <c r="O111" s="8">
        <v>111</v>
      </c>
      <c r="P111" s="55">
        <f>[1]SIM!$DG$3</f>
        <v>0.5</v>
      </c>
      <c r="Q111" s="22">
        <f>IF(IN[[#This Row],[Sim_]]=IN[[#This Row],[Direkt alt]],1,0)</f>
        <v>0</v>
      </c>
      <c r="R111" s="10">
        <v>0.5</v>
      </c>
      <c r="S111" s="22">
        <f>IF(IN[[#This Row],[Sim_]]=IN[[#This Row],[Buffer]],1,0)</f>
        <v>0</v>
      </c>
      <c r="T111" s="11">
        <v>0.49</v>
      </c>
      <c r="U111" s="21">
        <f>IN[[#This Row],[Buffer]]</f>
        <v>0.5</v>
      </c>
      <c r="V111" s="29">
        <v>0.49</v>
      </c>
      <c r="W111" s="29">
        <v>0.50591046993904465</v>
      </c>
      <c r="X111" s="29">
        <v>0.5</v>
      </c>
      <c r="Y111" s="11">
        <v>0.49</v>
      </c>
      <c r="Z111" s="27">
        <v>0.5</v>
      </c>
      <c r="AA111" s="27">
        <v>0.49</v>
      </c>
      <c r="AB111" s="27">
        <v>0.49</v>
      </c>
      <c r="AC111" s="28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0.49</v>
      </c>
      <c r="AJ111">
        <v>0.49</v>
      </c>
    </row>
    <row r="112" spans="1:36" x14ac:dyDescent="0.25">
      <c r="A112" s="76" t="s">
        <v>162</v>
      </c>
      <c r="B112" s="15" t="s">
        <v>168</v>
      </c>
      <c r="C112" s="16"/>
      <c r="D112" s="16"/>
      <c r="E112" s="17" t="s">
        <v>65</v>
      </c>
      <c r="F112" s="18"/>
      <c r="G112" s="77" t="s">
        <v>164</v>
      </c>
      <c r="H112" s="20">
        <v>0</v>
      </c>
      <c r="I112" s="21">
        <f>IN[[#This Row],[Buffer]]</f>
        <v>0.16999999999999998</v>
      </c>
      <c r="J112" s="22">
        <f>IF(IN[[#This Row],[Sim_]]=IN[[#This Row],[STAGE]],1,0)</f>
        <v>0</v>
      </c>
      <c r="K112" s="23">
        <f>[1]SIM!$DH$8</f>
        <v>0.21</v>
      </c>
      <c r="L112" s="24">
        <f>[1]SIM!$DH$4</f>
        <v>0.21</v>
      </c>
      <c r="M112" s="22">
        <f>IF(IN[[#This Row],[Sim_]]=IN[[#This Row],[Sim Var ref]],1,0)</f>
        <v>1</v>
      </c>
      <c r="N112" s="8" t="str">
        <f>[1]SIM!$DH$7</f>
        <v>p111</v>
      </c>
      <c r="O112" s="8">
        <v>112</v>
      </c>
      <c r="P112" s="55">
        <f>[1]SIM!$DH$3</f>
        <v>0.17</v>
      </c>
      <c r="Q112" s="22">
        <f>IF(IN[[#This Row],[Sim_]]=IN[[#This Row],[Direkt alt]],1,0)</f>
        <v>0</v>
      </c>
      <c r="R112" s="10">
        <v>0.16999999999999998</v>
      </c>
      <c r="S112" s="22">
        <f>IF(IN[[#This Row],[Sim_]]=IN[[#This Row],[Buffer]],1,0)</f>
        <v>0</v>
      </c>
      <c r="T112" s="11">
        <v>0.21</v>
      </c>
      <c r="U112" s="21">
        <f>IN[[#This Row],[Buffer]]</f>
        <v>0.16999999999999998</v>
      </c>
      <c r="V112" s="29">
        <v>0.21</v>
      </c>
      <c r="W112" s="29">
        <v>0.18988792826218251</v>
      </c>
      <c r="X112" s="29">
        <v>0.17</v>
      </c>
      <c r="Y112" s="11">
        <v>0.21</v>
      </c>
      <c r="Z112" s="27">
        <v>0.17</v>
      </c>
      <c r="AA112" s="27">
        <v>0.21</v>
      </c>
      <c r="AB112" s="27">
        <v>0.21</v>
      </c>
      <c r="AC112" s="28">
        <v>0.17</v>
      </c>
      <c r="AD112">
        <v>0.16999999999999998</v>
      </c>
      <c r="AE112">
        <v>0.16999999999999998</v>
      </c>
      <c r="AF112">
        <v>0.16999999999999998</v>
      </c>
      <c r="AG112">
        <v>0.16999999999999998</v>
      </c>
      <c r="AH112">
        <v>0.16999999999999998</v>
      </c>
      <c r="AI112">
        <v>0.21</v>
      </c>
      <c r="AJ112">
        <v>0.21</v>
      </c>
    </row>
    <row r="113" spans="1:36" x14ac:dyDescent="0.25">
      <c r="A113" s="76" t="s">
        <v>162</v>
      </c>
      <c r="B113" s="15" t="s">
        <v>169</v>
      </c>
      <c r="C113" s="16"/>
      <c r="D113" s="16"/>
      <c r="E113" s="17" t="s">
        <v>65</v>
      </c>
      <c r="F113" s="18"/>
      <c r="G113" s="77" t="s">
        <v>164</v>
      </c>
      <c r="H113" s="20">
        <v>0</v>
      </c>
      <c r="I113" s="21">
        <f>IN[[#This Row],[Buffer]]</f>
        <v>2.9999999999999992E-2</v>
      </c>
      <c r="J113" s="22">
        <f>IF(IN[[#This Row],[Sim_]]=IN[[#This Row],[STAGE]],1,0)</f>
        <v>1</v>
      </c>
      <c r="K113" s="23">
        <f>[1]SIM!$DI$8</f>
        <v>0.03</v>
      </c>
      <c r="L113" s="24">
        <f>[1]SIM!$DI$4</f>
        <v>0.03</v>
      </c>
      <c r="M113" s="22">
        <f>IF(IN[[#This Row],[Sim_]]=IN[[#This Row],[Sim Var ref]],1,0)</f>
        <v>1</v>
      </c>
      <c r="N113" s="8" t="str">
        <f>[1]SIM!$DI$7</f>
        <v>p112</v>
      </c>
      <c r="O113" s="8">
        <v>113</v>
      </c>
      <c r="P113" s="55">
        <f>[1]SIM!$DI$3</f>
        <v>0.03</v>
      </c>
      <c r="Q113" s="22">
        <f>IF(IN[[#This Row],[Sim_]]=IN[[#This Row],[Direkt alt]],1,0)</f>
        <v>1</v>
      </c>
      <c r="R113" s="10">
        <v>2.9999999999999992E-2</v>
      </c>
      <c r="S113" s="22">
        <f>IF(IN[[#This Row],[Sim_]]=IN[[#This Row],[Buffer]],1,0)</f>
        <v>1</v>
      </c>
      <c r="T113" s="11">
        <v>0.03</v>
      </c>
      <c r="U113" s="21">
        <f>IN[[#This Row],[Buffer]]</f>
        <v>2.9999999999999992E-2</v>
      </c>
      <c r="V113" s="29">
        <v>0.03</v>
      </c>
      <c r="W113" s="29">
        <v>2.2865112431956994E-2</v>
      </c>
      <c r="X113" s="29">
        <v>0.03</v>
      </c>
      <c r="Y113" s="11">
        <v>0.03</v>
      </c>
      <c r="Z113" s="27">
        <v>0.03</v>
      </c>
      <c r="AA113" s="27">
        <v>0.03</v>
      </c>
      <c r="AB113" s="27">
        <v>0.03</v>
      </c>
      <c r="AC113" s="28">
        <v>0.03</v>
      </c>
      <c r="AD113">
        <v>2.9999999999999992E-2</v>
      </c>
      <c r="AE113">
        <v>2.9999999999999992E-2</v>
      </c>
      <c r="AF113">
        <v>2.9999999999999992E-2</v>
      </c>
      <c r="AG113">
        <v>2.9999999999999992E-2</v>
      </c>
      <c r="AH113">
        <v>2.9999999999999992E-2</v>
      </c>
      <c r="AI113">
        <v>0.03</v>
      </c>
      <c r="AJ113">
        <v>0.03</v>
      </c>
    </row>
    <row r="114" spans="1:36" x14ac:dyDescent="0.25">
      <c r="A114" s="76" t="s">
        <v>162</v>
      </c>
      <c r="B114" s="15" t="s">
        <v>170</v>
      </c>
      <c r="C114" s="16"/>
      <c r="D114" s="16"/>
      <c r="E114" s="17" t="s">
        <v>65</v>
      </c>
      <c r="F114" s="18"/>
      <c r="G114" s="77" t="s">
        <v>164</v>
      </c>
      <c r="H114" s="20">
        <v>0</v>
      </c>
      <c r="I114" s="21">
        <f>IN[[#This Row],[Buffer]]</f>
        <v>0.29000000000000004</v>
      </c>
      <c r="J114" s="22">
        <f>IF(IN[[#This Row],[Sim_]]=IN[[#This Row],[STAGE]],1,0)</f>
        <v>0</v>
      </c>
      <c r="K114" s="23">
        <f>[1]SIM!$DJ$8</f>
        <v>0.27</v>
      </c>
      <c r="L114" s="24">
        <f>[1]SIM!$DJ$4</f>
        <v>0.27</v>
      </c>
      <c r="M114" s="22">
        <f>IF(IN[[#This Row],[Sim_]]=IN[[#This Row],[Sim Var ref]],1,0)</f>
        <v>1</v>
      </c>
      <c r="N114" s="8" t="str">
        <f>[1]SIM!$DJ$7</f>
        <v>p113</v>
      </c>
      <c r="O114" s="8">
        <v>114</v>
      </c>
      <c r="P114" s="55">
        <f>[1]SIM!$DJ$3</f>
        <v>0.28999999999999998</v>
      </c>
      <c r="Q114" s="22">
        <f>IF(IN[[#This Row],[Sim_]]=IN[[#This Row],[Direkt alt]],1,0)</f>
        <v>0</v>
      </c>
      <c r="R114" s="10">
        <v>0.29000000000000004</v>
      </c>
      <c r="S114" s="22">
        <f>IF(IN[[#This Row],[Sim_]]=IN[[#This Row],[Buffer]],1,0)</f>
        <v>0</v>
      </c>
      <c r="T114" s="11">
        <v>0.27</v>
      </c>
      <c r="U114" s="21">
        <f>IN[[#This Row],[Buffer]]</f>
        <v>0.29000000000000004</v>
      </c>
      <c r="V114" s="29">
        <v>0.27</v>
      </c>
      <c r="W114" s="29">
        <v>0.28133648936681593</v>
      </c>
      <c r="X114" s="29">
        <v>0.28999999999999998</v>
      </c>
      <c r="Y114" s="11">
        <v>0.27</v>
      </c>
      <c r="Z114" s="27">
        <v>0.28999999999999998</v>
      </c>
      <c r="AA114" s="27">
        <v>0.27</v>
      </c>
      <c r="AB114" s="27">
        <v>0.27</v>
      </c>
      <c r="AC114" s="28">
        <v>0.28999999999999998</v>
      </c>
      <c r="AD114">
        <v>0.29000000000000004</v>
      </c>
      <c r="AE114">
        <v>0.29000000000000004</v>
      </c>
      <c r="AF114">
        <v>0.29000000000000004</v>
      </c>
      <c r="AG114">
        <v>0.29000000000000004</v>
      </c>
      <c r="AH114">
        <v>0.29000000000000004</v>
      </c>
      <c r="AI114">
        <v>0.27</v>
      </c>
      <c r="AJ114">
        <v>0.27</v>
      </c>
    </row>
    <row r="115" spans="1:36" x14ac:dyDescent="0.25">
      <c r="A115" s="76" t="s">
        <v>162</v>
      </c>
      <c r="B115" s="15" t="s">
        <v>171</v>
      </c>
      <c r="C115" s="16"/>
      <c r="D115" s="16"/>
      <c r="E115" s="17" t="s">
        <v>65</v>
      </c>
      <c r="F115" s="18"/>
      <c r="G115" s="77" t="s">
        <v>164</v>
      </c>
      <c r="H115" s="20">
        <v>0</v>
      </c>
      <c r="I115" s="21">
        <f>IN[[#This Row],[Buffer]]</f>
        <v>235</v>
      </c>
      <c r="J115" s="22">
        <f>IF(IN[[#This Row],[Sim_]]=IN[[#This Row],[STAGE]],1,0)</f>
        <v>0</v>
      </c>
      <c r="K115" s="23">
        <f>[1]SIM!$DK$8</f>
        <v>430.31966519003493</v>
      </c>
      <c r="L115" s="24">
        <f>[1]SIM!$DK$4</f>
        <v>430.31966519003493</v>
      </c>
      <c r="M115" s="22">
        <f>IF(IN[[#This Row],[Sim_]]=IN[[#This Row],[Sim Var ref]],1,0)</f>
        <v>1</v>
      </c>
      <c r="N115" s="8" t="str">
        <f>[1]SIM!$DK$7</f>
        <v>p114</v>
      </c>
      <c r="O115" s="8">
        <v>115</v>
      </c>
      <c r="P115" s="55">
        <f>[1]SIM!$DK$3</f>
        <v>287</v>
      </c>
      <c r="Q115" s="22">
        <f>IF(IN[[#This Row],[Sim_]]=IN[[#This Row],[Direkt alt]],1,0)</f>
        <v>0</v>
      </c>
      <c r="R115" s="10">
        <v>235</v>
      </c>
      <c r="S115" s="22">
        <f>IF(IN[[#This Row],[Sim_]]=IN[[#This Row],[Buffer]],1,0)</f>
        <v>0</v>
      </c>
      <c r="T115" s="11">
        <v>430.31966519003493</v>
      </c>
      <c r="U115" s="21">
        <f>IN[[#This Row],[Buffer]]</f>
        <v>235</v>
      </c>
      <c r="V115" s="29">
        <v>430.31966519003493</v>
      </c>
      <c r="W115" s="29">
        <v>203.22001182656518</v>
      </c>
      <c r="X115" s="29">
        <v>235</v>
      </c>
      <c r="Y115" s="11">
        <v>430.31966519003493</v>
      </c>
      <c r="Z115" s="27">
        <v>235</v>
      </c>
      <c r="AA115" s="27">
        <v>430.31966519003493</v>
      </c>
      <c r="AB115" s="27">
        <v>430.31966519003493</v>
      </c>
      <c r="AC115" s="28">
        <v>235</v>
      </c>
      <c r="AD115">
        <v>235</v>
      </c>
      <c r="AE115">
        <v>235</v>
      </c>
      <c r="AF115">
        <v>235</v>
      </c>
      <c r="AG115">
        <v>235</v>
      </c>
      <c r="AH115">
        <v>235</v>
      </c>
      <c r="AI115">
        <v>430.31966519003493</v>
      </c>
      <c r="AJ115">
        <v>430.31966519003493</v>
      </c>
    </row>
    <row r="116" spans="1:36" x14ac:dyDescent="0.25">
      <c r="A116" s="76" t="s">
        <v>162</v>
      </c>
      <c r="B116" s="15" t="s">
        <v>172</v>
      </c>
      <c r="C116" s="16"/>
      <c r="D116" s="16"/>
      <c r="E116" s="17" t="s">
        <v>65</v>
      </c>
      <c r="F116" s="18"/>
      <c r="G116" s="77" t="s">
        <v>164</v>
      </c>
      <c r="H116" s="20">
        <v>0</v>
      </c>
      <c r="I116" s="21">
        <f>IN[[#This Row],[Buffer]]</f>
        <v>115.99999999999999</v>
      </c>
      <c r="J116" s="22">
        <f>IF(IN[[#This Row],[Sim_]]=IN[[#This Row],[STAGE]],1,0)</f>
        <v>0</v>
      </c>
      <c r="K116" s="23">
        <f>[1]SIM!$DL$8</f>
        <v>1377.1612960727314</v>
      </c>
      <c r="L116" s="24">
        <f>[1]SIM!$DL$4</f>
        <v>1377.1612960727314</v>
      </c>
      <c r="M116" s="22">
        <f>IF(IN[[#This Row],[Sim_]]=IN[[#This Row],[Sim Var ref]],1,0)</f>
        <v>1</v>
      </c>
      <c r="N116" s="8" t="str">
        <f>[1]SIM!$DL$7</f>
        <v>p115</v>
      </c>
      <c r="O116" s="8">
        <v>116</v>
      </c>
      <c r="P116" s="55">
        <f>[1]SIM!$DL$3</f>
        <v>206</v>
      </c>
      <c r="Q116" s="22">
        <f>IF(IN[[#This Row],[Sim_]]=IN[[#This Row],[Direkt alt]],1,0)</f>
        <v>0</v>
      </c>
      <c r="R116" s="10">
        <v>115.99999999999999</v>
      </c>
      <c r="S116" s="22">
        <f>IF(IN[[#This Row],[Sim_]]=IN[[#This Row],[Buffer]],1,0)</f>
        <v>0</v>
      </c>
      <c r="T116" s="11">
        <v>1377.1612960727314</v>
      </c>
      <c r="U116" s="21">
        <f>IN[[#This Row],[Buffer]]</f>
        <v>115.99999999999999</v>
      </c>
      <c r="V116" s="29">
        <v>1377.1612960727314</v>
      </c>
      <c r="W116" s="29">
        <v>899.0938876441362</v>
      </c>
      <c r="X116" s="29">
        <v>116</v>
      </c>
      <c r="Y116" s="11">
        <v>1377.1612960727314</v>
      </c>
      <c r="Z116" s="27">
        <v>116</v>
      </c>
      <c r="AA116" s="27">
        <v>1377.1612960727314</v>
      </c>
      <c r="AB116" s="27">
        <v>1377.1612960727314</v>
      </c>
      <c r="AC116" s="28">
        <v>116</v>
      </c>
      <c r="AD116">
        <v>115.99999999999999</v>
      </c>
      <c r="AE116">
        <v>115.99999999999999</v>
      </c>
      <c r="AF116">
        <v>115.99999999999999</v>
      </c>
      <c r="AG116">
        <v>115.99999999999999</v>
      </c>
      <c r="AH116">
        <v>115.99999999999999</v>
      </c>
      <c r="AI116">
        <v>1377.1612960727314</v>
      </c>
      <c r="AJ116">
        <v>1377.1612960727314</v>
      </c>
    </row>
    <row r="117" spans="1:36" x14ac:dyDescent="0.25">
      <c r="A117" s="76" t="s">
        <v>162</v>
      </c>
      <c r="B117" s="15" t="s">
        <v>173</v>
      </c>
      <c r="C117" s="16"/>
      <c r="D117" s="16"/>
      <c r="E117" s="17" t="s">
        <v>65</v>
      </c>
      <c r="F117" s="18"/>
      <c r="G117" s="77" t="s">
        <v>164</v>
      </c>
      <c r="H117" s="20">
        <v>0</v>
      </c>
      <c r="I117" s="21">
        <f>IN[[#This Row],[Buffer]]</f>
        <v>145.99999999999997</v>
      </c>
      <c r="J117" s="22">
        <f>IF(IN[[#This Row],[Sim_]]=IN[[#This Row],[STAGE]],1,0)</f>
        <v>0</v>
      </c>
      <c r="K117" s="23">
        <f>[1]SIM!$DM$8</f>
        <v>86.274156009759253</v>
      </c>
      <c r="L117" s="24">
        <f>[1]SIM!$DM$4</f>
        <v>86.274156009759253</v>
      </c>
      <c r="M117" s="22">
        <f>IF(IN[[#This Row],[Sim_]]=IN[[#This Row],[Sim Var ref]],1,0)</f>
        <v>1</v>
      </c>
      <c r="N117" s="8" t="str">
        <f>[1]SIM!$DM$7</f>
        <v>p116</v>
      </c>
      <c r="O117" s="8">
        <v>117</v>
      </c>
      <c r="P117" s="55">
        <f>[1]SIM!$DM$3</f>
        <v>125</v>
      </c>
      <c r="Q117" s="22">
        <f>IF(IN[[#This Row],[Sim_]]=IN[[#This Row],[Direkt alt]],1,0)</f>
        <v>0</v>
      </c>
      <c r="R117" s="10">
        <v>145.99999999999997</v>
      </c>
      <c r="S117" s="22">
        <f>IF(IN[[#This Row],[Sim_]]=IN[[#This Row],[Buffer]],1,0)</f>
        <v>0</v>
      </c>
      <c r="T117" s="11">
        <v>86.274156009759253</v>
      </c>
      <c r="U117" s="21">
        <f>IN[[#This Row],[Buffer]]</f>
        <v>145.99999999999997</v>
      </c>
      <c r="V117" s="29">
        <v>86.274156009759253</v>
      </c>
      <c r="W117" s="29">
        <v>101.1034071394571</v>
      </c>
      <c r="X117" s="29">
        <v>146</v>
      </c>
      <c r="Y117" s="11">
        <v>86.274156009759253</v>
      </c>
      <c r="Z117" s="27">
        <v>146</v>
      </c>
      <c r="AA117" s="27">
        <v>86.274156009759253</v>
      </c>
      <c r="AB117" s="27">
        <v>86.274156009759253</v>
      </c>
      <c r="AC117" s="28">
        <v>146</v>
      </c>
      <c r="AD117">
        <v>145.99999999999997</v>
      </c>
      <c r="AE117">
        <v>145.99999999999997</v>
      </c>
      <c r="AF117">
        <v>145.99999999999997</v>
      </c>
      <c r="AG117">
        <v>145.99999999999997</v>
      </c>
      <c r="AH117">
        <v>145.99999999999997</v>
      </c>
      <c r="AI117">
        <v>86.274156009759253</v>
      </c>
      <c r="AJ117">
        <v>86.274156009759253</v>
      </c>
    </row>
    <row r="118" spans="1:36" x14ac:dyDescent="0.25">
      <c r="A118" s="76" t="s">
        <v>162</v>
      </c>
      <c r="B118" s="15" t="s">
        <v>174</v>
      </c>
      <c r="C118" s="16"/>
      <c r="D118" s="16"/>
      <c r="E118" s="17" t="s">
        <v>65</v>
      </c>
      <c r="F118" s="18"/>
      <c r="G118" s="77" t="s">
        <v>164</v>
      </c>
      <c r="H118" s="20">
        <v>0</v>
      </c>
      <c r="I118" s="21">
        <f>IN[[#This Row],[Buffer]]</f>
        <v>4291</v>
      </c>
      <c r="J118" s="22">
        <f>IF(IN[[#This Row],[Sim_]]=IN[[#This Row],[STAGE]],1,0)</f>
        <v>0</v>
      </c>
      <c r="K118" s="23">
        <f>[1]SIM!$DN$8</f>
        <v>3330.1393670660427</v>
      </c>
      <c r="L118" s="24">
        <f>[1]SIM!$DN$4</f>
        <v>3330.1393670660427</v>
      </c>
      <c r="M118" s="22">
        <f>IF(IN[[#This Row],[Sim_]]=IN[[#This Row],[Sim Var ref]],1,0)</f>
        <v>1</v>
      </c>
      <c r="N118" s="8" t="str">
        <f>[1]SIM!$DN$7</f>
        <v>p117</v>
      </c>
      <c r="O118" s="8">
        <v>118</v>
      </c>
      <c r="P118" s="55">
        <f>[1]SIM!$DN$3</f>
        <v>3679</v>
      </c>
      <c r="Q118" s="22">
        <f>IF(IN[[#This Row],[Sim_]]=IN[[#This Row],[Direkt alt]],1,0)</f>
        <v>0</v>
      </c>
      <c r="R118" s="10">
        <v>4291</v>
      </c>
      <c r="S118" s="22">
        <f>IF(IN[[#This Row],[Sim_]]=IN[[#This Row],[Buffer]],1,0)</f>
        <v>0</v>
      </c>
      <c r="T118" s="11">
        <v>3330.1393670660427</v>
      </c>
      <c r="U118" s="21">
        <f>IN[[#This Row],[Buffer]]</f>
        <v>4291</v>
      </c>
      <c r="V118" s="29">
        <v>3330.1393670660427</v>
      </c>
      <c r="W118" s="29">
        <v>4640.2937457811367</v>
      </c>
      <c r="X118" s="29">
        <v>4291</v>
      </c>
      <c r="Y118" s="11">
        <v>3330.1393670660427</v>
      </c>
      <c r="Z118" s="27">
        <v>4291</v>
      </c>
      <c r="AA118" s="27">
        <v>3330.1393670660427</v>
      </c>
      <c r="AB118" s="27">
        <v>3330.1393670660427</v>
      </c>
      <c r="AC118" s="28">
        <v>4291</v>
      </c>
      <c r="AD118">
        <v>4291</v>
      </c>
      <c r="AE118">
        <v>4291</v>
      </c>
      <c r="AF118">
        <v>4291</v>
      </c>
      <c r="AG118">
        <v>4291</v>
      </c>
      <c r="AH118">
        <v>4291</v>
      </c>
      <c r="AI118">
        <v>3330.1393670660427</v>
      </c>
      <c r="AJ118">
        <v>3330.1393670660427</v>
      </c>
    </row>
    <row r="119" spans="1:36" x14ac:dyDescent="0.25">
      <c r="A119" s="76" t="s">
        <v>162</v>
      </c>
      <c r="B119" s="15" t="s">
        <v>175</v>
      </c>
      <c r="C119" s="16"/>
      <c r="D119" s="16"/>
      <c r="E119" s="17" t="s">
        <v>65</v>
      </c>
      <c r="F119" s="18"/>
      <c r="G119" s="77" t="s">
        <v>164</v>
      </c>
      <c r="H119" s="20">
        <v>0</v>
      </c>
      <c r="I119" s="21">
        <f>IN[[#This Row],[Buffer]]</f>
        <v>2035</v>
      </c>
      <c r="J119" s="22">
        <f>IF(IN[[#This Row],[Sim_]]=IN[[#This Row],[STAGE]],1,0)</f>
        <v>0</v>
      </c>
      <c r="K119" s="23">
        <f>[1]SIM!$DO$8</f>
        <v>1278.5605020226744</v>
      </c>
      <c r="L119" s="24">
        <f>[1]SIM!$DO$4</f>
        <v>1278.5605020226744</v>
      </c>
      <c r="M119" s="22">
        <f>IF(IN[[#This Row],[Sim_]]=IN[[#This Row],[Sim Var ref]],1,0)</f>
        <v>1</v>
      </c>
      <c r="N119" s="8" t="str">
        <f>[1]SIM!$DO$7</f>
        <v>p118</v>
      </c>
      <c r="O119" s="8">
        <v>119</v>
      </c>
      <c r="P119" s="55">
        <f>[1]SIM!$DO$3</f>
        <v>1745</v>
      </c>
      <c r="Q119" s="22">
        <f>IF(IN[[#This Row],[Sim_]]=IN[[#This Row],[Direkt alt]],1,0)</f>
        <v>0</v>
      </c>
      <c r="R119" s="10">
        <v>2035</v>
      </c>
      <c r="S119" s="22">
        <f>IF(IN[[#This Row],[Sim_]]=IN[[#This Row],[Buffer]],1,0)</f>
        <v>0</v>
      </c>
      <c r="T119" s="11">
        <v>1278.5605020226744</v>
      </c>
      <c r="U119" s="21">
        <f>IN[[#This Row],[Buffer]]</f>
        <v>2035</v>
      </c>
      <c r="V119" s="29">
        <v>1278.5605020226744</v>
      </c>
      <c r="W119" s="29">
        <v>2703.8772180178112</v>
      </c>
      <c r="X119" s="29">
        <v>2035</v>
      </c>
      <c r="Y119" s="11">
        <v>1278.5605020226744</v>
      </c>
      <c r="Z119" s="27">
        <v>2035</v>
      </c>
      <c r="AA119" s="27">
        <v>1278.5605020226744</v>
      </c>
      <c r="AB119" s="27">
        <v>1278.5605020226744</v>
      </c>
      <c r="AC119" s="28">
        <v>2035</v>
      </c>
      <c r="AD119">
        <v>2035</v>
      </c>
      <c r="AE119">
        <v>2035</v>
      </c>
      <c r="AF119">
        <v>2035</v>
      </c>
      <c r="AG119">
        <v>2035</v>
      </c>
      <c r="AH119">
        <v>2035</v>
      </c>
      <c r="AI119">
        <v>1278.5605020226744</v>
      </c>
      <c r="AJ119">
        <v>1278.5605020226744</v>
      </c>
    </row>
    <row r="120" spans="1:36" x14ac:dyDescent="0.25">
      <c r="A120" s="76" t="s">
        <v>162</v>
      </c>
      <c r="B120" s="15" t="s">
        <v>176</v>
      </c>
      <c r="C120" s="16"/>
      <c r="D120" s="16"/>
      <c r="E120" s="17" t="s">
        <v>65</v>
      </c>
      <c r="F120" s="18"/>
      <c r="G120" s="77" t="s">
        <v>164</v>
      </c>
      <c r="H120" s="20">
        <v>0</v>
      </c>
      <c r="I120" s="21">
        <f>IN[[#This Row],[Buffer]]</f>
        <v>165</v>
      </c>
      <c r="J120" s="22">
        <f>IF(IN[[#This Row],[Sim_]]=IN[[#This Row],[STAGE]],1,0)</f>
        <v>0</v>
      </c>
      <c r="K120" s="23">
        <f>[1]SIM!$DP$8</f>
        <v>135.05528984501103</v>
      </c>
      <c r="L120" s="24">
        <f>[1]SIM!$DP$4</f>
        <v>135.05528984501103</v>
      </c>
      <c r="M120" s="22">
        <f>IF(IN[[#This Row],[Sim_]]=IN[[#This Row],[Sim Var ref]],1,0)</f>
        <v>1</v>
      </c>
      <c r="N120" s="8" t="str">
        <f>[1]SIM!$DP$7</f>
        <v>p119</v>
      </c>
      <c r="O120" s="8">
        <v>120</v>
      </c>
      <c r="P120" s="55">
        <f>[1]SIM!$DP$3</f>
        <v>200</v>
      </c>
      <c r="Q120" s="22">
        <f>IF(IN[[#This Row],[Sim_]]=IN[[#This Row],[Direkt alt]],1,0)</f>
        <v>0</v>
      </c>
      <c r="R120" s="10">
        <v>165</v>
      </c>
      <c r="S120" s="22">
        <f>IF(IN[[#This Row],[Sim_]]=IN[[#This Row],[Buffer]],1,0)</f>
        <v>0</v>
      </c>
      <c r="T120" s="11">
        <v>135.05528984501103</v>
      </c>
      <c r="U120" s="21">
        <f>IN[[#This Row],[Buffer]]</f>
        <v>165</v>
      </c>
      <c r="V120" s="29">
        <v>135.05528984501103</v>
      </c>
      <c r="W120" s="29">
        <v>715.51610209434796</v>
      </c>
      <c r="X120" s="29">
        <v>165</v>
      </c>
      <c r="Y120" s="11">
        <v>135.05528984501103</v>
      </c>
      <c r="Z120" s="27">
        <v>165</v>
      </c>
      <c r="AA120" s="27">
        <v>135.05528984501103</v>
      </c>
      <c r="AB120" s="27">
        <v>135.05528984501103</v>
      </c>
      <c r="AC120" s="28">
        <v>165</v>
      </c>
      <c r="AD120">
        <v>165</v>
      </c>
      <c r="AE120">
        <v>165</v>
      </c>
      <c r="AF120">
        <v>165</v>
      </c>
      <c r="AG120">
        <v>165</v>
      </c>
      <c r="AH120">
        <v>165</v>
      </c>
      <c r="AI120">
        <v>135.05528984501103</v>
      </c>
      <c r="AJ120">
        <v>135.05528984501103</v>
      </c>
    </row>
    <row r="121" spans="1:36" x14ac:dyDescent="0.25">
      <c r="A121" s="76" t="s">
        <v>162</v>
      </c>
      <c r="B121" s="15" t="s">
        <v>177</v>
      </c>
      <c r="C121" s="16"/>
      <c r="D121" s="16"/>
      <c r="E121" s="17" t="s">
        <v>65</v>
      </c>
      <c r="F121" s="18"/>
      <c r="G121" s="77" t="s">
        <v>164</v>
      </c>
      <c r="H121" s="20">
        <v>0</v>
      </c>
      <c r="I121" s="21">
        <f>IN[[#This Row],[Buffer]]</f>
        <v>1978</v>
      </c>
      <c r="J121" s="22">
        <f>IF(IN[[#This Row],[Sim_]]=IN[[#This Row],[STAGE]],1,0)</f>
        <v>0</v>
      </c>
      <c r="K121" s="23">
        <f>[1]SIM!$DQ$8</f>
        <v>2125.8639401199266</v>
      </c>
      <c r="L121" s="24">
        <f>[1]SIM!$DQ$4</f>
        <v>2125.8639401199266</v>
      </c>
      <c r="M121" s="22">
        <f>IF(IN[[#This Row],[Sim_]]=IN[[#This Row],[Sim Var ref]],1,0)</f>
        <v>1</v>
      </c>
      <c r="N121" s="8" t="str">
        <f>[1]SIM!$DQ$7</f>
        <v>p120</v>
      </c>
      <c r="O121" s="8">
        <v>121</v>
      </c>
      <c r="P121" s="55">
        <f>[1]SIM!$DQ$3</f>
        <v>2398</v>
      </c>
      <c r="Q121" s="22">
        <f>IF(IN[[#This Row],[Sim_]]=IN[[#This Row],[Direkt alt]],1,0)</f>
        <v>0</v>
      </c>
      <c r="R121" s="10">
        <v>1978</v>
      </c>
      <c r="S121" s="22">
        <f>IF(IN[[#This Row],[Sim_]]=IN[[#This Row],[Buffer]],1,0)</f>
        <v>0</v>
      </c>
      <c r="T121" s="11">
        <v>2125.8639401199266</v>
      </c>
      <c r="U121" s="21">
        <f>IN[[#This Row],[Buffer]]</f>
        <v>1978</v>
      </c>
      <c r="V121" s="29">
        <v>2125.8639401199266</v>
      </c>
      <c r="W121" s="29">
        <v>0</v>
      </c>
      <c r="X121" s="29">
        <v>1978</v>
      </c>
      <c r="Y121" s="11">
        <v>2125.8639401199266</v>
      </c>
      <c r="Z121" s="27">
        <v>1978</v>
      </c>
      <c r="AA121" s="27">
        <v>2125.8639401199266</v>
      </c>
      <c r="AB121" s="27">
        <v>2125.8639401199266</v>
      </c>
      <c r="AC121" s="28">
        <v>1978</v>
      </c>
      <c r="AD121">
        <v>1978</v>
      </c>
      <c r="AE121">
        <v>1978</v>
      </c>
      <c r="AF121">
        <v>1978</v>
      </c>
      <c r="AG121">
        <v>1978</v>
      </c>
      <c r="AH121">
        <v>1978</v>
      </c>
      <c r="AI121">
        <v>2125.8639401199266</v>
      </c>
      <c r="AJ121">
        <v>2125.8639401199266</v>
      </c>
    </row>
    <row r="122" spans="1:36" x14ac:dyDescent="0.25">
      <c r="A122" s="76" t="s">
        <v>162</v>
      </c>
      <c r="B122" s="15" t="s">
        <v>178</v>
      </c>
      <c r="C122" s="16"/>
      <c r="D122" s="16"/>
      <c r="E122" s="17" t="s">
        <v>65</v>
      </c>
      <c r="F122" s="18"/>
      <c r="G122" s="77" t="s">
        <v>164</v>
      </c>
      <c r="H122" s="20">
        <v>0</v>
      </c>
      <c r="I122" s="21">
        <f>IN[[#This Row],[Buffer]]</f>
        <v>1462.9999999999998</v>
      </c>
      <c r="J122" s="22">
        <f>IF(IN[[#This Row],[Sim_]]=IN[[#This Row],[STAGE]],1,0)</f>
        <v>0</v>
      </c>
      <c r="K122" s="23">
        <f>[1]SIM!$DR$8</f>
        <v>1645.1759091955932</v>
      </c>
      <c r="L122" s="24">
        <f>[1]SIM!$DR$4</f>
        <v>1645.1759091955932</v>
      </c>
      <c r="M122" s="22">
        <f>IF(IN[[#This Row],[Sim_]]=IN[[#This Row],[Sim Var ref]],1,0)</f>
        <v>1</v>
      </c>
      <c r="N122" s="8" t="str">
        <f>[1]SIM!$DR$7</f>
        <v>p121</v>
      </c>
      <c r="O122" s="8">
        <v>122</v>
      </c>
      <c r="P122" s="55">
        <f>[1]SIM!$DR$3</f>
        <v>1774</v>
      </c>
      <c r="Q122" s="22">
        <f>IF(IN[[#This Row],[Sim_]]=IN[[#This Row],[Direkt alt]],1,0)</f>
        <v>0</v>
      </c>
      <c r="R122" s="10">
        <v>1462.9999999999998</v>
      </c>
      <c r="S122" s="22">
        <f>IF(IN[[#This Row],[Sim_]]=IN[[#This Row],[Buffer]],1,0)</f>
        <v>0</v>
      </c>
      <c r="T122" s="11">
        <v>1645.1759091955932</v>
      </c>
      <c r="U122" s="21">
        <f>IN[[#This Row],[Buffer]]</f>
        <v>1462.9999999999998</v>
      </c>
      <c r="V122" s="29">
        <v>1645.1759091955932</v>
      </c>
      <c r="W122" s="29">
        <v>1806.2305707948367</v>
      </c>
      <c r="X122" s="29">
        <v>1463</v>
      </c>
      <c r="Y122" s="11">
        <v>1645.1759091955932</v>
      </c>
      <c r="Z122" s="27">
        <v>1463</v>
      </c>
      <c r="AA122" s="27">
        <v>1645.1759091955932</v>
      </c>
      <c r="AB122" s="27">
        <v>1645.1759091955932</v>
      </c>
      <c r="AC122" s="28">
        <v>1463</v>
      </c>
      <c r="AD122">
        <v>1462.9999999999998</v>
      </c>
      <c r="AE122">
        <v>1462.9999999999998</v>
      </c>
      <c r="AF122">
        <v>1462.9999999999998</v>
      </c>
      <c r="AG122">
        <v>1462.9999999999998</v>
      </c>
      <c r="AH122">
        <v>1462.9999999999998</v>
      </c>
      <c r="AI122">
        <v>1645.1759091955932</v>
      </c>
      <c r="AJ122">
        <v>1645.1759091955932</v>
      </c>
    </row>
    <row r="123" spans="1:36" x14ac:dyDescent="0.25">
      <c r="A123" s="76" t="s">
        <v>162</v>
      </c>
      <c r="B123" s="15" t="s">
        <v>179</v>
      </c>
      <c r="C123" s="16"/>
      <c r="D123" s="16"/>
      <c r="E123" s="17" t="s">
        <v>65</v>
      </c>
      <c r="F123" s="18"/>
      <c r="G123" s="77" t="s">
        <v>164</v>
      </c>
      <c r="H123" s="20">
        <v>0</v>
      </c>
      <c r="I123" s="21">
        <f>IN[[#This Row],[Buffer]]</f>
        <v>67</v>
      </c>
      <c r="J123" s="22">
        <f>IF(IN[[#This Row],[Sim_]]=IN[[#This Row],[STAGE]],1,0)</f>
        <v>0</v>
      </c>
      <c r="K123" s="23">
        <f>[1]SIM!$DS$8</f>
        <v>87.12779509223769</v>
      </c>
      <c r="L123" s="24">
        <f>[1]SIM!$DS$4</f>
        <v>87.12779509223769</v>
      </c>
      <c r="M123" s="22">
        <f>IF(IN[[#This Row],[Sim_]]=IN[[#This Row],[Sim Var ref]],1,0)</f>
        <v>1</v>
      </c>
      <c r="N123" s="8" t="str">
        <f>[1]SIM!$DS$7</f>
        <v>p122</v>
      </c>
      <c r="O123" s="8">
        <v>123</v>
      </c>
      <c r="P123" s="55">
        <f>[1]SIM!$DS$3</f>
        <v>81</v>
      </c>
      <c r="Q123" s="22">
        <f>IF(IN[[#This Row],[Sim_]]=IN[[#This Row],[Direkt alt]],1,0)</f>
        <v>0</v>
      </c>
      <c r="R123" s="10">
        <v>67</v>
      </c>
      <c r="S123" s="22">
        <f>IF(IN[[#This Row],[Sim_]]=IN[[#This Row],[Buffer]],1,0)</f>
        <v>0</v>
      </c>
      <c r="T123" s="11">
        <v>87.12779509223769</v>
      </c>
      <c r="U123" s="21">
        <f>IN[[#This Row],[Buffer]]</f>
        <v>67</v>
      </c>
      <c r="V123" s="29">
        <v>87.12779509223769</v>
      </c>
      <c r="W123" s="29">
        <v>195.1172290830161</v>
      </c>
      <c r="X123" s="29">
        <v>67</v>
      </c>
      <c r="Y123" s="11">
        <v>87.12779509223769</v>
      </c>
      <c r="Z123" s="27">
        <v>67</v>
      </c>
      <c r="AA123" s="27">
        <v>87.12779509223769</v>
      </c>
      <c r="AB123" s="27">
        <v>87.12779509223769</v>
      </c>
      <c r="AC123" s="28">
        <v>67</v>
      </c>
      <c r="AD123">
        <v>67</v>
      </c>
      <c r="AE123">
        <v>67</v>
      </c>
      <c r="AF123">
        <v>67</v>
      </c>
      <c r="AG123">
        <v>67</v>
      </c>
      <c r="AH123">
        <v>67</v>
      </c>
      <c r="AI123">
        <v>87.12779509223769</v>
      </c>
      <c r="AJ123">
        <v>87.12779509223769</v>
      </c>
    </row>
    <row r="124" spans="1:36" x14ac:dyDescent="0.25">
      <c r="A124" s="6"/>
      <c r="B124" s="15" t="s">
        <v>180</v>
      </c>
      <c r="C124" s="16"/>
      <c r="D124" s="16"/>
      <c r="E124" s="17" t="s">
        <v>65</v>
      </c>
      <c r="F124" s="18"/>
      <c r="G124" s="37" t="s">
        <v>181</v>
      </c>
      <c r="H124" s="20">
        <v>2</v>
      </c>
      <c r="I124">
        <f>'[1]⚙'!$B$43</f>
        <v>0.34</v>
      </c>
      <c r="J124" s="22">
        <f>IF(IN[[#This Row],[Sim_]]=IN[[#This Row],[STAGE]],1,0)</f>
        <v>1</v>
      </c>
      <c r="K124" s="23">
        <f>[1]SIM!$DT$8</f>
        <v>0.34</v>
      </c>
      <c r="L124" s="24">
        <f>[1]SIM!$DT$4</f>
        <v>0.34</v>
      </c>
      <c r="M124" s="22">
        <f>IF(IN[[#This Row],[Sim_]]=IN[[#This Row],[Sim Var ref]],1,0)</f>
        <v>1</v>
      </c>
      <c r="N124" s="8" t="str">
        <f>[1]SIM!$DT$7</f>
        <v>p123</v>
      </c>
      <c r="O124" s="8">
        <v>124</v>
      </c>
      <c r="P124" s="55" t="e">
        <f>[1]SIM!$DT$3</f>
        <v>#REF!</v>
      </c>
      <c r="Q124" s="22" t="e">
        <f>IF(IN[[#This Row],[Sim_]]=IN[[#This Row],[Direkt alt]],1,0)</f>
        <v>#REF!</v>
      </c>
      <c r="R124" s="10">
        <v>0.34</v>
      </c>
      <c r="S124" s="22">
        <f>IF(IN[[#This Row],[Sim_]]=IN[[#This Row],[Buffer]],1,0)</f>
        <v>1</v>
      </c>
      <c r="T124" s="11">
        <v>0.34</v>
      </c>
      <c r="U124">
        <f>'[1]⚙'!$B$43</f>
        <v>0.34</v>
      </c>
      <c r="V124" s="29">
        <v>0.34</v>
      </c>
      <c r="W124" s="29">
        <v>0.34</v>
      </c>
      <c r="X124" s="29">
        <v>0.34</v>
      </c>
      <c r="Y124" s="11">
        <v>0.34</v>
      </c>
      <c r="Z124" s="27">
        <v>0.34</v>
      </c>
      <c r="AA124" s="27">
        <v>0.34</v>
      </c>
      <c r="AB124" s="27">
        <v>0.34</v>
      </c>
      <c r="AC124">
        <v>0.34</v>
      </c>
      <c r="AD124">
        <v>0.34</v>
      </c>
      <c r="AE124">
        <v>0.34</v>
      </c>
      <c r="AF124">
        <v>0.34</v>
      </c>
      <c r="AG124">
        <v>0.34</v>
      </c>
      <c r="AH124">
        <v>0.34</v>
      </c>
      <c r="AI124">
        <v>0.34</v>
      </c>
      <c r="AJ124">
        <v>0.34</v>
      </c>
    </row>
    <row r="125" spans="1:36" x14ac:dyDescent="0.25">
      <c r="A125" s="6"/>
      <c r="B125" s="15" t="s">
        <v>182</v>
      </c>
      <c r="C125" s="16"/>
      <c r="D125" s="16"/>
      <c r="E125" s="17" t="s">
        <v>65</v>
      </c>
      <c r="F125" s="18"/>
      <c r="G125" s="37" t="s">
        <v>181</v>
      </c>
      <c r="H125" s="20">
        <v>2</v>
      </c>
      <c r="I125">
        <f>'[1]⚙'!$B$44</f>
        <v>1.1611111111111112</v>
      </c>
      <c r="J125" s="22">
        <f>IF(IN[[#This Row],[Sim_]]=IN[[#This Row],[STAGE]],1,0)</f>
        <v>1</v>
      </c>
      <c r="K125" s="23">
        <f>[1]SIM!$DU$8</f>
        <v>1.1611111111111112</v>
      </c>
      <c r="L125" s="24">
        <f>[1]SIM!$DU$4</f>
        <v>1.1611111111111112</v>
      </c>
      <c r="M125" s="22">
        <f>IF(IN[[#This Row],[Sim_]]=IN[[#This Row],[Sim Var ref]],1,0)</f>
        <v>1</v>
      </c>
      <c r="N125" s="8" t="str">
        <f>[1]SIM!$DU$7</f>
        <v>p124</v>
      </c>
      <c r="O125" s="8">
        <v>125</v>
      </c>
      <c r="P125" s="55" t="e">
        <f>[1]SIM!$DU$3</f>
        <v>#REF!</v>
      </c>
      <c r="Q125" s="22" t="e">
        <f>IF(IN[[#This Row],[Sim_]]=IN[[#This Row],[Direkt alt]],1,0)</f>
        <v>#REF!</v>
      </c>
      <c r="R125" s="10">
        <v>1.1611111111111112</v>
      </c>
      <c r="S125" s="22">
        <f>IF(IN[[#This Row],[Sim_]]=IN[[#This Row],[Buffer]],1,0)</f>
        <v>1</v>
      </c>
      <c r="T125" s="11">
        <v>1.1611111111111112</v>
      </c>
      <c r="U125">
        <f>'[1]⚙'!$B$44</f>
        <v>1.1611111111111112</v>
      </c>
      <c r="V125" s="29">
        <v>1.1611111111111112</v>
      </c>
      <c r="W125" s="29">
        <v>1.1611111111111112</v>
      </c>
      <c r="X125" s="29">
        <v>1.1611111111111112</v>
      </c>
      <c r="Y125" s="11">
        <v>1.1611111111111112</v>
      </c>
      <c r="Z125" s="27">
        <v>1.1611111111111112</v>
      </c>
      <c r="AA125" s="27">
        <v>1.1611111111111112</v>
      </c>
      <c r="AB125" s="27">
        <v>1.1611111111111112</v>
      </c>
      <c r="AC125">
        <v>1.1611111111111112</v>
      </c>
      <c r="AD125">
        <v>1.1611111111111112</v>
      </c>
      <c r="AE125">
        <v>1.1611111111111112</v>
      </c>
      <c r="AF125">
        <v>1.1611111111111112</v>
      </c>
      <c r="AG125">
        <v>1.1611111111111112</v>
      </c>
      <c r="AH125">
        <v>1.1611111111111112</v>
      </c>
      <c r="AI125">
        <v>1.1611111111111112</v>
      </c>
      <c r="AJ125">
        <v>1.1611111111111112</v>
      </c>
    </row>
    <row r="126" spans="1:36" x14ac:dyDescent="0.25">
      <c r="A126" s="6"/>
      <c r="B126" s="15" t="s">
        <v>183</v>
      </c>
      <c r="C126" s="16"/>
      <c r="D126" s="16"/>
      <c r="E126" s="17" t="s">
        <v>65</v>
      </c>
      <c r="F126" s="18"/>
      <c r="G126" s="37" t="s">
        <v>181</v>
      </c>
      <c r="H126" s="20">
        <v>2</v>
      </c>
      <c r="I126">
        <f>'[1]⚙'!$B$45</f>
        <v>4.18</v>
      </c>
      <c r="J126" s="22">
        <f>IF(IN[[#This Row],[Sim_]]=IN[[#This Row],[STAGE]],1,0)</f>
        <v>1</v>
      </c>
      <c r="K126" s="23">
        <f>[1]SIM!$DV$8</f>
        <v>4.18</v>
      </c>
      <c r="L126" s="24">
        <f>[1]SIM!$DV$4</f>
        <v>4.18</v>
      </c>
      <c r="M126" s="22">
        <f>IF(IN[[#This Row],[Sim_]]=IN[[#This Row],[Sim Var ref]],1,0)</f>
        <v>1</v>
      </c>
      <c r="N126" s="8" t="str">
        <f>[1]SIM!$DV$7</f>
        <v>p125</v>
      </c>
      <c r="O126" s="8">
        <v>126</v>
      </c>
      <c r="P126" s="55" t="e">
        <f>[1]SIM!$DV$3</f>
        <v>#REF!</v>
      </c>
      <c r="Q126" s="22" t="e">
        <f>IF(IN[[#This Row],[Sim_]]=IN[[#This Row],[Direkt alt]],1,0)</f>
        <v>#REF!</v>
      </c>
      <c r="R126" s="10">
        <v>4.18</v>
      </c>
      <c r="S126" s="22">
        <f>IF(IN[[#This Row],[Sim_]]=IN[[#This Row],[Buffer]],1,0)</f>
        <v>1</v>
      </c>
      <c r="T126" s="11">
        <v>4.18</v>
      </c>
      <c r="U126">
        <f>'[1]⚙'!$B$45</f>
        <v>4.18</v>
      </c>
      <c r="V126" s="29">
        <v>4.18</v>
      </c>
      <c r="W126" s="29">
        <v>4.18</v>
      </c>
      <c r="X126" s="29">
        <v>4.18</v>
      </c>
      <c r="Y126" s="11">
        <v>4.18</v>
      </c>
      <c r="Z126" s="27">
        <v>4.18</v>
      </c>
      <c r="AA126" s="27">
        <v>4.18</v>
      </c>
      <c r="AB126" s="27">
        <v>4.18</v>
      </c>
      <c r="AC126">
        <v>4.18</v>
      </c>
      <c r="AD126">
        <v>4.18</v>
      </c>
      <c r="AE126">
        <v>4.18</v>
      </c>
      <c r="AF126">
        <v>4.18</v>
      </c>
      <c r="AG126">
        <v>4.18</v>
      </c>
      <c r="AH126">
        <v>4.18</v>
      </c>
      <c r="AI126">
        <v>4.18</v>
      </c>
      <c r="AJ126">
        <v>4.18</v>
      </c>
    </row>
    <row r="127" spans="1:36" x14ac:dyDescent="0.25">
      <c r="A127" s="78"/>
      <c r="B127" s="79"/>
      <c r="C127" s="80"/>
      <c r="D127" s="80"/>
      <c r="E127" s="31" t="s">
        <v>53</v>
      </c>
      <c r="F127" s="81"/>
      <c r="G127" s="82"/>
      <c r="H127" s="20">
        <v>0</v>
      </c>
      <c r="I127" s="21">
        <f>IN[[#This Row],[Buffer]]</f>
        <v>0</v>
      </c>
      <c r="J127" s="83">
        <f>IF(IN[[#This Row],[Sim_]]=IN[[#This Row],[STAGE]],1,0)</f>
        <v>1</v>
      </c>
      <c r="K127" s="84">
        <f>[1]SIM!$DW$8</f>
        <v>0</v>
      </c>
      <c r="L127" s="85">
        <f>[1]SIM!$DW$4</f>
        <v>0</v>
      </c>
      <c r="M127" s="83">
        <f>IF(IN[[#This Row],[Sim_]]=IN[[#This Row],[Sim Var ref]],1,0)</f>
        <v>1</v>
      </c>
      <c r="N127" s="86">
        <f>[1]SIM!$DW$7</f>
        <v>0</v>
      </c>
      <c r="O127" s="8">
        <v>127</v>
      </c>
      <c r="P127" s="87">
        <f>[1]SIM!$DW$3</f>
        <v>0</v>
      </c>
      <c r="Q127" s="83">
        <f>IF(IN[[#This Row],[Sim_]]=IN[[#This Row],[Direkt alt]],1,0)</f>
        <v>1</v>
      </c>
      <c r="R127" s="10">
        <v>0</v>
      </c>
      <c r="S127" s="83">
        <f>IF(IN[[#This Row],[Sim_]]=IN[[#This Row],[Buffer]],1,0)</f>
        <v>1</v>
      </c>
      <c r="T127" s="11"/>
      <c r="U127" s="21">
        <f>IN[[#This Row],[Buffer]]</f>
        <v>0</v>
      </c>
      <c r="V127" s="29"/>
      <c r="W127" s="29">
        <v>0</v>
      </c>
      <c r="X127" s="29">
        <v>0</v>
      </c>
      <c r="Y127" s="11"/>
      <c r="Z127" s="88">
        <v>0</v>
      </c>
      <c r="AA127" s="88">
        <v>0</v>
      </c>
      <c r="AB127" s="88">
        <v>0</v>
      </c>
      <c r="AC127" s="28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89" t="s">
        <v>184</v>
      </c>
      <c r="B128" s="15" t="s">
        <v>185</v>
      </c>
      <c r="C128" s="16"/>
      <c r="D128" s="16"/>
      <c r="E128" s="31" t="s">
        <v>53</v>
      </c>
      <c r="F128" s="18"/>
      <c r="G128" s="90" t="s">
        <v>186</v>
      </c>
      <c r="H128" s="20">
        <v>0</v>
      </c>
      <c r="I128" s="21">
        <f>IN[[#This Row],[Buffer]]</f>
        <v>0</v>
      </c>
      <c r="J128" s="33">
        <f>IF(IN[[#This Row],[Sim_]]=IN[[#This Row],[STAGE]],1,0)</f>
        <v>1</v>
      </c>
      <c r="K128" s="34">
        <f>[1]SIM!$DX$8</f>
        <v>0</v>
      </c>
      <c r="L128" s="24" t="str">
        <f>[1]SIM!$DX$4</f>
        <v>-</v>
      </c>
      <c r="M128" s="33">
        <f>IF(IN[[#This Row],[Sim_]]=IN[[#This Row],[Sim Var ref]],1,0)</f>
        <v>0</v>
      </c>
      <c r="N128" s="8" t="str">
        <f>[1]SIM!$DX$7</f>
        <v>p127</v>
      </c>
      <c r="O128" s="8">
        <v>128</v>
      </c>
      <c r="P128" s="55">
        <f>[1]SIM!$DX$3</f>
        <v>27</v>
      </c>
      <c r="Q128" s="33">
        <f>IF(IN[[#This Row],[Sim_]]=IN[[#This Row],[Direkt alt]],1,0)</f>
        <v>0</v>
      </c>
      <c r="R128" s="10">
        <v>0</v>
      </c>
      <c r="S128" s="33">
        <f>IF(IN[[#This Row],[Sim_]]=IN[[#This Row],[Buffer]],1,0)</f>
        <v>1</v>
      </c>
      <c r="T128" s="11"/>
      <c r="U128" s="21">
        <f>IN[[#This Row],[Buffer]]</f>
        <v>0</v>
      </c>
      <c r="V128" s="29">
        <v>6</v>
      </c>
      <c r="W128" s="29" t="s">
        <v>142</v>
      </c>
      <c r="X128" s="29">
        <v>27</v>
      </c>
      <c r="Y128" s="11"/>
      <c r="Z128" s="91">
        <v>27</v>
      </c>
      <c r="AA128" s="91">
        <v>6</v>
      </c>
      <c r="AB128" s="91">
        <v>0</v>
      </c>
      <c r="AC128" s="28">
        <v>27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s="92" t="s">
        <v>187</v>
      </c>
      <c r="B129" s="15" t="s">
        <v>188</v>
      </c>
      <c r="C129" s="16"/>
      <c r="D129" s="16"/>
      <c r="E129" s="17" t="s">
        <v>65</v>
      </c>
      <c r="F129" s="18"/>
      <c r="G129" s="90" t="s">
        <v>186</v>
      </c>
      <c r="H129" s="20">
        <v>0</v>
      </c>
      <c r="I129" s="21">
        <f>IN[[#This Row],[Buffer]]</f>
        <v>8</v>
      </c>
      <c r="J129" s="22">
        <f>IF(IN[[#This Row],[Sim_]]=IN[[#This Row],[STAGE]],1,0)</f>
        <v>0</v>
      </c>
      <c r="K129" s="23">
        <f>[1]SIM!$DY$8</f>
        <v>13</v>
      </c>
      <c r="L129" s="24">
        <f>[1]SIM!$DY$4</f>
        <v>13</v>
      </c>
      <c r="M129" s="22">
        <f>IF(IN[[#This Row],[Sim_]]=IN[[#This Row],[Sim Var ref]],1,0)</f>
        <v>1</v>
      </c>
      <c r="N129" s="8" t="str">
        <f>[1]SIM!$DY$7</f>
        <v>p128</v>
      </c>
      <c r="O129" s="8">
        <v>129</v>
      </c>
      <c r="P129" s="55">
        <f>[1]SIM!$DY$3</f>
        <v>5</v>
      </c>
      <c r="Q129" s="22">
        <f>IF(IN[[#This Row],[Sim_]]=IN[[#This Row],[Direkt alt]],1,0)</f>
        <v>0</v>
      </c>
      <c r="R129" s="10">
        <v>8</v>
      </c>
      <c r="S129" s="22">
        <f>IF(IN[[#This Row],[Sim_]]=IN[[#This Row],[Buffer]],1,0)</f>
        <v>0</v>
      </c>
      <c r="T129" s="11">
        <v>4</v>
      </c>
      <c r="U129" s="21">
        <f>IN[[#This Row],[Buffer]]</f>
        <v>8</v>
      </c>
      <c r="V129" s="29">
        <v>13</v>
      </c>
      <c r="W129" s="29">
        <v>5</v>
      </c>
      <c r="X129" s="29">
        <v>6</v>
      </c>
      <c r="Y129" s="11">
        <v>4</v>
      </c>
      <c r="Z129" s="91">
        <v>6</v>
      </c>
      <c r="AA129" s="91">
        <v>4</v>
      </c>
      <c r="AB129" s="91">
        <v>13</v>
      </c>
      <c r="AC129" s="28">
        <v>6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13</v>
      </c>
      <c r="AJ129">
        <v>13</v>
      </c>
    </row>
    <row r="130" spans="1:36" x14ac:dyDescent="0.25">
      <c r="A130" s="89" t="s">
        <v>184</v>
      </c>
      <c r="B130" s="15" t="s">
        <v>189</v>
      </c>
      <c r="C130" s="16"/>
      <c r="D130" s="16"/>
      <c r="E130" s="17" t="s">
        <v>65</v>
      </c>
      <c r="F130" s="18"/>
      <c r="G130" s="90" t="s">
        <v>186</v>
      </c>
      <c r="H130" s="20">
        <v>0</v>
      </c>
      <c r="I130" s="21">
        <f>IN[[#This Row],[Buffer]]</f>
        <v>1</v>
      </c>
      <c r="J130" s="22">
        <f>IF(IN[[#This Row],[Sim_]]=IN[[#This Row],[STAGE]],1,0)</f>
        <v>0</v>
      </c>
      <c r="K130" s="23">
        <f>[1]SIM!$DZ$8</f>
        <v>10</v>
      </c>
      <c r="L130" s="24">
        <f>[1]SIM!$DZ$4</f>
        <v>10</v>
      </c>
      <c r="M130" s="22">
        <f>IF(IN[[#This Row],[Sim_]]=IN[[#This Row],[Sim Var ref]],1,0)</f>
        <v>1</v>
      </c>
      <c r="N130" s="8" t="str">
        <f>[1]SIM!$DZ$7</f>
        <v>p129</v>
      </c>
      <c r="O130" s="8">
        <v>130</v>
      </c>
      <c r="P130" s="55">
        <f>[1]SIM!$DZ$3</f>
        <v>1</v>
      </c>
      <c r="Q130" s="22">
        <f>IF(IN[[#This Row],[Sim_]]=IN[[#This Row],[Direkt alt]],1,0)</f>
        <v>0</v>
      </c>
      <c r="R130" s="10">
        <v>1</v>
      </c>
      <c r="S130" s="22">
        <f>IF(IN[[#This Row],[Sim_]]=IN[[#This Row],[Buffer]],1,0)</f>
        <v>0</v>
      </c>
      <c r="T130" s="11">
        <v>10</v>
      </c>
      <c r="U130" s="21">
        <f>IN[[#This Row],[Buffer]]</f>
        <v>1</v>
      </c>
      <c r="V130" s="29">
        <v>10</v>
      </c>
      <c r="W130" s="29">
        <v>10</v>
      </c>
      <c r="X130" s="29">
        <v>10</v>
      </c>
      <c r="Y130" s="11">
        <v>10</v>
      </c>
      <c r="Z130" s="91">
        <v>10</v>
      </c>
      <c r="AA130" s="91">
        <v>10</v>
      </c>
      <c r="AB130" s="91">
        <v>10</v>
      </c>
      <c r="AC130" s="28">
        <v>10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10</v>
      </c>
      <c r="AJ130">
        <v>10</v>
      </c>
    </row>
    <row r="131" spans="1:36" x14ac:dyDescent="0.25">
      <c r="A131" s="89" t="s">
        <v>184</v>
      </c>
      <c r="B131" s="15" t="s">
        <v>190</v>
      </c>
      <c r="C131" s="16"/>
      <c r="D131" s="16"/>
      <c r="E131" s="31" t="s">
        <v>53</v>
      </c>
      <c r="F131" s="18"/>
      <c r="G131" s="90" t="s">
        <v>186</v>
      </c>
      <c r="H131" s="20">
        <v>0</v>
      </c>
      <c r="I131" s="21">
        <f>IN[[#This Row],[Buffer]]</f>
        <v>0</v>
      </c>
      <c r="J131" s="33">
        <f>IF(IN[[#This Row],[Sim_]]=IN[[#This Row],[STAGE]],1,0)</f>
        <v>0</v>
      </c>
      <c r="K131" s="34" t="str">
        <f>[1]SIM!$EA$8</f>
        <v>-</v>
      </c>
      <c r="L131" s="24" t="str">
        <f>[1]SIM!$EA$4</f>
        <v>-</v>
      </c>
      <c r="M131" s="33">
        <f>IF(IN[[#This Row],[Sim_]]=IN[[#This Row],[Sim Var ref]],1,0)</f>
        <v>1</v>
      </c>
      <c r="N131" s="8" t="str">
        <f>[1]SIM!$EA$7</f>
        <v>p130</v>
      </c>
      <c r="O131" s="8">
        <v>131</v>
      </c>
      <c r="P131" s="55">
        <f>[1]SIM!$EA$3</f>
        <v>22</v>
      </c>
      <c r="Q131" s="33">
        <f>IF(IN[[#This Row],[Sim_]]=IN[[#This Row],[Direkt alt]],1,0)</f>
        <v>0</v>
      </c>
      <c r="R131" s="10">
        <v>0</v>
      </c>
      <c r="S131" s="33">
        <f>IF(IN[[#This Row],[Sim_]]=IN[[#This Row],[Buffer]],1,0)</f>
        <v>0</v>
      </c>
      <c r="T131" s="11"/>
      <c r="U131" s="21">
        <f>IN[[#This Row],[Buffer]]</f>
        <v>0</v>
      </c>
      <c r="V131" s="29">
        <v>1</v>
      </c>
      <c r="W131" s="29" t="s">
        <v>142</v>
      </c>
      <c r="X131" s="29">
        <v>10</v>
      </c>
      <c r="Y131" s="11"/>
      <c r="Z131" s="91">
        <v>10</v>
      </c>
      <c r="AA131" s="91">
        <v>1</v>
      </c>
      <c r="AB131" s="91" t="s">
        <v>142</v>
      </c>
      <c r="AC131" s="28">
        <v>10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142</v>
      </c>
      <c r="AJ131" t="s">
        <v>142</v>
      </c>
    </row>
    <row r="132" spans="1:36" x14ac:dyDescent="0.25">
      <c r="A132" s="89" t="s">
        <v>184</v>
      </c>
      <c r="B132" s="15" t="s">
        <v>144</v>
      </c>
      <c r="C132" s="16"/>
      <c r="D132" s="16"/>
      <c r="E132" s="31" t="s">
        <v>53</v>
      </c>
      <c r="F132" s="18"/>
      <c r="G132" s="90" t="s">
        <v>186</v>
      </c>
      <c r="H132" s="20">
        <v>0</v>
      </c>
      <c r="I132" s="21">
        <f>IN[[#This Row],[Buffer]]</f>
        <v>6</v>
      </c>
      <c r="J132" s="33">
        <f>IF(IN[[#This Row],[Sim_]]=IN[[#This Row],[STAGE]],1,0)</f>
        <v>0</v>
      </c>
      <c r="K132" s="34" t="str">
        <f>[1]SIM!$EB$8</f>
        <v>-</v>
      </c>
      <c r="L132" s="24" t="str">
        <f>[1]SIM!$EB$4</f>
        <v>-</v>
      </c>
      <c r="M132" s="33">
        <f>IF(IN[[#This Row],[Sim_]]=IN[[#This Row],[Sim Var ref]],1,0)</f>
        <v>1</v>
      </c>
      <c r="N132" s="8" t="str">
        <f>[1]SIM!$EB$7</f>
        <v>p131</v>
      </c>
      <c r="O132" s="8">
        <v>132</v>
      </c>
      <c r="P132" s="55">
        <f>[1]SIM!$EB$3</f>
        <v>6</v>
      </c>
      <c r="Q132" s="33">
        <f>IF(IN[[#This Row],[Sim_]]=IN[[#This Row],[Direkt alt]],1,0)</f>
        <v>0</v>
      </c>
      <c r="R132" s="10">
        <v>6</v>
      </c>
      <c r="S132" s="33">
        <f>IF(IN[[#This Row],[Sim_]]=IN[[#This Row],[Buffer]],1,0)</f>
        <v>0</v>
      </c>
      <c r="T132" s="11"/>
      <c r="U132" s="21">
        <f>IN[[#This Row],[Buffer]]</f>
        <v>6</v>
      </c>
      <c r="V132" s="29">
        <v>3</v>
      </c>
      <c r="W132" s="29" t="s">
        <v>142</v>
      </c>
      <c r="X132" s="29">
        <v>6</v>
      </c>
      <c r="Y132" s="11"/>
      <c r="Z132" s="91">
        <v>6</v>
      </c>
      <c r="AA132" s="91">
        <v>3</v>
      </c>
      <c r="AB132" s="91" t="s">
        <v>142</v>
      </c>
      <c r="AC132" s="28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 t="s">
        <v>142</v>
      </c>
      <c r="AJ132" t="s">
        <v>142</v>
      </c>
    </row>
    <row r="133" spans="1:36" x14ac:dyDescent="0.25">
      <c r="A133" s="89" t="s">
        <v>184</v>
      </c>
      <c r="B133" s="15" t="str">
        <f>B99</f>
        <v>Variation km-Leistung Wohnen</v>
      </c>
      <c r="C133" s="16"/>
      <c r="D133" s="16"/>
      <c r="E133" s="31" t="s">
        <v>53</v>
      </c>
      <c r="F133" s="18"/>
      <c r="G133" s="90" t="s">
        <v>186</v>
      </c>
      <c r="H133" s="20">
        <v>0</v>
      </c>
      <c r="I133" s="21">
        <f>IN[[#This Row],[Buffer]]</f>
        <v>6</v>
      </c>
      <c r="J133" s="33">
        <f>IF(IN[[#This Row],[Sim_]]=IN[[#This Row],[STAGE]],1,0)</f>
        <v>0</v>
      </c>
      <c r="K133" s="34" t="str">
        <f>[1]SIM!$EC$8</f>
        <v>-</v>
      </c>
      <c r="L133" s="24" t="str">
        <f>[1]SIM!$EC$4</f>
        <v>-</v>
      </c>
      <c r="M133" s="33">
        <f>IF(IN[[#This Row],[Sim_]]=IN[[#This Row],[Sim Var ref]],1,0)</f>
        <v>1</v>
      </c>
      <c r="N133" s="8" t="str">
        <f>[1]SIM!$EC$7</f>
        <v>p132</v>
      </c>
      <c r="O133" s="8">
        <v>133</v>
      </c>
      <c r="P133" s="55">
        <f>[1]SIM!$EC$3</f>
        <v>6</v>
      </c>
      <c r="Q133" s="33">
        <f>IF(IN[[#This Row],[Sim_]]=IN[[#This Row],[Direkt alt]],1,0)</f>
        <v>0</v>
      </c>
      <c r="R133" s="10">
        <v>6</v>
      </c>
      <c r="S133" s="33">
        <f>IF(IN[[#This Row],[Sim_]]=IN[[#This Row],[Buffer]],1,0)</f>
        <v>0</v>
      </c>
      <c r="T133" s="11"/>
      <c r="U133" s="21">
        <f>IN[[#This Row],[Buffer]]</f>
        <v>6</v>
      </c>
      <c r="V133" s="29">
        <v>1</v>
      </c>
      <c r="W133" s="29" t="s">
        <v>142</v>
      </c>
      <c r="X133" s="29">
        <v>6</v>
      </c>
      <c r="Y133" s="11"/>
      <c r="Z133" s="91">
        <v>6</v>
      </c>
      <c r="AA133" s="91">
        <v>1</v>
      </c>
      <c r="AB133" s="91" t="s">
        <v>142</v>
      </c>
      <c r="AC133" s="28">
        <v>6</v>
      </c>
      <c r="AD133">
        <v>6</v>
      </c>
      <c r="AE133">
        <v>6</v>
      </c>
      <c r="AF133">
        <v>6</v>
      </c>
      <c r="AG133">
        <v>6</v>
      </c>
      <c r="AH133">
        <v>6</v>
      </c>
      <c r="AI133" t="s">
        <v>142</v>
      </c>
      <c r="AJ133" t="s">
        <v>142</v>
      </c>
    </row>
    <row r="134" spans="1:36" x14ac:dyDescent="0.25">
      <c r="A134" s="89" t="s">
        <v>184</v>
      </c>
      <c r="B134" s="15" t="str">
        <f>B100</f>
        <v>Variation km-Leistung Büro</v>
      </c>
      <c r="C134" s="16"/>
      <c r="D134" s="16"/>
      <c r="E134" s="31" t="s">
        <v>53</v>
      </c>
      <c r="F134" s="18"/>
      <c r="G134" s="90" t="s">
        <v>186</v>
      </c>
      <c r="H134" s="20">
        <v>0</v>
      </c>
      <c r="I134" s="21">
        <f>IN[[#This Row],[Buffer]]</f>
        <v>6</v>
      </c>
      <c r="J134" s="33">
        <f>IF(IN[[#This Row],[Sim_]]=IN[[#This Row],[STAGE]],1,0)</f>
        <v>0</v>
      </c>
      <c r="K134" s="34" t="str">
        <f>[1]SIM!$ED$8</f>
        <v>-</v>
      </c>
      <c r="L134" s="24" t="str">
        <f>[1]SIM!$ED$4</f>
        <v>-</v>
      </c>
      <c r="M134" s="33">
        <f>IF(IN[[#This Row],[Sim_]]=IN[[#This Row],[Sim Var ref]],1,0)</f>
        <v>1</v>
      </c>
      <c r="N134" s="8" t="str">
        <f>[1]SIM!$ED$7</f>
        <v>p133</v>
      </c>
      <c r="O134" s="8">
        <v>134</v>
      </c>
      <c r="P134" s="55">
        <f>[1]SIM!$ED$3</f>
        <v>6</v>
      </c>
      <c r="Q134" s="33">
        <f>IF(IN[[#This Row],[Sim_]]=IN[[#This Row],[Direkt alt]],1,0)</f>
        <v>0</v>
      </c>
      <c r="R134" s="10">
        <v>6</v>
      </c>
      <c r="S134" s="33">
        <f>IF(IN[[#This Row],[Sim_]]=IN[[#This Row],[Buffer]],1,0)</f>
        <v>0</v>
      </c>
      <c r="T134" s="11"/>
      <c r="U134" s="21">
        <f>IN[[#This Row],[Buffer]]</f>
        <v>6</v>
      </c>
      <c r="V134" s="29">
        <v>1</v>
      </c>
      <c r="W134" s="29" t="s">
        <v>142</v>
      </c>
      <c r="X134" s="29">
        <v>6</v>
      </c>
      <c r="Y134" s="11"/>
      <c r="Z134" s="91">
        <v>6</v>
      </c>
      <c r="AA134" s="91">
        <v>1</v>
      </c>
      <c r="AB134" s="91" t="s">
        <v>142</v>
      </c>
      <c r="AC134" s="28">
        <v>6</v>
      </c>
      <c r="AD134">
        <v>6</v>
      </c>
      <c r="AE134">
        <v>6</v>
      </c>
      <c r="AF134">
        <v>6</v>
      </c>
      <c r="AG134">
        <v>6</v>
      </c>
      <c r="AH134">
        <v>6</v>
      </c>
      <c r="AI134" t="s">
        <v>142</v>
      </c>
      <c r="AJ134" t="s">
        <v>142</v>
      </c>
    </row>
    <row r="135" spans="1:36" x14ac:dyDescent="0.25">
      <c r="A135" s="89" t="s">
        <v>184</v>
      </c>
      <c r="B135" s="15" t="str">
        <f>B101</f>
        <v>Variation km-Leistung Ausbildung</v>
      </c>
      <c r="C135" s="16"/>
      <c r="D135" s="16"/>
      <c r="E135" s="31" t="s">
        <v>53</v>
      </c>
      <c r="F135" s="18"/>
      <c r="G135" s="90" t="s">
        <v>186</v>
      </c>
      <c r="H135" s="20">
        <v>0</v>
      </c>
      <c r="I135" s="21">
        <f>IN[[#This Row],[Buffer]]</f>
        <v>6</v>
      </c>
      <c r="J135" s="33">
        <f>IF(IN[[#This Row],[Sim_]]=IN[[#This Row],[STAGE]],1,0)</f>
        <v>0</v>
      </c>
      <c r="K135" s="34" t="str">
        <f>[1]SIM!$EE$8</f>
        <v>-</v>
      </c>
      <c r="L135" s="24" t="str">
        <f>[1]SIM!$EE$4</f>
        <v>-</v>
      </c>
      <c r="M135" s="33">
        <f>IF(IN[[#This Row],[Sim_]]=IN[[#This Row],[Sim Var ref]],1,0)</f>
        <v>1</v>
      </c>
      <c r="N135" s="8" t="str">
        <f>[1]SIM!$EE$7</f>
        <v>p134</v>
      </c>
      <c r="O135" s="8">
        <v>135</v>
      </c>
      <c r="P135" s="55">
        <f>[1]SIM!$EE$3</f>
        <v>6</v>
      </c>
      <c r="Q135" s="33">
        <f>IF(IN[[#This Row],[Sim_]]=IN[[#This Row],[Direkt alt]],1,0)</f>
        <v>0</v>
      </c>
      <c r="R135" s="10">
        <v>6</v>
      </c>
      <c r="S135" s="33">
        <f>IF(IN[[#This Row],[Sim_]]=IN[[#This Row],[Buffer]],1,0)</f>
        <v>0</v>
      </c>
      <c r="T135" s="11"/>
      <c r="U135" s="21">
        <f>IN[[#This Row],[Buffer]]</f>
        <v>6</v>
      </c>
      <c r="V135" s="29">
        <v>1</v>
      </c>
      <c r="W135" s="29" t="s">
        <v>142</v>
      </c>
      <c r="X135" s="29">
        <v>6</v>
      </c>
      <c r="Y135" s="11"/>
      <c r="Z135" s="91">
        <v>6</v>
      </c>
      <c r="AA135" s="91">
        <v>1</v>
      </c>
      <c r="AB135" s="91" t="s">
        <v>142</v>
      </c>
      <c r="AC135" s="28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 t="s">
        <v>142</v>
      </c>
      <c r="AJ135" t="s">
        <v>142</v>
      </c>
    </row>
    <row r="136" spans="1:36" x14ac:dyDescent="0.25">
      <c r="A136" s="89" t="s">
        <v>184</v>
      </c>
      <c r="B136" s="15" t="str">
        <f>B102</f>
        <v>Variation km-Leistung Handel</v>
      </c>
      <c r="C136" s="16"/>
      <c r="D136" s="16"/>
      <c r="E136" s="31" t="s">
        <v>53</v>
      </c>
      <c r="F136" s="18"/>
      <c r="G136" s="90" t="s">
        <v>186</v>
      </c>
      <c r="H136" s="20">
        <v>0</v>
      </c>
      <c r="I136" s="21">
        <f>IN[[#This Row],[Buffer]]</f>
        <v>6</v>
      </c>
      <c r="J136" s="33">
        <f>IF(IN[[#This Row],[Sim_]]=IN[[#This Row],[STAGE]],1,0)</f>
        <v>0</v>
      </c>
      <c r="K136" s="34" t="str">
        <f>[1]SIM!$EF$8</f>
        <v>-</v>
      </c>
      <c r="L136" s="24" t="str">
        <f>[1]SIM!$EF$4</f>
        <v>-</v>
      </c>
      <c r="M136" s="33">
        <f>IF(IN[[#This Row],[Sim_]]=IN[[#This Row],[Sim Var ref]],1,0)</f>
        <v>1</v>
      </c>
      <c r="N136" s="8" t="str">
        <f>[1]SIM!$EF$7</f>
        <v>p135</v>
      </c>
      <c r="O136" s="8">
        <v>136</v>
      </c>
      <c r="P136" s="55">
        <f>[1]SIM!$EF$3</f>
        <v>6</v>
      </c>
      <c r="Q136" s="33">
        <f>IF(IN[[#This Row],[Sim_]]=IN[[#This Row],[Direkt alt]],1,0)</f>
        <v>0</v>
      </c>
      <c r="R136" s="10">
        <v>6</v>
      </c>
      <c r="S136" s="33">
        <f>IF(IN[[#This Row],[Sim_]]=IN[[#This Row],[Buffer]],1,0)</f>
        <v>0</v>
      </c>
      <c r="T136" s="11"/>
      <c r="U136" s="21">
        <f>IN[[#This Row],[Buffer]]</f>
        <v>6</v>
      </c>
      <c r="V136" s="29">
        <v>1</v>
      </c>
      <c r="W136" s="29" t="s">
        <v>142</v>
      </c>
      <c r="X136" s="29">
        <v>6</v>
      </c>
      <c r="Y136" s="11"/>
      <c r="Z136" s="91">
        <v>6</v>
      </c>
      <c r="AA136" s="91">
        <v>1</v>
      </c>
      <c r="AB136" s="91" t="s">
        <v>142</v>
      </c>
      <c r="AC136" s="28">
        <v>6</v>
      </c>
      <c r="AD136">
        <v>6</v>
      </c>
      <c r="AE136">
        <v>6</v>
      </c>
      <c r="AF136">
        <v>6</v>
      </c>
      <c r="AG136">
        <v>6</v>
      </c>
      <c r="AH136">
        <v>6</v>
      </c>
      <c r="AI136" t="s">
        <v>142</v>
      </c>
      <c r="AJ136" t="s">
        <v>142</v>
      </c>
    </row>
    <row r="137" spans="1:36" x14ac:dyDescent="0.25">
      <c r="A137" s="89" t="s">
        <v>184</v>
      </c>
      <c r="B137" s="15" t="s">
        <v>191</v>
      </c>
      <c r="C137" s="16"/>
      <c r="D137" s="16"/>
      <c r="E137" s="17" t="s">
        <v>53</v>
      </c>
      <c r="F137" s="18"/>
      <c r="G137" s="90" t="s">
        <v>186</v>
      </c>
      <c r="H137" s="20">
        <v>0</v>
      </c>
      <c r="I137" s="21">
        <f>IN[[#This Row],[Buffer]]</f>
        <v>0</v>
      </c>
      <c r="J137" s="70">
        <f>IF(IN[[#This Row],[Sim_]]=IN[[#This Row],[STAGE]],1,0)</f>
        <v>0</v>
      </c>
      <c r="K137" s="71">
        <f>[1]SIM!$EG$8</f>
        <v>2</v>
      </c>
      <c r="L137" s="24" t="str">
        <f>[1]SIM!$EG$4</f>
        <v>-</v>
      </c>
      <c r="M137" s="70">
        <f>IF(IN[[#This Row],[Sim_]]=IN[[#This Row],[Sim Var ref]],1,0)</f>
        <v>0</v>
      </c>
      <c r="N137" s="8" t="str">
        <f>[1]SIM!$EG$7</f>
        <v>p136</v>
      </c>
      <c r="O137" s="8">
        <v>137</v>
      </c>
      <c r="P137" s="55">
        <f>[1]SIM!$EG$3</f>
        <v>2</v>
      </c>
      <c r="Q137" s="70">
        <f>IF(IN[[#This Row],[Sim_]]=IN[[#This Row],[Direkt alt]],1,0)</f>
        <v>1</v>
      </c>
      <c r="R137" s="10">
        <v>0</v>
      </c>
      <c r="S137" s="70">
        <f>IF(IN[[#This Row],[Sim_]]=IN[[#This Row],[Buffer]],1,0)</f>
        <v>0</v>
      </c>
      <c r="T137" s="11"/>
      <c r="U137" s="21">
        <f>IN[[#This Row],[Buffer]]</f>
        <v>0</v>
      </c>
      <c r="V137" s="29">
        <v>1</v>
      </c>
      <c r="W137" s="29">
        <v>1</v>
      </c>
      <c r="X137" s="29">
        <v>1</v>
      </c>
      <c r="Y137" s="11"/>
      <c r="Z137" s="27">
        <v>1</v>
      </c>
      <c r="AA137" s="27">
        <v>1</v>
      </c>
      <c r="AB137" s="27">
        <v>2</v>
      </c>
      <c r="AC137" s="28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2</v>
      </c>
    </row>
    <row r="138" spans="1:36" x14ac:dyDescent="0.25">
      <c r="A138" s="89" t="s">
        <v>184</v>
      </c>
      <c r="B138" s="15" t="s">
        <v>192</v>
      </c>
      <c r="C138" s="16"/>
      <c r="D138" s="16"/>
      <c r="E138" s="17" t="s">
        <v>65</v>
      </c>
      <c r="F138" s="18"/>
      <c r="G138" s="90" t="s">
        <v>186</v>
      </c>
      <c r="H138" s="20">
        <v>0</v>
      </c>
      <c r="I138" s="21">
        <f>IN[[#This Row],[Buffer]]</f>
        <v>0</v>
      </c>
      <c r="J138" s="22">
        <f>IF(IN[[#This Row],[Sim_]]=IN[[#This Row],[STAGE]],1,0)</f>
        <v>0</v>
      </c>
      <c r="K138" s="23" t="b">
        <f>[1]SIM!$EH$8</f>
        <v>0</v>
      </c>
      <c r="L138" s="24" t="b">
        <f>[1]SIM!$EH$4</f>
        <v>0</v>
      </c>
      <c r="M138" s="22">
        <f>IF(IN[[#This Row],[Sim_]]=IN[[#This Row],[Sim Var ref]],1,0)</f>
        <v>1</v>
      </c>
      <c r="N138" s="8" t="str">
        <f>[1]SIM!$EH$7</f>
        <v>p137</v>
      </c>
      <c r="O138" s="8">
        <v>138</v>
      </c>
      <c r="P138" s="55" t="b">
        <f>[1]SIM!$EH$3</f>
        <v>0</v>
      </c>
      <c r="Q138" s="22">
        <f>IF(IN[[#This Row],[Sim_]]=IN[[#This Row],[Direkt alt]],1,0)</f>
        <v>1</v>
      </c>
      <c r="R138" s="10">
        <v>0</v>
      </c>
      <c r="S138" s="22">
        <f>IF(IN[[#This Row],[Sim_]]=IN[[#This Row],[Buffer]],1,0)</f>
        <v>0</v>
      </c>
      <c r="T138" s="11" t="b">
        <v>0</v>
      </c>
      <c r="U138" s="21">
        <f>IN[[#This Row],[Buffer]]</f>
        <v>0</v>
      </c>
      <c r="V138" s="29" t="b">
        <v>0</v>
      </c>
      <c r="W138" s="29" t="b">
        <v>0</v>
      </c>
      <c r="X138" s="29" t="b">
        <v>0</v>
      </c>
      <c r="Y138" s="11" t="b">
        <v>0</v>
      </c>
      <c r="Z138" s="91" t="b">
        <v>0</v>
      </c>
      <c r="AA138" s="91" t="b">
        <v>0</v>
      </c>
      <c r="AB138" s="91" t="b">
        <v>0</v>
      </c>
      <c r="AC138" s="28" t="b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b">
        <v>0</v>
      </c>
    </row>
    <row r="139" spans="1:36" x14ac:dyDescent="0.25">
      <c r="A139" s="89" t="s">
        <v>184</v>
      </c>
      <c r="B139" s="15" t="s">
        <v>193</v>
      </c>
      <c r="C139" s="16"/>
      <c r="D139" s="16"/>
      <c r="E139" s="17" t="s">
        <v>65</v>
      </c>
      <c r="F139" s="18"/>
      <c r="G139" s="90" t="s">
        <v>186</v>
      </c>
      <c r="H139" s="20">
        <v>0</v>
      </c>
      <c r="I139" s="21">
        <f>IN[[#This Row],[Buffer]]</f>
        <v>1</v>
      </c>
      <c r="J139" s="22">
        <f>IF(IN[[#This Row],[Sim_]]=IN[[#This Row],[STAGE]],1,0)</f>
        <v>0</v>
      </c>
      <c r="K139" s="23" t="b">
        <f>[1]SIM!$EI$8</f>
        <v>1</v>
      </c>
      <c r="L139" s="24" t="b">
        <f>[1]SIM!$EI$4</f>
        <v>1</v>
      </c>
      <c r="M139" s="22">
        <f>IF(IN[[#This Row],[Sim_]]=IN[[#This Row],[Sim Var ref]],1,0)</f>
        <v>1</v>
      </c>
      <c r="N139" s="8" t="str">
        <f>[1]SIM!$EI$7</f>
        <v>p138</v>
      </c>
      <c r="O139" s="8">
        <v>139</v>
      </c>
      <c r="P139" s="55" t="b">
        <f>[1]SIM!$EI$3</f>
        <v>1</v>
      </c>
      <c r="Q139" s="22">
        <f>IF(IN[[#This Row],[Sim_]]=IN[[#This Row],[Direkt alt]],1,0)</f>
        <v>1</v>
      </c>
      <c r="R139" s="10">
        <v>1</v>
      </c>
      <c r="S139" s="22">
        <f>IF(IN[[#This Row],[Sim_]]=IN[[#This Row],[Buffer]],1,0)</f>
        <v>0</v>
      </c>
      <c r="T139" s="11" t="b">
        <v>1</v>
      </c>
      <c r="U139" s="21">
        <f>IN[[#This Row],[Buffer]]</f>
        <v>1</v>
      </c>
      <c r="V139" s="29" t="b">
        <v>1</v>
      </c>
      <c r="W139" s="29" t="b">
        <v>1</v>
      </c>
      <c r="X139" s="29" t="b">
        <v>0</v>
      </c>
      <c r="Y139" s="11" t="b">
        <v>1</v>
      </c>
      <c r="Z139" s="91" t="b">
        <v>0</v>
      </c>
      <c r="AA139" s="91" t="b">
        <v>1</v>
      </c>
      <c r="AB139" s="91" t="b">
        <v>1</v>
      </c>
      <c r="AC139" s="28" t="b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 t="b">
        <v>1</v>
      </c>
      <c r="AJ139" t="b">
        <v>1</v>
      </c>
    </row>
    <row r="140" spans="1:36" x14ac:dyDescent="0.25">
      <c r="A140" s="89" t="s">
        <v>184</v>
      </c>
      <c r="B140" s="15" t="s">
        <v>194</v>
      </c>
      <c r="C140" s="16"/>
      <c r="D140" s="16"/>
      <c r="E140" s="17" t="s">
        <v>65</v>
      </c>
      <c r="F140" s="18"/>
      <c r="G140" s="90" t="s">
        <v>186</v>
      </c>
      <c r="H140" s="20">
        <v>0</v>
      </c>
      <c r="I140" s="21">
        <f>IN[[#This Row],[Buffer]]</f>
        <v>0</v>
      </c>
      <c r="J140" s="22">
        <f>IF(IN[[#This Row],[Sim_]]=IN[[#This Row],[STAGE]],1,0)</f>
        <v>0</v>
      </c>
      <c r="K140" s="23" t="b">
        <f>[1]SIM!$EJ$8</f>
        <v>1</v>
      </c>
      <c r="L140" s="24" t="b">
        <f>[1]SIM!$EJ$4</f>
        <v>1</v>
      </c>
      <c r="M140" s="22">
        <f>IF(IN[[#This Row],[Sim_]]=IN[[#This Row],[Sim Var ref]],1,0)</f>
        <v>1</v>
      </c>
      <c r="N140" s="8" t="str">
        <f>[1]SIM!$EJ$7</f>
        <v>p139</v>
      </c>
      <c r="O140" s="8">
        <v>140</v>
      </c>
      <c r="P140" s="55" t="b">
        <f>[1]SIM!$EJ$3</f>
        <v>0</v>
      </c>
      <c r="Q140" s="22">
        <f>IF(IN[[#This Row],[Sim_]]=IN[[#This Row],[Direkt alt]],1,0)</f>
        <v>0</v>
      </c>
      <c r="R140" s="10">
        <v>0</v>
      </c>
      <c r="S140" s="22">
        <f>IF(IN[[#This Row],[Sim_]]=IN[[#This Row],[Buffer]],1,0)</f>
        <v>0</v>
      </c>
      <c r="T140" s="11" t="b">
        <v>1</v>
      </c>
      <c r="U140" s="21">
        <f>IN[[#This Row],[Buffer]]</f>
        <v>0</v>
      </c>
      <c r="V140" s="29" t="b">
        <v>1</v>
      </c>
      <c r="W140" s="29" t="b">
        <v>1</v>
      </c>
      <c r="X140" s="29" t="b">
        <v>1</v>
      </c>
      <c r="Y140" s="11" t="b">
        <v>1</v>
      </c>
      <c r="Z140" s="91" t="b">
        <v>1</v>
      </c>
      <c r="AA140" s="91" t="b">
        <v>1</v>
      </c>
      <c r="AB140" s="91" t="b">
        <v>1</v>
      </c>
      <c r="AC140" s="28" t="b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 t="b">
        <v>1</v>
      </c>
      <c r="AJ140" t="b">
        <v>1</v>
      </c>
    </row>
    <row r="141" spans="1:36" x14ac:dyDescent="0.25">
      <c r="A141" s="92" t="s">
        <v>187</v>
      </c>
      <c r="B141" s="15" t="s">
        <v>195</v>
      </c>
      <c r="C141" s="16"/>
      <c r="D141" s="16"/>
      <c r="E141" s="17" t="s">
        <v>65</v>
      </c>
      <c r="F141" s="18"/>
      <c r="G141" s="90" t="s">
        <v>186</v>
      </c>
      <c r="H141" s="20">
        <v>0</v>
      </c>
      <c r="I141" s="21">
        <f>IN[[#This Row],[Buffer]]</f>
        <v>0</v>
      </c>
      <c r="J141" s="22">
        <f>IF(IN[[#This Row],[Sim_]]=IN[[#This Row],[STAGE]],1,0)</f>
        <v>0</v>
      </c>
      <c r="K141" s="23" t="b">
        <f>[1]SIM!$EK$8</f>
        <v>1</v>
      </c>
      <c r="L141" s="24" t="b">
        <f>[1]SIM!$EK$4</f>
        <v>1</v>
      </c>
      <c r="M141" s="22">
        <f>IF(IN[[#This Row],[Sim_]]=IN[[#This Row],[Sim Var ref]],1,0)</f>
        <v>1</v>
      </c>
      <c r="N141" s="8" t="str">
        <f>[1]SIM!$EK$7</f>
        <v>p140</v>
      </c>
      <c r="O141" s="8">
        <v>141</v>
      </c>
      <c r="P141" s="55" t="b">
        <f>[1]SIM!$EK$3</f>
        <v>1</v>
      </c>
      <c r="Q141" s="22">
        <f>IF(IN[[#This Row],[Sim_]]=IN[[#This Row],[Direkt alt]],1,0)</f>
        <v>1</v>
      </c>
      <c r="R141" s="10">
        <v>0</v>
      </c>
      <c r="S141" s="22">
        <f>IF(IN[[#This Row],[Sim_]]=IN[[#This Row],[Buffer]],1,0)</f>
        <v>0</v>
      </c>
      <c r="T141" s="11" t="b">
        <v>1</v>
      </c>
      <c r="U141" s="21">
        <f>IN[[#This Row],[Buffer]]</f>
        <v>0</v>
      </c>
      <c r="V141" s="29" t="b">
        <v>1</v>
      </c>
      <c r="W141" s="29" t="b">
        <v>1</v>
      </c>
      <c r="X141" s="29" t="b">
        <v>1</v>
      </c>
      <c r="Y141" s="11" t="b">
        <v>1</v>
      </c>
      <c r="Z141" s="91" t="b">
        <v>1</v>
      </c>
      <c r="AA141" s="91" t="b">
        <v>1</v>
      </c>
      <c r="AB141" s="91" t="b">
        <v>1</v>
      </c>
      <c r="AC141" s="28" t="b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 t="b">
        <v>1</v>
      </c>
      <c r="AJ141" t="b">
        <v>1</v>
      </c>
    </row>
    <row r="142" spans="1:36" x14ac:dyDescent="0.25">
      <c r="A142" s="89" t="s">
        <v>184</v>
      </c>
      <c r="B142" s="15" t="s">
        <v>104</v>
      </c>
      <c r="C142" s="16"/>
      <c r="D142" s="16"/>
      <c r="E142" s="17" t="s">
        <v>65</v>
      </c>
      <c r="F142" s="18"/>
      <c r="G142" s="90" t="s">
        <v>186</v>
      </c>
      <c r="H142" s="20">
        <v>0</v>
      </c>
      <c r="I142" s="21">
        <f>IN[[#This Row],[Buffer]]</f>
        <v>0</v>
      </c>
      <c r="J142" s="22">
        <f>IF(IN[[#This Row],[Sim_]]=IN[[#This Row],[STAGE]],1,0)</f>
        <v>0</v>
      </c>
      <c r="K142" s="23" t="b">
        <f>[1]SIM!$EL$8</f>
        <v>1</v>
      </c>
      <c r="L142" s="24" t="b">
        <f>[1]SIM!$EL$4</f>
        <v>1</v>
      </c>
      <c r="M142" s="22">
        <f>IF(IN[[#This Row],[Sim_]]=IN[[#This Row],[Sim Var ref]],1,0)</f>
        <v>1</v>
      </c>
      <c r="N142" s="8" t="str">
        <f>[1]SIM!$EL$7</f>
        <v>p141</v>
      </c>
      <c r="O142" s="8">
        <v>142</v>
      </c>
      <c r="P142" s="55" t="b">
        <f>[1]SIM!$EL$3</f>
        <v>1</v>
      </c>
      <c r="Q142" s="22">
        <f>IF(IN[[#This Row],[Sim_]]=IN[[#This Row],[Direkt alt]],1,0)</f>
        <v>1</v>
      </c>
      <c r="R142" s="10">
        <v>0</v>
      </c>
      <c r="S142" s="22">
        <f>IF(IN[[#This Row],[Sim_]]=IN[[#This Row],[Buffer]],1,0)</f>
        <v>0</v>
      </c>
      <c r="T142" s="11" t="b">
        <v>1</v>
      </c>
      <c r="U142" s="21">
        <f>IN[[#This Row],[Buffer]]</f>
        <v>0</v>
      </c>
      <c r="V142" s="29" t="b">
        <v>1</v>
      </c>
      <c r="W142" s="29" t="b">
        <v>1</v>
      </c>
      <c r="X142" s="29" t="b">
        <v>1</v>
      </c>
      <c r="Y142" s="11" t="b">
        <v>1</v>
      </c>
      <c r="Z142" s="91" t="b">
        <v>1</v>
      </c>
      <c r="AA142" s="91" t="b">
        <v>1</v>
      </c>
      <c r="AB142" s="91" t="b">
        <v>1</v>
      </c>
      <c r="AC142" s="28" t="b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 t="b">
        <v>1</v>
      </c>
      <c r="AJ142" t="b">
        <v>1</v>
      </c>
    </row>
    <row r="143" spans="1:36" x14ac:dyDescent="0.25">
      <c r="A143" s="89" t="s">
        <v>184</v>
      </c>
      <c r="B143" s="15" t="s">
        <v>196</v>
      </c>
      <c r="C143" s="16"/>
      <c r="D143" s="16"/>
      <c r="E143" s="17" t="s">
        <v>65</v>
      </c>
      <c r="F143" s="18"/>
      <c r="G143" s="90" t="s">
        <v>186</v>
      </c>
      <c r="H143" s="20">
        <v>0</v>
      </c>
      <c r="I143" s="21">
        <f>IN[[#This Row],[Buffer]]</f>
        <v>0</v>
      </c>
      <c r="J143" s="22">
        <f>IF(IN[[#This Row],[Sim_]]=IN[[#This Row],[STAGE]],1,0)</f>
        <v>0</v>
      </c>
      <c r="K143" s="23" t="b">
        <f>[1]SIM!$EM$8</f>
        <v>0</v>
      </c>
      <c r="L143" s="24" t="b">
        <f>[1]SIM!$EM$4</f>
        <v>0</v>
      </c>
      <c r="M143" s="22">
        <f>IF(IN[[#This Row],[Sim_]]=IN[[#This Row],[Sim Var ref]],1,0)</f>
        <v>1</v>
      </c>
      <c r="N143" s="8" t="str">
        <f>[1]SIM!$EM$7</f>
        <v>p142</v>
      </c>
      <c r="O143" s="8">
        <v>143</v>
      </c>
      <c r="P143" s="55" t="b">
        <f>[1]SIM!$EM$3</f>
        <v>0</v>
      </c>
      <c r="Q143" s="22">
        <f>IF(IN[[#This Row],[Sim_]]=IN[[#This Row],[Direkt alt]],1,0)</f>
        <v>1</v>
      </c>
      <c r="R143" s="10">
        <v>0</v>
      </c>
      <c r="S143" s="22">
        <f>IF(IN[[#This Row],[Sim_]]=IN[[#This Row],[Buffer]],1,0)</f>
        <v>0</v>
      </c>
      <c r="T143" s="11" t="b">
        <v>0</v>
      </c>
      <c r="U143" s="21">
        <f>IN[[#This Row],[Buffer]]</f>
        <v>0</v>
      </c>
      <c r="V143" s="29" t="b">
        <v>0</v>
      </c>
      <c r="W143" s="29" t="b">
        <v>0</v>
      </c>
      <c r="X143" s="29" t="b">
        <v>0</v>
      </c>
      <c r="Y143" s="11" t="b">
        <v>0</v>
      </c>
      <c r="Z143" s="91" t="b">
        <v>0</v>
      </c>
      <c r="AA143" s="91" t="b">
        <v>0</v>
      </c>
      <c r="AB143" s="91" t="b">
        <v>0</v>
      </c>
      <c r="AC143" s="28" t="b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b">
        <v>0</v>
      </c>
    </row>
    <row r="144" spans="1:36" x14ac:dyDescent="0.25">
      <c r="A144" s="89" t="s">
        <v>184</v>
      </c>
      <c r="B144" s="15" t="s">
        <v>197</v>
      </c>
      <c r="C144" s="16"/>
      <c r="D144" s="16"/>
      <c r="E144" s="17" t="s">
        <v>65</v>
      </c>
      <c r="F144" s="18"/>
      <c r="G144" s="90" t="s">
        <v>186</v>
      </c>
      <c r="H144" s="20">
        <v>0</v>
      </c>
      <c r="I144" s="21">
        <f>IN[[#This Row],[Buffer]]</f>
        <v>0</v>
      </c>
      <c r="J144" s="22">
        <f>IF(IN[[#This Row],[Sim_]]=IN[[#This Row],[STAGE]],1,0)</f>
        <v>0</v>
      </c>
      <c r="K144" s="23" t="b">
        <f>[1]SIM!$EN$8</f>
        <v>0</v>
      </c>
      <c r="L144" s="24" t="b">
        <f>[1]SIM!$EN$4</f>
        <v>0</v>
      </c>
      <c r="M144" s="22">
        <f>IF(IN[[#This Row],[Sim_]]=IN[[#This Row],[Sim Var ref]],1,0)</f>
        <v>1</v>
      </c>
      <c r="N144" s="8" t="str">
        <f>[1]SIM!$EN$7</f>
        <v>p143</v>
      </c>
      <c r="O144" s="8">
        <v>144</v>
      </c>
      <c r="P144" s="55" t="b">
        <f>[1]SIM!$EN$3</f>
        <v>0</v>
      </c>
      <c r="Q144" s="22">
        <f>IF(IN[[#This Row],[Sim_]]=IN[[#This Row],[Direkt alt]],1,0)</f>
        <v>1</v>
      </c>
      <c r="R144" s="10">
        <v>0</v>
      </c>
      <c r="S144" s="22">
        <f>IF(IN[[#This Row],[Sim_]]=IN[[#This Row],[Buffer]],1,0)</f>
        <v>0</v>
      </c>
      <c r="T144" s="11" t="b">
        <v>0</v>
      </c>
      <c r="U144" s="21">
        <f>IN[[#This Row],[Buffer]]</f>
        <v>0</v>
      </c>
      <c r="V144" s="29" t="b">
        <v>0</v>
      </c>
      <c r="W144" s="29" t="b">
        <v>1</v>
      </c>
      <c r="X144" s="29" t="b">
        <v>0</v>
      </c>
      <c r="Y144" s="11" t="b">
        <v>0</v>
      </c>
      <c r="Z144" s="91" t="b">
        <v>0</v>
      </c>
      <c r="AA144" s="91" t="b">
        <v>0</v>
      </c>
      <c r="AB144" s="91" t="b">
        <v>0</v>
      </c>
      <c r="AC144" s="28" t="b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b">
        <v>0</v>
      </c>
    </row>
    <row r="145" spans="1:36" x14ac:dyDescent="0.25">
      <c r="A145" s="89" t="s">
        <v>184</v>
      </c>
      <c r="B145" s="15" t="s">
        <v>138</v>
      </c>
      <c r="C145" s="16"/>
      <c r="D145" s="16"/>
      <c r="E145" s="17" t="s">
        <v>65</v>
      </c>
      <c r="F145" s="18"/>
      <c r="G145" s="90" t="s">
        <v>186</v>
      </c>
      <c r="H145" s="20">
        <v>0</v>
      </c>
      <c r="I145" s="21">
        <f>IN[[#This Row],[Buffer]]</f>
        <v>0</v>
      </c>
      <c r="J145" s="22">
        <f>IF(IN[[#This Row],[Sim_]]=IN[[#This Row],[STAGE]],1,0)</f>
        <v>0</v>
      </c>
      <c r="K145" s="23" t="b">
        <f>[1]SIM!$EO$8</f>
        <v>1</v>
      </c>
      <c r="L145" s="24" t="b">
        <f>[1]SIM!$EO$4</f>
        <v>1</v>
      </c>
      <c r="M145" s="22">
        <f>IF(IN[[#This Row],[Sim_]]=IN[[#This Row],[Sim Var ref]],1,0)</f>
        <v>1</v>
      </c>
      <c r="N145" s="8" t="str">
        <f>[1]SIM!$EO$7</f>
        <v>p144</v>
      </c>
      <c r="O145" s="8">
        <v>145</v>
      </c>
      <c r="P145" s="55" t="b">
        <f>[1]SIM!$EO$3</f>
        <v>0</v>
      </c>
      <c r="Q145" s="22">
        <f>IF(IN[[#This Row],[Sim_]]=IN[[#This Row],[Direkt alt]],1,0)</f>
        <v>0</v>
      </c>
      <c r="R145" s="10">
        <v>0</v>
      </c>
      <c r="S145" s="22">
        <f>IF(IN[[#This Row],[Sim_]]=IN[[#This Row],[Buffer]],1,0)</f>
        <v>0</v>
      </c>
      <c r="T145" s="11" t="b">
        <v>1</v>
      </c>
      <c r="U145" s="21">
        <f>IN[[#This Row],[Buffer]]</f>
        <v>0</v>
      </c>
      <c r="V145" s="29" t="b">
        <v>1</v>
      </c>
      <c r="W145" s="29" t="b">
        <v>0</v>
      </c>
      <c r="X145" s="29" t="b">
        <v>0</v>
      </c>
      <c r="Y145" s="11" t="b">
        <v>1</v>
      </c>
      <c r="Z145" s="91" t="b">
        <v>0</v>
      </c>
      <c r="AA145" s="91" t="b">
        <v>1</v>
      </c>
      <c r="AB145" s="91" t="b">
        <v>1</v>
      </c>
      <c r="AC145" s="28" t="b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b">
        <v>1</v>
      </c>
      <c r="AJ145" t="b">
        <v>1</v>
      </c>
    </row>
    <row r="146" spans="1:36" x14ac:dyDescent="0.25">
      <c r="A146" s="6" t="s">
        <v>198</v>
      </c>
      <c r="B146" t="s">
        <v>199</v>
      </c>
      <c r="C146" s="16"/>
      <c r="D146" s="16"/>
      <c r="E146" s="17" t="s">
        <v>39</v>
      </c>
      <c r="F146" s="75"/>
      <c r="G146" s="93" t="s">
        <v>200</v>
      </c>
      <c r="H146" s="20">
        <v>0</v>
      </c>
      <c r="I146" s="21">
        <f>IN[[#This Row],[Buffer]]</f>
        <v>9106.5088645404267</v>
      </c>
      <c r="J146" s="22">
        <f>IF(IN[[#This Row],[Sim_]]=IN[[#This Row],[STAGE]],1,0)</f>
        <v>0</v>
      </c>
      <c r="K146" s="23">
        <f>[1]SIM!$EP$8</f>
        <v>1459.27</v>
      </c>
      <c r="L146" s="24">
        <f>[1]SIM!$EP$4</f>
        <v>1459.27</v>
      </c>
      <c r="M146" s="22">
        <f>IF(IN[[#This Row],[Sim_]]=IN[[#This Row],[Sim Var ref]],1,0)</f>
        <v>1</v>
      </c>
      <c r="N146" s="8" t="str">
        <f>[1]SIM!$EP$7</f>
        <v>p145</v>
      </c>
      <c r="O146" s="8">
        <v>146</v>
      </c>
      <c r="P146" s="55" t="e">
        <f>[1]SIM!$EP$3</f>
        <v>#REF!</v>
      </c>
      <c r="Q146" s="22" t="e">
        <f>IF(IN[[#This Row],[Sim_]]=IN[[#This Row],[Direkt alt]],1,0)</f>
        <v>#REF!</v>
      </c>
      <c r="R146" s="10">
        <v>9106.5088645404267</v>
      </c>
      <c r="S146" s="22">
        <f>IF(IN[[#This Row],[Sim_]]=IN[[#This Row],[Buffer]],1,0)</f>
        <v>0</v>
      </c>
      <c r="T146" s="11">
        <v>1459.27</v>
      </c>
      <c r="U146" s="21">
        <f>IN[[#This Row],[Buffer]]</f>
        <v>9106.5088645404267</v>
      </c>
      <c r="V146" s="29">
        <v>1459.27</v>
      </c>
      <c r="W146" s="29">
        <v>113.875</v>
      </c>
      <c r="X146" s="29">
        <v>550.37</v>
      </c>
      <c r="Y146" s="11">
        <v>1459.27</v>
      </c>
      <c r="Z146" s="27">
        <v>550.37</v>
      </c>
      <c r="AA146" s="27">
        <v>1459.27</v>
      </c>
      <c r="AB146" s="27">
        <v>1459.27</v>
      </c>
      <c r="AC146" s="28">
        <v>550.37</v>
      </c>
      <c r="AD146">
        <v>9106.5088645404267</v>
      </c>
      <c r="AE146">
        <v>9106.5088645404267</v>
      </c>
      <c r="AF146">
        <v>9106.5088645404267</v>
      </c>
      <c r="AG146">
        <v>9106.5088645404267</v>
      </c>
      <c r="AH146">
        <v>9106.5088645404267</v>
      </c>
      <c r="AI146">
        <v>1459.27</v>
      </c>
      <c r="AJ146">
        <v>1459.27</v>
      </c>
    </row>
    <row r="147" spans="1:36" x14ac:dyDescent="0.25">
      <c r="A147" s="6" t="s">
        <v>198</v>
      </c>
      <c r="B147" t="s">
        <v>201</v>
      </c>
      <c r="C147" s="16"/>
      <c r="D147" s="16"/>
      <c r="E147" s="17" t="s">
        <v>39</v>
      </c>
      <c r="F147" s="75"/>
      <c r="G147" s="93" t="s">
        <v>200</v>
      </c>
      <c r="H147" s="20">
        <v>0</v>
      </c>
      <c r="I147" s="21">
        <f>IN[[#This Row],[Buffer]]</f>
        <v>6912.551724902768</v>
      </c>
      <c r="J147" s="22">
        <f>IF(IN[[#This Row],[Sim_]]=IN[[#This Row],[STAGE]],1,0)</f>
        <v>0</v>
      </c>
      <c r="K147" s="23">
        <f>[1]SIM!$EQ$8</f>
        <v>690.72</v>
      </c>
      <c r="L147" s="24">
        <f>[1]SIM!$EQ$4</f>
        <v>690.72</v>
      </c>
      <c r="M147" s="22">
        <f>IF(IN[[#This Row],[Sim_]]=IN[[#This Row],[Sim Var ref]],1,0)</f>
        <v>1</v>
      </c>
      <c r="N147" s="8" t="str">
        <f>[1]SIM!$EQ$7</f>
        <v>p146</v>
      </c>
      <c r="O147" s="8">
        <v>147</v>
      </c>
      <c r="P147" s="55" t="e">
        <f>[1]SIM!$EQ$3</f>
        <v>#REF!</v>
      </c>
      <c r="Q147" s="22" t="e">
        <f>IF(IN[[#This Row],[Sim_]]=IN[[#This Row],[Direkt alt]],1,0)</f>
        <v>#REF!</v>
      </c>
      <c r="R147" s="10">
        <v>6912.551724902768</v>
      </c>
      <c r="S147" s="22">
        <f>IF(IN[[#This Row],[Sim_]]=IN[[#This Row],[Buffer]],1,0)</f>
        <v>0</v>
      </c>
      <c r="T147" s="11">
        <v>690.72</v>
      </c>
      <c r="U147" s="21">
        <f>IN[[#This Row],[Buffer]]</f>
        <v>6912.551724902768</v>
      </c>
      <c r="V147" s="29">
        <v>690.72</v>
      </c>
      <c r="W147" s="29">
        <v>136.06549999999999</v>
      </c>
      <c r="X147" s="29">
        <v>129.15</v>
      </c>
      <c r="Y147" s="11">
        <v>690.72</v>
      </c>
      <c r="Z147" s="27">
        <v>129.15</v>
      </c>
      <c r="AA147" s="27">
        <v>690.72</v>
      </c>
      <c r="AB147" s="27">
        <v>690.72</v>
      </c>
      <c r="AC147" s="28">
        <v>129.15</v>
      </c>
      <c r="AD147">
        <v>6912.551724902768</v>
      </c>
      <c r="AE147">
        <v>6912.551724902768</v>
      </c>
      <c r="AF147">
        <v>6912.551724902768</v>
      </c>
      <c r="AG147">
        <v>6912.551724902768</v>
      </c>
      <c r="AH147">
        <v>6912.551724902768</v>
      </c>
      <c r="AI147">
        <v>690.72</v>
      </c>
      <c r="AJ147">
        <v>690.72</v>
      </c>
    </row>
    <row r="148" spans="1:36" x14ac:dyDescent="0.25">
      <c r="A148" s="6" t="s">
        <v>198</v>
      </c>
      <c r="B148" t="s">
        <v>202</v>
      </c>
      <c r="C148" s="16"/>
      <c r="D148" s="16"/>
      <c r="E148" s="17" t="s">
        <v>39</v>
      </c>
      <c r="F148" s="75"/>
      <c r="G148" s="93" t="s">
        <v>200</v>
      </c>
      <c r="H148" s="20">
        <v>0</v>
      </c>
      <c r="I148" s="21">
        <f>IN[[#This Row],[Buffer]]</f>
        <v>8829.1132235792666</v>
      </c>
      <c r="J148" s="22">
        <f>IF(IN[[#This Row],[Sim_]]=IN[[#This Row],[STAGE]],1,0)</f>
        <v>0</v>
      </c>
      <c r="K148" s="23">
        <f>[1]SIM!$ER$8</f>
        <v>1335.1299999999999</v>
      </c>
      <c r="L148" s="24">
        <f>[1]SIM!$ER$4</f>
        <v>1335.1299999999999</v>
      </c>
      <c r="M148" s="22">
        <f>IF(IN[[#This Row],[Sim_]]=IN[[#This Row],[Sim Var ref]],1,0)</f>
        <v>1</v>
      </c>
      <c r="N148" s="8" t="str">
        <f>[1]SIM!$ER$7</f>
        <v>p147</v>
      </c>
      <c r="O148" s="8">
        <v>148</v>
      </c>
      <c r="P148" s="55" t="e">
        <f>[1]SIM!$ER$3</f>
        <v>#REF!</v>
      </c>
      <c r="Q148" s="22" t="e">
        <f>IF(IN[[#This Row],[Sim_]]=IN[[#This Row],[Direkt alt]],1,0)</f>
        <v>#REF!</v>
      </c>
      <c r="R148" s="10">
        <v>8829.1132235792666</v>
      </c>
      <c r="S148" s="22">
        <f>IF(IN[[#This Row],[Sim_]]=IN[[#This Row],[Buffer]],1,0)</f>
        <v>0</v>
      </c>
      <c r="T148" s="11">
        <v>1335.1299999999999</v>
      </c>
      <c r="U148" s="21">
        <f>IN[[#This Row],[Buffer]]</f>
        <v>8829.1132235792666</v>
      </c>
      <c r="V148" s="29">
        <v>1335.1299999999999</v>
      </c>
      <c r="W148" s="29">
        <v>180.24</v>
      </c>
      <c r="X148" s="29">
        <v>605.5</v>
      </c>
      <c r="Y148" s="11">
        <v>1335.1299999999999</v>
      </c>
      <c r="Z148" s="27">
        <v>605.5</v>
      </c>
      <c r="AA148" s="27">
        <v>1335.1299999999999</v>
      </c>
      <c r="AB148" s="27">
        <v>1335.1299999999999</v>
      </c>
      <c r="AC148" s="28">
        <v>605.5</v>
      </c>
      <c r="AD148">
        <v>8829.1132235792666</v>
      </c>
      <c r="AE148">
        <v>8829.1132235792666</v>
      </c>
      <c r="AF148">
        <v>8829.1132235792666</v>
      </c>
      <c r="AG148">
        <v>8829.1132235792666</v>
      </c>
      <c r="AH148">
        <v>8829.1132235792666</v>
      </c>
      <c r="AI148">
        <v>1335.1299999999999</v>
      </c>
      <c r="AJ148">
        <v>1335.1299999999999</v>
      </c>
    </row>
    <row r="149" spans="1:36" x14ac:dyDescent="0.25">
      <c r="A149" s="6" t="s">
        <v>198</v>
      </c>
      <c r="B149" t="s">
        <v>203</v>
      </c>
      <c r="C149" s="16"/>
      <c r="D149" s="16"/>
      <c r="E149" s="17" t="s">
        <v>39</v>
      </c>
      <c r="F149" s="75"/>
      <c r="G149" s="93" t="s">
        <v>200</v>
      </c>
      <c r="H149" s="20">
        <v>0</v>
      </c>
      <c r="I149" s="21">
        <f>IN[[#This Row],[Buffer]]</f>
        <v>5917.2022450421182</v>
      </c>
      <c r="J149" s="22">
        <f>IF(IN[[#This Row],[Sim_]]=IN[[#This Row],[STAGE]],1,0)</f>
        <v>0</v>
      </c>
      <c r="K149" s="23">
        <f>[1]SIM!$ES$8</f>
        <v>678.49000000000012</v>
      </c>
      <c r="L149" s="24">
        <f>[1]SIM!$ES$4</f>
        <v>678.49000000000012</v>
      </c>
      <c r="M149" s="22">
        <f>IF(IN[[#This Row],[Sim_]]=IN[[#This Row],[Sim Var ref]],1,0)</f>
        <v>1</v>
      </c>
      <c r="N149" s="8" t="str">
        <f>[1]SIM!$ES$7</f>
        <v>p148</v>
      </c>
      <c r="O149" s="8">
        <v>149</v>
      </c>
      <c r="P149" s="55" t="e">
        <f>[1]SIM!$ES$3</f>
        <v>#REF!</v>
      </c>
      <c r="Q149" s="22" t="e">
        <f>IF(IN[[#This Row],[Sim_]]=IN[[#This Row],[Direkt alt]],1,0)</f>
        <v>#REF!</v>
      </c>
      <c r="R149" s="10">
        <v>5917.2022450421182</v>
      </c>
      <c r="S149" s="22">
        <f>IF(IN[[#This Row],[Sim_]]=IN[[#This Row],[Buffer]],1,0)</f>
        <v>0</v>
      </c>
      <c r="T149" s="11">
        <v>678.49000000000012</v>
      </c>
      <c r="U149" s="21">
        <f>IN[[#This Row],[Buffer]]</f>
        <v>5917.2022450421182</v>
      </c>
      <c r="V149" s="29">
        <v>678.49000000000012</v>
      </c>
      <c r="W149" s="29">
        <v>313.245</v>
      </c>
      <c r="X149" s="29">
        <v>107.41999999999999</v>
      </c>
      <c r="Y149" s="11">
        <v>678.49000000000012</v>
      </c>
      <c r="Z149" s="27">
        <v>107.41999999999999</v>
      </c>
      <c r="AA149" s="27">
        <v>678.49000000000012</v>
      </c>
      <c r="AB149" s="27">
        <v>678.49000000000012</v>
      </c>
      <c r="AC149" s="28">
        <v>107.41999999999999</v>
      </c>
      <c r="AD149">
        <v>5917.2022450421182</v>
      </c>
      <c r="AE149">
        <v>5917.2022450421182</v>
      </c>
      <c r="AF149">
        <v>5917.2022450421182</v>
      </c>
      <c r="AG149">
        <v>5917.2022450421182</v>
      </c>
      <c r="AH149">
        <v>5917.2022450421182</v>
      </c>
      <c r="AI149">
        <v>678.49000000000012</v>
      </c>
      <c r="AJ149">
        <v>678.49000000000012</v>
      </c>
    </row>
    <row r="150" spans="1:36" x14ac:dyDescent="0.25">
      <c r="A150" s="6" t="s">
        <v>198</v>
      </c>
      <c r="B150" t="s">
        <v>204</v>
      </c>
      <c r="C150" s="16"/>
      <c r="D150" s="16"/>
      <c r="E150" s="17" t="s">
        <v>39</v>
      </c>
      <c r="F150" s="75"/>
      <c r="G150" s="93" t="s">
        <v>200</v>
      </c>
      <c r="H150" s="20">
        <v>0</v>
      </c>
      <c r="I150" s="21">
        <f>IN[[#This Row],[Buffer]]</f>
        <v>0</v>
      </c>
      <c r="J150" s="22">
        <f>IF(IN[[#This Row],[Sim_]]=IN[[#This Row],[STAGE]],1,0)</f>
        <v>1</v>
      </c>
      <c r="K150" s="23">
        <f>[1]SIM!$ET$8</f>
        <v>0</v>
      </c>
      <c r="L150" s="24">
        <f>[1]SIM!$ET$4</f>
        <v>0</v>
      </c>
      <c r="M150" s="22">
        <f>IF(IN[[#This Row],[Sim_]]=IN[[#This Row],[Sim Var ref]],1,0)</f>
        <v>1</v>
      </c>
      <c r="N150" s="8" t="str">
        <f>[1]SIM!$ET$7</f>
        <v>p149</v>
      </c>
      <c r="O150" s="8">
        <v>150</v>
      </c>
      <c r="P150" s="55" t="e">
        <f>[1]SIM!$ET$3</f>
        <v>#REF!</v>
      </c>
      <c r="Q150" s="22" t="e">
        <f>IF(IN[[#This Row],[Sim_]]=IN[[#This Row],[Direkt alt]],1,0)</f>
        <v>#REF!</v>
      </c>
      <c r="R150" s="10">
        <v>0</v>
      </c>
      <c r="S150" s="22">
        <f>IF(IN[[#This Row],[Sim_]]=IN[[#This Row],[Buffer]],1,0)</f>
        <v>1</v>
      </c>
      <c r="T150" s="11">
        <v>0</v>
      </c>
      <c r="U150" s="21">
        <f>IN[[#This Row],[Buffer]]</f>
        <v>0</v>
      </c>
      <c r="V150" s="29">
        <v>0</v>
      </c>
      <c r="W150" s="29">
        <v>0</v>
      </c>
      <c r="X150" s="29">
        <v>0</v>
      </c>
      <c r="Y150" s="11">
        <v>0</v>
      </c>
      <c r="Z150" s="27">
        <v>0</v>
      </c>
      <c r="AA150" s="27">
        <v>0</v>
      </c>
      <c r="AB150" s="27">
        <v>0</v>
      </c>
      <c r="AC150" s="28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s="6" t="s">
        <v>198</v>
      </c>
      <c r="B151" s="29" t="s">
        <v>205</v>
      </c>
      <c r="C151" s="94"/>
      <c r="D151" s="94"/>
      <c r="E151" s="17" t="s">
        <v>39</v>
      </c>
      <c r="F151" s="95"/>
      <c r="G151" s="93" t="s">
        <v>200</v>
      </c>
      <c r="H151" s="20">
        <v>0</v>
      </c>
      <c r="I151" s="21">
        <f>IN[[#This Row],[Buffer]]</f>
        <v>0.71755784189881</v>
      </c>
      <c r="J151" s="22">
        <f>IF(IN[[#This Row],[Sim_]]=IN[[#This Row],[STAGE]],1,0)</f>
        <v>0</v>
      </c>
      <c r="K151" s="23">
        <f>[1]SIM!$EU$8</f>
        <v>0.39489326478831027</v>
      </c>
      <c r="L151" s="24">
        <f>[1]SIM!$EU$4</f>
        <v>0.39489326478831027</v>
      </c>
      <c r="M151" s="22">
        <f>IF(IN[[#This Row],[Sim_]]=IN[[#This Row],[Sim Var ref]],1,0)</f>
        <v>1</v>
      </c>
      <c r="N151" s="8" t="str">
        <f>[1]SIM!$EU$7</f>
        <v>p150</v>
      </c>
      <c r="O151" s="8">
        <v>151</v>
      </c>
      <c r="P151" s="55" t="e">
        <f>[1]SIM!$EU$3</f>
        <v>#REF!</v>
      </c>
      <c r="Q151" s="22" t="e">
        <f>IF(IN[[#This Row],[Sim_]]=IN[[#This Row],[Direkt alt]],1,0)</f>
        <v>#REF!</v>
      </c>
      <c r="R151" s="10">
        <v>0.71755784189881</v>
      </c>
      <c r="S151" s="22">
        <f>IF(IN[[#This Row],[Sim_]]=IN[[#This Row],[Buffer]],1,0)</f>
        <v>0</v>
      </c>
      <c r="T151" s="11">
        <v>0.39489326478831027</v>
      </c>
      <c r="U151" s="21">
        <f>IN[[#This Row],[Buffer]]</f>
        <v>0.71755784189881</v>
      </c>
      <c r="V151" s="29">
        <v>0.39489326478831027</v>
      </c>
      <c r="W151" s="29">
        <v>0.38967233513065119</v>
      </c>
      <c r="X151" s="29">
        <v>0.5</v>
      </c>
      <c r="Y151" s="11">
        <v>0.39489326478831027</v>
      </c>
      <c r="Z151" s="27">
        <v>0.5</v>
      </c>
      <c r="AA151" s="27">
        <v>0.39489326478831027</v>
      </c>
      <c r="AB151" s="27">
        <v>0.39489326478831027</v>
      </c>
      <c r="AC151" s="28">
        <v>0.5</v>
      </c>
      <c r="AD151">
        <v>0.71755784189881</v>
      </c>
      <c r="AE151">
        <v>0.71755784189881</v>
      </c>
      <c r="AF151">
        <v>0.71755784189881</v>
      </c>
      <c r="AG151">
        <v>0.71755784189881</v>
      </c>
      <c r="AH151">
        <v>0.71755784189881</v>
      </c>
      <c r="AI151">
        <v>0.39489326478831027</v>
      </c>
      <c r="AJ151">
        <v>0.39489326478831027</v>
      </c>
    </row>
    <row r="152" spans="1:36" x14ac:dyDescent="0.25">
      <c r="A152" s="6" t="s">
        <v>198</v>
      </c>
      <c r="B152" s="29" t="s">
        <v>206</v>
      </c>
      <c r="C152" s="94"/>
      <c r="D152" s="94"/>
      <c r="E152" s="17" t="s">
        <v>39</v>
      </c>
      <c r="F152" s="95"/>
      <c r="G152" s="93" t="s">
        <v>200</v>
      </c>
      <c r="H152" s="20">
        <v>0</v>
      </c>
      <c r="I152" s="21">
        <f>IN[[#This Row],[Buffer]]</f>
        <v>0.71755784189881</v>
      </c>
      <c r="J152" s="22">
        <f>IF(IN[[#This Row],[Sim_]]=IN[[#This Row],[STAGE]],1,0)</f>
        <v>0</v>
      </c>
      <c r="K152" s="23">
        <f>[1]SIM!$EV$8</f>
        <v>0.39489326478831027</v>
      </c>
      <c r="L152" s="24">
        <f>[1]SIM!$EV$4</f>
        <v>0.39489326478831027</v>
      </c>
      <c r="M152" s="22">
        <f>IF(IN[[#This Row],[Sim_]]=IN[[#This Row],[Sim Var ref]],1,0)</f>
        <v>1</v>
      </c>
      <c r="N152" s="8" t="str">
        <f>[1]SIM!$EV$7</f>
        <v>p151</v>
      </c>
      <c r="O152" s="8">
        <v>152</v>
      </c>
      <c r="P152" s="55" t="e">
        <f>[1]SIM!$EV$3</f>
        <v>#REF!</v>
      </c>
      <c r="Q152" s="22" t="e">
        <f>IF(IN[[#This Row],[Sim_]]=IN[[#This Row],[Direkt alt]],1,0)</f>
        <v>#REF!</v>
      </c>
      <c r="R152" s="10">
        <v>0.71755784189881</v>
      </c>
      <c r="S152" s="22">
        <f>IF(IN[[#This Row],[Sim_]]=IN[[#This Row],[Buffer]],1,0)</f>
        <v>0</v>
      </c>
      <c r="T152" s="11">
        <v>0.39489326478831027</v>
      </c>
      <c r="U152" s="21">
        <f>IN[[#This Row],[Buffer]]</f>
        <v>0.71755784189881</v>
      </c>
      <c r="V152" s="29">
        <v>0.39489326478831027</v>
      </c>
      <c r="W152" s="29">
        <v>0.5</v>
      </c>
      <c r="X152" s="29">
        <v>0.5</v>
      </c>
      <c r="Y152" s="11">
        <v>0.39489326478831027</v>
      </c>
      <c r="Z152" s="27">
        <v>0.5</v>
      </c>
      <c r="AA152" s="27">
        <v>0.39489326478831027</v>
      </c>
      <c r="AB152" s="27">
        <v>0.39489326478831027</v>
      </c>
      <c r="AC152" s="28">
        <v>0.5</v>
      </c>
      <c r="AD152">
        <v>0.71755784189881</v>
      </c>
      <c r="AE152">
        <v>0.71755784189881</v>
      </c>
      <c r="AF152">
        <v>0.71755784189881</v>
      </c>
      <c r="AG152">
        <v>0.71755784189881</v>
      </c>
      <c r="AH152">
        <v>0.71755784189881</v>
      </c>
      <c r="AI152">
        <v>0.39489326478831027</v>
      </c>
      <c r="AJ152">
        <v>0.39489326478831027</v>
      </c>
    </row>
    <row r="153" spans="1:36" x14ac:dyDescent="0.25">
      <c r="A153" s="6" t="s">
        <v>198</v>
      </c>
      <c r="B153" s="29" t="s">
        <v>207</v>
      </c>
      <c r="C153" s="94"/>
      <c r="D153" s="94"/>
      <c r="E153" s="17" t="s">
        <v>39</v>
      </c>
      <c r="F153" s="95"/>
      <c r="G153" s="93" t="s">
        <v>200</v>
      </c>
      <c r="H153" s="20">
        <v>0</v>
      </c>
      <c r="I153" s="21">
        <f>IN[[#This Row],[Buffer]]</f>
        <v>0.71755784189881</v>
      </c>
      <c r="J153" s="22">
        <f>IF(IN[[#This Row],[Sim_]]=IN[[#This Row],[STAGE]],1,0)</f>
        <v>0</v>
      </c>
      <c r="K153" s="23">
        <f>[1]SIM!$EW$8</f>
        <v>0.39489326478831027</v>
      </c>
      <c r="L153" s="24">
        <f>[1]SIM!$EW$4</f>
        <v>0.39489326478831027</v>
      </c>
      <c r="M153" s="22">
        <f>IF(IN[[#This Row],[Sim_]]=IN[[#This Row],[Sim Var ref]],1,0)</f>
        <v>1</v>
      </c>
      <c r="N153" s="8" t="str">
        <f>[1]SIM!$EW$7</f>
        <v>p152</v>
      </c>
      <c r="O153" s="8">
        <v>153</v>
      </c>
      <c r="P153" s="55" t="e">
        <f>[1]SIM!$EW$3</f>
        <v>#REF!</v>
      </c>
      <c r="Q153" s="22" t="e">
        <f>IF(IN[[#This Row],[Sim_]]=IN[[#This Row],[Direkt alt]],1,0)</f>
        <v>#REF!</v>
      </c>
      <c r="R153" s="10">
        <v>0.71755784189881</v>
      </c>
      <c r="S153" s="22">
        <f>IF(IN[[#This Row],[Sim_]]=IN[[#This Row],[Buffer]],1,0)</f>
        <v>0</v>
      </c>
      <c r="T153" s="11">
        <v>0.39489326478831027</v>
      </c>
      <c r="U153" s="21">
        <f>IN[[#This Row],[Buffer]]</f>
        <v>0.71755784189881</v>
      </c>
      <c r="V153" s="29">
        <v>0.39489326478831027</v>
      </c>
      <c r="W153" s="29">
        <v>0.5</v>
      </c>
      <c r="X153" s="29">
        <v>0.5</v>
      </c>
      <c r="Y153" s="11">
        <v>0.39489326478831027</v>
      </c>
      <c r="Z153" s="27">
        <v>0.5</v>
      </c>
      <c r="AA153" s="27">
        <v>0.39489326478831027</v>
      </c>
      <c r="AB153" s="27">
        <v>0.39489326478831027</v>
      </c>
      <c r="AC153" s="28">
        <v>0.5</v>
      </c>
      <c r="AD153">
        <v>0.71755784189881</v>
      </c>
      <c r="AE153">
        <v>0.71755784189881</v>
      </c>
      <c r="AF153">
        <v>0.71755784189881</v>
      </c>
      <c r="AG153">
        <v>0.71755784189881</v>
      </c>
      <c r="AH153">
        <v>0.71755784189881</v>
      </c>
      <c r="AI153">
        <v>0.39489326478831027</v>
      </c>
      <c r="AJ153">
        <v>0.39489326478831027</v>
      </c>
    </row>
    <row r="154" spans="1:36" x14ac:dyDescent="0.25">
      <c r="A154" s="6" t="s">
        <v>198</v>
      </c>
      <c r="B154" s="29" t="s">
        <v>208</v>
      </c>
      <c r="C154" s="94"/>
      <c r="D154" s="94"/>
      <c r="E154" s="17" t="s">
        <v>39</v>
      </c>
      <c r="F154" s="95"/>
      <c r="G154" s="93" t="s">
        <v>200</v>
      </c>
      <c r="H154" s="20">
        <v>0</v>
      </c>
      <c r="I154" s="21">
        <f>IN[[#This Row],[Buffer]]</f>
        <v>0.71755784189881</v>
      </c>
      <c r="J154" s="22">
        <f>IF(IN[[#This Row],[Sim_]]=IN[[#This Row],[STAGE]],1,0)</f>
        <v>0</v>
      </c>
      <c r="K154" s="23">
        <f>[1]SIM!$EX$8</f>
        <v>0.39489326478831027</v>
      </c>
      <c r="L154" s="24">
        <f>[1]SIM!$EX$4</f>
        <v>0.39489326478831027</v>
      </c>
      <c r="M154" s="22">
        <f>IF(IN[[#This Row],[Sim_]]=IN[[#This Row],[Sim Var ref]],1,0)</f>
        <v>1</v>
      </c>
      <c r="N154" s="8" t="str">
        <f>[1]SIM!$EX$7</f>
        <v>p153</v>
      </c>
      <c r="O154" s="8">
        <v>154</v>
      </c>
      <c r="P154" s="55" t="e">
        <f>[1]SIM!$EX$3</f>
        <v>#REF!</v>
      </c>
      <c r="Q154" s="22" t="e">
        <f>IF(IN[[#This Row],[Sim_]]=IN[[#This Row],[Direkt alt]],1,0)</f>
        <v>#REF!</v>
      </c>
      <c r="R154" s="10">
        <v>0.71755784189881</v>
      </c>
      <c r="S154" s="22">
        <f>IF(IN[[#This Row],[Sim_]]=IN[[#This Row],[Buffer]],1,0)</f>
        <v>0</v>
      </c>
      <c r="T154" s="11">
        <v>0.39489326478831027</v>
      </c>
      <c r="U154" s="21">
        <f>IN[[#This Row],[Buffer]]</f>
        <v>0.71755784189881</v>
      </c>
      <c r="V154" s="29">
        <v>0.39489326478831027</v>
      </c>
      <c r="W154" s="29">
        <v>0.5</v>
      </c>
      <c r="X154" s="29">
        <v>0.5</v>
      </c>
      <c r="Y154" s="11">
        <v>0.39489326478831027</v>
      </c>
      <c r="Z154" s="27">
        <v>0.5</v>
      </c>
      <c r="AA154" s="27">
        <v>0.39489326478831027</v>
      </c>
      <c r="AB154" s="27">
        <v>0.39489326478831027</v>
      </c>
      <c r="AC154" s="28">
        <v>0.5</v>
      </c>
      <c r="AD154">
        <v>0.71755784189881</v>
      </c>
      <c r="AE154">
        <v>0.71755784189881</v>
      </c>
      <c r="AF154">
        <v>0.71755784189881</v>
      </c>
      <c r="AG154">
        <v>0.71755784189881</v>
      </c>
      <c r="AH154">
        <v>0.71755784189881</v>
      </c>
      <c r="AI154">
        <v>0.39489326478831027</v>
      </c>
      <c r="AJ154">
        <v>0.39489326478831027</v>
      </c>
    </row>
    <row r="155" spans="1:36" x14ac:dyDescent="0.25">
      <c r="A155" s="6" t="s">
        <v>198</v>
      </c>
      <c r="B155" s="29" t="s">
        <v>209</v>
      </c>
      <c r="C155" s="94"/>
      <c r="D155" s="94"/>
      <c r="E155" s="17" t="s">
        <v>39</v>
      </c>
      <c r="F155" s="95"/>
      <c r="G155" s="93" t="s">
        <v>200</v>
      </c>
      <c r="H155" s="20">
        <v>0</v>
      </c>
      <c r="I155" s="21">
        <f>IN[[#This Row],[Buffer]]</f>
        <v>0.71755784189881</v>
      </c>
      <c r="J155" s="22">
        <f>IF(IN[[#This Row],[Sim_]]=IN[[#This Row],[STAGE]],1,0)</f>
        <v>0</v>
      </c>
      <c r="K155" s="23">
        <f>[1]SIM!$EY$8</f>
        <v>0.39489326478831027</v>
      </c>
      <c r="L155" s="24">
        <f>[1]SIM!$EY$4</f>
        <v>0.39489326478831027</v>
      </c>
      <c r="M155" s="22">
        <f>IF(IN[[#This Row],[Sim_]]=IN[[#This Row],[Sim Var ref]],1,0)</f>
        <v>1</v>
      </c>
      <c r="N155" s="8" t="str">
        <f>[1]SIM!$EY$7</f>
        <v>p154</v>
      </c>
      <c r="O155" s="8">
        <v>155</v>
      </c>
      <c r="P155" s="55" t="e">
        <f>[1]SIM!$EY$3</f>
        <v>#REF!</v>
      </c>
      <c r="Q155" s="22" t="e">
        <f>IF(IN[[#This Row],[Sim_]]=IN[[#This Row],[Direkt alt]],1,0)</f>
        <v>#REF!</v>
      </c>
      <c r="R155" s="10">
        <v>0.71755784189881</v>
      </c>
      <c r="S155" s="22">
        <f>IF(IN[[#This Row],[Sim_]]=IN[[#This Row],[Buffer]],1,0)</f>
        <v>0</v>
      </c>
      <c r="T155" s="11">
        <v>0.39489326478831027</v>
      </c>
      <c r="U155" s="21">
        <f>IN[[#This Row],[Buffer]]</f>
        <v>0.71755784189881</v>
      </c>
      <c r="V155" s="29">
        <v>0.39489326478831027</v>
      </c>
      <c r="W155" s="29">
        <v>0</v>
      </c>
      <c r="X155" s="29">
        <v>0.5</v>
      </c>
      <c r="Y155" s="11">
        <v>0.39489326478831027</v>
      </c>
      <c r="Z155" s="27">
        <v>0.5</v>
      </c>
      <c r="AA155" s="27">
        <v>0.39489326478831027</v>
      </c>
      <c r="AB155" s="27">
        <v>0.39489326478831027</v>
      </c>
      <c r="AC155" s="28">
        <v>0.5</v>
      </c>
      <c r="AD155">
        <v>0.71755784189881</v>
      </c>
      <c r="AE155">
        <v>0.71755784189881</v>
      </c>
      <c r="AF155">
        <v>0.71755784189881</v>
      </c>
      <c r="AG155">
        <v>0.71755784189881</v>
      </c>
      <c r="AH155">
        <v>0.71755784189881</v>
      </c>
      <c r="AI155">
        <v>0.39489326478831027</v>
      </c>
      <c r="AJ155">
        <v>0.39489326478831027</v>
      </c>
    </row>
    <row r="156" spans="1:36" x14ac:dyDescent="0.25">
      <c r="A156" s="6" t="s">
        <v>198</v>
      </c>
      <c r="B156" s="29" t="s">
        <v>210</v>
      </c>
      <c r="C156" s="94"/>
      <c r="D156" s="94"/>
      <c r="E156" s="17" t="s">
        <v>39</v>
      </c>
      <c r="F156" s="95"/>
      <c r="G156" s="93" t="s">
        <v>200</v>
      </c>
      <c r="H156" s="20">
        <v>0</v>
      </c>
      <c r="I156" s="21">
        <f>IN[[#This Row],[Buffer]]</f>
        <v>0.40000000000000008</v>
      </c>
      <c r="J156" s="22">
        <f>IF(IN[[#This Row],[Sim_]]=IN[[#This Row],[STAGE]],1,0)</f>
        <v>0</v>
      </c>
      <c r="K156" s="23">
        <f>[1]SIM!$EZ$8</f>
        <v>0.64795770602231528</v>
      </c>
      <c r="L156" s="24">
        <f>[1]SIM!$EZ$4</f>
        <v>0.64795770602231528</v>
      </c>
      <c r="M156" s="22">
        <f>IF(IN[[#This Row],[Sim_]]=IN[[#This Row],[Sim Var ref]],1,0)</f>
        <v>1</v>
      </c>
      <c r="N156" s="8" t="str">
        <f>[1]SIM!$EZ$7</f>
        <v>p155</v>
      </c>
      <c r="O156" s="8">
        <v>156</v>
      </c>
      <c r="P156" s="55" t="e">
        <f>[1]SIM!$EZ$3</f>
        <v>#REF!</v>
      </c>
      <c r="Q156" s="22" t="e">
        <f>IF(IN[[#This Row],[Sim_]]=IN[[#This Row],[Direkt alt]],1,0)</f>
        <v>#REF!</v>
      </c>
      <c r="R156" s="10">
        <v>0.40000000000000008</v>
      </c>
      <c r="S156" s="22">
        <f>IF(IN[[#This Row],[Sim_]]=IN[[#This Row],[Buffer]],1,0)</f>
        <v>0</v>
      </c>
      <c r="T156" s="11">
        <v>0.64795770602231528</v>
      </c>
      <c r="U156" s="21">
        <f>IN[[#This Row],[Buffer]]</f>
        <v>0.40000000000000008</v>
      </c>
      <c r="V156" s="27">
        <v>0.64795770602231528</v>
      </c>
      <c r="W156" s="27">
        <v>0.36850116521656051</v>
      </c>
      <c r="X156" s="27">
        <v>0.4</v>
      </c>
      <c r="Y156" s="11">
        <v>0.64795770602231528</v>
      </c>
      <c r="Z156" s="27">
        <v>0.4</v>
      </c>
      <c r="AA156" s="27">
        <v>0.64795770602231528</v>
      </c>
      <c r="AB156" s="27">
        <v>0.64795770602231528</v>
      </c>
      <c r="AC156" s="28">
        <v>0.4</v>
      </c>
      <c r="AD156">
        <v>0.40000000000000008</v>
      </c>
      <c r="AE156">
        <v>0.40000000000000008</v>
      </c>
      <c r="AF156">
        <v>0.40000000000000008</v>
      </c>
      <c r="AG156">
        <v>0.40000000000000008</v>
      </c>
      <c r="AH156">
        <v>0.40000000000000008</v>
      </c>
      <c r="AI156">
        <v>0.64795770602231528</v>
      </c>
      <c r="AJ156">
        <v>0.64795770602231528</v>
      </c>
    </row>
    <row r="157" spans="1:36" x14ac:dyDescent="0.25">
      <c r="A157" s="6" t="s">
        <v>198</v>
      </c>
      <c r="B157" s="29" t="s">
        <v>211</v>
      </c>
      <c r="C157" s="94"/>
      <c r="D157" s="94"/>
      <c r="E157" s="17" t="s">
        <v>39</v>
      </c>
      <c r="F157" s="95"/>
      <c r="G157" s="93" t="s">
        <v>200</v>
      </c>
      <c r="H157" s="20">
        <v>0</v>
      </c>
      <c r="I157" s="21">
        <f>IN[[#This Row],[Buffer]]</f>
        <v>0.40000000000000008</v>
      </c>
      <c r="J157" s="22">
        <f>IF(IN[[#This Row],[Sim_]]=IN[[#This Row],[STAGE]],1,0)</f>
        <v>0</v>
      </c>
      <c r="K157" s="23">
        <f>[1]SIM!$FA$8</f>
        <v>0.60779825154475386</v>
      </c>
      <c r="L157" s="24">
        <f>[1]SIM!$FA$4</f>
        <v>0.60779825154475386</v>
      </c>
      <c r="M157" s="22">
        <f>IF(IN[[#This Row],[Sim_]]=IN[[#This Row],[Sim Var ref]],1,0)</f>
        <v>1</v>
      </c>
      <c r="N157" s="8" t="str">
        <f>[1]SIM!$FA$7</f>
        <v>p156</v>
      </c>
      <c r="O157" s="8">
        <v>157</v>
      </c>
      <c r="P157" s="55" t="e">
        <f>[1]SIM!$FA$3</f>
        <v>#REF!</v>
      </c>
      <c r="Q157" s="22" t="e">
        <f>IF(IN[[#This Row],[Sim_]]=IN[[#This Row],[Direkt alt]],1,0)</f>
        <v>#REF!</v>
      </c>
      <c r="R157" s="10">
        <v>0.40000000000000008</v>
      </c>
      <c r="S157" s="22">
        <f>IF(IN[[#This Row],[Sim_]]=IN[[#This Row],[Buffer]],1,0)</f>
        <v>0</v>
      </c>
      <c r="T157" s="11">
        <v>0.60779825154475386</v>
      </c>
      <c r="U157" s="21">
        <f>IN[[#This Row],[Buffer]]</f>
        <v>0.40000000000000008</v>
      </c>
      <c r="V157" s="27">
        <v>0.60779825154475386</v>
      </c>
      <c r="W157" s="27">
        <v>0.4529605879940522</v>
      </c>
      <c r="X157" s="27">
        <v>0.4</v>
      </c>
      <c r="Y157" s="11">
        <v>0.60779825154475386</v>
      </c>
      <c r="Z157" s="27">
        <v>0.4</v>
      </c>
      <c r="AA157" s="27">
        <v>0.60779825154475386</v>
      </c>
      <c r="AB157" s="27">
        <v>0.60779825154475386</v>
      </c>
      <c r="AC157" s="28">
        <v>0.4</v>
      </c>
      <c r="AD157">
        <v>0.40000000000000008</v>
      </c>
      <c r="AE157">
        <v>0.40000000000000008</v>
      </c>
      <c r="AF157">
        <v>0.40000000000000008</v>
      </c>
      <c r="AG157">
        <v>0.40000000000000008</v>
      </c>
      <c r="AH157">
        <v>0.40000000000000008</v>
      </c>
      <c r="AI157">
        <v>0.60779825154475386</v>
      </c>
      <c r="AJ157">
        <v>0.60779825154475386</v>
      </c>
    </row>
    <row r="158" spans="1:36" x14ac:dyDescent="0.25">
      <c r="A158" s="6" t="s">
        <v>198</v>
      </c>
      <c r="B158" s="29" t="s">
        <v>212</v>
      </c>
      <c r="C158" s="94"/>
      <c r="D158" s="94"/>
      <c r="E158" s="17" t="s">
        <v>39</v>
      </c>
      <c r="F158" s="95"/>
      <c r="G158" s="93" t="s">
        <v>200</v>
      </c>
      <c r="H158" s="20">
        <v>0</v>
      </c>
      <c r="I158" s="21">
        <f>IN[[#This Row],[Buffer]]</f>
        <v>0.40000000000000008</v>
      </c>
      <c r="J158" s="22">
        <f>IF(IN[[#This Row],[Sim_]]=IN[[#This Row],[STAGE]],1,0)</f>
        <v>0</v>
      </c>
      <c r="K158" s="23">
        <f>[1]SIM!$FB$8</f>
        <v>0.68530224545348639</v>
      </c>
      <c r="L158" s="24">
        <f>[1]SIM!$FB$4</f>
        <v>0.68530224545348639</v>
      </c>
      <c r="M158" s="22">
        <f>IF(IN[[#This Row],[Sim_]]=IN[[#This Row],[Sim Var ref]],1,0)</f>
        <v>1</v>
      </c>
      <c r="N158" s="8" t="str">
        <f>[1]SIM!$FB$7</f>
        <v>p157</v>
      </c>
      <c r="O158" s="8">
        <v>158</v>
      </c>
      <c r="P158" s="55" t="e">
        <f>[1]SIM!$FB$3</f>
        <v>#REF!</v>
      </c>
      <c r="Q158" s="22" t="e">
        <f>IF(IN[[#This Row],[Sim_]]=IN[[#This Row],[Direkt alt]],1,0)</f>
        <v>#REF!</v>
      </c>
      <c r="R158" s="10">
        <v>0.40000000000000008</v>
      </c>
      <c r="S158" s="22">
        <f>IF(IN[[#This Row],[Sim_]]=IN[[#This Row],[Buffer]],1,0)</f>
        <v>0</v>
      </c>
      <c r="T158" s="11">
        <v>0.68530224545348639</v>
      </c>
      <c r="U158" s="21">
        <f>IN[[#This Row],[Buffer]]</f>
        <v>0.40000000000000008</v>
      </c>
      <c r="V158" s="27">
        <v>0.68530224545348639</v>
      </c>
      <c r="W158" s="27">
        <v>0.43818904240526796</v>
      </c>
      <c r="X158" s="27">
        <v>0.4</v>
      </c>
      <c r="Y158" s="11">
        <v>0.68530224545348639</v>
      </c>
      <c r="Z158" s="27">
        <v>0.4</v>
      </c>
      <c r="AA158" s="27">
        <v>0.68530224545348639</v>
      </c>
      <c r="AB158" s="27">
        <v>0.68530224545348639</v>
      </c>
      <c r="AC158" s="28">
        <v>0.4</v>
      </c>
      <c r="AD158">
        <v>0.40000000000000008</v>
      </c>
      <c r="AE158">
        <v>0.40000000000000008</v>
      </c>
      <c r="AF158">
        <v>0.40000000000000008</v>
      </c>
      <c r="AG158">
        <v>0.40000000000000008</v>
      </c>
      <c r="AH158">
        <v>0.40000000000000008</v>
      </c>
      <c r="AI158">
        <v>0.68530224545348639</v>
      </c>
      <c r="AJ158">
        <v>0.68530224545348639</v>
      </c>
    </row>
    <row r="159" spans="1:36" x14ac:dyDescent="0.25">
      <c r="A159" s="6" t="s">
        <v>198</v>
      </c>
      <c r="B159" s="29" t="s">
        <v>213</v>
      </c>
      <c r="C159" s="94"/>
      <c r="D159" s="94"/>
      <c r="E159" s="17" t="s">
        <v>39</v>
      </c>
      <c r="F159" s="95"/>
      <c r="G159" s="93" t="s">
        <v>200</v>
      </c>
      <c r="H159" s="20">
        <v>0</v>
      </c>
      <c r="I159" s="21">
        <f>IN[[#This Row],[Buffer]]</f>
        <v>0.40000000000000008</v>
      </c>
      <c r="J159" s="22">
        <f>IF(IN[[#This Row],[Sim_]]=IN[[#This Row],[STAGE]],1,0)</f>
        <v>0</v>
      </c>
      <c r="K159" s="23">
        <f>[1]SIM!$FC$8</f>
        <v>0.60779825154475386</v>
      </c>
      <c r="L159" s="24">
        <f>[1]SIM!$FC$4</f>
        <v>0.60779825154475386</v>
      </c>
      <c r="M159" s="22">
        <f>IF(IN[[#This Row],[Sim_]]=IN[[#This Row],[Sim Var ref]],1,0)</f>
        <v>1</v>
      </c>
      <c r="N159" s="8" t="str">
        <f>[1]SIM!$FC$7</f>
        <v>p158</v>
      </c>
      <c r="O159" s="8">
        <v>159</v>
      </c>
      <c r="P159" s="55" t="e">
        <f>[1]SIM!$FC$3</f>
        <v>#REF!</v>
      </c>
      <c r="Q159" s="22" t="e">
        <f>IF(IN[[#This Row],[Sim_]]=IN[[#This Row],[Direkt alt]],1,0)</f>
        <v>#REF!</v>
      </c>
      <c r="R159" s="10">
        <v>0.40000000000000008</v>
      </c>
      <c r="S159" s="22">
        <f>IF(IN[[#This Row],[Sim_]]=IN[[#This Row],[Buffer]],1,0)</f>
        <v>0</v>
      </c>
      <c r="T159" s="11">
        <v>0.60779825154475386</v>
      </c>
      <c r="U159" s="21">
        <f>IN[[#This Row],[Buffer]]</f>
        <v>0.40000000000000008</v>
      </c>
      <c r="V159" s="27">
        <v>0.60779825154475386</v>
      </c>
      <c r="W159" s="27">
        <v>0.38898413373678015</v>
      </c>
      <c r="X159" s="27">
        <v>0.4</v>
      </c>
      <c r="Y159" s="11">
        <v>0.60779825154475386</v>
      </c>
      <c r="Z159" s="27">
        <v>0.4</v>
      </c>
      <c r="AA159" s="27">
        <v>0.60779825154475386</v>
      </c>
      <c r="AB159" s="27">
        <v>0.60779825154475386</v>
      </c>
      <c r="AC159" s="28">
        <v>0.4</v>
      </c>
      <c r="AD159">
        <v>0.40000000000000008</v>
      </c>
      <c r="AE159">
        <v>0.40000000000000008</v>
      </c>
      <c r="AF159">
        <v>0.40000000000000008</v>
      </c>
      <c r="AG159">
        <v>0.40000000000000008</v>
      </c>
      <c r="AH159">
        <v>0.40000000000000008</v>
      </c>
      <c r="AI159">
        <v>0.60779825154475386</v>
      </c>
      <c r="AJ159">
        <v>0.60779825154475386</v>
      </c>
    </row>
    <row r="160" spans="1:36" x14ac:dyDescent="0.25">
      <c r="A160" s="6" t="s">
        <v>198</v>
      </c>
      <c r="B160" s="29" t="s">
        <v>214</v>
      </c>
      <c r="C160" s="94"/>
      <c r="D160" s="94"/>
      <c r="E160" s="17" t="s">
        <v>39</v>
      </c>
      <c r="F160" s="95"/>
      <c r="G160" s="93" t="s">
        <v>200</v>
      </c>
      <c r="H160" s="20">
        <v>0</v>
      </c>
      <c r="I160" s="21">
        <f>IN[[#This Row],[Buffer]]</f>
        <v>0</v>
      </c>
      <c r="J160" s="22">
        <f>IF(IN[[#This Row],[Sim_]]=IN[[#This Row],[STAGE]],1,0)</f>
        <v>1</v>
      </c>
      <c r="K160" s="23">
        <f>[1]SIM!$FD$8</f>
        <v>0</v>
      </c>
      <c r="L160" s="24">
        <f>[1]SIM!$FD$4</f>
        <v>0</v>
      </c>
      <c r="M160" s="22">
        <f>IF(IN[[#This Row],[Sim_]]=IN[[#This Row],[Sim Var ref]],1,0)</f>
        <v>1</v>
      </c>
      <c r="N160" s="8" t="str">
        <f>[1]SIM!$FD$7</f>
        <v>p159</v>
      </c>
      <c r="O160" s="8">
        <v>160</v>
      </c>
      <c r="P160" s="55" t="e">
        <f>[1]SIM!$FD$3</f>
        <v>#REF!</v>
      </c>
      <c r="Q160" s="22" t="e">
        <f>IF(IN[[#This Row],[Sim_]]=IN[[#This Row],[Direkt alt]],1,0)</f>
        <v>#REF!</v>
      </c>
      <c r="R160" s="10">
        <v>0</v>
      </c>
      <c r="S160" s="22">
        <f>IF(IN[[#This Row],[Sim_]]=IN[[#This Row],[Buffer]],1,0)</f>
        <v>1</v>
      </c>
      <c r="T160" s="11">
        <v>0</v>
      </c>
      <c r="U160" s="21">
        <f>IN[[#This Row],[Buffer]]</f>
        <v>0</v>
      </c>
      <c r="V160" s="27">
        <v>0</v>
      </c>
      <c r="W160" s="27">
        <v>0</v>
      </c>
      <c r="X160" s="27">
        <v>0</v>
      </c>
      <c r="Y160" s="11">
        <v>0</v>
      </c>
      <c r="Z160" s="27">
        <v>0</v>
      </c>
      <c r="AA160" s="27">
        <v>0</v>
      </c>
      <c r="AB160" s="27">
        <v>0</v>
      </c>
      <c r="AC160" s="28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s="6" t="s">
        <v>198</v>
      </c>
      <c r="B161" s="29" t="s">
        <v>215</v>
      </c>
      <c r="C161" s="94"/>
      <c r="D161" s="94"/>
      <c r="E161" s="17" t="s">
        <v>39</v>
      </c>
      <c r="F161" s="95"/>
      <c r="G161" s="93" t="s">
        <v>200</v>
      </c>
      <c r="H161" s="20">
        <v>0</v>
      </c>
      <c r="I161" s="21">
        <f>IN[[#This Row],[Buffer]]</f>
        <v>0.81411506327150274</v>
      </c>
      <c r="J161" s="22">
        <f>IF(IN[[#This Row],[Sim_]]=IN[[#This Row],[STAGE]],1,0)</f>
        <v>0</v>
      </c>
      <c r="K161" s="23">
        <f>[1]SIM!$FE$8</f>
        <v>0.26787396065225272</v>
      </c>
      <c r="L161" s="24">
        <f>[1]SIM!$FE$4</f>
        <v>0.26787396065225272</v>
      </c>
      <c r="M161" s="22">
        <f>IF(IN[[#This Row],[Sim_]]=IN[[#This Row],[Sim Var ref]],1,0)</f>
        <v>1</v>
      </c>
      <c r="N161" s="8" t="str">
        <f>[1]SIM!$FE$7</f>
        <v>p160</v>
      </c>
      <c r="O161" s="8">
        <v>161</v>
      </c>
      <c r="P161" s="55" t="e">
        <f>[1]SIM!$FE$3</f>
        <v>#REF!</v>
      </c>
      <c r="Q161" s="22" t="e">
        <f>IF(IN[[#This Row],[Sim_]]=IN[[#This Row],[Direkt alt]],1,0)</f>
        <v>#REF!</v>
      </c>
      <c r="R161" s="10">
        <v>0.81411506327150274</v>
      </c>
      <c r="S161" s="22">
        <f>IF(IN[[#This Row],[Sim_]]=IN[[#This Row],[Buffer]],1,0)</f>
        <v>0</v>
      </c>
      <c r="T161" s="11">
        <v>0.26787396065225272</v>
      </c>
      <c r="U161" s="21">
        <f>IN[[#This Row],[Buffer]]</f>
        <v>0.81411506327150274</v>
      </c>
      <c r="V161" s="27">
        <v>0.26787396065225272</v>
      </c>
      <c r="W161" s="27">
        <v>1.0387747976139581</v>
      </c>
      <c r="X161" s="27">
        <v>1</v>
      </c>
      <c r="Y161" s="11">
        <v>0.26787396065225272</v>
      </c>
      <c r="Z161" s="27">
        <v>1</v>
      </c>
      <c r="AA161" s="27">
        <v>0.26787396065225272</v>
      </c>
      <c r="AB161" s="27">
        <v>0.26787396065225272</v>
      </c>
      <c r="AC161" s="28">
        <v>1</v>
      </c>
      <c r="AD161">
        <v>0.81411506327150274</v>
      </c>
      <c r="AE161">
        <v>0.81411506327150274</v>
      </c>
      <c r="AF161">
        <v>0.81411506327150274</v>
      </c>
      <c r="AG161">
        <v>0.81411506327150274</v>
      </c>
      <c r="AH161">
        <v>0.81411506327150274</v>
      </c>
      <c r="AI161">
        <v>0.26787396065225272</v>
      </c>
      <c r="AJ161">
        <v>0.26787396065225272</v>
      </c>
    </row>
    <row r="162" spans="1:36" x14ac:dyDescent="0.25">
      <c r="A162" s="6" t="s">
        <v>198</v>
      </c>
      <c r="B162" s="29" t="s">
        <v>216</v>
      </c>
      <c r="C162" s="94"/>
      <c r="D162" s="94"/>
      <c r="E162" s="17" t="s">
        <v>39</v>
      </c>
      <c r="F162" s="95"/>
      <c r="G162" s="93" t="s">
        <v>200</v>
      </c>
      <c r="H162" s="20">
        <v>0</v>
      </c>
      <c r="I162" s="21">
        <f>IN[[#This Row],[Buffer]]</f>
        <v>0.81411506327150274</v>
      </c>
      <c r="J162" s="22">
        <f>IF(IN[[#This Row],[Sim_]]=IN[[#This Row],[STAGE]],1,0)</f>
        <v>0</v>
      </c>
      <c r="K162" s="23">
        <f>[1]SIM!$FF$8</f>
        <v>0.28555338947362868</v>
      </c>
      <c r="L162" s="24">
        <f>[1]SIM!$FF$4</f>
        <v>0.28555338947362868</v>
      </c>
      <c r="M162" s="22">
        <f>IF(IN[[#This Row],[Sim_]]=IN[[#This Row],[Sim Var ref]],1,0)</f>
        <v>1</v>
      </c>
      <c r="N162" s="8" t="str">
        <f>[1]SIM!$FF$7</f>
        <v>p161</v>
      </c>
      <c r="O162" s="8">
        <v>162</v>
      </c>
      <c r="P162" s="55" t="e">
        <f>[1]SIM!$FF$3</f>
        <v>#REF!</v>
      </c>
      <c r="Q162" s="22" t="e">
        <f>IF(IN[[#This Row],[Sim_]]=IN[[#This Row],[Direkt alt]],1,0)</f>
        <v>#REF!</v>
      </c>
      <c r="R162" s="10">
        <v>0.81411506327150274</v>
      </c>
      <c r="S162" s="22">
        <f>IF(IN[[#This Row],[Sim_]]=IN[[#This Row],[Buffer]],1,0)</f>
        <v>0</v>
      </c>
      <c r="T162" s="11">
        <v>0.28555338947362868</v>
      </c>
      <c r="U162" s="21">
        <f>IN[[#This Row],[Buffer]]</f>
        <v>0.81411506327150274</v>
      </c>
      <c r="V162" s="27">
        <v>0.28555338947362868</v>
      </c>
      <c r="W162" s="27">
        <v>1.1859980763027702</v>
      </c>
      <c r="X162" s="27">
        <v>1</v>
      </c>
      <c r="Y162" s="11">
        <v>0.28555338947362868</v>
      </c>
      <c r="Z162" s="27">
        <v>1</v>
      </c>
      <c r="AA162" s="27">
        <v>0.28555338947362868</v>
      </c>
      <c r="AB162" s="27">
        <v>0.28555338947362868</v>
      </c>
      <c r="AC162" s="28">
        <v>1</v>
      </c>
      <c r="AD162">
        <v>0.81411506327150274</v>
      </c>
      <c r="AE162">
        <v>0.81411506327150274</v>
      </c>
      <c r="AF162">
        <v>0.81411506327150274</v>
      </c>
      <c r="AG162">
        <v>0.81411506327150274</v>
      </c>
      <c r="AH162">
        <v>0.81411506327150274</v>
      </c>
      <c r="AI162">
        <v>0.28555338947362868</v>
      </c>
      <c r="AJ162">
        <v>0.28555338947362868</v>
      </c>
    </row>
    <row r="163" spans="1:36" x14ac:dyDescent="0.25">
      <c r="A163" s="6" t="s">
        <v>198</v>
      </c>
      <c r="B163" s="29" t="s">
        <v>217</v>
      </c>
      <c r="C163" s="94"/>
      <c r="D163" s="94"/>
      <c r="E163" s="17" t="s">
        <v>39</v>
      </c>
      <c r="F163" s="95"/>
      <c r="G163" s="93" t="s">
        <v>200</v>
      </c>
      <c r="H163" s="20">
        <v>0</v>
      </c>
      <c r="I163" s="21">
        <f>IN[[#This Row],[Buffer]]</f>
        <v>0.81411506327150274</v>
      </c>
      <c r="J163" s="22">
        <f>IF(IN[[#This Row],[Sim_]]=IN[[#This Row],[STAGE]],1,0)</f>
        <v>0</v>
      </c>
      <c r="K163" s="23">
        <f>[1]SIM!$FG$8</f>
        <v>0.23039820583623963</v>
      </c>
      <c r="L163" s="24">
        <f>[1]SIM!$FG$4</f>
        <v>0.23039820583623963</v>
      </c>
      <c r="M163" s="22">
        <f>IF(IN[[#This Row],[Sim_]]=IN[[#This Row],[Sim Var ref]],1,0)</f>
        <v>1</v>
      </c>
      <c r="N163" s="8" t="str">
        <f>[1]SIM!$FG$7</f>
        <v>p162</v>
      </c>
      <c r="O163" s="8">
        <v>163</v>
      </c>
      <c r="P163" s="55" t="e">
        <f>[1]SIM!$FG$3</f>
        <v>#REF!</v>
      </c>
      <c r="Q163" s="22" t="e">
        <f>IF(IN[[#This Row],[Sim_]]=IN[[#This Row],[Direkt alt]],1,0)</f>
        <v>#REF!</v>
      </c>
      <c r="R163" s="10">
        <v>0.81411506327150274</v>
      </c>
      <c r="S163" s="22">
        <f>IF(IN[[#This Row],[Sim_]]=IN[[#This Row],[Buffer]],1,0)</f>
        <v>0</v>
      </c>
      <c r="T163" s="11">
        <v>0.23039820583623963</v>
      </c>
      <c r="U163" s="21">
        <f>IN[[#This Row],[Buffer]]</f>
        <v>0.81411506327150274</v>
      </c>
      <c r="V163" s="27">
        <v>0.23039820583623963</v>
      </c>
      <c r="W163" s="27">
        <v>0.72944807515172172</v>
      </c>
      <c r="X163" s="27">
        <v>1</v>
      </c>
      <c r="Y163" s="11">
        <v>0.23039820583623963</v>
      </c>
      <c r="Z163" s="27">
        <v>1</v>
      </c>
      <c r="AA163" s="27">
        <v>0.23039820583623963</v>
      </c>
      <c r="AB163" s="27">
        <v>0.23039820583623963</v>
      </c>
      <c r="AC163" s="28">
        <v>1</v>
      </c>
      <c r="AD163">
        <v>0.81411506327150274</v>
      </c>
      <c r="AE163">
        <v>0.81411506327150274</v>
      </c>
      <c r="AF163">
        <v>0.81411506327150274</v>
      </c>
      <c r="AG163">
        <v>0.81411506327150274</v>
      </c>
      <c r="AH163">
        <v>0.81411506327150274</v>
      </c>
      <c r="AI163">
        <v>0.23039820583623963</v>
      </c>
      <c r="AJ163">
        <v>0.23039820583623963</v>
      </c>
    </row>
    <row r="164" spans="1:36" x14ac:dyDescent="0.25">
      <c r="A164" s="6" t="s">
        <v>198</v>
      </c>
      <c r="B164" s="29" t="s">
        <v>218</v>
      </c>
      <c r="C164" s="94"/>
      <c r="D164" s="94"/>
      <c r="E164" s="17" t="s">
        <v>39</v>
      </c>
      <c r="F164" s="95"/>
      <c r="G164" s="93" t="s">
        <v>200</v>
      </c>
      <c r="H164" s="20">
        <v>0</v>
      </c>
      <c r="I164" s="21">
        <f>IN[[#This Row],[Buffer]]</f>
        <v>0.81411506327150274</v>
      </c>
      <c r="J164" s="22">
        <f>IF(IN[[#This Row],[Sim_]]=IN[[#This Row],[STAGE]],1,0)</f>
        <v>0</v>
      </c>
      <c r="K164" s="23">
        <f>[1]SIM!$FH$8</f>
        <v>0.28555338947362868</v>
      </c>
      <c r="L164" s="24">
        <f>[1]SIM!$FH$4</f>
        <v>0.28555338947362868</v>
      </c>
      <c r="M164" s="22">
        <f>IF(IN[[#This Row],[Sim_]]=IN[[#This Row],[Sim Var ref]],1,0)</f>
        <v>1</v>
      </c>
      <c r="N164" s="8" t="str">
        <f>[1]SIM!$FH$7</f>
        <v>p163</v>
      </c>
      <c r="O164" s="8">
        <v>164</v>
      </c>
      <c r="P164" s="55" t="e">
        <f>[1]SIM!$FH$3</f>
        <v>#REF!</v>
      </c>
      <c r="Q164" s="22" t="e">
        <f>IF(IN[[#This Row],[Sim_]]=IN[[#This Row],[Direkt alt]],1,0)</f>
        <v>#REF!</v>
      </c>
      <c r="R164" s="10">
        <v>0.81411506327150274</v>
      </c>
      <c r="S164" s="22">
        <f>IF(IN[[#This Row],[Sim_]]=IN[[#This Row],[Buffer]],1,0)</f>
        <v>0</v>
      </c>
      <c r="T164" s="11">
        <v>0.28555338947362868</v>
      </c>
      <c r="U164" s="21">
        <f>IN[[#This Row],[Buffer]]</f>
        <v>0.81411506327150274</v>
      </c>
      <c r="V164" s="27">
        <v>0.28555338947362868</v>
      </c>
      <c r="W164" s="27">
        <v>0.95912314926314701</v>
      </c>
      <c r="X164" s="27">
        <v>1</v>
      </c>
      <c r="Y164" s="11">
        <v>0.28555338947362868</v>
      </c>
      <c r="Z164" s="27">
        <v>1</v>
      </c>
      <c r="AA164" s="27">
        <v>0.28555338947362868</v>
      </c>
      <c r="AB164" s="27">
        <v>0.28555338947362868</v>
      </c>
      <c r="AC164" s="28">
        <v>1</v>
      </c>
      <c r="AD164">
        <v>0.81411506327150274</v>
      </c>
      <c r="AE164">
        <v>0.81411506327150274</v>
      </c>
      <c r="AF164">
        <v>0.81411506327150274</v>
      </c>
      <c r="AG164">
        <v>0.81411506327150274</v>
      </c>
      <c r="AH164">
        <v>0.81411506327150274</v>
      </c>
      <c r="AI164">
        <v>0.28555338947362868</v>
      </c>
      <c r="AJ164">
        <v>0.28555338947362868</v>
      </c>
    </row>
    <row r="165" spans="1:36" x14ac:dyDescent="0.25">
      <c r="A165" s="6" t="s">
        <v>198</v>
      </c>
      <c r="B165" s="29" t="s">
        <v>219</v>
      </c>
      <c r="C165" s="94"/>
      <c r="D165" s="94"/>
      <c r="E165" s="17" t="s">
        <v>39</v>
      </c>
      <c r="F165" s="95"/>
      <c r="G165" s="93" t="s">
        <v>200</v>
      </c>
      <c r="H165" s="20">
        <v>0</v>
      </c>
      <c r="I165" s="21">
        <f>IN[[#This Row],[Buffer]]</f>
        <v>0</v>
      </c>
      <c r="J165" s="22">
        <f>IF(IN[[#This Row],[Sim_]]=IN[[#This Row],[STAGE]],1,0)</f>
        <v>0</v>
      </c>
      <c r="K165" s="23">
        <f>[1]SIM!$FI$8</f>
        <v>1</v>
      </c>
      <c r="L165" s="24">
        <f>[1]SIM!$FI$4</f>
        <v>1</v>
      </c>
      <c r="M165" s="22">
        <f>IF(IN[[#This Row],[Sim_]]=IN[[#This Row],[Sim Var ref]],1,0)</f>
        <v>1</v>
      </c>
      <c r="N165" s="8" t="str">
        <f>[1]SIM!$FI$7</f>
        <v>p164</v>
      </c>
      <c r="O165" s="8">
        <v>165</v>
      </c>
      <c r="P165" s="55" t="e">
        <f>[1]SIM!$FI$3</f>
        <v>#REF!</v>
      </c>
      <c r="Q165" s="22" t="e">
        <f>IF(IN[[#This Row],[Sim_]]=IN[[#This Row],[Direkt alt]],1,0)</f>
        <v>#REF!</v>
      </c>
      <c r="R165" s="10">
        <v>0</v>
      </c>
      <c r="S165" s="22">
        <f>IF(IN[[#This Row],[Sim_]]=IN[[#This Row],[Buffer]],1,0)</f>
        <v>0</v>
      </c>
      <c r="T165" s="11">
        <v>1</v>
      </c>
      <c r="U165" s="21">
        <f>IN[[#This Row],[Buffer]]</f>
        <v>0</v>
      </c>
      <c r="V165" s="27">
        <v>1</v>
      </c>
      <c r="W165" s="27">
        <v>1</v>
      </c>
      <c r="X165" s="27">
        <v>1</v>
      </c>
      <c r="Y165" s="11">
        <v>1</v>
      </c>
      <c r="Z165" s="27">
        <v>1</v>
      </c>
      <c r="AA165" s="27">
        <v>1</v>
      </c>
      <c r="AB165" s="27">
        <v>1</v>
      </c>
      <c r="AC165" s="28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</row>
    <row r="166" spans="1:36" x14ac:dyDescent="0.25">
      <c r="A166" s="6" t="s">
        <v>220</v>
      </c>
      <c r="B166" t="s">
        <v>221</v>
      </c>
      <c r="C166" s="96"/>
      <c r="D166" s="96"/>
      <c r="E166" s="17" t="s">
        <v>65</v>
      </c>
      <c r="F166" s="97"/>
      <c r="G166" s="98" t="s">
        <v>222</v>
      </c>
      <c r="H166" s="20">
        <v>0</v>
      </c>
      <c r="I166" s="21">
        <f>IN[[#This Row],[Buffer]]</f>
        <v>1</v>
      </c>
      <c r="J166" s="22">
        <f>IF(IN[[#This Row],[Sim_]]=IN[[#This Row],[STAGE]],1,0)</f>
        <v>1</v>
      </c>
      <c r="K166" s="23">
        <f>[1]SIM!$FJ$8</f>
        <v>1</v>
      </c>
      <c r="L166" s="24">
        <f>[1]SIM!$FJ$4</f>
        <v>1</v>
      </c>
      <c r="M166" s="22">
        <f>IF(IN[[#This Row],[Sim_]]=IN[[#This Row],[Sim Var ref]],1,0)</f>
        <v>1</v>
      </c>
      <c r="N166" s="8" t="str">
        <f>[1]SIM!$FJ$7</f>
        <v>p165</v>
      </c>
      <c r="O166" s="8">
        <v>166</v>
      </c>
      <c r="P166" s="55" t="e">
        <f>[1]SIM!$FJ$3</f>
        <v>#REF!</v>
      </c>
      <c r="Q166" s="22" t="e">
        <f>IF(IN[[#This Row],[Sim_]]=IN[[#This Row],[Direkt alt]],1,0)</f>
        <v>#REF!</v>
      </c>
      <c r="R166" s="10">
        <v>1</v>
      </c>
      <c r="S166" s="22">
        <f>IF(IN[[#This Row],[Sim_]]=IN[[#This Row],[Buffer]],1,0)</f>
        <v>1</v>
      </c>
      <c r="T166" s="11">
        <v>1</v>
      </c>
      <c r="U166" s="21">
        <f>IN[[#This Row],[Buffer]]</f>
        <v>1</v>
      </c>
      <c r="V166" s="99">
        <v>1</v>
      </c>
      <c r="W166" s="99">
        <v>1</v>
      </c>
      <c r="X166" s="99">
        <v>1</v>
      </c>
      <c r="Y166" s="11">
        <v>1</v>
      </c>
      <c r="Z166" s="72">
        <v>1</v>
      </c>
      <c r="AA166" s="72">
        <v>1</v>
      </c>
      <c r="AB166" s="72">
        <v>1</v>
      </c>
      <c r="AC166" s="28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25">
      <c r="A167" s="6" t="s">
        <v>220</v>
      </c>
      <c r="B167" t="s">
        <v>223</v>
      </c>
      <c r="C167" s="96" t="s">
        <v>142</v>
      </c>
      <c r="D167" s="96"/>
      <c r="E167" s="17" t="s">
        <v>65</v>
      </c>
      <c r="F167" s="97"/>
      <c r="G167" s="98" t="s">
        <v>222</v>
      </c>
      <c r="H167" s="20">
        <v>0</v>
      </c>
      <c r="I167" s="21">
        <f>IN[[#This Row],[Buffer]]</f>
        <v>1</v>
      </c>
      <c r="J167" s="22">
        <f>IF(IN[[#This Row],[Sim_]]=IN[[#This Row],[STAGE]],1,0)</f>
        <v>1</v>
      </c>
      <c r="K167" s="23">
        <f>[1]SIM!$FK$8</f>
        <v>1</v>
      </c>
      <c r="L167" s="24">
        <f>[1]SIM!$FK$4</f>
        <v>1</v>
      </c>
      <c r="M167" s="22">
        <f>IF(IN[[#This Row],[Sim_]]=IN[[#This Row],[Sim Var ref]],1,0)</f>
        <v>1</v>
      </c>
      <c r="N167" s="8" t="str">
        <f>[1]SIM!$FK$7</f>
        <v>p166</v>
      </c>
      <c r="O167" s="8">
        <v>167</v>
      </c>
      <c r="P167" s="55" t="e">
        <f>[1]SIM!$FK$3</f>
        <v>#REF!</v>
      </c>
      <c r="Q167" s="22" t="e">
        <f>IF(IN[[#This Row],[Sim_]]=IN[[#This Row],[Direkt alt]],1,0)</f>
        <v>#REF!</v>
      </c>
      <c r="R167" s="10">
        <v>1</v>
      </c>
      <c r="S167" s="22">
        <f>IF(IN[[#This Row],[Sim_]]=IN[[#This Row],[Buffer]],1,0)</f>
        <v>1</v>
      </c>
      <c r="T167" s="11">
        <v>1</v>
      </c>
      <c r="U167" s="21">
        <f>IN[[#This Row],[Buffer]]</f>
        <v>1</v>
      </c>
      <c r="V167" s="99">
        <v>1</v>
      </c>
      <c r="W167" s="99">
        <v>1</v>
      </c>
      <c r="X167" s="99">
        <v>1</v>
      </c>
      <c r="Y167" s="11">
        <v>1</v>
      </c>
      <c r="Z167" s="100">
        <v>1</v>
      </c>
      <c r="AA167" s="100">
        <v>1</v>
      </c>
      <c r="AB167" s="100">
        <v>1</v>
      </c>
      <c r="AC167" s="28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25">
      <c r="A168" s="6" t="s">
        <v>220</v>
      </c>
      <c r="B168" s="29" t="s">
        <v>224</v>
      </c>
      <c r="C168" s="96" t="s">
        <v>142</v>
      </c>
      <c r="D168" s="96"/>
      <c r="E168" s="17" t="s">
        <v>65</v>
      </c>
      <c r="F168" s="97"/>
      <c r="G168" s="98" t="s">
        <v>222</v>
      </c>
      <c r="H168" s="20">
        <v>0</v>
      </c>
      <c r="I168" s="21">
        <f>IN[[#This Row],[Buffer]]</f>
        <v>1</v>
      </c>
      <c r="J168" s="22">
        <f>IF(IN[[#This Row],[Sim_]]=IN[[#This Row],[STAGE]],1,0)</f>
        <v>1</v>
      </c>
      <c r="K168" s="23">
        <f>[1]SIM!$FL$8</f>
        <v>1</v>
      </c>
      <c r="L168" s="24">
        <f>[1]SIM!$FL$4</f>
        <v>1</v>
      </c>
      <c r="M168" s="22">
        <f>IF(IN[[#This Row],[Sim_]]=IN[[#This Row],[Sim Var ref]],1,0)</f>
        <v>1</v>
      </c>
      <c r="N168" s="8" t="str">
        <f>[1]SIM!$FL$7</f>
        <v>p167</v>
      </c>
      <c r="O168" s="8">
        <v>168</v>
      </c>
      <c r="P168" s="55" t="e">
        <f>[1]SIM!$FL$3</f>
        <v>#REF!</v>
      </c>
      <c r="Q168" s="22" t="e">
        <f>IF(IN[[#This Row],[Sim_]]=IN[[#This Row],[Direkt alt]],1,0)</f>
        <v>#REF!</v>
      </c>
      <c r="R168" s="10">
        <v>1</v>
      </c>
      <c r="S168" s="22">
        <f>IF(IN[[#This Row],[Sim_]]=IN[[#This Row],[Buffer]],1,0)</f>
        <v>1</v>
      </c>
      <c r="T168" s="11">
        <v>1</v>
      </c>
      <c r="U168" s="21">
        <f>IN[[#This Row],[Buffer]]</f>
        <v>1</v>
      </c>
      <c r="V168" s="99">
        <v>1</v>
      </c>
      <c r="W168" s="99">
        <v>1</v>
      </c>
      <c r="X168" s="99">
        <v>1</v>
      </c>
      <c r="Y168" s="11">
        <v>1</v>
      </c>
      <c r="Z168" s="100">
        <v>1</v>
      </c>
      <c r="AA168" s="100">
        <v>1</v>
      </c>
      <c r="AB168" s="100">
        <v>1</v>
      </c>
      <c r="AC168" s="2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25">
      <c r="A169" s="6" t="s">
        <v>220</v>
      </c>
      <c r="B169" s="29" t="s">
        <v>225</v>
      </c>
      <c r="C169" s="96" t="s">
        <v>142</v>
      </c>
      <c r="D169" s="96"/>
      <c r="E169" s="17" t="s">
        <v>65</v>
      </c>
      <c r="F169" s="97"/>
      <c r="G169" s="98" t="s">
        <v>222</v>
      </c>
      <c r="H169" s="20">
        <v>0</v>
      </c>
      <c r="I169" s="21">
        <f>IN[[#This Row],[Buffer]]</f>
        <v>1</v>
      </c>
      <c r="J169" s="22">
        <f>IF(IN[[#This Row],[Sim_]]=IN[[#This Row],[STAGE]],1,0)</f>
        <v>1</v>
      </c>
      <c r="K169" s="23">
        <f>[1]SIM!$FM$8</f>
        <v>1</v>
      </c>
      <c r="L169" s="24">
        <f>[1]SIM!$FM$4</f>
        <v>1</v>
      </c>
      <c r="M169" s="22">
        <f>IF(IN[[#This Row],[Sim_]]=IN[[#This Row],[Sim Var ref]],1,0)</f>
        <v>1</v>
      </c>
      <c r="N169" s="8" t="str">
        <f>[1]SIM!$FM$7</f>
        <v>p168</v>
      </c>
      <c r="O169" s="8">
        <v>169</v>
      </c>
      <c r="P169" s="55" t="e">
        <f>[1]SIM!$FM$3</f>
        <v>#REF!</v>
      </c>
      <c r="Q169" s="22" t="e">
        <f>IF(IN[[#This Row],[Sim_]]=IN[[#This Row],[Direkt alt]],1,0)</f>
        <v>#REF!</v>
      </c>
      <c r="R169" s="10">
        <v>1</v>
      </c>
      <c r="S169" s="22">
        <f>IF(IN[[#This Row],[Sim_]]=IN[[#This Row],[Buffer]],1,0)</f>
        <v>1</v>
      </c>
      <c r="T169" s="11">
        <v>1</v>
      </c>
      <c r="U169" s="21">
        <f>IN[[#This Row],[Buffer]]</f>
        <v>1</v>
      </c>
      <c r="V169" s="99">
        <v>1</v>
      </c>
      <c r="W169" s="99">
        <v>1</v>
      </c>
      <c r="X169" s="99">
        <v>1</v>
      </c>
      <c r="Y169" s="11">
        <v>1</v>
      </c>
      <c r="Z169" s="100">
        <v>1</v>
      </c>
      <c r="AA169" s="100">
        <v>1</v>
      </c>
      <c r="AB169" s="100">
        <v>1</v>
      </c>
      <c r="AC169" s="28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25">
      <c r="A170" s="6" t="s">
        <v>220</v>
      </c>
      <c r="B170" t="s">
        <v>226</v>
      </c>
      <c r="C170" s="96" t="s">
        <v>142</v>
      </c>
      <c r="D170" s="96"/>
      <c r="E170" s="17" t="s">
        <v>39</v>
      </c>
      <c r="F170" s="97"/>
      <c r="G170" s="98" t="s">
        <v>222</v>
      </c>
      <c r="H170" s="20">
        <v>0</v>
      </c>
      <c r="I170" s="21">
        <f>IN[[#This Row],[Buffer]]</f>
        <v>1</v>
      </c>
      <c r="J170" s="22">
        <f>IF(IN[[#This Row],[Sim_]]=IN[[#This Row],[STAGE]],1,0)</f>
        <v>1</v>
      </c>
      <c r="K170" s="23">
        <f>[1]SIM!$FN$8</f>
        <v>1</v>
      </c>
      <c r="L170" s="24">
        <f>[1]SIM!$FN$4</f>
        <v>1</v>
      </c>
      <c r="M170" s="22">
        <f>IF(IN[[#This Row],[Sim_]]=IN[[#This Row],[Sim Var ref]],1,0)</f>
        <v>1</v>
      </c>
      <c r="N170" s="8" t="str">
        <f>[1]SIM!$FN$7</f>
        <v>p169</v>
      </c>
      <c r="O170" s="8">
        <v>170</v>
      </c>
      <c r="P170" s="55" t="e">
        <f>[1]SIM!$FN$3</f>
        <v>#REF!</v>
      </c>
      <c r="Q170" s="22" t="e">
        <f>IF(IN[[#This Row],[Sim_]]=IN[[#This Row],[Direkt alt]],1,0)</f>
        <v>#REF!</v>
      </c>
      <c r="R170" s="10">
        <v>1</v>
      </c>
      <c r="S170" s="22">
        <f>IF(IN[[#This Row],[Sim_]]=IN[[#This Row],[Buffer]],1,0)</f>
        <v>1</v>
      </c>
      <c r="T170" s="11">
        <v>1</v>
      </c>
      <c r="U170" s="21">
        <f>IN[[#This Row],[Buffer]]</f>
        <v>1</v>
      </c>
      <c r="V170" s="99">
        <v>1</v>
      </c>
      <c r="W170" s="99">
        <v>1</v>
      </c>
      <c r="X170" s="99">
        <v>1</v>
      </c>
      <c r="Y170" s="11">
        <v>1</v>
      </c>
      <c r="Z170" s="100">
        <v>1</v>
      </c>
      <c r="AA170" s="100">
        <v>1</v>
      </c>
      <c r="AB170" s="100">
        <v>1</v>
      </c>
      <c r="AC170" s="28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25">
      <c r="A171" s="6" t="s">
        <v>220</v>
      </c>
      <c r="B171" t="s">
        <v>227</v>
      </c>
      <c r="C171" s="96" t="s">
        <v>142</v>
      </c>
      <c r="D171" s="96"/>
      <c r="E171" s="17" t="s">
        <v>39</v>
      </c>
      <c r="F171" s="97"/>
      <c r="G171" s="98" t="s">
        <v>222</v>
      </c>
      <c r="H171" s="20">
        <v>0</v>
      </c>
      <c r="I171" s="21">
        <f>IN[[#This Row],[Buffer]]</f>
        <v>2.3652951773090063</v>
      </c>
      <c r="J171" s="22">
        <f>IF(IN[[#This Row],[Sim_]]=IN[[#This Row],[STAGE]],1,0)</f>
        <v>0</v>
      </c>
      <c r="K171" s="23">
        <f>[1]SIM!$FO$8</f>
        <v>1</v>
      </c>
      <c r="L171" s="24">
        <f>[1]SIM!$FO$4</f>
        <v>1</v>
      </c>
      <c r="M171" s="22">
        <f>IF(IN[[#This Row],[Sim_]]=IN[[#This Row],[Sim Var ref]],1,0)</f>
        <v>1</v>
      </c>
      <c r="N171" s="8" t="str">
        <f>[1]SIM!$FO$7</f>
        <v>p170</v>
      </c>
      <c r="O171" s="8">
        <v>171</v>
      </c>
      <c r="P171" s="55" t="e">
        <f>[1]SIM!$FO$3</f>
        <v>#REF!</v>
      </c>
      <c r="Q171" s="22" t="e">
        <f>IF(IN[[#This Row],[Sim_]]=IN[[#This Row],[Direkt alt]],1,0)</f>
        <v>#REF!</v>
      </c>
      <c r="R171" s="10">
        <v>2.3652951773090063</v>
      </c>
      <c r="S171" s="22">
        <f>IF(IN[[#This Row],[Sim_]]=IN[[#This Row],[Buffer]],1,0)</f>
        <v>0</v>
      </c>
      <c r="T171" s="11">
        <v>1</v>
      </c>
      <c r="U171" s="21">
        <f>IN[[#This Row],[Buffer]]</f>
        <v>2.3652951773090063</v>
      </c>
      <c r="V171" s="99">
        <v>1</v>
      </c>
      <c r="W171" s="99">
        <v>1</v>
      </c>
      <c r="X171" s="99">
        <v>1</v>
      </c>
      <c r="Y171" s="11">
        <v>1</v>
      </c>
      <c r="Z171" s="100">
        <v>1</v>
      </c>
      <c r="AA171" s="100">
        <v>1</v>
      </c>
      <c r="AB171" s="100">
        <v>1</v>
      </c>
      <c r="AC171" s="28">
        <v>1</v>
      </c>
      <c r="AD171">
        <v>2.3652951773090063</v>
      </c>
      <c r="AE171">
        <v>2.3652951773090063</v>
      </c>
      <c r="AF171">
        <v>2.3652951773090063</v>
      </c>
      <c r="AG171">
        <v>2.3652951773090063</v>
      </c>
      <c r="AH171">
        <v>2.3652951773090063</v>
      </c>
      <c r="AI171">
        <v>1</v>
      </c>
      <c r="AJ171">
        <v>1</v>
      </c>
    </row>
    <row r="172" spans="1:36" x14ac:dyDescent="0.25">
      <c r="A172" s="6" t="s">
        <v>220</v>
      </c>
      <c r="B172" t="s">
        <v>228</v>
      </c>
      <c r="C172" s="96" t="s">
        <v>142</v>
      </c>
      <c r="D172" s="96"/>
      <c r="E172" s="17" t="s">
        <v>65</v>
      </c>
      <c r="F172" s="97"/>
      <c r="G172" s="98" t="s">
        <v>222</v>
      </c>
      <c r="H172" s="20">
        <v>0</v>
      </c>
      <c r="I172" s="21">
        <f>IN[[#This Row],[Buffer]]</f>
        <v>1</v>
      </c>
      <c r="J172" s="22">
        <f>IF(IN[[#This Row],[Sim_]]=IN[[#This Row],[STAGE]],1,0)</f>
        <v>1</v>
      </c>
      <c r="K172" s="23">
        <f>[1]SIM!$FP$8</f>
        <v>1</v>
      </c>
      <c r="L172" s="24">
        <f>[1]SIM!$FP$4</f>
        <v>1</v>
      </c>
      <c r="M172" s="22">
        <f>IF(IN[[#This Row],[Sim_]]=IN[[#This Row],[Sim Var ref]],1,0)</f>
        <v>1</v>
      </c>
      <c r="N172" s="8" t="str">
        <f>[1]SIM!$FP$7</f>
        <v>p171</v>
      </c>
      <c r="O172" s="8">
        <v>172</v>
      </c>
      <c r="P172" s="55" t="e">
        <f>[1]SIM!$FP$3</f>
        <v>#REF!</v>
      </c>
      <c r="Q172" s="22" t="e">
        <f>IF(IN[[#This Row],[Sim_]]=IN[[#This Row],[Direkt alt]],1,0)</f>
        <v>#REF!</v>
      </c>
      <c r="R172" s="10">
        <v>1</v>
      </c>
      <c r="S172" s="22">
        <f>IF(IN[[#This Row],[Sim_]]=IN[[#This Row],[Buffer]],1,0)</f>
        <v>1</v>
      </c>
      <c r="T172" s="11">
        <v>1</v>
      </c>
      <c r="U172" s="21">
        <f>IN[[#This Row],[Buffer]]</f>
        <v>1</v>
      </c>
      <c r="V172" s="99">
        <v>1</v>
      </c>
      <c r="W172" s="99">
        <v>1</v>
      </c>
      <c r="X172" s="99">
        <v>1</v>
      </c>
      <c r="Y172" s="11">
        <v>1</v>
      </c>
      <c r="Z172" s="100">
        <v>1</v>
      </c>
      <c r="AA172" s="100">
        <v>1</v>
      </c>
      <c r="AB172" s="100">
        <v>1</v>
      </c>
      <c r="AC172" s="28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25">
      <c r="A173" s="6" t="s">
        <v>220</v>
      </c>
      <c r="B173" t="s">
        <v>229</v>
      </c>
      <c r="C173" s="96" t="s">
        <v>142</v>
      </c>
      <c r="D173" s="96"/>
      <c r="E173" s="17" t="s">
        <v>65</v>
      </c>
      <c r="F173" s="97"/>
      <c r="G173" s="98" t="s">
        <v>222</v>
      </c>
      <c r="H173" s="20">
        <v>0</v>
      </c>
      <c r="I173" s="21">
        <f>IN[[#This Row],[Buffer]]</f>
        <v>1</v>
      </c>
      <c r="J173" s="22">
        <f>IF(IN[[#This Row],[Sim_]]=IN[[#This Row],[STAGE]],1,0)</f>
        <v>1</v>
      </c>
      <c r="K173" s="23">
        <f>[1]SIM!$FQ$8</f>
        <v>1</v>
      </c>
      <c r="L173" s="24">
        <f>[1]SIM!$FQ$4</f>
        <v>1</v>
      </c>
      <c r="M173" s="22">
        <f>IF(IN[[#This Row],[Sim_]]=IN[[#This Row],[Sim Var ref]],1,0)</f>
        <v>1</v>
      </c>
      <c r="N173" s="8" t="str">
        <f>[1]SIM!$FQ$7</f>
        <v>p172</v>
      </c>
      <c r="O173" s="8">
        <v>173</v>
      </c>
      <c r="P173" s="55" t="e">
        <f>[1]SIM!$FQ$3</f>
        <v>#REF!</v>
      </c>
      <c r="Q173" s="22" t="e">
        <f>IF(IN[[#This Row],[Sim_]]=IN[[#This Row],[Direkt alt]],1,0)</f>
        <v>#REF!</v>
      </c>
      <c r="R173" s="10">
        <v>1</v>
      </c>
      <c r="S173" s="22">
        <f>IF(IN[[#This Row],[Sim_]]=IN[[#This Row],[Buffer]],1,0)</f>
        <v>1</v>
      </c>
      <c r="T173" s="11">
        <v>1</v>
      </c>
      <c r="U173" s="21">
        <f>IN[[#This Row],[Buffer]]</f>
        <v>1</v>
      </c>
      <c r="V173" s="99">
        <v>1</v>
      </c>
      <c r="W173" s="99">
        <v>1</v>
      </c>
      <c r="X173" s="99">
        <v>1</v>
      </c>
      <c r="Y173" s="11">
        <v>1</v>
      </c>
      <c r="Z173" s="100">
        <v>1</v>
      </c>
      <c r="AA173" s="100">
        <v>1</v>
      </c>
      <c r="AB173" s="100">
        <v>1</v>
      </c>
      <c r="AC173" s="28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25">
      <c r="A174" s="6" t="s">
        <v>220</v>
      </c>
      <c r="B174" t="s">
        <v>230</v>
      </c>
      <c r="C174" s="96" t="s">
        <v>142</v>
      </c>
      <c r="D174" s="96"/>
      <c r="E174" s="17" t="s">
        <v>65</v>
      </c>
      <c r="F174" s="97"/>
      <c r="G174" s="98" t="s">
        <v>222</v>
      </c>
      <c r="H174" s="20">
        <v>0</v>
      </c>
      <c r="I174" s="21">
        <f>IN[[#This Row],[Buffer]]</f>
        <v>1</v>
      </c>
      <c r="J174" s="22">
        <f>IF(IN[[#This Row],[Sim_]]=IN[[#This Row],[STAGE]],1,0)</f>
        <v>1</v>
      </c>
      <c r="K174" s="23">
        <f>[1]SIM!$FR$8</f>
        <v>1</v>
      </c>
      <c r="L174" s="24">
        <f>[1]SIM!$FR$4</f>
        <v>1</v>
      </c>
      <c r="M174" s="22">
        <f>IF(IN[[#This Row],[Sim_]]=IN[[#This Row],[Sim Var ref]],1,0)</f>
        <v>1</v>
      </c>
      <c r="N174" s="8" t="str">
        <f>[1]SIM!$FR$7</f>
        <v>p173</v>
      </c>
      <c r="O174" s="8">
        <v>174</v>
      </c>
      <c r="P174" s="55" t="e">
        <f>[1]SIM!$FR$3</f>
        <v>#REF!</v>
      </c>
      <c r="Q174" s="22" t="e">
        <f>IF(IN[[#This Row],[Sim_]]=IN[[#This Row],[Direkt alt]],1,0)</f>
        <v>#REF!</v>
      </c>
      <c r="R174" s="10">
        <v>1</v>
      </c>
      <c r="S174" s="22">
        <f>IF(IN[[#This Row],[Sim_]]=IN[[#This Row],[Buffer]],1,0)</f>
        <v>1</v>
      </c>
      <c r="T174" s="11">
        <v>1</v>
      </c>
      <c r="U174" s="21">
        <f>IN[[#This Row],[Buffer]]</f>
        <v>1</v>
      </c>
      <c r="V174" s="99">
        <v>1</v>
      </c>
      <c r="W174" s="99">
        <v>0.91500000000000004</v>
      </c>
      <c r="X174" s="99">
        <v>1</v>
      </c>
      <c r="Y174" s="11">
        <v>1</v>
      </c>
      <c r="Z174" s="100">
        <v>1</v>
      </c>
      <c r="AA174" s="100">
        <v>1</v>
      </c>
      <c r="AB174" s="100">
        <v>1</v>
      </c>
      <c r="AC174" s="28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25">
      <c r="A175" s="6" t="s">
        <v>220</v>
      </c>
      <c r="B175" t="s">
        <v>231</v>
      </c>
      <c r="C175" s="96" t="s">
        <v>142</v>
      </c>
      <c r="D175" s="96"/>
      <c r="E175" s="17" t="s">
        <v>65</v>
      </c>
      <c r="F175" s="97"/>
      <c r="G175" s="98" t="s">
        <v>222</v>
      </c>
      <c r="H175" s="20">
        <v>0</v>
      </c>
      <c r="I175" s="21">
        <f>IN[[#This Row],[Buffer]]</f>
        <v>1</v>
      </c>
      <c r="J175" s="22">
        <f>IF(IN[[#This Row],[Sim_]]=IN[[#This Row],[STAGE]],1,0)</f>
        <v>1</v>
      </c>
      <c r="K175" s="23">
        <f>[1]SIM!$FS$8</f>
        <v>1</v>
      </c>
      <c r="L175" s="24">
        <f>[1]SIM!$FS$4</f>
        <v>1</v>
      </c>
      <c r="M175" s="22">
        <f>IF(IN[[#This Row],[Sim_]]=IN[[#This Row],[Sim Var ref]],1,0)</f>
        <v>1</v>
      </c>
      <c r="N175" s="8" t="str">
        <f>[1]SIM!$FS$7</f>
        <v>p174</v>
      </c>
      <c r="O175" s="8">
        <v>175</v>
      </c>
      <c r="P175" s="55" t="e">
        <f>[1]SIM!$FS$3</f>
        <v>#REF!</v>
      </c>
      <c r="Q175" s="22" t="e">
        <f>IF(IN[[#This Row],[Sim_]]=IN[[#This Row],[Direkt alt]],1,0)</f>
        <v>#REF!</v>
      </c>
      <c r="R175" s="10">
        <v>1</v>
      </c>
      <c r="S175" s="22">
        <f>IF(IN[[#This Row],[Sim_]]=IN[[#This Row],[Buffer]],1,0)</f>
        <v>1</v>
      </c>
      <c r="T175" s="11">
        <v>1</v>
      </c>
      <c r="U175" s="21">
        <f>IN[[#This Row],[Buffer]]</f>
        <v>1</v>
      </c>
      <c r="V175" s="99">
        <v>1</v>
      </c>
      <c r="W175" s="99">
        <v>1</v>
      </c>
      <c r="X175" s="99">
        <v>1</v>
      </c>
      <c r="Y175" s="11">
        <v>1</v>
      </c>
      <c r="Z175" s="100">
        <v>1</v>
      </c>
      <c r="AA175" s="100">
        <v>1</v>
      </c>
      <c r="AB175" s="100">
        <v>1</v>
      </c>
      <c r="AC175" s="28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25">
      <c r="A176" s="6" t="s">
        <v>220</v>
      </c>
      <c r="B176" t="s">
        <v>232</v>
      </c>
      <c r="C176" s="96" t="s">
        <v>142</v>
      </c>
      <c r="D176" s="96"/>
      <c r="E176" s="17" t="s">
        <v>65</v>
      </c>
      <c r="F176" s="97"/>
      <c r="G176" s="98" t="s">
        <v>222</v>
      </c>
      <c r="H176" s="20">
        <v>0</v>
      </c>
      <c r="I176" s="21">
        <f>IN[[#This Row],[Buffer]]</f>
        <v>1</v>
      </c>
      <c r="J176" s="22">
        <f>IF(IN[[#This Row],[Sim_]]=IN[[#This Row],[STAGE]],1,0)</f>
        <v>1</v>
      </c>
      <c r="K176" s="23">
        <f>[1]SIM!$FT$8</f>
        <v>1</v>
      </c>
      <c r="L176" s="24">
        <f>[1]SIM!$FT$4</f>
        <v>1</v>
      </c>
      <c r="M176" s="22">
        <f>IF(IN[[#This Row],[Sim_]]=IN[[#This Row],[Sim Var ref]],1,0)</f>
        <v>1</v>
      </c>
      <c r="N176" s="8" t="str">
        <f>[1]SIM!$FT$7</f>
        <v>p175</v>
      </c>
      <c r="O176" s="8">
        <v>176</v>
      </c>
      <c r="P176" s="55" t="e">
        <f>[1]SIM!$FT$3</f>
        <v>#REF!</v>
      </c>
      <c r="Q176" s="22" t="e">
        <f>IF(IN[[#This Row],[Sim_]]=IN[[#This Row],[Direkt alt]],1,0)</f>
        <v>#REF!</v>
      </c>
      <c r="R176" s="10">
        <v>1</v>
      </c>
      <c r="S176" s="22">
        <f>IF(IN[[#This Row],[Sim_]]=IN[[#This Row],[Buffer]],1,0)</f>
        <v>1</v>
      </c>
      <c r="T176" s="11">
        <v>1</v>
      </c>
      <c r="U176" s="21">
        <f>IN[[#This Row],[Buffer]]</f>
        <v>1</v>
      </c>
      <c r="V176" s="99">
        <v>1</v>
      </c>
      <c r="W176" s="99">
        <v>0.91500000000000004</v>
      </c>
      <c r="X176" s="99">
        <v>1</v>
      </c>
      <c r="Y176" s="11">
        <v>1</v>
      </c>
      <c r="Z176" s="72">
        <v>1</v>
      </c>
      <c r="AA176" s="72">
        <v>1</v>
      </c>
      <c r="AB176" s="72">
        <v>1</v>
      </c>
      <c r="AC176" s="28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25">
      <c r="A177" s="92" t="s">
        <v>187</v>
      </c>
      <c r="B177" s="29" t="s">
        <v>233</v>
      </c>
      <c r="C177" s="96" t="s">
        <v>142</v>
      </c>
      <c r="D177" s="96"/>
      <c r="E177" s="17" t="s">
        <v>65</v>
      </c>
      <c r="F177" s="95"/>
      <c r="G177" s="98" t="s">
        <v>222</v>
      </c>
      <c r="H177" s="20">
        <v>0</v>
      </c>
      <c r="I177" s="21">
        <f>IN[[#This Row],[Buffer]]</f>
        <v>1</v>
      </c>
      <c r="J177" s="22">
        <f>IF(IN[[#This Row],[Sim_]]=IN[[#This Row],[STAGE]],1,0)</f>
        <v>0</v>
      </c>
      <c r="K177" s="23">
        <f>[1]SIM!$FU$8</f>
        <v>0.9</v>
      </c>
      <c r="L177" s="24">
        <f>[1]SIM!$FU$4</f>
        <v>0.9</v>
      </c>
      <c r="M177" s="22">
        <f>IF(IN[[#This Row],[Sim_]]=IN[[#This Row],[Sim Var ref]],1,0)</f>
        <v>1</v>
      </c>
      <c r="N177" s="8" t="str">
        <f>[1]SIM!$FU$7</f>
        <v>p176</v>
      </c>
      <c r="O177" s="8">
        <v>177</v>
      </c>
      <c r="P177" s="55">
        <f>[1]SIM!$FU$3</f>
        <v>1</v>
      </c>
      <c r="Q177" s="22">
        <f>IF(IN[[#This Row],[Sim_]]=IN[[#This Row],[Direkt alt]],1,0)</f>
        <v>0</v>
      </c>
      <c r="R177" s="10">
        <v>1</v>
      </c>
      <c r="S177" s="22">
        <f>IF(IN[[#This Row],[Sim_]]=IN[[#This Row],[Buffer]],1,0)</f>
        <v>0</v>
      </c>
      <c r="T177" s="11">
        <v>0.9</v>
      </c>
      <c r="U177" s="21">
        <f>IN[[#This Row],[Buffer]]</f>
        <v>1</v>
      </c>
      <c r="V177" s="99">
        <v>0.9</v>
      </c>
      <c r="W177" s="99">
        <v>0.935751</v>
      </c>
      <c r="X177" s="99">
        <v>0.9</v>
      </c>
      <c r="Y177" s="11">
        <v>0.9</v>
      </c>
      <c r="Z177" s="72">
        <v>0.9</v>
      </c>
      <c r="AA177" s="72">
        <v>0.9</v>
      </c>
      <c r="AB177" s="72">
        <v>0.9</v>
      </c>
      <c r="AC177" s="28">
        <v>0.9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0.9</v>
      </c>
      <c r="AJ177">
        <v>0.9</v>
      </c>
    </row>
    <row r="178" spans="1:36" x14ac:dyDescent="0.25">
      <c r="A178" s="6" t="s">
        <v>234</v>
      </c>
      <c r="B178" s="15" t="s">
        <v>235</v>
      </c>
      <c r="C178" s="16"/>
      <c r="D178" s="16"/>
      <c r="E178" s="17" t="s">
        <v>65</v>
      </c>
      <c r="F178" s="18"/>
      <c r="G178" s="37"/>
      <c r="H178" s="20">
        <v>0</v>
      </c>
      <c r="I178" s="21">
        <f>IN[[#This Row],[Buffer]]</f>
        <v>2.5</v>
      </c>
      <c r="J178" s="22">
        <f>IF(IN[[#This Row],[Sim_]]=IN[[#This Row],[STAGE]],1,0)</f>
        <v>1</v>
      </c>
      <c r="K178" s="23">
        <f>[1]SIM!$FV$8</f>
        <v>2.5</v>
      </c>
      <c r="L178" s="24">
        <f>[1]SIM!$FV$4</f>
        <v>2.5</v>
      </c>
      <c r="M178" s="22">
        <f>IF(IN[[#This Row],[Sim_]]=IN[[#This Row],[Sim Var ref]],1,0)</f>
        <v>1</v>
      </c>
      <c r="N178" s="8" t="str">
        <f>[1]SIM!$FV$7</f>
        <v>p36</v>
      </c>
      <c r="O178" s="8">
        <v>178</v>
      </c>
      <c r="P178" s="101">
        <f>[1]SIM!$FV$3</f>
        <v>2.5</v>
      </c>
      <c r="Q178" s="22">
        <f>IF(IN[[#This Row],[Sim_]]=IN[[#This Row],[Direkt alt]],1,0)</f>
        <v>1</v>
      </c>
      <c r="R178" s="10">
        <v>2.5</v>
      </c>
      <c r="S178" s="22">
        <f>IF(IN[[#This Row],[Sim_]]=IN[[#This Row],[Buffer]],1,0)</f>
        <v>1</v>
      </c>
      <c r="T178" s="11">
        <v>2.5</v>
      </c>
      <c r="U178" s="21">
        <f>IN[[#This Row],[Buffer]]</f>
        <v>2.5</v>
      </c>
      <c r="V178" s="29">
        <v>2.5</v>
      </c>
      <c r="W178" s="29">
        <v>2.5</v>
      </c>
      <c r="X178" s="29">
        <v>2.5</v>
      </c>
      <c r="Y178" s="11">
        <v>2.5</v>
      </c>
      <c r="Z178" s="102">
        <v>2.5</v>
      </c>
      <c r="AA178" s="27">
        <v>2.5</v>
      </c>
      <c r="AB178" s="27">
        <v>2.5</v>
      </c>
      <c r="AC178" s="28">
        <v>2.5</v>
      </c>
      <c r="AD178">
        <v>2.5</v>
      </c>
      <c r="AE178">
        <v>2.5</v>
      </c>
      <c r="AF178">
        <v>2.5</v>
      </c>
      <c r="AG178">
        <v>2.5</v>
      </c>
      <c r="AH178">
        <v>2.5</v>
      </c>
      <c r="AI178">
        <v>2.5</v>
      </c>
      <c r="AJ178">
        <v>2.5</v>
      </c>
    </row>
    <row r="179" spans="1:36" x14ac:dyDescent="0.25">
      <c r="A179" s="6" t="s">
        <v>234</v>
      </c>
      <c r="B179" s="15" t="s">
        <v>236</v>
      </c>
      <c r="C179" s="16"/>
      <c r="D179" s="16"/>
      <c r="E179" s="17" t="s">
        <v>65</v>
      </c>
      <c r="F179" s="18"/>
      <c r="G179" s="37"/>
      <c r="H179" s="20">
        <v>0</v>
      </c>
      <c r="I179" s="21">
        <f>IN[[#This Row],[Buffer]]</f>
        <v>3</v>
      </c>
      <c r="J179" s="22">
        <f>IF(IN[[#This Row],[Sim_]]=IN[[#This Row],[STAGE]],1,0)</f>
        <v>1</v>
      </c>
      <c r="K179" s="23">
        <f>[1]SIM!$FW$8</f>
        <v>3</v>
      </c>
      <c r="L179" s="24">
        <f>[1]SIM!$FW$4</f>
        <v>3</v>
      </c>
      <c r="M179" s="22">
        <f>IF(IN[[#This Row],[Sim_]]=IN[[#This Row],[Sim Var ref]],1,0)</f>
        <v>1</v>
      </c>
      <c r="N179" s="8">
        <f>[1]SIM!$FW$7</f>
        <v>0</v>
      </c>
      <c r="O179" s="8">
        <v>179</v>
      </c>
      <c r="P179" s="101">
        <f>[1]SIM!$FW$3</f>
        <v>3</v>
      </c>
      <c r="Q179" s="22">
        <f>IF(IN[[#This Row],[Sim_]]=IN[[#This Row],[Direkt alt]],1,0)</f>
        <v>1</v>
      </c>
      <c r="R179" s="10">
        <v>3</v>
      </c>
      <c r="S179" s="22">
        <f>IF(IN[[#This Row],[Sim_]]=IN[[#This Row],[Buffer]],1,0)</f>
        <v>1</v>
      </c>
      <c r="T179" s="11">
        <v>3</v>
      </c>
      <c r="U179" s="21">
        <f>IN[[#This Row],[Buffer]]</f>
        <v>3</v>
      </c>
      <c r="V179" s="29">
        <v>3</v>
      </c>
      <c r="W179" s="29">
        <v>3</v>
      </c>
      <c r="X179" s="29">
        <v>3</v>
      </c>
      <c r="Y179" s="11">
        <v>3</v>
      </c>
      <c r="Z179" s="102">
        <v>3</v>
      </c>
      <c r="AA179" s="27">
        <v>3</v>
      </c>
      <c r="AB179" s="27">
        <v>3</v>
      </c>
      <c r="AC179" s="28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</row>
    <row r="180" spans="1:36" x14ac:dyDescent="0.25">
      <c r="A180" s="6"/>
      <c r="B180" s="15" t="s">
        <v>237</v>
      </c>
      <c r="C180" s="16"/>
      <c r="D180" s="16"/>
      <c r="E180" s="17" t="s">
        <v>39</v>
      </c>
      <c r="F180" s="18"/>
      <c r="G180" s="37"/>
      <c r="H180" s="20">
        <v>0</v>
      </c>
      <c r="I180" s="21">
        <f>IN[[#This Row],[Buffer]]</f>
        <v>6</v>
      </c>
      <c r="J180" s="22">
        <f>IF(IN[[#This Row],[Sim_]]=IN[[#This Row],[STAGE]],1,0)</f>
        <v>0</v>
      </c>
      <c r="K180" s="23">
        <f>[1]SIM!$FX$8</f>
        <v>1</v>
      </c>
      <c r="L180" s="24">
        <f>[1]SIM!$FX$4</f>
        <v>1</v>
      </c>
      <c r="M180" s="22">
        <f>IF(IN[[#This Row],[Sim_]]=IN[[#This Row],[Sim Var ref]],1,0)</f>
        <v>1</v>
      </c>
      <c r="N180" s="8">
        <f>[1]SIM!$FX$7</f>
        <v>0</v>
      </c>
      <c r="O180" s="8">
        <v>180</v>
      </c>
      <c r="P180" s="101">
        <f>[1]SIM!$FX$3</f>
        <v>5</v>
      </c>
      <c r="Q180" s="22">
        <f>IF(IN[[#This Row],[Sim_]]=IN[[#This Row],[Direkt alt]],1,0)</f>
        <v>0</v>
      </c>
      <c r="R180" s="10">
        <v>6</v>
      </c>
      <c r="S180" s="22">
        <f>IF(IN[[#This Row],[Sim_]]=IN[[#This Row],[Buffer]],1,0)</f>
        <v>0</v>
      </c>
      <c r="T180" s="11">
        <v>1</v>
      </c>
      <c r="U180" s="21">
        <f>IN[[#This Row],[Buffer]]</f>
        <v>6</v>
      </c>
      <c r="V180" s="29">
        <v>1</v>
      </c>
      <c r="W180" s="29">
        <v>5</v>
      </c>
      <c r="X180" s="29">
        <v>6</v>
      </c>
      <c r="Y180" s="11">
        <v>1</v>
      </c>
      <c r="Z180" s="102">
        <v>6</v>
      </c>
      <c r="AA180" s="27">
        <v>1</v>
      </c>
      <c r="AB180" s="27">
        <v>1</v>
      </c>
      <c r="AC180" s="28">
        <v>6</v>
      </c>
      <c r="AD180">
        <v>6</v>
      </c>
      <c r="AE180">
        <v>6</v>
      </c>
      <c r="AF180">
        <v>6</v>
      </c>
      <c r="AG180">
        <v>6</v>
      </c>
      <c r="AH180">
        <v>6</v>
      </c>
      <c r="AI180">
        <v>1</v>
      </c>
      <c r="AJ180">
        <v>1</v>
      </c>
    </row>
    <row r="181" spans="1:36" x14ac:dyDescent="0.25">
      <c r="A181" s="6" t="s">
        <v>238</v>
      </c>
      <c r="B181" s="15" t="s">
        <v>239</v>
      </c>
      <c r="C181" s="16"/>
      <c r="D181" s="16"/>
      <c r="E181" s="17" t="s">
        <v>65</v>
      </c>
      <c r="F181" s="18"/>
      <c r="G181" s="37"/>
      <c r="H181" s="20">
        <v>0</v>
      </c>
      <c r="I181" s="21" t="b">
        <f>IN[[#This Row],[Buffer]]</f>
        <v>1</v>
      </c>
      <c r="J181" s="22">
        <f>IF(IN[[#This Row],[Sim_]]=IN[[#This Row],[STAGE]],1,0)</f>
        <v>1</v>
      </c>
      <c r="K181" s="23" t="b">
        <f>[1]SIM!$FY$8</f>
        <v>1</v>
      </c>
      <c r="L181" s="24" t="b">
        <f>[1]SIM!$FY$4</f>
        <v>1</v>
      </c>
      <c r="M181" s="22">
        <f>IF(IN[[#This Row],[Sim_]]=IN[[#This Row],[Sim Var ref]],1,0)</f>
        <v>1</v>
      </c>
      <c r="N181" s="8">
        <f>[1]SIM!$FY$7</f>
        <v>0</v>
      </c>
      <c r="O181" s="8">
        <v>181</v>
      </c>
      <c r="P181" s="101" t="b">
        <f>[1]SIM!$FY$3</f>
        <v>1</v>
      </c>
      <c r="Q181" s="22">
        <f>IF(IN[[#This Row],[Sim_]]=IN[[#This Row],[Direkt alt]],1,0)</f>
        <v>1</v>
      </c>
      <c r="R181" s="10" t="b">
        <v>1</v>
      </c>
      <c r="S181" s="22">
        <f>IF(IN[[#This Row],[Sim_]]=IN[[#This Row],[Buffer]],1,0)</f>
        <v>1</v>
      </c>
      <c r="T181" s="11" t="b">
        <v>1</v>
      </c>
      <c r="U181" s="21" t="b">
        <f>IN[[#This Row],[Buffer]]</f>
        <v>1</v>
      </c>
      <c r="V181" s="103" t="b">
        <v>1</v>
      </c>
      <c r="W181" s="103" t="b">
        <v>1</v>
      </c>
      <c r="X181" s="103" t="b">
        <v>1</v>
      </c>
      <c r="Y181" s="11" t="b">
        <v>1</v>
      </c>
      <c r="Z181" s="102" t="b">
        <v>1</v>
      </c>
      <c r="AA181" s="27" t="b">
        <v>1</v>
      </c>
      <c r="AB181" s="27" t="b">
        <v>1</v>
      </c>
      <c r="AC181" s="28" t="b">
        <v>1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</row>
    <row r="182" spans="1:36" x14ac:dyDescent="0.25">
      <c r="A182" s="6" t="s">
        <v>238</v>
      </c>
      <c r="B182" s="15" t="s">
        <v>240</v>
      </c>
      <c r="C182" s="16"/>
      <c r="D182" s="16"/>
      <c r="E182" s="17" t="s">
        <v>65</v>
      </c>
      <c r="F182" s="18"/>
      <c r="G182" s="37"/>
      <c r="H182" s="20">
        <v>0</v>
      </c>
      <c r="I182" s="21" t="b">
        <f>IN[[#This Row],[Buffer]]</f>
        <v>1</v>
      </c>
      <c r="J182" s="22">
        <f>IF(IN[[#This Row],[Sim_]]=IN[[#This Row],[STAGE]],1,0)</f>
        <v>1</v>
      </c>
      <c r="K182" s="23" t="b">
        <f>[1]SIM!$FZ$8</f>
        <v>1</v>
      </c>
      <c r="L182" s="24" t="b">
        <f>[1]SIM!$FZ$4</f>
        <v>1</v>
      </c>
      <c r="M182" s="22">
        <f>IF(IN[[#This Row],[Sim_]]=IN[[#This Row],[Sim Var ref]],1,0)</f>
        <v>1</v>
      </c>
      <c r="N182" s="8">
        <f>[1]SIM!$FZ$7</f>
        <v>0</v>
      </c>
      <c r="O182" s="8">
        <v>182</v>
      </c>
      <c r="P182" s="101" t="b">
        <f>[1]SIM!$FZ$3</f>
        <v>1</v>
      </c>
      <c r="Q182" s="22">
        <f>IF(IN[[#This Row],[Sim_]]=IN[[#This Row],[Direkt alt]],1,0)</f>
        <v>1</v>
      </c>
      <c r="R182" s="10" t="b">
        <v>1</v>
      </c>
      <c r="S182" s="22">
        <f>IF(IN[[#This Row],[Sim_]]=IN[[#This Row],[Buffer]],1,0)</f>
        <v>1</v>
      </c>
      <c r="T182" s="11" t="b">
        <v>1</v>
      </c>
      <c r="U182" s="21" t="b">
        <f>IN[[#This Row],[Buffer]]</f>
        <v>1</v>
      </c>
      <c r="V182" s="103" t="b">
        <v>1</v>
      </c>
      <c r="W182" s="103" t="b">
        <v>1</v>
      </c>
      <c r="X182" s="103" t="b">
        <v>1</v>
      </c>
      <c r="Y182" s="11" t="b">
        <v>1</v>
      </c>
      <c r="Z182" s="102" t="b">
        <v>1</v>
      </c>
      <c r="AA182" s="27" t="b">
        <v>1</v>
      </c>
      <c r="AB182" s="27" t="b">
        <v>1</v>
      </c>
      <c r="AC182" s="28" t="b">
        <v>1</v>
      </c>
      <c r="AD182" t="b">
        <v>1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</row>
    <row r="183" spans="1:36" x14ac:dyDescent="0.25">
      <c r="A183" s="6" t="s">
        <v>238</v>
      </c>
      <c r="B183" s="15" t="s">
        <v>241</v>
      </c>
      <c r="C183" s="16"/>
      <c r="D183" s="16"/>
      <c r="E183" s="17" t="s">
        <v>65</v>
      </c>
      <c r="F183" s="18"/>
      <c r="G183" s="37"/>
      <c r="H183" s="20">
        <v>0</v>
      </c>
      <c r="I183" s="21" t="b">
        <f>IN[[#This Row],[Buffer]]</f>
        <v>1</v>
      </c>
      <c r="J183" s="22">
        <f>IF(IN[[#This Row],[Sim_]]=IN[[#This Row],[STAGE]],1,0)</f>
        <v>1</v>
      </c>
      <c r="K183" s="23" t="b">
        <f>[1]SIM!$GA$8</f>
        <v>1</v>
      </c>
      <c r="L183" s="24" t="b">
        <f>[1]SIM!$GA$4</f>
        <v>1</v>
      </c>
      <c r="M183" s="22">
        <f>IF(IN[[#This Row],[Sim_]]=IN[[#This Row],[Sim Var ref]],1,0)</f>
        <v>1</v>
      </c>
      <c r="N183" s="8">
        <f>[1]SIM!$GA$7</f>
        <v>0</v>
      </c>
      <c r="O183" s="8">
        <v>183</v>
      </c>
      <c r="P183" s="101" t="b">
        <f>[1]SIM!$GA$3</f>
        <v>1</v>
      </c>
      <c r="Q183" s="22">
        <f>IF(IN[[#This Row],[Sim_]]=IN[[#This Row],[Direkt alt]],1,0)</f>
        <v>1</v>
      </c>
      <c r="R183" s="10" t="b">
        <v>1</v>
      </c>
      <c r="S183" s="22">
        <f>IF(IN[[#This Row],[Sim_]]=IN[[#This Row],[Buffer]],1,0)</f>
        <v>1</v>
      </c>
      <c r="T183" s="11" t="b">
        <v>1</v>
      </c>
      <c r="U183" s="21" t="b">
        <f>IN[[#This Row],[Buffer]]</f>
        <v>1</v>
      </c>
      <c r="V183" s="103" t="b">
        <v>1</v>
      </c>
      <c r="W183" s="103" t="b">
        <v>1</v>
      </c>
      <c r="X183" s="103" t="b">
        <v>1</v>
      </c>
      <c r="Y183" s="11" t="b">
        <v>1</v>
      </c>
      <c r="Z183" s="102" t="b">
        <v>1</v>
      </c>
      <c r="AA183" s="27" t="b">
        <v>1</v>
      </c>
      <c r="AB183" s="27" t="b">
        <v>1</v>
      </c>
      <c r="AC183" s="28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</row>
    <row r="184" spans="1:36" x14ac:dyDescent="0.25">
      <c r="A184" s="6" t="s">
        <v>238</v>
      </c>
      <c r="B184" s="15" t="s">
        <v>242</v>
      </c>
      <c r="C184" s="16"/>
      <c r="D184" s="16"/>
      <c r="E184" s="17" t="s">
        <v>65</v>
      </c>
      <c r="F184" s="18"/>
      <c r="G184" s="37"/>
      <c r="H184" s="20">
        <v>0</v>
      </c>
      <c r="I184" s="21" t="b">
        <f>IN[[#This Row],[Buffer]]</f>
        <v>1</v>
      </c>
      <c r="J184" s="22">
        <f>IF(IN[[#This Row],[Sim_]]=IN[[#This Row],[STAGE]],1,0)</f>
        <v>1</v>
      </c>
      <c r="K184" s="23" t="b">
        <f>[1]SIM!$GB$8</f>
        <v>1</v>
      </c>
      <c r="L184" s="24" t="b">
        <f>[1]SIM!$GB$4</f>
        <v>1</v>
      </c>
      <c r="M184" s="22">
        <f>IF(IN[[#This Row],[Sim_]]=IN[[#This Row],[Sim Var ref]],1,0)</f>
        <v>1</v>
      </c>
      <c r="N184" s="8">
        <f>[1]SIM!$GB$7</f>
        <v>0</v>
      </c>
      <c r="O184" s="8">
        <v>184</v>
      </c>
      <c r="P184" s="101" t="b">
        <f>[1]SIM!$GB$3</f>
        <v>1</v>
      </c>
      <c r="Q184" s="22">
        <f>IF(IN[[#This Row],[Sim_]]=IN[[#This Row],[Direkt alt]],1,0)</f>
        <v>1</v>
      </c>
      <c r="R184" s="10" t="b">
        <v>1</v>
      </c>
      <c r="S184" s="22">
        <f>IF(IN[[#This Row],[Sim_]]=IN[[#This Row],[Buffer]],1,0)</f>
        <v>1</v>
      </c>
      <c r="T184" s="11" t="b">
        <v>1</v>
      </c>
      <c r="U184" s="21" t="b">
        <f>IN[[#This Row],[Buffer]]</f>
        <v>1</v>
      </c>
      <c r="V184" s="103" t="b">
        <v>1</v>
      </c>
      <c r="W184" s="103" t="b">
        <v>1</v>
      </c>
      <c r="X184" s="103" t="b">
        <v>1</v>
      </c>
      <c r="Y184" s="11" t="b">
        <v>1</v>
      </c>
      <c r="Z184" s="102" t="b">
        <v>1</v>
      </c>
      <c r="AA184" s="27" t="b">
        <v>1</v>
      </c>
      <c r="AB184" s="27" t="b">
        <v>1</v>
      </c>
      <c r="AC184" s="28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</row>
    <row r="185" spans="1:36" x14ac:dyDescent="0.25">
      <c r="A185" s="6"/>
      <c r="B185" s="15" t="s">
        <v>243</v>
      </c>
      <c r="C185" s="16"/>
      <c r="D185" s="16"/>
      <c r="E185" s="17" t="s">
        <v>65</v>
      </c>
      <c r="F185" s="18"/>
      <c r="G185" s="37"/>
      <c r="H185" s="20">
        <v>2</v>
      </c>
      <c r="I185" s="104">
        <f>'[1]🏙️'!B55</f>
        <v>0</v>
      </c>
      <c r="J185" s="22">
        <f>IF(IN[[#This Row],[Sim_]]=IN[[#This Row],[STAGE]],1,0)</f>
        <v>0</v>
      </c>
      <c r="K185" s="23">
        <f>[1]SIM!$GC$8</f>
        <v>7323.4</v>
      </c>
      <c r="L185" s="24">
        <f>[1]SIM!$GC$4</f>
        <v>7323.4</v>
      </c>
      <c r="M185" s="22">
        <f>IF(IN[[#This Row],[Sim_]]=IN[[#This Row],[Sim Var ref]],1,0)</f>
        <v>1</v>
      </c>
      <c r="N185" s="8">
        <f>[1]SIM!$GC$7</f>
        <v>0</v>
      </c>
      <c r="O185" s="8">
        <v>185</v>
      </c>
      <c r="P185" s="105" t="e">
        <f>[1]SIM!$GC$3</f>
        <v>#NAME?</v>
      </c>
      <c r="Q185" s="22" t="e">
        <f>IF(IN[[#This Row],[Sim_]]=IN[[#This Row],[Direkt alt]],1,0)</f>
        <v>#NAME?</v>
      </c>
      <c r="R185" s="10">
        <v>48131.200000000004</v>
      </c>
      <c r="S185" s="22">
        <f>IF(IN[[#This Row],[Sim_]]=IN[[#This Row],[Buffer]],1,0)</f>
        <v>0</v>
      </c>
      <c r="T185" s="11">
        <v>7323.4</v>
      </c>
      <c r="U185" s="104" t="str">
        <f>'[1]🏙️'!M55</f>
        <v>Alltagsmobilität</v>
      </c>
      <c r="V185" s="29">
        <v>7323.4</v>
      </c>
      <c r="W185" s="29">
        <v>7000</v>
      </c>
      <c r="X185" s="29">
        <v>4662</v>
      </c>
      <c r="Y185" s="11">
        <v>7323.4</v>
      </c>
      <c r="Z185" s="27">
        <v>4662</v>
      </c>
      <c r="AA185" s="27">
        <v>7323.4</v>
      </c>
      <c r="AB185" s="27">
        <v>7323.4</v>
      </c>
      <c r="AC185" s="106">
        <v>4662</v>
      </c>
      <c r="AD185">
        <v>48131.200000000004</v>
      </c>
      <c r="AE185">
        <v>48131.200000000004</v>
      </c>
      <c r="AF185">
        <v>48131.200000000004</v>
      </c>
      <c r="AG185">
        <v>48131.200000000004</v>
      </c>
      <c r="AH185">
        <v>48000</v>
      </c>
      <c r="AI185">
        <v>7323.4</v>
      </c>
      <c r="AJ185">
        <v>7323.4</v>
      </c>
    </row>
    <row r="186" spans="1:36" x14ac:dyDescent="0.25">
      <c r="A186" s="6"/>
      <c r="B186" s="15" t="s">
        <v>244</v>
      </c>
      <c r="C186" s="16"/>
      <c r="D186" s="16"/>
      <c r="E186" s="17" t="s">
        <v>65</v>
      </c>
      <c r="F186" s="18"/>
      <c r="G186" s="37"/>
      <c r="H186" s="20">
        <v>0</v>
      </c>
      <c r="I186" s="21">
        <f>IN[[#This Row],[Buffer]]</f>
        <v>7</v>
      </c>
      <c r="J186" s="22">
        <f>IF(IN[[#This Row],[Sim_]]=IN[[#This Row],[STAGE]],1,0)</f>
        <v>1</v>
      </c>
      <c r="K186" s="23">
        <f>[1]SIM!$GD$8</f>
        <v>7</v>
      </c>
      <c r="L186" s="24">
        <f>[1]SIM!$GD$4</f>
        <v>7</v>
      </c>
      <c r="M186" s="22">
        <f>IF(IN[[#This Row],[Sim_]]=IN[[#This Row],[Sim Var ref]],1,0)</f>
        <v>1</v>
      </c>
      <c r="N186" s="8">
        <f>[1]SIM!$GD$7</f>
        <v>0</v>
      </c>
      <c r="O186" s="8">
        <v>186</v>
      </c>
      <c r="P186" s="105">
        <f>[1]SIM!$GD$3</f>
        <v>1</v>
      </c>
      <c r="Q186" s="22">
        <f>IF(IN[[#This Row],[Sim_]]=IN[[#This Row],[Direkt alt]],1,0)</f>
        <v>0</v>
      </c>
      <c r="R186" s="10">
        <v>7</v>
      </c>
      <c r="S186" s="22">
        <f>IF(IN[[#This Row],[Sim_]]=IN[[#This Row],[Buffer]],1,0)</f>
        <v>1</v>
      </c>
      <c r="T186" s="11">
        <v>7</v>
      </c>
      <c r="U186" s="21">
        <f>IN[[#This Row],[Buffer]]</f>
        <v>7</v>
      </c>
      <c r="V186" s="107">
        <v>7</v>
      </c>
      <c r="W186" s="107">
        <v>1</v>
      </c>
      <c r="X186" s="107">
        <v>7</v>
      </c>
      <c r="Y186" s="11">
        <v>7</v>
      </c>
      <c r="Z186" s="27">
        <v>7</v>
      </c>
      <c r="AA186" s="27">
        <v>7</v>
      </c>
      <c r="AB186" s="27">
        <v>7</v>
      </c>
      <c r="AC186" s="28">
        <v>7</v>
      </c>
      <c r="AD186">
        <v>7</v>
      </c>
      <c r="AE186">
        <v>7</v>
      </c>
      <c r="AF186">
        <v>7</v>
      </c>
      <c r="AG186">
        <v>7</v>
      </c>
      <c r="AH186">
        <v>7</v>
      </c>
      <c r="AI186">
        <v>7</v>
      </c>
      <c r="AJ186">
        <v>7</v>
      </c>
    </row>
    <row r="187" spans="1:36" x14ac:dyDescent="0.25">
      <c r="A187" s="108"/>
      <c r="B187" s="15" t="s">
        <v>245</v>
      </c>
      <c r="C187" s="16"/>
      <c r="D187" s="16"/>
      <c r="E187" s="17" t="s">
        <v>65</v>
      </c>
      <c r="F187" s="18"/>
      <c r="G187" s="109"/>
      <c r="H187" s="20">
        <v>0</v>
      </c>
      <c r="I187" s="21">
        <f>IN[[#This Row],[Buffer]]</f>
        <v>2</v>
      </c>
      <c r="J187" s="22">
        <f>IF(IN[[#This Row],[Sim_]]=IN[[#This Row],[STAGE]],1,0)</f>
        <v>1</v>
      </c>
      <c r="K187" s="23">
        <f>[1]SIM!$GE$8</f>
        <v>2</v>
      </c>
      <c r="L187" s="24">
        <f>[1]SIM!$GE$4</f>
        <v>2</v>
      </c>
      <c r="M187" s="22">
        <f>IF(IN[[#This Row],[Sim_]]=IN[[#This Row],[Sim Var ref]],1,0)</f>
        <v>1</v>
      </c>
      <c r="N187" s="8">
        <f>[1]SIM!$GE$7</f>
        <v>0</v>
      </c>
      <c r="O187" s="8">
        <v>187</v>
      </c>
      <c r="P187" s="101">
        <f>[1]SIM!$GE$3</f>
        <v>2</v>
      </c>
      <c r="Q187" s="22">
        <f>IF(IN[[#This Row],[Sim_]]=IN[[#This Row],[Direkt alt]],1,0)</f>
        <v>1</v>
      </c>
      <c r="R187" s="10">
        <v>2</v>
      </c>
      <c r="S187" s="22">
        <f>IF(IN[[#This Row],[Sim_]]=IN[[#This Row],[Buffer]],1,0)</f>
        <v>1</v>
      </c>
      <c r="T187" s="11">
        <v>2</v>
      </c>
      <c r="U187" s="21">
        <f>IN[[#This Row],[Buffer]]</f>
        <v>2</v>
      </c>
      <c r="V187" s="107">
        <v>2</v>
      </c>
      <c r="W187" s="107">
        <v>2</v>
      </c>
      <c r="X187" s="107">
        <v>2</v>
      </c>
      <c r="Y187" s="11">
        <v>2</v>
      </c>
      <c r="Z187" s="27">
        <v>2</v>
      </c>
      <c r="AA187" s="27">
        <v>2</v>
      </c>
      <c r="AB187" s="27">
        <v>2</v>
      </c>
      <c r="AC187" s="28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</row>
    <row r="188" spans="1:36" x14ac:dyDescent="0.25">
      <c r="A188" s="110"/>
      <c r="B188" s="15" t="s">
        <v>246</v>
      </c>
      <c r="C188" s="16"/>
      <c r="D188" s="16"/>
      <c r="E188" s="17" t="s">
        <v>65</v>
      </c>
      <c r="F188" s="18"/>
      <c r="G188" s="111" t="s">
        <v>40</v>
      </c>
      <c r="H188" s="20">
        <v>0</v>
      </c>
      <c r="I188" s="21">
        <f>IN[[#This Row],[Buffer]]</f>
        <v>0.8</v>
      </c>
      <c r="J188" s="22">
        <f>IF(IN[[#This Row],[Sim_]]=IN[[#This Row],[STAGE]],1,0)</f>
        <v>1</v>
      </c>
      <c r="K188" s="23">
        <f>[1]SIM!$GF$8</f>
        <v>0.8</v>
      </c>
      <c r="L188" s="24">
        <f>[1]SIM!$GF$4</f>
        <v>0.8</v>
      </c>
      <c r="M188" s="22">
        <f>IF(IN[[#This Row],[Sim_]]=IN[[#This Row],[Sim Var ref]],1,0)</f>
        <v>1</v>
      </c>
      <c r="N188" s="8">
        <f>[1]SIM!$GF$7</f>
        <v>0</v>
      </c>
      <c r="O188" s="8">
        <v>188</v>
      </c>
      <c r="P188" s="112" t="e">
        <f>[1]SIM!$GF$3</f>
        <v>#REF!</v>
      </c>
      <c r="Q188" s="22" t="e">
        <f>IF(IN[[#This Row],[Sim_]]=IN[[#This Row],[Direkt alt]],1,0)</f>
        <v>#REF!</v>
      </c>
      <c r="R188" s="10">
        <v>0.8</v>
      </c>
      <c r="S188" s="22">
        <f>IF(IN[[#This Row],[Sim_]]=IN[[#This Row],[Buffer]],1,0)</f>
        <v>1</v>
      </c>
      <c r="T188" s="11">
        <v>0.8</v>
      </c>
      <c r="U188" s="21">
        <f>IN[[#This Row],[Buffer]]</f>
        <v>0.8</v>
      </c>
      <c r="V188" s="113">
        <v>0.8</v>
      </c>
      <c r="W188" s="113">
        <v>0.8</v>
      </c>
      <c r="X188" s="113">
        <v>0.8</v>
      </c>
      <c r="Y188" s="11">
        <v>0.8</v>
      </c>
      <c r="Z188" s="27">
        <v>0.8</v>
      </c>
      <c r="AA188" s="27">
        <v>0.8</v>
      </c>
      <c r="AB188" s="27">
        <v>0.8</v>
      </c>
      <c r="AC188" s="28">
        <v>0.8</v>
      </c>
      <c r="AD188">
        <v>0.8</v>
      </c>
      <c r="AE188">
        <v>0.8</v>
      </c>
      <c r="AF188">
        <v>0.8</v>
      </c>
      <c r="AG188">
        <v>0.8</v>
      </c>
      <c r="AH188">
        <v>0.8</v>
      </c>
      <c r="AI188">
        <v>0.8</v>
      </c>
      <c r="AJ188">
        <v>0.8</v>
      </c>
    </row>
    <row r="189" spans="1:36" x14ac:dyDescent="0.25">
      <c r="A189" s="6" t="s">
        <v>220</v>
      </c>
      <c r="B189" s="15" t="s">
        <v>247</v>
      </c>
      <c r="C189" s="16"/>
      <c r="D189" s="16"/>
      <c r="E189" s="17" t="s">
        <v>39</v>
      </c>
      <c r="F189" s="18"/>
      <c r="G189" s="90" t="s">
        <v>186</v>
      </c>
      <c r="H189" s="20">
        <v>0</v>
      </c>
      <c r="I189" s="21">
        <f>IN[[#This Row],[Buffer]]</f>
        <v>1</v>
      </c>
      <c r="J189" s="22">
        <f>IF(IN[[#This Row],[Sim_]]=IN[[#This Row],[STAGE]],1,0)</f>
        <v>1</v>
      </c>
      <c r="K189" s="23">
        <f>[1]SIM!$GG$8</f>
        <v>1</v>
      </c>
      <c r="L189" s="24">
        <f>[1]SIM!$GG$4</f>
        <v>1</v>
      </c>
      <c r="M189" s="22">
        <f>IF(IN[[#This Row],[Sim_]]=IN[[#This Row],[Sim Var ref]],1,0)</f>
        <v>1</v>
      </c>
      <c r="N189" s="114">
        <f>[1]SIM!$GG$7</f>
        <v>194</v>
      </c>
      <c r="O189" s="8">
        <v>189</v>
      </c>
      <c r="P189" s="105">
        <f>[1]SIM!$GG$3</f>
        <v>4</v>
      </c>
      <c r="Q189" s="22">
        <f>IF(IN[[#This Row],[Sim_]]=IN[[#This Row],[Direkt alt]],1,0)</f>
        <v>0</v>
      </c>
      <c r="R189" s="10">
        <v>1</v>
      </c>
      <c r="S189" s="22">
        <f>IF(IN[[#This Row],[Sim_]]=IN[[#This Row],[Buffer]],1,0)</f>
        <v>1</v>
      </c>
      <c r="T189" s="11">
        <v>1</v>
      </c>
      <c r="U189" s="21">
        <f>IN[[#This Row],[Buffer]]</f>
        <v>1</v>
      </c>
      <c r="V189" s="107">
        <v>1</v>
      </c>
      <c r="W189" s="107">
        <v>1</v>
      </c>
      <c r="X189" s="107">
        <v>1</v>
      </c>
      <c r="Y189" s="11">
        <v>1</v>
      </c>
      <c r="Z189" s="27">
        <v>1</v>
      </c>
      <c r="AA189" s="27">
        <v>1</v>
      </c>
      <c r="AB189" s="27">
        <v>1</v>
      </c>
      <c r="AC189" s="28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25">
      <c r="A190" s="6" t="s">
        <v>220</v>
      </c>
      <c r="B190" s="15" t="s">
        <v>248</v>
      </c>
      <c r="C190" s="16"/>
      <c r="D190" s="16"/>
      <c r="E190" s="17" t="s">
        <v>39</v>
      </c>
      <c r="F190" s="18"/>
      <c r="G190" s="90" t="s">
        <v>186</v>
      </c>
      <c r="H190" s="20">
        <v>0</v>
      </c>
      <c r="I190" s="21">
        <f>IN[[#This Row],[Buffer]]</f>
        <v>1</v>
      </c>
      <c r="J190" s="22">
        <f>IF(IN[[#This Row],[Sim_]]=IN[[#This Row],[STAGE]],1,0)</f>
        <v>0</v>
      </c>
      <c r="K190" s="23">
        <f>[1]SIM!$GH$8</f>
        <v>4</v>
      </c>
      <c r="L190" s="24">
        <f>[1]SIM!$GH$4</f>
        <v>4</v>
      </c>
      <c r="M190" s="22">
        <f>IF(IN[[#This Row],[Sim_]]=IN[[#This Row],[Sim Var ref]],1,0)</f>
        <v>1</v>
      </c>
      <c r="N190" s="8">
        <f>[1]SIM!$GH$7</f>
        <v>0</v>
      </c>
      <c r="O190" s="8">
        <v>190</v>
      </c>
      <c r="P190" s="105">
        <f>[1]SIM!$GH$3</f>
        <v>1</v>
      </c>
      <c r="Q190" s="22">
        <f>IF(IN[[#This Row],[Sim_]]=IN[[#This Row],[Direkt alt]],1,0)</f>
        <v>0</v>
      </c>
      <c r="R190" s="10">
        <v>1</v>
      </c>
      <c r="S190" s="22">
        <f>IF(IN[[#This Row],[Sim_]]=IN[[#This Row],[Buffer]],1,0)</f>
        <v>0</v>
      </c>
      <c r="T190" s="11">
        <v>4</v>
      </c>
      <c r="U190" s="21">
        <f>IN[[#This Row],[Buffer]]</f>
        <v>1</v>
      </c>
      <c r="V190" s="107">
        <v>4</v>
      </c>
      <c r="W190" s="107">
        <v>2</v>
      </c>
      <c r="X190" s="107">
        <v>1</v>
      </c>
      <c r="Y190" s="11">
        <v>4</v>
      </c>
      <c r="Z190" s="27">
        <v>1</v>
      </c>
      <c r="AA190" s="27">
        <v>4</v>
      </c>
      <c r="AB190" s="27">
        <v>4</v>
      </c>
      <c r="AC190" s="28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4</v>
      </c>
      <c r="AJ190">
        <v>4</v>
      </c>
    </row>
    <row r="191" spans="1:36" x14ac:dyDescent="0.25">
      <c r="A191" s="6" t="s">
        <v>220</v>
      </c>
      <c r="B191" s="15" t="s">
        <v>249</v>
      </c>
      <c r="C191" s="16"/>
      <c r="D191" s="16"/>
      <c r="E191" s="17" t="s">
        <v>65</v>
      </c>
      <c r="F191" s="18"/>
      <c r="G191" s="115" t="s">
        <v>250</v>
      </c>
      <c r="H191" s="20">
        <v>0</v>
      </c>
      <c r="I191" s="21">
        <f>IN[[#This Row],[Buffer]]</f>
        <v>1</v>
      </c>
      <c r="J191" s="22">
        <f>IF(IN[[#This Row],[Sim_]]=IN[[#This Row],[STAGE]],1,0)</f>
        <v>0</v>
      </c>
      <c r="K191" s="23">
        <f>[1]SIM!$GI$8</f>
        <v>3</v>
      </c>
      <c r="L191" s="24">
        <f>[1]SIM!$GI$4</f>
        <v>3</v>
      </c>
      <c r="M191" s="22">
        <f>IF(IN[[#This Row],[Sim_]]=IN[[#This Row],[Sim Var ref]],1,0)</f>
        <v>1</v>
      </c>
      <c r="N191" s="8">
        <f>[1]SIM!$GI$7</f>
        <v>0</v>
      </c>
      <c r="O191" s="8">
        <v>191</v>
      </c>
      <c r="P191" s="116">
        <f>[1]SIM!$GI$3</f>
        <v>5</v>
      </c>
      <c r="Q191" s="22">
        <f>IF(IN[[#This Row],[Sim_]]=IN[[#This Row],[Direkt alt]],1,0)</f>
        <v>0</v>
      </c>
      <c r="R191" s="10">
        <v>1</v>
      </c>
      <c r="S191" s="22">
        <f>IF(IN[[#This Row],[Sim_]]=IN[[#This Row],[Buffer]],1,0)</f>
        <v>0</v>
      </c>
      <c r="T191" s="11">
        <v>3</v>
      </c>
      <c r="U191" s="21">
        <f>IN[[#This Row],[Buffer]]</f>
        <v>1</v>
      </c>
      <c r="V191" s="107">
        <v>3</v>
      </c>
      <c r="W191" s="107">
        <v>3</v>
      </c>
      <c r="X191" s="107">
        <v>1</v>
      </c>
      <c r="Y191" s="11">
        <v>3</v>
      </c>
      <c r="Z191" s="27">
        <v>1</v>
      </c>
      <c r="AA191" s="27">
        <v>3</v>
      </c>
      <c r="AB191" s="27">
        <v>3</v>
      </c>
      <c r="AC191" s="28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3</v>
      </c>
      <c r="AJ191">
        <v>3</v>
      </c>
    </row>
    <row r="192" spans="1:36" x14ac:dyDescent="0.25">
      <c r="A192" s="6" t="s">
        <v>220</v>
      </c>
      <c r="B192" s="15" t="s">
        <v>251</v>
      </c>
      <c r="C192" s="16"/>
      <c r="D192" s="16"/>
      <c r="E192" s="17" t="s">
        <v>65</v>
      </c>
      <c r="F192" s="18"/>
      <c r="G192" s="115"/>
      <c r="H192" s="20">
        <v>0</v>
      </c>
      <c r="I192" s="21">
        <f>IN[[#This Row],[Buffer]]</f>
        <v>2</v>
      </c>
      <c r="J192" s="22">
        <f>IF(IN[[#This Row],[Sim_]]=IN[[#This Row],[STAGE]],1,0)</f>
        <v>0</v>
      </c>
      <c r="K192" s="23">
        <f>[1]SIM!$GJ$8</f>
        <v>1</v>
      </c>
      <c r="L192" s="24">
        <f>[1]SIM!$GJ$4</f>
        <v>1</v>
      </c>
      <c r="M192" s="22">
        <f>IF(IN[[#This Row],[Sim_]]=IN[[#This Row],[Sim Var ref]],1,0)</f>
        <v>1</v>
      </c>
      <c r="N192" s="8">
        <f>[1]SIM!$GJ$7</f>
        <v>0</v>
      </c>
      <c r="O192" s="8">
        <v>192</v>
      </c>
      <c r="P192" s="116">
        <f>[1]SIM!$GJ$3</f>
        <v>2</v>
      </c>
      <c r="Q192" s="22">
        <f>IF(IN[[#This Row],[Sim_]]=IN[[#This Row],[Direkt alt]],1,0)</f>
        <v>0</v>
      </c>
      <c r="R192" s="10">
        <v>2</v>
      </c>
      <c r="S192" s="22">
        <f>IF(IN[[#This Row],[Sim_]]=IN[[#This Row],[Buffer]],1,0)</f>
        <v>0</v>
      </c>
      <c r="T192" s="11">
        <v>1</v>
      </c>
      <c r="U192" s="21">
        <f>IN[[#This Row],[Buffer]]</f>
        <v>2</v>
      </c>
      <c r="V192" s="107">
        <v>1</v>
      </c>
      <c r="W192" s="107">
        <v>5</v>
      </c>
      <c r="X192" s="107">
        <v>1</v>
      </c>
      <c r="Y192" s="11">
        <v>1</v>
      </c>
      <c r="Z192" s="27">
        <v>1</v>
      </c>
      <c r="AA192" s="27">
        <v>1</v>
      </c>
      <c r="AB192" s="27">
        <v>1</v>
      </c>
      <c r="AC192" s="28">
        <v>1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1</v>
      </c>
      <c r="AJ192">
        <v>1</v>
      </c>
    </row>
    <row r="193" spans="1:36" x14ac:dyDescent="0.25">
      <c r="A193" s="6" t="s">
        <v>220</v>
      </c>
      <c r="B193" s="15" t="s">
        <v>252</v>
      </c>
      <c r="C193" s="16"/>
      <c r="D193" s="16"/>
      <c r="E193" s="17" t="s">
        <v>65</v>
      </c>
      <c r="F193" s="18"/>
      <c r="G193" s="115"/>
      <c r="H193" s="20">
        <v>0</v>
      </c>
      <c r="I193" s="21">
        <f>IN[[#This Row],[Buffer]]</f>
        <v>2</v>
      </c>
      <c r="J193" s="22">
        <f>IF(IN[[#This Row],[Sim_]]=IN[[#This Row],[STAGE]],1,0)</f>
        <v>0</v>
      </c>
      <c r="K193" s="23">
        <f>[1]SIM!$GK$8</f>
        <v>1</v>
      </c>
      <c r="L193" s="24">
        <f>[1]SIM!$GK$4</f>
        <v>1</v>
      </c>
      <c r="M193" s="22">
        <f>IF(IN[[#This Row],[Sim_]]=IN[[#This Row],[Sim Var ref]],1,0)</f>
        <v>1</v>
      </c>
      <c r="N193" s="8">
        <f>[1]SIM!$GK$7</f>
        <v>0</v>
      </c>
      <c r="O193" s="8">
        <v>193</v>
      </c>
      <c r="P193" s="116">
        <f>[1]SIM!$GK$3</f>
        <v>4</v>
      </c>
      <c r="Q193" s="22">
        <f>IF(IN[[#This Row],[Sim_]]=IN[[#This Row],[Direkt alt]],1,0)</f>
        <v>0</v>
      </c>
      <c r="R193" s="10">
        <v>2</v>
      </c>
      <c r="S193" s="22">
        <f>IF(IN[[#This Row],[Sim_]]=IN[[#This Row],[Buffer]],1,0)</f>
        <v>0</v>
      </c>
      <c r="T193" s="11">
        <v>1</v>
      </c>
      <c r="U193" s="21">
        <f>IN[[#This Row],[Buffer]]</f>
        <v>2</v>
      </c>
      <c r="V193" s="107">
        <v>1</v>
      </c>
      <c r="W193" s="107">
        <v>5</v>
      </c>
      <c r="X193" s="107">
        <v>2</v>
      </c>
      <c r="Y193" s="11">
        <v>1</v>
      </c>
      <c r="Z193" s="27">
        <v>2</v>
      </c>
      <c r="AA193" s="27">
        <v>1</v>
      </c>
      <c r="AB193" s="27">
        <v>1</v>
      </c>
      <c r="AC193" s="28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1</v>
      </c>
      <c r="AJ193">
        <v>1</v>
      </c>
    </row>
    <row r="194" spans="1:36" x14ac:dyDescent="0.25">
      <c r="A194" s="6" t="s">
        <v>220</v>
      </c>
      <c r="B194" s="117" t="s">
        <v>253</v>
      </c>
      <c r="C194" s="118"/>
      <c r="D194" s="118"/>
      <c r="E194" s="17" t="s">
        <v>39</v>
      </c>
      <c r="F194" s="119"/>
      <c r="G194" s="115"/>
      <c r="H194" s="20">
        <v>0</v>
      </c>
      <c r="I194" s="21">
        <f>IN[[#This Row],[Buffer]]</f>
        <v>1</v>
      </c>
      <c r="J194" s="22">
        <f>IF(IN[[#This Row],[Sim_]]=IN[[#This Row],[STAGE]],1,0)</f>
        <v>0</v>
      </c>
      <c r="K194" s="23">
        <f>[1]SIM!$GL$8</f>
        <v>3</v>
      </c>
      <c r="L194" s="24">
        <f>[1]SIM!$GL$4</f>
        <v>3</v>
      </c>
      <c r="M194" s="22">
        <f>IF(IN[[#This Row],[Sim_]]=IN[[#This Row],[Sim Var ref]],1,0)</f>
        <v>1</v>
      </c>
      <c r="N194" s="8">
        <f>[1]SIM!$GL$7</f>
        <v>0</v>
      </c>
      <c r="O194" s="8">
        <v>194</v>
      </c>
      <c r="P194" s="105">
        <f>[1]SIM!$GL$3</f>
        <v>5</v>
      </c>
      <c r="Q194" s="22">
        <f>IF(IN[[#This Row],[Sim_]]=IN[[#This Row],[Direkt alt]],1,0)</f>
        <v>0</v>
      </c>
      <c r="R194" s="10">
        <v>1</v>
      </c>
      <c r="S194" s="22">
        <f>IF(IN[[#This Row],[Sim_]]=IN[[#This Row],[Buffer]],1,0)</f>
        <v>0</v>
      </c>
      <c r="T194" s="11">
        <v>3</v>
      </c>
      <c r="U194" s="21">
        <f>IN[[#This Row],[Buffer]]</f>
        <v>1</v>
      </c>
      <c r="V194" s="107">
        <v>3</v>
      </c>
      <c r="W194" s="107">
        <v>1</v>
      </c>
      <c r="X194" s="107">
        <v>1</v>
      </c>
      <c r="Y194" s="11">
        <v>3</v>
      </c>
      <c r="Z194" s="27">
        <v>1</v>
      </c>
      <c r="AA194" s="27">
        <v>3</v>
      </c>
      <c r="AB194" s="27">
        <v>3</v>
      </c>
      <c r="AC194" s="28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3</v>
      </c>
      <c r="AJ194">
        <v>3</v>
      </c>
    </row>
    <row r="195" spans="1:36" x14ac:dyDescent="0.25">
      <c r="A195" s="6" t="s">
        <v>220</v>
      </c>
      <c r="B195" s="117" t="s">
        <v>254</v>
      </c>
      <c r="C195" s="118"/>
      <c r="D195" s="118"/>
      <c r="E195" s="17" t="s">
        <v>39</v>
      </c>
      <c r="F195" s="119"/>
      <c r="G195" s="115"/>
      <c r="H195" s="20">
        <v>0</v>
      </c>
      <c r="I195" s="21">
        <f>IN[[#This Row],[Buffer]]</f>
        <v>1</v>
      </c>
      <c r="J195" s="22">
        <f>IF(IN[[#This Row],[Sim_]]=IN[[#This Row],[STAGE]],1,0)</f>
        <v>0</v>
      </c>
      <c r="K195" s="23">
        <f>[1]SIM!$GM$8</f>
        <v>3</v>
      </c>
      <c r="L195" s="24">
        <f>[1]SIM!$GM$4</f>
        <v>3</v>
      </c>
      <c r="M195" s="22">
        <f>IF(IN[[#This Row],[Sim_]]=IN[[#This Row],[Sim Var ref]],1,0)</f>
        <v>1</v>
      </c>
      <c r="N195" s="8">
        <f>[1]SIM!$GM$7</f>
        <v>0</v>
      </c>
      <c r="O195" s="8">
        <v>195</v>
      </c>
      <c r="P195" s="105">
        <f>[1]SIM!$GM$3</f>
        <v>5</v>
      </c>
      <c r="Q195" s="22">
        <f>IF(IN[[#This Row],[Sim_]]=IN[[#This Row],[Direkt alt]],1,0)</f>
        <v>0</v>
      </c>
      <c r="R195" s="10">
        <v>1</v>
      </c>
      <c r="S195" s="22">
        <f>IF(IN[[#This Row],[Sim_]]=IN[[#This Row],[Buffer]],1,0)</f>
        <v>0</v>
      </c>
      <c r="T195" s="11">
        <v>3</v>
      </c>
      <c r="U195" s="21">
        <f>IN[[#This Row],[Buffer]]</f>
        <v>1</v>
      </c>
      <c r="V195" s="107">
        <v>3</v>
      </c>
      <c r="W195" s="107">
        <v>1</v>
      </c>
      <c r="X195" s="107">
        <v>1</v>
      </c>
      <c r="Y195" s="11">
        <v>3</v>
      </c>
      <c r="Z195" s="27">
        <v>1</v>
      </c>
      <c r="AA195" s="27">
        <v>3</v>
      </c>
      <c r="AB195" s="27">
        <v>3</v>
      </c>
      <c r="AC195" s="28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3</v>
      </c>
      <c r="AJ195">
        <v>3</v>
      </c>
    </row>
    <row r="196" spans="1:36" x14ac:dyDescent="0.25">
      <c r="A196" s="6" t="s">
        <v>220</v>
      </c>
      <c r="B196" s="117" t="s">
        <v>255</v>
      </c>
      <c r="C196" s="118"/>
      <c r="D196" s="118"/>
      <c r="E196" s="17" t="s">
        <v>65</v>
      </c>
      <c r="F196" s="119"/>
      <c r="G196" s="115"/>
      <c r="H196" s="20">
        <v>0</v>
      </c>
      <c r="I196" s="21">
        <f>IN[[#This Row],[Buffer]]</f>
        <v>1</v>
      </c>
      <c r="J196" s="22">
        <f>IF(IN[[#This Row],[Sim_]]=IN[[#This Row],[STAGE]],1,0)</f>
        <v>0</v>
      </c>
      <c r="K196" s="23">
        <f>[1]SIM!$GN$8</f>
        <v>3</v>
      </c>
      <c r="L196" s="24">
        <f>[1]SIM!$GN$4</f>
        <v>3</v>
      </c>
      <c r="M196" s="22">
        <f>IF(IN[[#This Row],[Sim_]]=IN[[#This Row],[Sim Var ref]],1,0)</f>
        <v>1</v>
      </c>
      <c r="N196" s="8">
        <f>[1]SIM!$GN$7</f>
        <v>0</v>
      </c>
      <c r="O196" s="8">
        <v>196</v>
      </c>
      <c r="P196" s="105">
        <f>[1]SIM!$GN$3</f>
        <v>1</v>
      </c>
      <c r="Q196" s="22">
        <f>IF(IN[[#This Row],[Sim_]]=IN[[#This Row],[Direkt alt]],1,0)</f>
        <v>0</v>
      </c>
      <c r="R196" s="10">
        <v>1</v>
      </c>
      <c r="S196" s="22">
        <f>IF(IN[[#This Row],[Sim_]]=IN[[#This Row],[Buffer]],1,0)</f>
        <v>0</v>
      </c>
      <c r="T196" s="11">
        <v>3</v>
      </c>
      <c r="U196" s="21">
        <f>IN[[#This Row],[Buffer]]</f>
        <v>1</v>
      </c>
      <c r="V196" s="107">
        <v>3</v>
      </c>
      <c r="W196" s="107">
        <v>1</v>
      </c>
      <c r="X196" s="107">
        <v>1</v>
      </c>
      <c r="Y196" s="11">
        <v>3</v>
      </c>
      <c r="Z196" s="27">
        <v>1</v>
      </c>
      <c r="AA196" s="27">
        <v>3</v>
      </c>
      <c r="AB196" s="27">
        <v>3</v>
      </c>
      <c r="AC196" s="28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3</v>
      </c>
      <c r="AJ196">
        <v>3</v>
      </c>
    </row>
    <row r="197" spans="1:36" x14ac:dyDescent="0.25">
      <c r="A197" s="6" t="s">
        <v>220</v>
      </c>
      <c r="B197" s="117" t="s">
        <v>256</v>
      </c>
      <c r="C197" s="118"/>
      <c r="D197" s="118"/>
      <c r="E197" s="17" t="s">
        <v>65</v>
      </c>
      <c r="F197" s="119"/>
      <c r="G197" s="115"/>
      <c r="H197" s="20">
        <v>0</v>
      </c>
      <c r="I197" s="21">
        <f>IN[[#This Row],[Buffer]]</f>
        <v>1</v>
      </c>
      <c r="J197" s="22">
        <f>IF(IN[[#This Row],[Sim_]]=IN[[#This Row],[STAGE]],1,0)</f>
        <v>0</v>
      </c>
      <c r="K197" s="23">
        <f>[1]SIM!$GO$8</f>
        <v>3</v>
      </c>
      <c r="L197" s="24">
        <f>[1]SIM!$GO$4</f>
        <v>3</v>
      </c>
      <c r="M197" s="22">
        <f>IF(IN[[#This Row],[Sim_]]=IN[[#This Row],[Sim Var ref]],1,0)</f>
        <v>1</v>
      </c>
      <c r="N197" s="8">
        <f>[1]SIM!$GO$7</f>
        <v>0</v>
      </c>
      <c r="O197" s="8">
        <v>197</v>
      </c>
      <c r="P197" s="105">
        <f>[1]SIM!$GO$3</f>
        <v>1</v>
      </c>
      <c r="Q197" s="22">
        <f>IF(IN[[#This Row],[Sim_]]=IN[[#This Row],[Direkt alt]],1,0)</f>
        <v>0</v>
      </c>
      <c r="R197" s="10">
        <v>1</v>
      </c>
      <c r="S197" s="22">
        <f>IF(IN[[#This Row],[Sim_]]=IN[[#This Row],[Buffer]],1,0)</f>
        <v>0</v>
      </c>
      <c r="T197" s="11">
        <v>3</v>
      </c>
      <c r="U197" s="21">
        <f>IN[[#This Row],[Buffer]]</f>
        <v>1</v>
      </c>
      <c r="V197" s="107">
        <v>3</v>
      </c>
      <c r="W197" s="107">
        <v>1</v>
      </c>
      <c r="X197" s="107">
        <v>1</v>
      </c>
      <c r="Y197" s="11">
        <v>3</v>
      </c>
      <c r="Z197" s="27">
        <v>1</v>
      </c>
      <c r="AA197" s="27">
        <v>3</v>
      </c>
      <c r="AB197" s="27">
        <v>3</v>
      </c>
      <c r="AC197" s="28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3</v>
      </c>
      <c r="AJ197">
        <v>3</v>
      </c>
    </row>
    <row r="198" spans="1:36" x14ac:dyDescent="0.25">
      <c r="A198" s="6" t="s">
        <v>220</v>
      </c>
      <c r="B198" s="117" t="s">
        <v>257</v>
      </c>
      <c r="C198" s="118"/>
      <c r="D198" s="118"/>
      <c r="E198" s="17" t="s">
        <v>65</v>
      </c>
      <c r="F198" s="119"/>
      <c r="G198" s="115"/>
      <c r="H198" s="20">
        <v>0</v>
      </c>
      <c r="I198" s="21">
        <f>IN[[#This Row],[Buffer]]</f>
        <v>1</v>
      </c>
      <c r="J198" s="22">
        <f>IF(IN[[#This Row],[Sim_]]=IN[[#This Row],[STAGE]],1,0)</f>
        <v>0</v>
      </c>
      <c r="K198" s="23">
        <f>[1]SIM!$GP$8</f>
        <v>3</v>
      </c>
      <c r="L198" s="24">
        <f>[1]SIM!$GP$4</f>
        <v>3</v>
      </c>
      <c r="M198" s="22">
        <f>IF(IN[[#This Row],[Sim_]]=IN[[#This Row],[Sim Var ref]],1,0)</f>
        <v>1</v>
      </c>
      <c r="N198" s="8">
        <f>[1]SIM!$GP$7</f>
        <v>0</v>
      </c>
      <c r="O198" s="8">
        <v>198</v>
      </c>
      <c r="P198" s="105">
        <f>[1]SIM!$GP$3</f>
        <v>3</v>
      </c>
      <c r="Q198" s="22">
        <f>IF(IN[[#This Row],[Sim_]]=IN[[#This Row],[Direkt alt]],1,0)</f>
        <v>1</v>
      </c>
      <c r="R198" s="10">
        <v>1</v>
      </c>
      <c r="S198" s="22">
        <f>IF(IN[[#This Row],[Sim_]]=IN[[#This Row],[Buffer]],1,0)</f>
        <v>0</v>
      </c>
      <c r="T198" s="11">
        <v>3</v>
      </c>
      <c r="U198" s="21">
        <f>IN[[#This Row],[Buffer]]</f>
        <v>1</v>
      </c>
      <c r="V198" s="107">
        <v>3</v>
      </c>
      <c r="W198" s="107">
        <v>1</v>
      </c>
      <c r="X198" s="107">
        <v>1</v>
      </c>
      <c r="Y198" s="11">
        <v>3</v>
      </c>
      <c r="Z198" s="27">
        <v>1</v>
      </c>
      <c r="AA198" s="27">
        <v>3</v>
      </c>
      <c r="AB198" s="27">
        <v>3</v>
      </c>
      <c r="AC198" s="2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3</v>
      </c>
      <c r="AJ198">
        <v>3</v>
      </c>
    </row>
    <row r="199" spans="1:36" x14ac:dyDescent="0.25">
      <c r="A199" s="6" t="s">
        <v>220</v>
      </c>
      <c r="B199" s="117" t="s">
        <v>258</v>
      </c>
      <c r="C199" s="118"/>
      <c r="D199" s="118"/>
      <c r="E199" s="17" t="s">
        <v>65</v>
      </c>
      <c r="F199" s="119"/>
      <c r="G199" s="115"/>
      <c r="H199" s="20">
        <v>0</v>
      </c>
      <c r="I199" s="21">
        <f>IN[[#This Row],[Buffer]]</f>
        <v>1</v>
      </c>
      <c r="J199" s="22">
        <f>IF(IN[[#This Row],[Sim_]]=IN[[#This Row],[STAGE]],1,0)</f>
        <v>0</v>
      </c>
      <c r="K199" s="23">
        <f>[1]SIM!$GQ$8</f>
        <v>3</v>
      </c>
      <c r="L199" s="24">
        <f>[1]SIM!$GQ$4</f>
        <v>3</v>
      </c>
      <c r="M199" s="22">
        <f>IF(IN[[#This Row],[Sim_]]=IN[[#This Row],[Sim Var ref]],1,0)</f>
        <v>1</v>
      </c>
      <c r="N199" s="8">
        <f>[1]SIM!$GQ$7</f>
        <v>0</v>
      </c>
      <c r="O199" s="8">
        <v>199</v>
      </c>
      <c r="P199" s="105">
        <f>[1]SIM!$GQ$3</f>
        <v>1</v>
      </c>
      <c r="Q199" s="22">
        <f>IF(IN[[#This Row],[Sim_]]=IN[[#This Row],[Direkt alt]],1,0)</f>
        <v>0</v>
      </c>
      <c r="R199" s="10">
        <v>1</v>
      </c>
      <c r="S199" s="22">
        <f>IF(IN[[#This Row],[Sim_]]=IN[[#This Row],[Buffer]],1,0)</f>
        <v>0</v>
      </c>
      <c r="T199" s="11">
        <v>3</v>
      </c>
      <c r="U199" s="21">
        <f>IN[[#This Row],[Buffer]]</f>
        <v>1</v>
      </c>
      <c r="V199" s="107">
        <v>3</v>
      </c>
      <c r="W199" s="107">
        <v>1</v>
      </c>
      <c r="X199" s="107">
        <v>1</v>
      </c>
      <c r="Y199" s="11">
        <v>3</v>
      </c>
      <c r="Z199" s="27">
        <v>1</v>
      </c>
      <c r="AA199" s="27">
        <v>3</v>
      </c>
      <c r="AB199" s="27">
        <v>3</v>
      </c>
      <c r="AC199" s="28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3</v>
      </c>
      <c r="AJ199">
        <v>3</v>
      </c>
    </row>
    <row r="200" spans="1:36" x14ac:dyDescent="0.25">
      <c r="A200" s="6" t="s">
        <v>234</v>
      </c>
      <c r="B200" s="120" t="s">
        <v>259</v>
      </c>
      <c r="C200" s="121"/>
      <c r="D200" s="121"/>
      <c r="E200" s="17" t="s">
        <v>65</v>
      </c>
      <c r="F200" s="122"/>
      <c r="G200" s="115"/>
      <c r="H200" s="20">
        <v>0</v>
      </c>
      <c r="I200" s="21">
        <f>IN[[#This Row],[Buffer]]</f>
        <v>3</v>
      </c>
      <c r="J200" s="22">
        <f>IF(IN[[#This Row],[Sim_]]=IN[[#This Row],[STAGE]],1,0)</f>
        <v>1</v>
      </c>
      <c r="K200" s="23">
        <f>[1]SIM!$GR$8</f>
        <v>3</v>
      </c>
      <c r="L200" s="24">
        <f>[1]SIM!$GR$4</f>
        <v>3</v>
      </c>
      <c r="M200" s="22">
        <f>IF(IN[[#This Row],[Sim_]]=IN[[#This Row],[Sim Var ref]],1,0)</f>
        <v>1</v>
      </c>
      <c r="N200" s="8">
        <f>[1]SIM!$GR$7</f>
        <v>0</v>
      </c>
      <c r="O200" s="8">
        <v>200</v>
      </c>
      <c r="P200" s="123">
        <f>[1]SIM!$GR$3</f>
        <v>3</v>
      </c>
      <c r="Q200" s="22">
        <f>IF(IN[[#This Row],[Sim_]]=IN[[#This Row],[Direkt alt]],1,0)</f>
        <v>1</v>
      </c>
      <c r="R200" s="10">
        <v>3</v>
      </c>
      <c r="S200" s="22">
        <f>IF(IN[[#This Row],[Sim_]]=IN[[#This Row],[Buffer]],1,0)</f>
        <v>1</v>
      </c>
      <c r="T200" s="11">
        <v>3</v>
      </c>
      <c r="U200" s="21">
        <f>IN[[#This Row],[Buffer]]</f>
        <v>3</v>
      </c>
      <c r="V200" s="107">
        <v>3</v>
      </c>
      <c r="W200" s="107">
        <v>3</v>
      </c>
      <c r="X200" s="107">
        <v>3</v>
      </c>
      <c r="Y200" s="11">
        <v>3</v>
      </c>
      <c r="Z200" s="124">
        <v>3</v>
      </c>
      <c r="AA200" s="124">
        <v>3</v>
      </c>
      <c r="AB200" s="124">
        <v>3</v>
      </c>
      <c r="AC200" s="28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</row>
    <row r="201" spans="1:36" x14ac:dyDescent="0.25">
      <c r="A201" s="125" t="s">
        <v>65</v>
      </c>
      <c r="B201" s="125" t="s">
        <v>65</v>
      </c>
      <c r="C201" s="125" t="s">
        <v>65</v>
      </c>
      <c r="D201" s="125" t="s">
        <v>65</v>
      </c>
      <c r="E201" s="125" t="s">
        <v>65</v>
      </c>
      <c r="F201" s="126"/>
      <c r="G201" s="127" t="s">
        <v>65</v>
      </c>
      <c r="H201" s="128">
        <v>0</v>
      </c>
      <c r="I201" s="125"/>
      <c r="J201" s="125" t="s">
        <v>65</v>
      </c>
      <c r="K201" s="125" t="s">
        <v>65</v>
      </c>
      <c r="L201" s="125" t="s">
        <v>65</v>
      </c>
      <c r="M201" s="125" t="s">
        <v>65</v>
      </c>
      <c r="N201" s="125" t="s">
        <v>65</v>
      </c>
      <c r="O201" s="125" t="s">
        <v>65</v>
      </c>
      <c r="P201" s="125" t="s">
        <v>65</v>
      </c>
      <c r="Q201" s="125" t="s">
        <v>65</v>
      </c>
      <c r="R201" s="125"/>
      <c r="S201" s="125" t="s">
        <v>65</v>
      </c>
      <c r="T201" s="125" t="s">
        <v>65</v>
      </c>
      <c r="U201" s="125" t="s">
        <v>65</v>
      </c>
      <c r="V201" s="129" t="s">
        <v>65</v>
      </c>
      <c r="W201" s="129" t="s">
        <v>65</v>
      </c>
      <c r="X201" s="129" t="s">
        <v>65</v>
      </c>
      <c r="Y201" s="129" t="s">
        <v>65</v>
      </c>
      <c r="Z201" s="129"/>
      <c r="AA201" s="129" t="s">
        <v>65</v>
      </c>
      <c r="AB201" s="129" t="s">
        <v>65</v>
      </c>
      <c r="AC201" s="129" t="s">
        <v>65</v>
      </c>
    </row>
    <row r="202" spans="1:36" x14ac:dyDescent="0.25">
      <c r="A202" s="63"/>
      <c r="C202" s="16"/>
      <c r="D202" s="16"/>
      <c r="E202" s="17"/>
      <c r="F202" s="75"/>
      <c r="G202" s="64"/>
      <c r="H202" s="20">
        <v>0</v>
      </c>
      <c r="I202" s="21"/>
      <c r="J202" s="130"/>
      <c r="K202" s="131"/>
      <c r="L202" s="70"/>
      <c r="M202" s="130"/>
      <c r="N202" s="8"/>
      <c r="O202" s="8"/>
      <c r="P202" s="132"/>
      <c r="Q202" s="130"/>
      <c r="R202" s="10"/>
      <c r="S202" s="130"/>
      <c r="T202" s="11"/>
      <c r="U202" s="21"/>
      <c r="Y202" s="11"/>
      <c r="Z202" s="27"/>
      <c r="AA202" s="27"/>
      <c r="AB202" s="27"/>
      <c r="AC202" s="28"/>
    </row>
    <row r="203" spans="1:36" ht="15.75" x14ac:dyDescent="0.25">
      <c r="A203" s="133" t="s">
        <v>260</v>
      </c>
      <c r="B203" s="133" t="s">
        <v>261</v>
      </c>
      <c r="C203" s="16"/>
      <c r="D203" s="16"/>
      <c r="E203" s="17" t="s">
        <v>262</v>
      </c>
      <c r="F203" s="18" t="s">
        <v>263</v>
      </c>
      <c r="G203" s="134" t="str">
        <f ca="1">_xlfn.FORMULATEXT(IN[[#This Row],[STAGE]])</f>
        <v>='[ka_PEQ_Nachweistool.xlsb]🏙️'!$D$5</v>
      </c>
      <c r="H203" s="20">
        <v>2</v>
      </c>
      <c r="I203" s="104" t="str">
        <f>'[1]🏙️'!$D$5</f>
        <v>WieNeu+ Alliiertenviertel</v>
      </c>
      <c r="J203" s="135">
        <f>IF(IN[[#This Row],[Sim_]]=IN[[#This Row],[STAGE]],1,0)</f>
        <v>0</v>
      </c>
      <c r="K203" s="136" t="s">
        <v>264</v>
      </c>
      <c r="L203" s="130"/>
      <c r="M203" s="130">
        <f>IF(IN[[#This Row],[Sim_]]=IN[[#This Row],[Sim Var ref]],1,0)</f>
        <v>0</v>
      </c>
      <c r="N203" s="8"/>
      <c r="O203" s="8">
        <v>203</v>
      </c>
      <c r="P203" s="105"/>
      <c r="Q203" s="137">
        <f>IF(IN[[#This Row],[Sim_]]=IN[[#This Row],[Direkt alt]],1,0)</f>
        <v>0</v>
      </c>
      <c r="R203" s="10" t="s">
        <v>29</v>
      </c>
      <c r="S203" s="10">
        <f>IF(IN[[#This Row],[Sim_]]=IN[[#This Row],[Buffer]],1,0)</f>
        <v>0</v>
      </c>
      <c r="T203" s="11"/>
      <c r="U203" s="104" t="str">
        <f>'[1]🏙️'!$D$5</f>
        <v>WieNeu+ Alliiertenviertel</v>
      </c>
      <c r="V203" t="str">
        <f>IN[[#Headers],[Beispiel Pilzgasse]]</f>
        <v>Beispiel Pilzgasse</v>
      </c>
      <c r="W203" t="str">
        <f>IN[[#Headers],[Beispiel Am Bichl]]</f>
        <v>Beispiel Am Bichl</v>
      </c>
      <c r="X203" t="s">
        <v>265</v>
      </c>
      <c r="Y203" t="str">
        <f>IN[[#Headers],[Beispiel Am Bichl]]</f>
        <v>Beispiel Am Bichl</v>
      </c>
      <c r="Z203" s="27" t="s">
        <v>265</v>
      </c>
      <c r="AA203" t="str">
        <f>IN[[#Headers],[Beispiel Am Bichl]]</f>
        <v>Beispiel Am Bichl</v>
      </c>
      <c r="AB203" t="s">
        <v>266</v>
      </c>
      <c r="AC203" s="106" t="s">
        <v>265</v>
      </c>
      <c r="AD203" t="s">
        <v>29</v>
      </c>
      <c r="AE203" t="s">
        <v>29</v>
      </c>
      <c r="AF203" t="s">
        <v>29</v>
      </c>
      <c r="AG203" t="s">
        <v>29</v>
      </c>
      <c r="AH203" t="s">
        <v>29</v>
      </c>
      <c r="AI203" t="s">
        <v>266</v>
      </c>
      <c r="AJ203" t="s">
        <v>266</v>
      </c>
    </row>
    <row r="204" spans="1:36" ht="30" x14ac:dyDescent="0.25">
      <c r="A204" s="133" t="s">
        <v>260</v>
      </c>
      <c r="B204" s="133" t="s">
        <v>267</v>
      </c>
      <c r="C204" s="16"/>
      <c r="D204" s="16"/>
      <c r="E204" s="17" t="s">
        <v>262</v>
      </c>
      <c r="F204" s="18" t="s">
        <v>268</v>
      </c>
      <c r="G204" s="134" t="str">
        <f ca="1">_xlfn.FORMULATEXT(IN[[#This Row],[STAGE]])</f>
        <v>='[ka_PEQ_Nachweistool.xlsb]🏙️'!B6</v>
      </c>
      <c r="H204" s="20">
        <v>2</v>
      </c>
      <c r="I204" s="104">
        <f>'[1]🏙️'!B6</f>
        <v>0</v>
      </c>
      <c r="J204" s="135">
        <f>IF(IN[[#This Row],[Sim_]]=IN[[#This Row],[STAGE]],1,0)</f>
        <v>0</v>
      </c>
      <c r="K204" s="138" t="s">
        <v>269</v>
      </c>
      <c r="L204" s="130"/>
      <c r="M204" s="130">
        <f>IF(IN[[#This Row],[Sim_]]=IN[[#This Row],[Sim Var ref]],1,0)</f>
        <v>0</v>
      </c>
      <c r="N204" s="8"/>
      <c r="O204" s="8">
        <v>204</v>
      </c>
      <c r="P204" s="105"/>
      <c r="Q204" s="137">
        <f>IF(IN[[#This Row],[Sim_]]=IN[[#This Row],[Direkt alt]],1,0)</f>
        <v>0</v>
      </c>
      <c r="R204" s="10">
        <v>0</v>
      </c>
      <c r="S204" s="10">
        <f>IF(IN[[#This Row],[Sim_]]=IN[[#This Row],[Buffer]],1,0)</f>
        <v>0</v>
      </c>
      <c r="T204" s="11"/>
      <c r="U204" s="104">
        <f>'[1]🏙️'!M6</f>
        <v>0</v>
      </c>
      <c r="X204">
        <v>0</v>
      </c>
      <c r="Y204" s="11"/>
      <c r="Z204" s="27">
        <v>0</v>
      </c>
      <c r="AA204" s="27"/>
      <c r="AB204" s="27">
        <v>0</v>
      </c>
      <c r="AC204" s="106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ht="30" x14ac:dyDescent="0.25">
      <c r="A205" s="139" t="s">
        <v>270</v>
      </c>
      <c r="B205" s="140" t="s">
        <v>271</v>
      </c>
      <c r="C205" s="16"/>
      <c r="D205" s="16"/>
      <c r="E205" s="17" t="s">
        <v>262</v>
      </c>
      <c r="F205" s="18" t="s">
        <v>272</v>
      </c>
      <c r="G205" s="134" t="str">
        <f ca="1">_xlfn.FORMULATEXT(IN[[#This Row],[STAGE]])</f>
        <v>='[ka_PEQ_Nachweistool.xlsb]🏙️'!$D$12</v>
      </c>
      <c r="H205" s="20">
        <v>2</v>
      </c>
      <c r="I205" s="104">
        <f>'[1]🏙️'!$D$12</f>
        <v>1020</v>
      </c>
      <c r="J205" s="135">
        <f>IF(IN[[#This Row],[Sim_]]=IN[[#This Row],[STAGE]],1,0)</f>
        <v>0</v>
      </c>
      <c r="K205" s="138" t="s">
        <v>269</v>
      </c>
      <c r="L205" s="130"/>
      <c r="M205" s="130">
        <f>IF(IN[[#This Row],[Sim_]]=IN[[#This Row],[Sim Var ref]],1,0)</f>
        <v>0</v>
      </c>
      <c r="N205" s="8"/>
      <c r="O205" s="8">
        <v>205</v>
      </c>
      <c r="P205" s="105"/>
      <c r="Q205" s="137">
        <f>IF(IN[[#This Row],[Sim_]]=IN[[#This Row],[Direkt alt]],1,0)</f>
        <v>0</v>
      </c>
      <c r="R205" s="10">
        <v>1020</v>
      </c>
      <c r="S205" s="10">
        <f>IF(IN[[#This Row],[Sim_]]=IN[[#This Row],[Buffer]],1,0)</f>
        <v>0</v>
      </c>
      <c r="T205" s="11"/>
      <c r="U205" s="104">
        <f>'[1]🏙️'!$D$12</f>
        <v>1020</v>
      </c>
      <c r="X205" t="s">
        <v>273</v>
      </c>
      <c r="Y205" s="11"/>
      <c r="Z205" s="27" t="s">
        <v>273</v>
      </c>
      <c r="AA205" s="27">
        <v>0</v>
      </c>
      <c r="AB205" s="27" t="s">
        <v>274</v>
      </c>
      <c r="AC205" s="106" t="s">
        <v>273</v>
      </c>
      <c r="AD205">
        <v>1020</v>
      </c>
      <c r="AE205">
        <v>1020</v>
      </c>
      <c r="AF205">
        <v>1020</v>
      </c>
      <c r="AG205">
        <v>1020</v>
      </c>
      <c r="AH205">
        <v>1020</v>
      </c>
      <c r="AI205" t="s">
        <v>274</v>
      </c>
      <c r="AJ205" t="s">
        <v>274</v>
      </c>
    </row>
    <row r="206" spans="1:36" ht="30" x14ac:dyDescent="0.25">
      <c r="A206" s="139" t="s">
        <v>270</v>
      </c>
      <c r="B206" s="140" t="s">
        <v>275</v>
      </c>
      <c r="C206" s="16"/>
      <c r="D206" s="16"/>
      <c r="E206" s="17" t="s">
        <v>262</v>
      </c>
      <c r="F206" s="18" t="s">
        <v>276</v>
      </c>
      <c r="G206" s="134" t="str">
        <f ca="1">_xlfn.FORMULATEXT(IN[[#This Row],[STAGE]])</f>
        <v>='[ka_PEQ_Nachweistool.xlsb]🏙️'!B14</v>
      </c>
      <c r="H206" s="20">
        <v>2</v>
      </c>
      <c r="I206" s="104">
        <f>'[1]🏙️'!B14</f>
        <v>0</v>
      </c>
      <c r="J206" s="135">
        <f>IF(IN[[#This Row],[Sim_]]=IN[[#This Row],[STAGE]],1,0)</f>
        <v>0</v>
      </c>
      <c r="K206" s="138" t="s">
        <v>269</v>
      </c>
      <c r="L206" s="130"/>
      <c r="M206" s="130">
        <f>IF(IN[[#This Row],[Sim_]]=IN[[#This Row],[Sim Var ref]],1,0)</f>
        <v>0</v>
      </c>
      <c r="N206" s="8"/>
      <c r="O206" s="8">
        <v>206</v>
      </c>
      <c r="P206" s="105"/>
      <c r="Q206" s="137">
        <f>IF(IN[[#This Row],[Sim_]]=IN[[#This Row],[Direkt alt]],1,0)</f>
        <v>0</v>
      </c>
      <c r="R206" s="10" t="s">
        <v>277</v>
      </c>
      <c r="S206" s="10">
        <f>IF(IN[[#This Row],[Sim_]]=IN[[#This Row],[Buffer]],1,0)</f>
        <v>0</v>
      </c>
      <c r="T206" s="11"/>
      <c r="U206" s="104">
        <f>'[1]🏙️'!M14</f>
        <v>0</v>
      </c>
      <c r="X206" t="s">
        <v>278</v>
      </c>
      <c r="Y206" s="11"/>
      <c r="Z206" s="27" t="s">
        <v>278</v>
      </c>
      <c r="AA206" s="27"/>
      <c r="AB206" s="27" t="s">
        <v>279</v>
      </c>
      <c r="AC206" s="106" t="s">
        <v>278</v>
      </c>
      <c r="AD206" t="s">
        <v>277</v>
      </c>
      <c r="AE206" t="s">
        <v>277</v>
      </c>
      <c r="AF206" t="s">
        <v>277</v>
      </c>
      <c r="AG206" t="s">
        <v>277</v>
      </c>
      <c r="AH206" t="s">
        <v>277</v>
      </c>
      <c r="AI206" t="s">
        <v>279</v>
      </c>
      <c r="AJ206" t="s">
        <v>279</v>
      </c>
    </row>
    <row r="207" spans="1:36" ht="30" x14ac:dyDescent="0.25">
      <c r="A207" s="133" t="s">
        <v>260</v>
      </c>
      <c r="B207" s="133" t="s">
        <v>280</v>
      </c>
      <c r="C207" s="16"/>
      <c r="D207" s="16"/>
      <c r="E207" s="17" t="s">
        <v>262</v>
      </c>
      <c r="F207" s="18"/>
      <c r="G207" s="134" t="str">
        <f ca="1">_xlfn.FORMULATEXT(IN[[#This Row],[STAGE]])</f>
        <v>='[ka_PEQ_Nachweistool.xlsb]🏙️'!$D$7</v>
      </c>
      <c r="H207" s="20">
        <v>2</v>
      </c>
      <c r="I207" s="141">
        <f>'[1]🏙️'!$D$7</f>
        <v>45350</v>
      </c>
      <c r="J207" s="135">
        <f>IF(IN[[#This Row],[Sim_]]=IN[[#This Row],[STAGE]],1,0)</f>
        <v>0</v>
      </c>
      <c r="K207" s="138" t="s">
        <v>269</v>
      </c>
      <c r="L207" s="130"/>
      <c r="M207" s="130">
        <f>IF(IN[[#This Row],[Sim_]]=IN[[#This Row],[Sim Var ref]],1,0)</f>
        <v>0</v>
      </c>
      <c r="N207" s="8"/>
      <c r="O207" s="8">
        <v>207</v>
      </c>
      <c r="P207" s="105"/>
      <c r="Q207" s="137">
        <f>IF(IN[[#This Row],[Sim_]]=IN[[#This Row],[Direkt alt]],1,0)</f>
        <v>0</v>
      </c>
      <c r="R207" s="10">
        <v>45350</v>
      </c>
      <c r="S207" s="10">
        <f>IF(IN[[#This Row],[Sim_]]=IN[[#This Row],[Buffer]],1,0)</f>
        <v>0</v>
      </c>
      <c r="T207" s="11"/>
      <c r="U207" s="141">
        <f>'[1]🏙️'!$D$7</f>
        <v>45350</v>
      </c>
      <c r="X207" s="142">
        <v>45350</v>
      </c>
      <c r="Y207" s="11"/>
      <c r="Z207" s="27">
        <v>45350</v>
      </c>
      <c r="AA207" s="27">
        <v>0</v>
      </c>
      <c r="AB207" s="27">
        <v>45682</v>
      </c>
      <c r="AC207" s="143">
        <v>45350</v>
      </c>
      <c r="AD207" s="142">
        <v>45350</v>
      </c>
      <c r="AE207" s="142">
        <v>45350</v>
      </c>
      <c r="AF207" s="142">
        <v>45350</v>
      </c>
      <c r="AG207" s="142">
        <v>45350</v>
      </c>
      <c r="AH207" s="142">
        <v>45350</v>
      </c>
      <c r="AI207">
        <v>45682</v>
      </c>
      <c r="AJ207" s="142">
        <v>45682</v>
      </c>
    </row>
    <row r="208" spans="1:36" ht="30" x14ac:dyDescent="0.25">
      <c r="A208" s="133" t="s">
        <v>260</v>
      </c>
      <c r="B208" s="133" t="s">
        <v>281</v>
      </c>
      <c r="C208" s="16"/>
      <c r="D208" s="16"/>
      <c r="E208" s="17" t="s">
        <v>262</v>
      </c>
      <c r="F208" s="18" t="s">
        <v>282</v>
      </c>
      <c r="G208" s="134" t="str">
        <f ca="1">_xlfn.FORMULATEXT(IN[[#This Row],[STAGE]])</f>
        <v>='[ka_PEQ_Nachweistool.xlsb]🏙️'!$D$8</v>
      </c>
      <c r="H208" s="20">
        <v>2</v>
      </c>
      <c r="I208" s="104">
        <f>'[1]🏙️'!$D$8</f>
        <v>0</v>
      </c>
      <c r="J208" s="135">
        <f>IF(IN[[#This Row],[Sim_]]=IN[[#This Row],[STAGE]],1,0)</f>
        <v>0</v>
      </c>
      <c r="K208" s="138" t="s">
        <v>269</v>
      </c>
      <c r="L208" s="130"/>
      <c r="M208" s="130">
        <f>IF(IN[[#This Row],[Sim_]]=IN[[#This Row],[Sim Var ref]],1,0)</f>
        <v>0</v>
      </c>
      <c r="N208" s="8"/>
      <c r="O208" s="8">
        <v>208</v>
      </c>
      <c r="P208" s="105"/>
      <c r="Q208" s="137">
        <f>IF(IN[[#This Row],[Sim_]]=IN[[#This Row],[Direkt alt]],1,0)</f>
        <v>0</v>
      </c>
      <c r="R208" s="10">
        <v>0</v>
      </c>
      <c r="S208" s="10">
        <f>IF(IN[[#This Row],[Sim_]]=IN[[#This Row],[Buffer]],1,0)</f>
        <v>0</v>
      </c>
      <c r="T208" s="11"/>
      <c r="U208" s="104">
        <f>'[1]🏙️'!$D$8</f>
        <v>0</v>
      </c>
      <c r="X208" s="142">
        <v>0</v>
      </c>
      <c r="Y208" s="11"/>
      <c r="Z208" s="27">
        <v>0</v>
      </c>
      <c r="AA208" s="27">
        <v>0</v>
      </c>
      <c r="AB208" s="27" t="s">
        <v>283</v>
      </c>
      <c r="AC208" s="106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283</v>
      </c>
      <c r="AJ208" t="s">
        <v>283</v>
      </c>
    </row>
    <row r="209" spans="1:36" ht="15.75" x14ac:dyDescent="0.25">
      <c r="A209" s="133" t="s">
        <v>260</v>
      </c>
      <c r="B209" s="133" t="s">
        <v>284</v>
      </c>
      <c r="C209" s="16"/>
      <c r="D209" s="16"/>
      <c r="E209" s="17" t="s">
        <v>285</v>
      </c>
      <c r="F209" s="18" t="s">
        <v>286</v>
      </c>
      <c r="G209" s="144" t="str">
        <f ca="1">_xlfn.FORMULATEXT(IN[[#This Row],[STAGE]])</f>
        <v>='[ka_PEQ_Nachweistool.xlsb]🏙️'!B9</v>
      </c>
      <c r="H209" s="20">
        <v>2</v>
      </c>
      <c r="I209" s="104">
        <f>'[1]🏙️'!B9</f>
        <v>0</v>
      </c>
      <c r="J209" s="135">
        <f>IF(IN[[#This Row],[Sim_]]=IN[[#This Row],[STAGE]],1,0)</f>
        <v>0</v>
      </c>
      <c r="K209" s="136" t="str">
        <f>var_current_name</f>
        <v>Pilzgasse - Beta deklarierbar(?)</v>
      </c>
      <c r="L209" s="130" t="str">
        <f>var_current_name</f>
        <v>Pilzgasse - Beta deklarierbar(?)</v>
      </c>
      <c r="M209" s="130">
        <f>IF(IN[[#This Row],[Sim_]]=IN[[#This Row],[Sim Var ref]],1,0)</f>
        <v>1</v>
      </c>
      <c r="N209" s="8"/>
      <c r="O209" s="8">
        <v>209</v>
      </c>
      <c r="P209" s="105"/>
      <c r="Q209" s="137">
        <f>IF(IN[[#This Row],[Sim_]]=IN[[#This Row],[Direkt alt]],1,0)</f>
        <v>0</v>
      </c>
      <c r="R209" s="10" t="s">
        <v>287</v>
      </c>
      <c r="S209" s="10">
        <f>IF(IN[[#This Row],[Sim_]]=IN[[#This Row],[Buffer]],1,0)</f>
        <v>0</v>
      </c>
      <c r="T209" s="11"/>
      <c r="U209" s="145"/>
      <c r="X209" s="142">
        <v>0</v>
      </c>
      <c r="Y209" s="11"/>
      <c r="Z209" s="27">
        <v>0</v>
      </c>
      <c r="AA209" s="27"/>
      <c r="AB209" s="27" t="s">
        <v>288</v>
      </c>
      <c r="AC209" s="106">
        <v>0</v>
      </c>
      <c r="AD209">
        <v>0</v>
      </c>
      <c r="AE209" s="146">
        <v>0</v>
      </c>
      <c r="AF209" s="146" t="s">
        <v>287</v>
      </c>
      <c r="AG209" t="s">
        <v>287</v>
      </c>
      <c r="AH209" t="s">
        <v>289</v>
      </c>
      <c r="AI209" t="s">
        <v>288</v>
      </c>
      <c r="AJ209" t="s">
        <v>288</v>
      </c>
    </row>
    <row r="210" spans="1:36" ht="30" x14ac:dyDescent="0.25">
      <c r="A210" s="139" t="s">
        <v>270</v>
      </c>
      <c r="B210" s="140" t="s">
        <v>290</v>
      </c>
      <c r="C210" s="16"/>
      <c r="D210" s="16"/>
      <c r="E210" s="17" t="s">
        <v>262</v>
      </c>
      <c r="F210" s="18" t="s">
        <v>291</v>
      </c>
      <c r="G210" s="134" t="str">
        <f ca="1">_xlfn.FORMULATEXT(IN[[#This Row],[STAGE]])</f>
        <v>='[ka_PEQ_Nachweistool.xlsb]🏙️'!$D$15</v>
      </c>
      <c r="H210" s="20">
        <v>2</v>
      </c>
      <c r="I210" s="104">
        <f>'[1]🏙️'!$D$15</f>
        <v>0</v>
      </c>
      <c r="J210" s="135">
        <f>IF(IN[[#This Row],[Sim_]]=IN[[#This Row],[STAGE]],1,0)</f>
        <v>0</v>
      </c>
      <c r="K210" s="138" t="s">
        <v>292</v>
      </c>
      <c r="L210" s="130"/>
      <c r="M210" s="130">
        <f>IF(IN[[#This Row],[Sim_]]=IN[[#This Row],[Sim Var ref]],1,0)</f>
        <v>0</v>
      </c>
      <c r="N210" s="8"/>
      <c r="O210" s="8">
        <v>210</v>
      </c>
      <c r="P210" s="105"/>
      <c r="Q210" s="137">
        <f>IF(IN[[#This Row],[Sim_]]=IN[[#This Row],[Direkt alt]],1,0)</f>
        <v>0</v>
      </c>
      <c r="R210" s="10">
        <v>0</v>
      </c>
      <c r="S210" s="10">
        <f>IF(IN[[#This Row],[Sim_]]=IN[[#This Row],[Buffer]],1,0)</f>
        <v>0</v>
      </c>
      <c r="T210" s="11"/>
      <c r="U210" s="104">
        <f>'[1]🏙️'!$D$15</f>
        <v>0</v>
      </c>
      <c r="X210" s="142">
        <v>0</v>
      </c>
      <c r="Y210" s="11"/>
      <c r="Z210" s="27">
        <v>0</v>
      </c>
      <c r="AA210" s="27">
        <v>0</v>
      </c>
      <c r="AB210" s="27" t="s">
        <v>292</v>
      </c>
      <c r="AC210" s="106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 t="s">
        <v>292</v>
      </c>
    </row>
    <row r="211" spans="1:36" x14ac:dyDescent="0.25">
      <c r="A211" s="63"/>
      <c r="B211" s="140"/>
      <c r="C211" s="16"/>
      <c r="D211" s="16"/>
      <c r="E211" s="17"/>
      <c r="F211" s="18"/>
      <c r="G211" s="147"/>
      <c r="H211" s="20">
        <v>0</v>
      </c>
      <c r="I211" s="104">
        <f>IN[[#This Row],[Buffer]]</f>
        <v>0</v>
      </c>
      <c r="J211" s="135">
        <f>IF(IN[[#This Row],[Sim_]]=IN[[#This Row],[STAGE]],1,0)</f>
        <v>1</v>
      </c>
      <c r="K211" s="148"/>
      <c r="L211" s="130"/>
      <c r="M211" s="130">
        <f>IF(IN[[#This Row],[Sim_]]=IN[[#This Row],[Sim Var ref]],1,0)</f>
        <v>1</v>
      </c>
      <c r="N211" s="8"/>
      <c r="O211" s="8"/>
      <c r="P211" s="105"/>
      <c r="Q211" s="137">
        <f>IF(IN[[#This Row],[Sim_]]=IN[[#This Row],[Direkt alt]],1,0)</f>
        <v>1</v>
      </c>
      <c r="R211" s="10">
        <v>0</v>
      </c>
      <c r="S211" s="10">
        <f>IF(IN[[#This Row],[Sim_]]=IN[[#This Row],[Buffer]],1,0)</f>
        <v>1</v>
      </c>
      <c r="T211" s="11"/>
      <c r="U211" s="145"/>
      <c r="X211" s="142">
        <v>0</v>
      </c>
      <c r="Y211" s="11"/>
      <c r="Z211" s="27">
        <v>0</v>
      </c>
      <c r="AA211" s="27"/>
      <c r="AB211" s="27"/>
      <c r="AC211" s="106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s="63"/>
      <c r="B212" s="140"/>
      <c r="C212" s="16"/>
      <c r="D212" s="16"/>
      <c r="E212" s="17"/>
      <c r="F212" s="18"/>
      <c r="G212" s="147"/>
      <c r="H212" s="20">
        <v>0</v>
      </c>
      <c r="I212" s="104">
        <f>IN[[#This Row],[Buffer]]</f>
        <v>0</v>
      </c>
      <c r="J212" s="135">
        <f>IF(IN[[#This Row],[Sim_]]=IN[[#This Row],[STAGE]],1,0)</f>
        <v>1</v>
      </c>
      <c r="K212" s="148"/>
      <c r="L212" s="130"/>
      <c r="M212" s="130">
        <f>IF(IN[[#This Row],[Sim_]]=IN[[#This Row],[Sim Var ref]],1,0)</f>
        <v>1</v>
      </c>
      <c r="N212" s="8"/>
      <c r="O212" s="8"/>
      <c r="P212" s="105"/>
      <c r="Q212" s="137">
        <f>IF(IN[[#This Row],[Sim_]]=IN[[#This Row],[Direkt alt]],1,0)</f>
        <v>1</v>
      </c>
      <c r="R212" s="10">
        <v>0</v>
      </c>
      <c r="S212" s="10">
        <f>IF(IN[[#This Row],[Sim_]]=IN[[#This Row],[Buffer]],1,0)</f>
        <v>1</v>
      </c>
      <c r="T212" s="11"/>
      <c r="U212" s="145"/>
      <c r="X212" s="142">
        <v>0</v>
      </c>
      <c r="Y212" s="11"/>
      <c r="Z212" s="27">
        <v>0</v>
      </c>
      <c r="AA212" s="27"/>
      <c r="AB212" s="27"/>
      <c r="AC212" s="106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s="63"/>
      <c r="B213" s="140"/>
      <c r="C213" s="16"/>
      <c r="D213" s="16"/>
      <c r="E213" s="17"/>
      <c r="F213" s="18"/>
      <c r="G213" s="147"/>
      <c r="H213" s="20">
        <v>0</v>
      </c>
      <c r="I213" s="104">
        <f>IN[[#This Row],[Buffer]]</f>
        <v>0</v>
      </c>
      <c r="J213" s="135">
        <f>IF(IN[[#This Row],[Sim_]]=IN[[#This Row],[STAGE]],1,0)</f>
        <v>1</v>
      </c>
      <c r="K213" s="148"/>
      <c r="L213" s="130"/>
      <c r="M213" s="130">
        <f>IF(IN[[#This Row],[Sim_]]=IN[[#This Row],[Sim Var ref]],1,0)</f>
        <v>1</v>
      </c>
      <c r="N213" s="8"/>
      <c r="O213" s="8"/>
      <c r="P213" s="105"/>
      <c r="Q213" s="137">
        <f>IF(IN[[#This Row],[Sim_]]=IN[[#This Row],[Direkt alt]],1,0)</f>
        <v>1</v>
      </c>
      <c r="R213" s="10">
        <v>0</v>
      </c>
      <c r="S213" s="10">
        <f>IF(IN[[#This Row],[Sim_]]=IN[[#This Row],[Buffer]],1,0)</f>
        <v>1</v>
      </c>
      <c r="T213" s="11"/>
      <c r="U213" s="145"/>
      <c r="X213" s="142">
        <v>0</v>
      </c>
      <c r="Y213" s="11"/>
      <c r="Z213" s="27">
        <v>0</v>
      </c>
      <c r="AA213" s="27"/>
      <c r="AB213" s="27"/>
      <c r="AC213" s="106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s="63"/>
      <c r="B214" s="140"/>
      <c r="C214" s="16"/>
      <c r="D214" s="16"/>
      <c r="E214" s="17"/>
      <c r="F214" s="18"/>
      <c r="G214" s="147"/>
      <c r="H214" s="20">
        <v>0</v>
      </c>
      <c r="I214" s="104">
        <f>IN[[#This Row],[Buffer]]</f>
        <v>0</v>
      </c>
      <c r="J214" s="135">
        <f>IF(IN[[#This Row],[Sim_]]=IN[[#This Row],[STAGE]],1,0)</f>
        <v>1</v>
      </c>
      <c r="K214" s="148"/>
      <c r="L214" s="130"/>
      <c r="M214" s="130">
        <f>IF(IN[[#This Row],[Sim_]]=IN[[#This Row],[Sim Var ref]],1,0)</f>
        <v>1</v>
      </c>
      <c r="N214" s="8"/>
      <c r="O214" s="8"/>
      <c r="P214" s="105"/>
      <c r="Q214" s="137">
        <f>IF(IN[[#This Row],[Sim_]]=IN[[#This Row],[Direkt alt]],1,0)</f>
        <v>1</v>
      </c>
      <c r="R214" s="10">
        <v>0</v>
      </c>
      <c r="S214" s="10">
        <f>IF(IN[[#This Row],[Sim_]]=IN[[#This Row],[Buffer]],1,0)</f>
        <v>1</v>
      </c>
      <c r="T214" s="11"/>
      <c r="U214" s="145"/>
      <c r="X214" s="142">
        <v>0</v>
      </c>
      <c r="Y214" s="11"/>
      <c r="Z214" s="27">
        <v>0</v>
      </c>
      <c r="AA214" s="27"/>
      <c r="AB214" s="27"/>
      <c r="AC214" s="106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s="63"/>
      <c r="B215" s="140"/>
      <c r="C215" s="16"/>
      <c r="D215" s="16"/>
      <c r="E215" s="17"/>
      <c r="F215" s="18"/>
      <c r="G215" s="147"/>
      <c r="H215" s="20">
        <v>0</v>
      </c>
      <c r="I215" s="104">
        <f>IN[[#This Row],[Buffer]]</f>
        <v>0</v>
      </c>
      <c r="J215" s="135">
        <f>IF(IN[[#This Row],[Sim_]]=IN[[#This Row],[STAGE]],1,0)</f>
        <v>1</v>
      </c>
      <c r="K215" s="148"/>
      <c r="L215" s="130"/>
      <c r="M215" s="130">
        <f>IF(IN[[#This Row],[Sim_]]=IN[[#This Row],[Sim Var ref]],1,0)</f>
        <v>1</v>
      </c>
      <c r="N215" s="8"/>
      <c r="O215" s="8"/>
      <c r="P215" s="105"/>
      <c r="Q215" s="137">
        <f>IF(IN[[#This Row],[Sim_]]=IN[[#This Row],[Direkt alt]],1,0)</f>
        <v>1</v>
      </c>
      <c r="R215" s="10">
        <v>0</v>
      </c>
      <c r="S215" s="10">
        <f>IF(IN[[#This Row],[Sim_]]=IN[[#This Row],[Buffer]],1,0)</f>
        <v>1</v>
      </c>
      <c r="T215" s="11"/>
      <c r="U215" s="145"/>
      <c r="X215" s="142">
        <v>0</v>
      </c>
      <c r="Y215" s="11"/>
      <c r="Z215" s="27">
        <v>0</v>
      </c>
      <c r="AA215" s="27"/>
      <c r="AB215" s="27"/>
      <c r="AC215" s="106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s="63"/>
      <c r="B216" s="140"/>
      <c r="C216" s="16"/>
      <c r="D216" s="16"/>
      <c r="E216" s="17"/>
      <c r="F216" s="18"/>
      <c r="G216" s="147"/>
      <c r="H216" s="20">
        <v>0</v>
      </c>
      <c r="I216" s="104">
        <f>IN[[#This Row],[Buffer]]</f>
        <v>0</v>
      </c>
      <c r="J216" s="135">
        <f>IF(IN[[#This Row],[Sim_]]=IN[[#This Row],[STAGE]],1,0)</f>
        <v>1</v>
      </c>
      <c r="K216" s="148"/>
      <c r="L216" s="130"/>
      <c r="M216" s="130">
        <f>IF(IN[[#This Row],[Sim_]]=IN[[#This Row],[Sim Var ref]],1,0)</f>
        <v>1</v>
      </c>
      <c r="N216" s="8"/>
      <c r="O216" s="8"/>
      <c r="P216" s="105"/>
      <c r="Q216" s="137">
        <f>IF(IN[[#This Row],[Sim_]]=IN[[#This Row],[Direkt alt]],1,0)</f>
        <v>1</v>
      </c>
      <c r="R216" s="10">
        <v>0</v>
      </c>
      <c r="S216" s="10">
        <f>IF(IN[[#This Row],[Sim_]]=IN[[#This Row],[Buffer]],1,0)</f>
        <v>1</v>
      </c>
      <c r="T216" s="11"/>
      <c r="U216" s="145"/>
      <c r="X216" s="142">
        <v>0</v>
      </c>
      <c r="Y216" s="11"/>
      <c r="Z216" s="27">
        <v>0</v>
      </c>
      <c r="AA216" s="27"/>
      <c r="AB216" s="27"/>
      <c r="AC216" s="10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s="63"/>
      <c r="B217" s="140"/>
      <c r="C217" s="16"/>
      <c r="D217" s="16"/>
      <c r="E217" s="17"/>
      <c r="F217" s="18"/>
      <c r="G217" s="147"/>
      <c r="H217" s="20">
        <v>0</v>
      </c>
      <c r="I217" s="104">
        <f>IN[[#This Row],[Buffer]]</f>
        <v>0</v>
      </c>
      <c r="J217" s="135">
        <f>IF(IN[[#This Row],[Sim_]]=IN[[#This Row],[STAGE]],1,0)</f>
        <v>1</v>
      </c>
      <c r="K217" s="148"/>
      <c r="L217" s="130"/>
      <c r="M217" s="130">
        <f>IF(IN[[#This Row],[Sim_]]=IN[[#This Row],[Sim Var ref]],1,0)</f>
        <v>1</v>
      </c>
      <c r="N217" s="8"/>
      <c r="O217" s="8"/>
      <c r="P217" s="105"/>
      <c r="Q217" s="137">
        <f>IF(IN[[#This Row],[Sim_]]=IN[[#This Row],[Direkt alt]],1,0)</f>
        <v>1</v>
      </c>
      <c r="R217" s="10">
        <v>0</v>
      </c>
      <c r="S217" s="10">
        <f>IF(IN[[#This Row],[Sim_]]=IN[[#This Row],[Buffer]],1,0)</f>
        <v>1</v>
      </c>
      <c r="T217" s="11"/>
      <c r="U217" s="145"/>
      <c r="X217" s="142">
        <v>0</v>
      </c>
      <c r="Y217" s="11"/>
      <c r="Z217" s="27">
        <v>0</v>
      </c>
      <c r="AA217" s="27"/>
      <c r="AB217" s="27"/>
      <c r="AC217" s="106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ht="26.25" x14ac:dyDescent="0.25">
      <c r="A218" s="149"/>
      <c r="B218" s="140"/>
      <c r="C218" s="150" t="e">
        <f>ROWS(#REF!)-1</f>
        <v>#REF!</v>
      </c>
      <c r="D218" s="150" t="s">
        <v>293</v>
      </c>
      <c r="E218" s="140"/>
      <c r="F218" s="151"/>
      <c r="G218" s="152"/>
      <c r="H218" s="153">
        <v>0</v>
      </c>
      <c r="I218" s="154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55"/>
      <c r="W218" s="155"/>
      <c r="X218" s="155"/>
      <c r="Y218" s="155"/>
      <c r="Z218" s="155"/>
      <c r="AA218" s="155"/>
      <c r="AB218" s="155"/>
      <c r="AC218" s="156"/>
    </row>
    <row r="219" spans="1:36" x14ac:dyDescent="0.25">
      <c r="A219" s="157" t="s">
        <v>294</v>
      </c>
      <c r="B219" s="15" t="s">
        <v>295</v>
      </c>
      <c r="C219" s="16"/>
      <c r="D219" s="16"/>
      <c r="E219" s="17" t="s">
        <v>285</v>
      </c>
      <c r="F219" s="18" t="s">
        <v>296</v>
      </c>
      <c r="G219" s="134" t="str">
        <f ca="1">_xlfn.FORMULATEXT(IN[[#This Row],[STAGE]])</f>
        <v>='[ka_PEQ_Nachweistool.xlsb]🏙️'!$D$19</v>
      </c>
      <c r="H219" s="20">
        <v>2</v>
      </c>
      <c r="I219" s="104" t="str">
        <f>'[1]🏙️'!$D$19</f>
        <v>Wien 2050</v>
      </c>
      <c r="J219" s="135">
        <f>IF(IN[[#This Row],[Sim_]]=IN[[#This Row],[STAGE]],1,0)</f>
        <v>0</v>
      </c>
      <c r="K219" s="158" t="str" cm="1">
        <f t="array" ref="K219">INDEX(list_weathers,K180)</f>
        <v>Hohe Warte 2010</v>
      </c>
      <c r="L219" s="130"/>
      <c r="M219" s="130">
        <f>IF(IN[[#This Row],[Sim_]]=IN[[#This Row],[Sim Var ref]],1,0)</f>
        <v>0</v>
      </c>
      <c r="N219" s="8"/>
      <c r="O219" s="8">
        <v>211</v>
      </c>
      <c r="P219" s="105"/>
      <c r="Q219" s="137">
        <f>IF(IN[[#This Row],[Sim_]]=IN[[#This Row],[Direkt alt]],1,0)</f>
        <v>0</v>
      </c>
      <c r="R219" s="10" t="s">
        <v>297</v>
      </c>
      <c r="S219" s="10">
        <f>IF(IN[[#This Row],[Sim_]]=IN[[#This Row],[Buffer]],1,0)</f>
        <v>0</v>
      </c>
      <c r="T219" s="11"/>
      <c r="U219" s="104" t="str">
        <f>'[1]🏙️'!$D$19</f>
        <v>Wien 2050</v>
      </c>
      <c r="V219" t="str" cm="1">
        <f t="array" ref="V219">INDEX(list_weathers,V180)</f>
        <v>Hohe Warte 2010</v>
      </c>
      <c r="W219" t="str" cm="1">
        <f t="array" aca="1" ref="W219" ca="1">INDEX(list_weathers,W180)</f>
        <v>Innsbruck 2020</v>
      </c>
      <c r="X219" t="s">
        <v>297</v>
      </c>
      <c r="Y219" s="11"/>
      <c r="Z219" s="27" t="s">
        <v>297</v>
      </c>
      <c r="AA219" s="27" t="s">
        <v>298</v>
      </c>
      <c r="AB219" s="27" t="s">
        <v>298</v>
      </c>
      <c r="AC219" s="106" t="s">
        <v>297</v>
      </c>
      <c r="AD219" t="s">
        <v>297</v>
      </c>
      <c r="AE219" t="s">
        <v>297</v>
      </c>
      <c r="AF219" t="s">
        <v>297</v>
      </c>
      <c r="AG219" t="s">
        <v>297</v>
      </c>
      <c r="AH219" t="s">
        <v>299</v>
      </c>
      <c r="AI219" t="s">
        <v>298</v>
      </c>
      <c r="AJ219" t="s">
        <v>298</v>
      </c>
    </row>
    <row r="220" spans="1:36" x14ac:dyDescent="0.25">
      <c r="A220" s="157" t="s">
        <v>294</v>
      </c>
      <c r="B220" s="15" t="s">
        <v>300</v>
      </c>
      <c r="C220" s="16"/>
      <c r="D220" s="16"/>
      <c r="E220" s="17" t="s">
        <v>78</v>
      </c>
      <c r="F220" s="18" t="s">
        <v>301</v>
      </c>
      <c r="G220" s="134" t="str">
        <f ca="1">_xlfn.FORMULATEXT(IN[[#This Row],[STAGE]])</f>
        <v>=VERGLEICH(I219;list_weathers;0)</v>
      </c>
      <c r="H220" s="20">
        <v>0</v>
      </c>
      <c r="I220" s="104">
        <f ca="1">MATCH(I219,list_weathers,0)</f>
        <v>7</v>
      </c>
      <c r="J220" s="135">
        <f ca="1">IF(IN[[#This Row],[Sim_]]=IN[[#This Row],[STAGE]],1,0)</f>
        <v>0</v>
      </c>
      <c r="K220" s="6"/>
      <c r="L220" s="130"/>
      <c r="M220" s="130">
        <f>IF(IN[[#This Row],[Sim_]]=IN[[#This Row],[Sim Var ref]],1,0)</f>
        <v>1</v>
      </c>
      <c r="N220" s="8"/>
      <c r="O220" s="8">
        <v>212</v>
      </c>
      <c r="P220" s="105"/>
      <c r="Q220" s="137">
        <f>IF(IN[[#This Row],[Sim_]]=IN[[#This Row],[Direkt alt]],1,0)</f>
        <v>1</v>
      </c>
      <c r="R220" s="10">
        <v>6</v>
      </c>
      <c r="S220" s="10">
        <f>IF(IN[[#This Row],[Sim_]]=IN[[#This Row],[Buffer]],1,0)</f>
        <v>0</v>
      </c>
      <c r="T220" s="11"/>
      <c r="U220" s="104">
        <f ca="1">MATCH(U219,list_weathers,0)</f>
        <v>7</v>
      </c>
      <c r="X220">
        <v>6</v>
      </c>
      <c r="Y220" s="11"/>
      <c r="Z220" s="27">
        <v>6</v>
      </c>
      <c r="AA220" s="27">
        <v>1</v>
      </c>
      <c r="AB220" s="27">
        <v>1</v>
      </c>
      <c r="AC220" s="106">
        <v>6</v>
      </c>
      <c r="AD220">
        <v>6</v>
      </c>
      <c r="AE220">
        <v>6</v>
      </c>
      <c r="AF220">
        <v>6</v>
      </c>
      <c r="AG220">
        <v>6</v>
      </c>
      <c r="AH220">
        <v>7</v>
      </c>
      <c r="AI220">
        <v>1</v>
      </c>
      <c r="AJ220">
        <v>1</v>
      </c>
    </row>
    <row r="221" spans="1:36" x14ac:dyDescent="0.25">
      <c r="A221" s="63"/>
      <c r="B221" s="15"/>
      <c r="C221" s="16"/>
      <c r="D221" s="16"/>
      <c r="E221" s="17"/>
      <c r="F221" s="18"/>
      <c r="G221" s="147"/>
      <c r="H221" s="20">
        <v>0</v>
      </c>
      <c r="I221" s="104">
        <f>IN[[#This Row],[Buffer]]</f>
        <v>0</v>
      </c>
      <c r="J221" s="135">
        <f>IF(IN[[#This Row],[Sim_]]=IN[[#This Row],[STAGE]],1,0)</f>
        <v>1</v>
      </c>
      <c r="K221" s="159"/>
      <c r="L221" s="130"/>
      <c r="M221" s="130">
        <f>IF(IN[[#This Row],[Sim_]]=IN[[#This Row],[Sim Var ref]],1,0)</f>
        <v>1</v>
      </c>
      <c r="N221" s="8"/>
      <c r="O221" s="8"/>
      <c r="P221" s="105"/>
      <c r="Q221" s="137">
        <f>IF(IN[[#This Row],[Sim_]]=IN[[#This Row],[Direkt alt]],1,0)</f>
        <v>1</v>
      </c>
      <c r="R221" s="10">
        <v>0</v>
      </c>
      <c r="S221" s="10">
        <f>IF(IN[[#This Row],[Sim_]]=IN[[#This Row],[Buffer]],1,0)</f>
        <v>1</v>
      </c>
      <c r="T221" s="11"/>
      <c r="U221" s="145"/>
      <c r="X221">
        <v>0</v>
      </c>
      <c r="Y221" s="11"/>
      <c r="Z221" s="27">
        <v>0</v>
      </c>
      <c r="AA221" s="27"/>
      <c r="AB221" s="27"/>
      <c r="AC221" s="106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s="63"/>
      <c r="B222" s="15"/>
      <c r="C222" s="16"/>
      <c r="D222" s="16"/>
      <c r="E222" s="17"/>
      <c r="F222" s="18"/>
      <c r="G222" s="147"/>
      <c r="H222" s="20">
        <v>0</v>
      </c>
      <c r="I222" s="104">
        <f>IN[[#This Row],[Buffer]]</f>
        <v>0</v>
      </c>
      <c r="J222" s="135">
        <f>IF(IN[[#This Row],[Sim_]]=IN[[#This Row],[STAGE]],1,0)</f>
        <v>1</v>
      </c>
      <c r="K222" s="159"/>
      <c r="L222" s="130"/>
      <c r="M222" s="130">
        <f>IF(IN[[#This Row],[Sim_]]=IN[[#This Row],[Sim Var ref]],1,0)</f>
        <v>1</v>
      </c>
      <c r="N222" s="8"/>
      <c r="O222" s="8"/>
      <c r="P222" s="105"/>
      <c r="Q222" s="137">
        <f>IF(IN[[#This Row],[Sim_]]=IN[[#This Row],[Direkt alt]],1,0)</f>
        <v>1</v>
      </c>
      <c r="R222" s="10">
        <v>0</v>
      </c>
      <c r="S222" s="10">
        <f>IF(IN[[#This Row],[Sim_]]=IN[[#This Row],[Buffer]],1,0)</f>
        <v>1</v>
      </c>
      <c r="T222" s="11"/>
      <c r="U222" s="145"/>
      <c r="X222">
        <v>0</v>
      </c>
      <c r="Y222" s="11"/>
      <c r="Z222" s="27">
        <v>0</v>
      </c>
      <c r="AA222" s="27"/>
      <c r="AB222" s="27"/>
      <c r="AC222" s="106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s="63"/>
      <c r="B223" s="15"/>
      <c r="C223" s="16"/>
      <c r="D223" s="16"/>
      <c r="E223" s="17"/>
      <c r="F223" s="18"/>
      <c r="G223" s="147"/>
      <c r="H223" s="20">
        <v>0</v>
      </c>
      <c r="I223" s="104">
        <f>IN[[#This Row],[Buffer]]</f>
        <v>0</v>
      </c>
      <c r="J223" s="135">
        <f>IF(IN[[#This Row],[Sim_]]=IN[[#This Row],[STAGE]],1,0)</f>
        <v>1</v>
      </c>
      <c r="K223" s="159"/>
      <c r="L223" s="130"/>
      <c r="M223" s="130">
        <f>IF(IN[[#This Row],[Sim_]]=IN[[#This Row],[Sim Var ref]],1,0)</f>
        <v>1</v>
      </c>
      <c r="N223" s="8"/>
      <c r="O223" s="8"/>
      <c r="P223" s="105"/>
      <c r="Q223" s="137">
        <f>IF(IN[[#This Row],[Sim_]]=IN[[#This Row],[Direkt alt]],1,0)</f>
        <v>1</v>
      </c>
      <c r="R223" s="10">
        <v>0</v>
      </c>
      <c r="S223" s="10">
        <f>IF(IN[[#This Row],[Sim_]]=IN[[#This Row],[Buffer]],1,0)</f>
        <v>1</v>
      </c>
      <c r="T223" s="11"/>
      <c r="U223" s="145"/>
      <c r="X223">
        <v>0</v>
      </c>
      <c r="Y223" s="11"/>
      <c r="Z223" s="27">
        <v>0</v>
      </c>
      <c r="AA223" s="27"/>
      <c r="AB223" s="27"/>
      <c r="AC223" s="106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s="63"/>
      <c r="B224" s="15"/>
      <c r="C224" s="16"/>
      <c r="D224" s="16"/>
      <c r="E224" s="17"/>
      <c r="F224" s="18"/>
      <c r="G224" s="147"/>
      <c r="H224" s="20">
        <v>0</v>
      </c>
      <c r="I224" s="104">
        <f>IN[[#This Row],[Buffer]]</f>
        <v>0</v>
      </c>
      <c r="J224" s="135">
        <f>IF(IN[[#This Row],[Sim_]]=IN[[#This Row],[STAGE]],1,0)</f>
        <v>1</v>
      </c>
      <c r="K224" s="159"/>
      <c r="L224" s="130"/>
      <c r="M224" s="130">
        <f>IF(IN[[#This Row],[Sim_]]=IN[[#This Row],[Sim Var ref]],1,0)</f>
        <v>1</v>
      </c>
      <c r="N224" s="8"/>
      <c r="O224" s="8"/>
      <c r="P224" s="105"/>
      <c r="Q224" s="137">
        <f>IF(IN[[#This Row],[Sim_]]=IN[[#This Row],[Direkt alt]],1,0)</f>
        <v>1</v>
      </c>
      <c r="R224" s="10">
        <v>0</v>
      </c>
      <c r="S224" s="10">
        <f>IF(IN[[#This Row],[Sim_]]=IN[[#This Row],[Buffer]],1,0)</f>
        <v>1</v>
      </c>
      <c r="T224" s="11"/>
      <c r="U224" s="145"/>
      <c r="X224">
        <v>0</v>
      </c>
      <c r="Y224" s="11"/>
      <c r="Z224" s="27">
        <v>0</v>
      </c>
      <c r="AA224" s="27"/>
      <c r="AB224" s="27"/>
      <c r="AC224" s="106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s="63"/>
      <c r="B225" s="15"/>
      <c r="C225" s="16"/>
      <c r="D225" s="16"/>
      <c r="E225" s="17"/>
      <c r="F225" s="18"/>
      <c r="G225" s="147"/>
      <c r="H225" s="20">
        <v>0</v>
      </c>
      <c r="I225" s="104">
        <f>IN[[#This Row],[Buffer]]</f>
        <v>0</v>
      </c>
      <c r="J225" s="135">
        <f>IF(IN[[#This Row],[Sim_]]=IN[[#This Row],[STAGE]],1,0)</f>
        <v>1</v>
      </c>
      <c r="K225" s="159"/>
      <c r="L225" s="130"/>
      <c r="M225" s="130">
        <f>IF(IN[[#This Row],[Sim_]]=IN[[#This Row],[Sim Var ref]],1,0)</f>
        <v>1</v>
      </c>
      <c r="N225" s="8"/>
      <c r="O225" s="8"/>
      <c r="P225" s="105"/>
      <c r="Q225" s="137">
        <f>IF(IN[[#This Row],[Sim_]]=IN[[#This Row],[Direkt alt]],1,0)</f>
        <v>1</v>
      </c>
      <c r="R225" s="10">
        <v>0</v>
      </c>
      <c r="S225" s="10">
        <f>IF(IN[[#This Row],[Sim_]]=IN[[#This Row],[Buffer]],1,0)</f>
        <v>1</v>
      </c>
      <c r="T225" s="11"/>
      <c r="U225" s="145"/>
      <c r="X225">
        <v>0</v>
      </c>
      <c r="Y225" s="11"/>
      <c r="Z225" s="27">
        <v>0</v>
      </c>
      <c r="AA225" s="27"/>
      <c r="AB225" s="27"/>
      <c r="AC225" s="106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ht="28.5" x14ac:dyDescent="0.45">
      <c r="A226" s="160"/>
      <c r="B226" s="160"/>
      <c r="C226" s="161" t="e">
        <f>ROWS(#REF!)-1</f>
        <v>#REF!</v>
      </c>
      <c r="D226" s="161" t="s">
        <v>293</v>
      </c>
      <c r="E226" s="160"/>
      <c r="F226" s="162"/>
      <c r="G226" s="163"/>
      <c r="H226" s="164"/>
      <c r="I226" s="165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6"/>
      <c r="W226" s="166"/>
      <c r="X226" s="166"/>
      <c r="Y226" s="166"/>
      <c r="Z226" s="166"/>
      <c r="AA226" s="166"/>
      <c r="AB226" s="166"/>
      <c r="AC226" s="167"/>
    </row>
    <row r="227" spans="1:36" x14ac:dyDescent="0.25">
      <c r="A227" s="168" t="s">
        <v>36</v>
      </c>
      <c r="B227" s="169" t="s">
        <v>302</v>
      </c>
      <c r="C227" s="170" t="s">
        <v>303</v>
      </c>
      <c r="D227" s="16"/>
      <c r="E227" s="17" t="s">
        <v>285</v>
      </c>
      <c r="F227" s="171"/>
      <c r="G227" s="134" t="str">
        <f ca="1">_xlfn.FORMULATEXT(IN[[#This Row],[STAGE]])</f>
        <v>='[ka_PEQ_Nachweistool.xlsb]🏙️'!B28</v>
      </c>
      <c r="H227" s="20">
        <v>2</v>
      </c>
      <c r="I227" s="21">
        <f>'[1]🏙️'!B28</f>
        <v>0</v>
      </c>
      <c r="J227" s="172">
        <f>IF(IN[[#This Row],[Sim_]]=IN[[#This Row],[STAGE]],1,0)</f>
        <v>0</v>
      </c>
      <c r="K227" s="173">
        <f>K2/K188</f>
        <v>17536.199999999997</v>
      </c>
      <c r="L227" s="130"/>
      <c r="M227" s="130">
        <f>IF(IN[[#This Row],[Sim_]]=IN[[#This Row],[Sim Var ref]],1,0)</f>
        <v>0</v>
      </c>
      <c r="N227" s="8"/>
      <c r="O227" s="8">
        <v>213</v>
      </c>
      <c r="P227" s="105"/>
      <c r="Q227" s="137">
        <f>IF(IN[[#This Row],[Sim_]]=IN[[#This Row],[Direkt alt]],1,0)</f>
        <v>0</v>
      </c>
      <c r="R227" s="10">
        <v>163480</v>
      </c>
      <c r="S227" s="10">
        <f>IF(IN[[#This Row],[Sim_]]=IN[[#This Row],[Buffer]],1,0)</f>
        <v>0</v>
      </c>
      <c r="T227" s="11"/>
      <c r="U227" s="21">
        <f>'[1]🏙️'!M28</f>
        <v>0</v>
      </c>
      <c r="V227" s="131">
        <f>V2/V188</f>
        <v>17536.199999999997</v>
      </c>
      <c r="W227" s="131">
        <v>5350.625</v>
      </c>
      <c r="X227" s="131">
        <v>4800</v>
      </c>
      <c r="Y227" s="11"/>
      <c r="Z227" s="11">
        <v>4800</v>
      </c>
      <c r="AA227" s="11">
        <v>17536.199999999997</v>
      </c>
      <c r="AB227" s="11">
        <v>17536.199999999997</v>
      </c>
      <c r="AC227" s="28">
        <v>4800</v>
      </c>
      <c r="AD227">
        <v>163480</v>
      </c>
      <c r="AE227">
        <v>163480</v>
      </c>
      <c r="AF227">
        <v>163480</v>
      </c>
      <c r="AG227">
        <v>163480</v>
      </c>
      <c r="AH227">
        <v>163480</v>
      </c>
      <c r="AI227">
        <v>17536.199999999997</v>
      </c>
      <c r="AJ227">
        <v>17536.199999999997</v>
      </c>
    </row>
    <row r="228" spans="1:36" x14ac:dyDescent="0.25">
      <c r="A228" s="168" t="s">
        <v>36</v>
      </c>
      <c r="B228" s="15" t="s">
        <v>304</v>
      </c>
      <c r="C228" s="170" t="s">
        <v>303</v>
      </c>
      <c r="D228" s="16"/>
      <c r="E228" s="17" t="s">
        <v>285</v>
      </c>
      <c r="F228" s="18"/>
      <c r="G228" s="134" t="str">
        <f ca="1">_xlfn.FORMULATEXT(IN[[#This Row],[STAGE]])</f>
        <v>='[ka_PEQ_Nachweistool.xlsb]🏙️'!B29</v>
      </c>
      <c r="H228" s="20">
        <v>2</v>
      </c>
      <c r="I228" s="21">
        <f>'[1]🏙️'!B29</f>
        <v>0</v>
      </c>
      <c r="J228" s="135">
        <f>IF(IN[[#This Row],[Sim_]]=IN[[#This Row],[STAGE]],1,0)</f>
        <v>0</v>
      </c>
      <c r="K228" s="158">
        <f>K3/K$188</f>
        <v>12603.300000000001</v>
      </c>
      <c r="L228" s="130"/>
      <c r="M228" s="130">
        <f>IF(IN[[#This Row],[Sim_]]=IN[[#This Row],[Sim Var ref]],1,0)</f>
        <v>0</v>
      </c>
      <c r="N228" s="8"/>
      <c r="O228" s="8">
        <v>214</v>
      </c>
      <c r="P228" s="105"/>
      <c r="Q228" s="137">
        <f>IF(IN[[#This Row],[Sim_]]=IN[[#This Row],[Direkt alt]],1,0)</f>
        <v>0</v>
      </c>
      <c r="R228" s="10">
        <v>17012</v>
      </c>
      <c r="S228" s="10">
        <f>IF(IN[[#This Row],[Sim_]]=IN[[#This Row],[Buffer]],1,0)</f>
        <v>0</v>
      </c>
      <c r="T228" s="11"/>
      <c r="U228" s="21">
        <f>'[1]🏙️'!M29</f>
        <v>0</v>
      </c>
      <c r="V228" s="11">
        <f t="shared" ref="V228:W230" si="0">V3/V$188</f>
        <v>12603.300000000001</v>
      </c>
      <c r="W228" s="11">
        <f t="shared" si="0"/>
        <v>0</v>
      </c>
      <c r="X228" s="11">
        <v>4800</v>
      </c>
      <c r="Y228" s="11"/>
      <c r="Z228" s="11">
        <v>4800</v>
      </c>
      <c r="AA228" s="11">
        <v>12603.300000000001</v>
      </c>
      <c r="AB228" s="11">
        <v>12603.300000000001</v>
      </c>
      <c r="AC228" s="28">
        <v>4800</v>
      </c>
      <c r="AD228">
        <v>17012</v>
      </c>
      <c r="AE228">
        <v>17012</v>
      </c>
      <c r="AF228">
        <v>17012</v>
      </c>
      <c r="AG228">
        <v>17012</v>
      </c>
      <c r="AH228">
        <v>17012</v>
      </c>
      <c r="AI228">
        <v>12603.300000000001</v>
      </c>
      <c r="AJ228">
        <v>12603.300000000001</v>
      </c>
    </row>
    <row r="229" spans="1:36" x14ac:dyDescent="0.25">
      <c r="A229" s="168" t="s">
        <v>36</v>
      </c>
      <c r="B229" s="15" t="s">
        <v>305</v>
      </c>
      <c r="C229" s="170" t="s">
        <v>303</v>
      </c>
      <c r="D229" s="16"/>
      <c r="E229" s="17" t="s">
        <v>285</v>
      </c>
      <c r="F229" s="18"/>
      <c r="G229" s="134" t="str">
        <f ca="1">_xlfn.FORMULATEXT(IN[[#This Row],[STAGE]])</f>
        <v>='[ka_PEQ_Nachweistool.xlsb]🏙️'!B31</v>
      </c>
      <c r="H229" s="20">
        <v>2</v>
      </c>
      <c r="I229" s="21">
        <f>'[1]🏙️'!B31</f>
        <v>0</v>
      </c>
      <c r="J229" s="135">
        <f>IF(IN[[#This Row],[Sim_]]=IN[[#This Row],[STAGE]],1,0)</f>
        <v>1</v>
      </c>
      <c r="K229" s="158">
        <f>K4/K$188</f>
        <v>0</v>
      </c>
      <c r="L229" s="130"/>
      <c r="M229" s="130">
        <f>IF(IN[[#This Row],[Sim_]]=IN[[#This Row],[Sim Var ref]],1,0)</f>
        <v>1</v>
      </c>
      <c r="N229" s="8"/>
      <c r="O229" s="8">
        <v>215</v>
      </c>
      <c r="P229" s="105"/>
      <c r="Q229" s="137">
        <f>IF(IN[[#This Row],[Sim_]]=IN[[#This Row],[Direkt alt]],1,0)</f>
        <v>1</v>
      </c>
      <c r="R229" s="10">
        <v>0</v>
      </c>
      <c r="S229" s="10">
        <f>IF(IN[[#This Row],[Sim_]]=IN[[#This Row],[Buffer]],1,0)</f>
        <v>1</v>
      </c>
      <c r="T229" s="11">
        <f>17*100*5</f>
        <v>8500</v>
      </c>
      <c r="U229" s="21">
        <f>'[1]🏙️'!M31</f>
        <v>0</v>
      </c>
      <c r="V229" s="11">
        <f t="shared" si="0"/>
        <v>0</v>
      </c>
      <c r="W229" s="11">
        <f t="shared" si="0"/>
        <v>0</v>
      </c>
      <c r="X229" s="11">
        <v>0</v>
      </c>
      <c r="Y229" s="11"/>
      <c r="Z229" s="11">
        <v>0</v>
      </c>
      <c r="AA229" s="11">
        <v>0</v>
      </c>
      <c r="AB229" s="11">
        <v>0</v>
      </c>
      <c r="AC229" s="28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s="168" t="s">
        <v>36</v>
      </c>
      <c r="B230" s="15" t="s">
        <v>306</v>
      </c>
      <c r="C230" s="170" t="s">
        <v>303</v>
      </c>
      <c r="D230" s="16"/>
      <c r="E230" s="17" t="s">
        <v>285</v>
      </c>
      <c r="F230" s="18"/>
      <c r="G230" s="134" t="str">
        <f ca="1">_xlfn.FORMULATEXT(IN[[#This Row],[STAGE]])</f>
        <v>='[ka_PEQ_Nachweistool.xlsb]🏙️'!B30</v>
      </c>
      <c r="H230" s="20">
        <v>2</v>
      </c>
      <c r="I230" s="21">
        <f>'[1]🏙️'!B30</f>
        <v>0</v>
      </c>
      <c r="J230" s="135">
        <f>IF(IN[[#This Row],[Sim_]]=IN[[#This Row],[STAGE]],1,0)</f>
        <v>0</v>
      </c>
      <c r="K230" s="158">
        <f>K5/K$188</f>
        <v>772.9</v>
      </c>
      <c r="L230" s="130"/>
      <c r="M230" s="130">
        <f>IF(IN[[#This Row],[Sim_]]=IN[[#This Row],[Sim Var ref]],1,0)</f>
        <v>0</v>
      </c>
      <c r="N230" s="8"/>
      <c r="O230" s="8">
        <v>216</v>
      </c>
      <c r="P230" s="105"/>
      <c r="Q230" s="137">
        <f>IF(IN[[#This Row],[Sim_]]=IN[[#This Row],[Direkt alt]],1,0)</f>
        <v>0</v>
      </c>
      <c r="R230" s="10">
        <v>0</v>
      </c>
      <c r="S230" s="10">
        <f>IF(IN[[#This Row],[Sim_]]=IN[[#This Row],[Buffer]],1,0)</f>
        <v>0</v>
      </c>
      <c r="T230" s="11"/>
      <c r="U230" s="21">
        <f>'[1]🏙️'!M30</f>
        <v>0</v>
      </c>
      <c r="V230" s="11">
        <f t="shared" si="0"/>
        <v>772.9</v>
      </c>
      <c r="W230" s="11">
        <f t="shared" si="0"/>
        <v>0</v>
      </c>
      <c r="X230" s="11">
        <v>0</v>
      </c>
      <c r="Y230" s="11"/>
      <c r="Z230" s="11">
        <v>0</v>
      </c>
      <c r="AA230" s="11">
        <v>772.9</v>
      </c>
      <c r="AB230" s="11">
        <v>772.9</v>
      </c>
      <c r="AC230" s="28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772.9</v>
      </c>
      <c r="AJ230">
        <v>772.9</v>
      </c>
    </row>
    <row r="231" spans="1:36" x14ac:dyDescent="0.25">
      <c r="A231" s="168" t="s">
        <v>36</v>
      </c>
      <c r="B231" s="15" t="s">
        <v>307</v>
      </c>
      <c r="C231" s="170" t="s">
        <v>303</v>
      </c>
      <c r="D231" s="16"/>
      <c r="E231" s="17" t="s">
        <v>285</v>
      </c>
      <c r="F231" s="18"/>
      <c r="G231" s="134" t="str">
        <f ca="1">_xlfn.FORMULATEXT(IN[[#This Row],[STAGE]])</f>
        <v>='[ka_PEQ_Nachweistool.xlsb]🏙️'!B32</v>
      </c>
      <c r="H231" s="20">
        <v>2</v>
      </c>
      <c r="I231" s="21">
        <f>'[1]🏙️'!B32</f>
        <v>0</v>
      </c>
      <c r="J231" s="135">
        <f>IF(IN[[#This Row],[Sim_]]=IN[[#This Row],[STAGE]],1,0)</f>
        <v>1</v>
      </c>
      <c r="K231" s="158">
        <f>K6/K$188*(1-K8)</f>
        <v>0</v>
      </c>
      <c r="L231" s="130"/>
      <c r="M231" s="130">
        <f>IF(IN[[#This Row],[Sim_]]=IN[[#This Row],[Sim Var ref]],1,0)</f>
        <v>1</v>
      </c>
      <c r="N231" s="8"/>
      <c r="O231" s="8">
        <v>217</v>
      </c>
      <c r="P231" s="105"/>
      <c r="Q231" s="137">
        <f>IF(IN[[#This Row],[Sim_]]=IN[[#This Row],[Direkt alt]],1,0)</f>
        <v>1</v>
      </c>
      <c r="R231" s="10">
        <v>0</v>
      </c>
      <c r="S231" s="10">
        <f>IF(IN[[#This Row],[Sim_]]=IN[[#This Row],[Buffer]],1,0)</f>
        <v>1</v>
      </c>
      <c r="T231" s="11"/>
      <c r="U231" s="21">
        <f>'[1]🏙️'!M32</f>
        <v>0</v>
      </c>
      <c r="V231" s="11">
        <f>V6/V$188*(1-V8)</f>
        <v>0</v>
      </c>
      <c r="W231" s="11">
        <f>W6/W$188*(1-W8)</f>
        <v>0</v>
      </c>
      <c r="X231" s="11">
        <v>0</v>
      </c>
      <c r="Y231" s="11"/>
      <c r="Z231" s="11">
        <v>0</v>
      </c>
      <c r="AA231" s="11">
        <v>0</v>
      </c>
      <c r="AB231" s="11">
        <v>0</v>
      </c>
      <c r="AC231" s="28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168" t="s">
        <v>36</v>
      </c>
      <c r="B232" s="15" t="s">
        <v>308</v>
      </c>
      <c r="C232" s="170" t="s">
        <v>303</v>
      </c>
      <c r="D232" s="16"/>
      <c r="E232" s="17" t="s">
        <v>285</v>
      </c>
      <c r="F232" s="18"/>
      <c r="G232" s="134" t="str">
        <f ca="1">_xlfn.FORMULATEXT(IN[[#This Row],[STAGE]])</f>
        <v>='[ka_PEQ_Nachweistool.xlsb]🏙️'!B33</v>
      </c>
      <c r="H232" s="20">
        <v>2</v>
      </c>
      <c r="I232" s="21">
        <f>'[1]🏙️'!B33</f>
        <v>0</v>
      </c>
      <c r="J232" s="135">
        <f>IF(IN[[#This Row],[Sim_]]=IN[[#This Row],[STAGE]],1,0)</f>
        <v>0</v>
      </c>
      <c r="K232" s="158">
        <f>K6/K$188*(K8)</f>
        <v>2593.6</v>
      </c>
      <c r="L232" s="130"/>
      <c r="M232" s="130">
        <f>IF(IN[[#This Row],[Sim_]]=IN[[#This Row],[Sim Var ref]],1,0)</f>
        <v>0</v>
      </c>
      <c r="N232" s="8"/>
      <c r="O232" s="8">
        <v>218</v>
      </c>
      <c r="P232" s="105"/>
      <c r="Q232" s="137">
        <f>IF(IN[[#This Row],[Sim_]]=IN[[#This Row],[Direkt alt]],1,0)</f>
        <v>0</v>
      </c>
      <c r="R232" s="10">
        <v>0</v>
      </c>
      <c r="S232" s="10">
        <f>IF(IN[[#This Row],[Sim_]]=IN[[#This Row],[Buffer]],1,0)</f>
        <v>0</v>
      </c>
      <c r="T232" s="11"/>
      <c r="U232" s="21">
        <f>'[1]🏙️'!M33</f>
        <v>0</v>
      </c>
      <c r="V232" s="11">
        <f>V6/V$188*(V8)</f>
        <v>2593.6</v>
      </c>
      <c r="W232" s="11">
        <f>W6/W$188*(W8)</f>
        <v>0</v>
      </c>
      <c r="X232" s="11">
        <v>0</v>
      </c>
      <c r="Y232" s="11"/>
      <c r="Z232" s="11">
        <v>0</v>
      </c>
      <c r="AA232" s="11">
        <v>2593.6</v>
      </c>
      <c r="AB232" s="11">
        <v>2593.6</v>
      </c>
      <c r="AC232" s="28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2593.6</v>
      </c>
      <c r="AJ232">
        <v>2593.6</v>
      </c>
    </row>
    <row r="233" spans="1:36" x14ac:dyDescent="0.25">
      <c r="A233" s="168" t="s">
        <v>36</v>
      </c>
      <c r="B233" s="15" t="s">
        <v>309</v>
      </c>
      <c r="C233" s="170" t="s">
        <v>303</v>
      </c>
      <c r="D233" s="16"/>
      <c r="E233" s="17" t="s">
        <v>285</v>
      </c>
      <c r="F233" s="18"/>
      <c r="G233" s="134" t="str">
        <f ca="1">_xlfn.FORMULATEXT(IN[[#This Row],[STAGE]])</f>
        <v>='[ka_PEQ_Nachweistool.xlsb]🏙️'!B34</v>
      </c>
      <c r="H233" s="20">
        <v>2</v>
      </c>
      <c r="I233" s="21">
        <f>'[1]🏙️'!B34</f>
        <v>0</v>
      </c>
      <c r="J233" s="135">
        <f>IF(IN[[#This Row],[Sim_]]=IN[[#This Row],[STAGE]],1,0)</f>
        <v>1</v>
      </c>
      <c r="K233" s="158">
        <v>0</v>
      </c>
      <c r="L233" s="130"/>
      <c r="M233" s="130">
        <f>IF(IN[[#This Row],[Sim_]]=IN[[#This Row],[Sim Var ref]],1,0)</f>
        <v>1</v>
      </c>
      <c r="N233" s="8"/>
      <c r="O233" s="8">
        <v>219</v>
      </c>
      <c r="P233" s="105"/>
      <c r="Q233" s="137">
        <f>IF(IN[[#This Row],[Sim_]]=IN[[#This Row],[Direkt alt]],1,0)</f>
        <v>1</v>
      </c>
      <c r="R233" s="10">
        <v>0</v>
      </c>
      <c r="S233" s="10">
        <f>IF(IN[[#This Row],[Sim_]]=IN[[#This Row],[Buffer]],1,0)</f>
        <v>1</v>
      </c>
      <c r="T233" s="11"/>
      <c r="U233" s="21">
        <f>'[1]🏙️'!M34</f>
        <v>0</v>
      </c>
      <c r="V233" s="11">
        <v>0</v>
      </c>
      <c r="W233" s="11">
        <v>0</v>
      </c>
      <c r="X233" s="11">
        <v>0</v>
      </c>
      <c r="Y233" s="11"/>
      <c r="Z233" s="11">
        <v>0</v>
      </c>
      <c r="AA233" s="11">
        <v>0</v>
      </c>
      <c r="AB233" s="11">
        <v>0</v>
      </c>
      <c r="AC233" s="28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s="168" t="s">
        <v>36</v>
      </c>
      <c r="B234" s="15" t="s">
        <v>310</v>
      </c>
      <c r="C234" s="170" t="s">
        <v>303</v>
      </c>
      <c r="D234" s="16"/>
      <c r="E234" s="17" t="s">
        <v>78</v>
      </c>
      <c r="F234" s="18" t="s">
        <v>311</v>
      </c>
      <c r="G234" s="134" t="str">
        <f ca="1">_xlfn.FORMULATEXT(IN[[#This Row],[STAGE]])</f>
        <v>=SUMME(I227:I233)</v>
      </c>
      <c r="H234" s="20">
        <v>0</v>
      </c>
      <c r="I234" s="104">
        <f>SUM(I227:I233)</f>
        <v>0</v>
      </c>
      <c r="J234" s="135">
        <f>IF(IN[[#This Row],[Sim_]]=IN[[#This Row],[STAGE]],1,0)</f>
        <v>1</v>
      </c>
      <c r="K234" s="131"/>
      <c r="L234" s="130"/>
      <c r="M234" s="130">
        <f>IF(IN[[#This Row],[Sim_]]=IN[[#This Row],[Sim Var ref]],1,0)</f>
        <v>1</v>
      </c>
      <c r="N234" s="8"/>
      <c r="O234" s="8">
        <v>220</v>
      </c>
      <c r="P234" s="105"/>
      <c r="Q234" s="137">
        <f>IF(IN[[#This Row],[Sim_]]=IN[[#This Row],[Direkt alt]],1,0)</f>
        <v>1</v>
      </c>
      <c r="R234" s="10">
        <v>180492</v>
      </c>
      <c r="S234" s="10">
        <f>IF(IN[[#This Row],[Sim_]]=IN[[#This Row],[Buffer]],1,0)</f>
        <v>0</v>
      </c>
      <c r="T234" s="11"/>
      <c r="U234" s="104">
        <f>SUM(U227:U233)</f>
        <v>0</v>
      </c>
      <c r="V234" s="131"/>
      <c r="W234" s="131"/>
      <c r="X234" s="131">
        <v>9600</v>
      </c>
      <c r="Y234" s="11"/>
      <c r="Z234" s="174">
        <v>9600</v>
      </c>
      <c r="AA234" s="174">
        <v>33506</v>
      </c>
      <c r="AB234" s="174">
        <v>33506</v>
      </c>
      <c r="AC234" s="106">
        <v>9600</v>
      </c>
      <c r="AD234">
        <v>180492</v>
      </c>
      <c r="AE234">
        <v>180492</v>
      </c>
      <c r="AF234">
        <v>180492</v>
      </c>
      <c r="AG234">
        <v>180492</v>
      </c>
      <c r="AH234">
        <v>180492</v>
      </c>
      <c r="AI234">
        <v>33506</v>
      </c>
      <c r="AJ234">
        <v>33506</v>
      </c>
    </row>
    <row r="235" spans="1:36" ht="15.75" thickBot="1" x14ac:dyDescent="0.3">
      <c r="A235" s="168" t="s">
        <v>36</v>
      </c>
      <c r="B235" s="169" t="s">
        <v>312</v>
      </c>
      <c r="C235" s="16" t="s">
        <v>313</v>
      </c>
      <c r="D235" s="16"/>
      <c r="E235" s="17" t="s">
        <v>285</v>
      </c>
      <c r="F235" s="18"/>
      <c r="G235" s="134" t="str">
        <f ca="1">_xlfn.FORMULATEXT(IN[[#This Row],[STAGE]])</f>
        <v>='[ka_PEQ_Nachweistool.xlsb]🏙️'!D42</v>
      </c>
      <c r="H235" s="20">
        <v>2</v>
      </c>
      <c r="I235" s="175">
        <f>'[1]🏙️'!D42</f>
        <v>3.2</v>
      </c>
      <c r="J235" s="135">
        <f>IF(IN[[#This Row],[Sim_]]=IN[[#This Row],[STAGE]],1,0)</f>
        <v>0</v>
      </c>
      <c r="K235" s="176">
        <f t="shared" ref="K235:K241" si="1">$V$188</f>
        <v>0.8</v>
      </c>
      <c r="L235" s="130"/>
      <c r="M235" s="130">
        <f>IF(IN[[#This Row],[Sim_]]=IN[[#This Row],[Sim Var ref]],1,0)</f>
        <v>0</v>
      </c>
      <c r="N235" s="8"/>
      <c r="O235" s="8">
        <v>221</v>
      </c>
      <c r="P235" s="105"/>
      <c r="Q235" s="137">
        <f>IF(IN[[#This Row],[Sim_]]=IN[[#This Row],[Direkt alt]],1,0)</f>
        <v>0</v>
      </c>
      <c r="R235" s="10">
        <v>0.8</v>
      </c>
      <c r="S235" s="10">
        <f>IF(IN[[#This Row],[Sim_]]=IN[[#This Row],[Buffer]],1,0)</f>
        <v>1</v>
      </c>
      <c r="T235" s="10"/>
      <c r="U235" s="175">
        <f>'[1]🏙️'!O42</f>
        <v>0</v>
      </c>
      <c r="V235" s="130">
        <f t="shared" ref="V235:W241" si="2">$V$188</f>
        <v>0.8</v>
      </c>
      <c r="W235" s="130">
        <f t="shared" si="2"/>
        <v>0.8</v>
      </c>
      <c r="X235" s="130">
        <v>0.8</v>
      </c>
      <c r="Y235" s="130"/>
      <c r="Z235" s="177">
        <v>0.8</v>
      </c>
      <c r="AA235" s="177">
        <v>0.8</v>
      </c>
      <c r="AB235" s="177">
        <v>0.8</v>
      </c>
      <c r="AC235" s="178">
        <v>0.8</v>
      </c>
      <c r="AD235">
        <v>0.8</v>
      </c>
      <c r="AE235">
        <v>0.8</v>
      </c>
      <c r="AF235">
        <v>0.8</v>
      </c>
      <c r="AG235">
        <v>0.8</v>
      </c>
      <c r="AH235">
        <v>0.8</v>
      </c>
      <c r="AI235">
        <v>0.8</v>
      </c>
      <c r="AJ235">
        <v>0.8</v>
      </c>
    </row>
    <row r="236" spans="1:36" ht="16.5" thickTop="1" thickBot="1" x14ac:dyDescent="0.3">
      <c r="A236" s="168" t="s">
        <v>36</v>
      </c>
      <c r="B236" s="15" t="s">
        <v>314</v>
      </c>
      <c r="C236" s="16" t="s">
        <v>313</v>
      </c>
      <c r="D236" s="16"/>
      <c r="E236" s="17" t="s">
        <v>285</v>
      </c>
      <c r="F236" s="18"/>
      <c r="G236" s="134" t="str">
        <f ca="1">_xlfn.FORMULATEXT(IN[[#This Row],[STAGE]])</f>
        <v>='[ka_PEQ_Nachweistool.xlsb]🏙️'!D43</v>
      </c>
      <c r="H236" s="20">
        <v>2</v>
      </c>
      <c r="I236" s="175">
        <f>'[1]🏙️'!D43</f>
        <v>3.5</v>
      </c>
      <c r="J236" s="135">
        <f>IF(IN[[#This Row],[Sim_]]=IN[[#This Row],[STAGE]],1,0)</f>
        <v>0</v>
      </c>
      <c r="K236" s="176">
        <f t="shared" si="1"/>
        <v>0.8</v>
      </c>
      <c r="L236" s="130"/>
      <c r="M236" s="130">
        <f>IF(IN[[#This Row],[Sim_]]=IN[[#This Row],[Sim Var ref]],1,0)</f>
        <v>0</v>
      </c>
      <c r="N236" s="8"/>
      <c r="O236" s="8">
        <v>222</v>
      </c>
      <c r="P236" s="105"/>
      <c r="Q236" s="137">
        <f>IF(IN[[#This Row],[Sim_]]=IN[[#This Row],[Direkt alt]],1,0)</f>
        <v>0</v>
      </c>
      <c r="R236" s="10">
        <v>0.8</v>
      </c>
      <c r="S236" s="10">
        <f>IF(IN[[#This Row],[Sim_]]=IN[[#This Row],[Buffer]],1,0)</f>
        <v>1</v>
      </c>
      <c r="T236" s="10"/>
      <c r="U236" s="175">
        <f>'[1]🏙️'!O43</f>
        <v>0</v>
      </c>
      <c r="V236" s="130">
        <f t="shared" si="2"/>
        <v>0.8</v>
      </c>
      <c r="W236" s="130">
        <f t="shared" si="2"/>
        <v>0.8</v>
      </c>
      <c r="X236" s="130">
        <v>0.8</v>
      </c>
      <c r="Y236" s="130"/>
      <c r="Z236" s="177">
        <v>0.8</v>
      </c>
      <c r="AA236" s="177">
        <v>0.8</v>
      </c>
      <c r="AB236" s="177">
        <v>0.8</v>
      </c>
      <c r="AC236" s="178">
        <v>0.8</v>
      </c>
      <c r="AD236">
        <v>0.8</v>
      </c>
      <c r="AE236">
        <v>0.8</v>
      </c>
      <c r="AF236">
        <v>0.8</v>
      </c>
      <c r="AG236">
        <v>0.8</v>
      </c>
      <c r="AH236">
        <v>0.8</v>
      </c>
      <c r="AI236">
        <v>0.8</v>
      </c>
      <c r="AJ236">
        <v>0.8</v>
      </c>
    </row>
    <row r="237" spans="1:36" ht="16.5" thickTop="1" thickBot="1" x14ac:dyDescent="0.3">
      <c r="A237" s="168" t="s">
        <v>36</v>
      </c>
      <c r="B237" s="15" t="s">
        <v>315</v>
      </c>
      <c r="C237" s="16" t="s">
        <v>313</v>
      </c>
      <c r="D237" s="16"/>
      <c r="E237" s="17" t="s">
        <v>285</v>
      </c>
      <c r="F237" s="18"/>
      <c r="G237" s="134" t="str">
        <f ca="1">_xlfn.FORMULATEXT(IN[[#This Row],[STAGE]])</f>
        <v>='[ka_PEQ_Nachweistool.xlsb]🏙️'!D45</v>
      </c>
      <c r="H237" s="20">
        <v>2</v>
      </c>
      <c r="I237" s="175">
        <f>'[1]🏙️'!D45</f>
        <v>2.5</v>
      </c>
      <c r="J237" s="135">
        <f>IF(IN[[#This Row],[Sim_]]=IN[[#This Row],[STAGE]],1,0)</f>
        <v>0</v>
      </c>
      <c r="K237" s="176">
        <f t="shared" si="1"/>
        <v>0.8</v>
      </c>
      <c r="L237" s="130"/>
      <c r="M237" s="130">
        <f>IF(IN[[#This Row],[Sim_]]=IN[[#This Row],[Sim Var ref]],1,0)</f>
        <v>0</v>
      </c>
      <c r="N237" s="8"/>
      <c r="O237" s="8">
        <v>223</v>
      </c>
      <c r="P237" s="105"/>
      <c r="Q237" s="137">
        <f>IF(IN[[#This Row],[Sim_]]=IN[[#This Row],[Direkt alt]],1,0)</f>
        <v>0</v>
      </c>
      <c r="R237" s="10">
        <v>0.8</v>
      </c>
      <c r="S237" s="10">
        <f>IF(IN[[#This Row],[Sim_]]=IN[[#This Row],[Buffer]],1,0)</f>
        <v>1</v>
      </c>
      <c r="T237" s="10"/>
      <c r="U237" s="175">
        <f>'[1]🏙️'!O45</f>
        <v>0</v>
      </c>
      <c r="V237" s="130">
        <f t="shared" si="2"/>
        <v>0.8</v>
      </c>
      <c r="W237" s="130">
        <f t="shared" si="2"/>
        <v>0.8</v>
      </c>
      <c r="X237" s="130">
        <v>0.8</v>
      </c>
      <c r="Y237" s="130"/>
      <c r="Z237" s="177">
        <v>0.8</v>
      </c>
      <c r="AA237" s="177">
        <v>0.8</v>
      </c>
      <c r="AB237" s="177">
        <v>0.8</v>
      </c>
      <c r="AC237" s="178">
        <v>0.8</v>
      </c>
      <c r="AD237">
        <v>0.8</v>
      </c>
      <c r="AE237">
        <v>0.8</v>
      </c>
      <c r="AF237">
        <v>0.8</v>
      </c>
      <c r="AG237">
        <v>0.8</v>
      </c>
      <c r="AH237">
        <v>0.8</v>
      </c>
      <c r="AI237">
        <v>0.8</v>
      </c>
      <c r="AJ237">
        <v>0.8</v>
      </c>
    </row>
    <row r="238" spans="1:36" ht="16.5" thickTop="1" thickBot="1" x14ac:dyDescent="0.3">
      <c r="A238" s="168" t="s">
        <v>36</v>
      </c>
      <c r="B238" s="15" t="s">
        <v>316</v>
      </c>
      <c r="C238" s="16" t="s">
        <v>313</v>
      </c>
      <c r="D238" s="16"/>
      <c r="E238" s="17" t="s">
        <v>285</v>
      </c>
      <c r="F238" s="18"/>
      <c r="G238" s="134" t="str">
        <f ca="1">_xlfn.FORMULATEXT(IN[[#This Row],[STAGE]])</f>
        <v>='[ka_PEQ_Nachweistool.xlsb]🏙️'!D44</v>
      </c>
      <c r="H238" s="20">
        <v>2</v>
      </c>
      <c r="I238" s="175">
        <f>'[1]🏙️'!D44</f>
        <v>2.5</v>
      </c>
      <c r="J238" s="135">
        <f>IF(IN[[#This Row],[Sim_]]=IN[[#This Row],[STAGE]],1,0)</f>
        <v>0</v>
      </c>
      <c r="K238" s="176">
        <f t="shared" si="1"/>
        <v>0.8</v>
      </c>
      <c r="L238" s="130"/>
      <c r="M238" s="130">
        <f>IF(IN[[#This Row],[Sim_]]=IN[[#This Row],[Sim Var ref]],1,0)</f>
        <v>0</v>
      </c>
      <c r="N238" s="8"/>
      <c r="O238" s="8">
        <v>224</v>
      </c>
      <c r="P238" s="105"/>
      <c r="Q238" s="137">
        <f>IF(IN[[#This Row],[Sim_]]=IN[[#This Row],[Direkt alt]],1,0)</f>
        <v>0</v>
      </c>
      <c r="R238" s="10">
        <v>0.8</v>
      </c>
      <c r="S238" s="10">
        <f>IF(IN[[#This Row],[Sim_]]=IN[[#This Row],[Buffer]],1,0)</f>
        <v>1</v>
      </c>
      <c r="T238" s="10"/>
      <c r="U238" s="175">
        <f>'[1]🏙️'!O44</f>
        <v>0</v>
      </c>
      <c r="V238" s="130">
        <f t="shared" si="2"/>
        <v>0.8</v>
      </c>
      <c r="W238" s="130">
        <f t="shared" si="2"/>
        <v>0.8</v>
      </c>
      <c r="X238" s="130">
        <v>0.8</v>
      </c>
      <c r="Y238" s="130"/>
      <c r="Z238" s="177">
        <v>0.8</v>
      </c>
      <c r="AA238" s="177">
        <v>0.8</v>
      </c>
      <c r="AB238" s="177">
        <v>0.8</v>
      </c>
      <c r="AC238" s="178">
        <v>0.8</v>
      </c>
      <c r="AD238">
        <v>0.8</v>
      </c>
      <c r="AE238">
        <v>0.8</v>
      </c>
      <c r="AF238">
        <v>0.8</v>
      </c>
      <c r="AG238">
        <v>0.8</v>
      </c>
      <c r="AH238">
        <v>0.8</v>
      </c>
      <c r="AI238">
        <v>0.8</v>
      </c>
      <c r="AJ238">
        <v>0.8</v>
      </c>
    </row>
    <row r="239" spans="1:36" ht="16.5" thickTop="1" thickBot="1" x14ac:dyDescent="0.3">
      <c r="A239" s="168" t="s">
        <v>36</v>
      </c>
      <c r="B239" s="15" t="s">
        <v>317</v>
      </c>
      <c r="C239" s="16" t="s">
        <v>313</v>
      </c>
      <c r="D239" s="16"/>
      <c r="E239" s="17" t="s">
        <v>285</v>
      </c>
      <c r="F239" s="18"/>
      <c r="G239" s="134" t="str">
        <f ca="1">_xlfn.FORMULATEXT(IN[[#This Row],[STAGE]])</f>
        <v>='[ka_PEQ_Nachweistool.xlsb]🏙️'!D46</v>
      </c>
      <c r="H239" s="20">
        <v>2</v>
      </c>
      <c r="I239" s="175">
        <f>'[1]🏙️'!D46</f>
        <v>4</v>
      </c>
      <c r="J239" s="135">
        <f>IF(IN[[#This Row],[Sim_]]=IN[[#This Row],[STAGE]],1,0)</f>
        <v>0</v>
      </c>
      <c r="K239" s="176">
        <f t="shared" si="1"/>
        <v>0.8</v>
      </c>
      <c r="L239" s="130"/>
      <c r="M239" s="130">
        <f>IF(IN[[#This Row],[Sim_]]=IN[[#This Row],[Sim Var ref]],1,0)</f>
        <v>0</v>
      </c>
      <c r="N239" s="8"/>
      <c r="O239" s="8">
        <v>225</v>
      </c>
      <c r="P239" s="105"/>
      <c r="Q239" s="137">
        <f>IF(IN[[#This Row],[Sim_]]=IN[[#This Row],[Direkt alt]],1,0)</f>
        <v>0</v>
      </c>
      <c r="R239" s="10">
        <v>0.8</v>
      </c>
      <c r="S239" s="10">
        <f>IF(IN[[#This Row],[Sim_]]=IN[[#This Row],[Buffer]],1,0)</f>
        <v>1</v>
      </c>
      <c r="T239" s="10"/>
      <c r="U239" s="175">
        <f>'[1]🏙️'!O46</f>
        <v>0</v>
      </c>
      <c r="V239" s="130">
        <f t="shared" si="2"/>
        <v>0.8</v>
      </c>
      <c r="W239" s="130">
        <f t="shared" si="2"/>
        <v>0.8</v>
      </c>
      <c r="X239" s="130">
        <v>0.8</v>
      </c>
      <c r="Y239" s="130"/>
      <c r="Z239" s="177">
        <v>0.8</v>
      </c>
      <c r="AA239" s="177">
        <v>0.8</v>
      </c>
      <c r="AB239" s="177">
        <v>0.8</v>
      </c>
      <c r="AC239" s="178">
        <v>0.8</v>
      </c>
      <c r="AD239">
        <v>0.8</v>
      </c>
      <c r="AE239">
        <v>0.8</v>
      </c>
      <c r="AF239">
        <v>0.8</v>
      </c>
      <c r="AG239">
        <v>0.8</v>
      </c>
      <c r="AH239">
        <v>0.8</v>
      </c>
      <c r="AI239">
        <v>0.8</v>
      </c>
      <c r="AJ239">
        <v>0.8</v>
      </c>
    </row>
    <row r="240" spans="1:36" ht="16.5" thickTop="1" thickBot="1" x14ac:dyDescent="0.3">
      <c r="A240" s="168" t="s">
        <v>36</v>
      </c>
      <c r="B240" s="15" t="s">
        <v>318</v>
      </c>
      <c r="C240" s="16" t="s">
        <v>313</v>
      </c>
      <c r="D240" s="16"/>
      <c r="E240" s="17" t="s">
        <v>285</v>
      </c>
      <c r="F240" s="18"/>
      <c r="G240" s="134" t="str">
        <f ca="1">_xlfn.FORMULATEXT(IN[[#This Row],[STAGE]])</f>
        <v>='[ka_PEQ_Nachweistool.xlsb]🏙️'!D47</v>
      </c>
      <c r="H240" s="20">
        <v>2</v>
      </c>
      <c r="I240" s="175">
        <f>'[1]🏙️'!D47</f>
        <v>3.2</v>
      </c>
      <c r="J240" s="135">
        <f>IF(IN[[#This Row],[Sim_]]=IN[[#This Row],[STAGE]],1,0)</f>
        <v>0</v>
      </c>
      <c r="K240" s="176">
        <f t="shared" si="1"/>
        <v>0.8</v>
      </c>
      <c r="L240" s="130"/>
      <c r="M240" s="130">
        <f>IF(IN[[#This Row],[Sim_]]=IN[[#This Row],[Sim Var ref]],1,0)</f>
        <v>0</v>
      </c>
      <c r="N240" s="8"/>
      <c r="O240" s="8">
        <v>226</v>
      </c>
      <c r="P240" s="105"/>
      <c r="Q240" s="137">
        <f>IF(IN[[#This Row],[Sim_]]=IN[[#This Row],[Direkt alt]],1,0)</f>
        <v>0</v>
      </c>
      <c r="R240" s="10">
        <v>0.8</v>
      </c>
      <c r="S240" s="10">
        <f>IF(IN[[#This Row],[Sim_]]=IN[[#This Row],[Buffer]],1,0)</f>
        <v>1</v>
      </c>
      <c r="T240" s="10"/>
      <c r="U240" s="175">
        <f>'[1]🏙️'!O47</f>
        <v>0</v>
      </c>
      <c r="V240" s="130">
        <f t="shared" si="2"/>
        <v>0.8</v>
      </c>
      <c r="W240" s="130">
        <f t="shared" si="2"/>
        <v>0.8</v>
      </c>
      <c r="X240" s="130">
        <v>0.8</v>
      </c>
      <c r="Y240" s="130"/>
      <c r="Z240" s="177">
        <v>0.8</v>
      </c>
      <c r="AA240" s="177">
        <v>0.8</v>
      </c>
      <c r="AB240" s="177">
        <v>0.8</v>
      </c>
      <c r="AC240" s="178">
        <v>0.8</v>
      </c>
      <c r="AD240">
        <v>0.8</v>
      </c>
      <c r="AE240">
        <v>0.8</v>
      </c>
      <c r="AF240">
        <v>0.8</v>
      </c>
      <c r="AG240">
        <v>0.8</v>
      </c>
      <c r="AH240">
        <v>0.8</v>
      </c>
      <c r="AI240">
        <v>0.8</v>
      </c>
      <c r="AJ240">
        <v>0.8</v>
      </c>
    </row>
    <row r="241" spans="1:36" ht="16.5" thickTop="1" thickBot="1" x14ac:dyDescent="0.3">
      <c r="A241" s="168" t="s">
        <v>36</v>
      </c>
      <c r="B241" s="15" t="s">
        <v>319</v>
      </c>
      <c r="C241" s="16" t="s">
        <v>313</v>
      </c>
      <c r="D241" s="16"/>
      <c r="E241" s="17" t="s">
        <v>285</v>
      </c>
      <c r="F241" s="18"/>
      <c r="G241" s="134" t="str">
        <f ca="1">_xlfn.FORMULATEXT(IN[[#This Row],[STAGE]])</f>
        <v>='[ka_PEQ_Nachweistool.xlsb]🏙️'!D48</v>
      </c>
      <c r="H241" s="20">
        <v>2</v>
      </c>
      <c r="I241" s="175">
        <f>'[1]🏙️'!D48</f>
        <v>2.5</v>
      </c>
      <c r="J241" s="135">
        <f>IF(IN[[#This Row],[Sim_]]=IN[[#This Row],[STAGE]],1,0)</f>
        <v>0</v>
      </c>
      <c r="K241" s="176">
        <f t="shared" si="1"/>
        <v>0.8</v>
      </c>
      <c r="L241" s="130"/>
      <c r="M241" s="130">
        <f>IF(IN[[#This Row],[Sim_]]=IN[[#This Row],[Sim Var ref]],1,0)</f>
        <v>0</v>
      </c>
      <c r="N241" s="8"/>
      <c r="O241" s="8">
        <v>227</v>
      </c>
      <c r="P241" s="105"/>
      <c r="Q241" s="137">
        <f>IF(IN[[#This Row],[Sim_]]=IN[[#This Row],[Direkt alt]],1,0)</f>
        <v>0</v>
      </c>
      <c r="R241" s="10">
        <v>0.8</v>
      </c>
      <c r="S241" s="10">
        <f>IF(IN[[#This Row],[Sim_]]=IN[[#This Row],[Buffer]],1,0)</f>
        <v>1</v>
      </c>
      <c r="T241" s="10"/>
      <c r="U241" s="175">
        <f>'[1]🏙️'!O48</f>
        <v>0</v>
      </c>
      <c r="V241" s="130">
        <f t="shared" si="2"/>
        <v>0.8</v>
      </c>
      <c r="W241" s="130">
        <f t="shared" si="2"/>
        <v>0.8</v>
      </c>
      <c r="X241" s="130">
        <v>0.8</v>
      </c>
      <c r="Y241" s="130"/>
      <c r="Z241" s="177">
        <v>0.8</v>
      </c>
      <c r="AA241" s="177">
        <v>0.8</v>
      </c>
      <c r="AB241" s="177">
        <v>0.8</v>
      </c>
      <c r="AC241" s="178">
        <v>0.8</v>
      </c>
      <c r="AD241">
        <v>0.8</v>
      </c>
      <c r="AE241">
        <v>0.8</v>
      </c>
      <c r="AF241">
        <v>0.8</v>
      </c>
      <c r="AG241">
        <v>0.8</v>
      </c>
      <c r="AH241">
        <v>0.8</v>
      </c>
      <c r="AI241">
        <v>0.8</v>
      </c>
      <c r="AJ241">
        <v>0.8</v>
      </c>
    </row>
    <row r="242" spans="1:36" ht="16.5" thickTop="1" thickBot="1" x14ac:dyDescent="0.3">
      <c r="A242" s="168" t="s">
        <v>36</v>
      </c>
      <c r="B242" s="15" t="s">
        <v>320</v>
      </c>
      <c r="C242" s="16" t="s">
        <v>313</v>
      </c>
      <c r="D242" s="16"/>
      <c r="E242" s="17" t="s">
        <v>78</v>
      </c>
      <c r="F242" s="18" t="s">
        <v>321</v>
      </c>
      <c r="G242" s="134" t="str">
        <f ca="1">_xlfn.FORMULATEXT(IN[[#This Row],[STAGE]])</f>
        <v>=NFA_total/GFA_total</v>
      </c>
      <c r="H242" s="20">
        <v>0</v>
      </c>
      <c r="I242" s="175" t="e">
        <f>NFA_total/GFA_total</f>
        <v>#DIV/0!</v>
      </c>
      <c r="J242" s="135" t="e">
        <f>IF(IN[[#This Row],[Sim_]]=IN[[#This Row],[STAGE]],1,0)</f>
        <v>#DIV/0!</v>
      </c>
      <c r="K242" s="131"/>
      <c r="L242" s="130"/>
      <c r="M242" s="130">
        <f>IF(IN[[#This Row],[Sim_]]=IN[[#This Row],[Sim Var ref]],1,0)</f>
        <v>1</v>
      </c>
      <c r="N242" s="8"/>
      <c r="O242" s="8">
        <v>228</v>
      </c>
      <c r="P242" s="105"/>
      <c r="Q242" s="137">
        <f>IF(IN[[#This Row],[Sim_]]=IN[[#This Row],[Direkt alt]],1,0)</f>
        <v>1</v>
      </c>
      <c r="R242" s="10">
        <v>0.8</v>
      </c>
      <c r="S242" s="10">
        <f>IF(IN[[#This Row],[Sim_]]=IN[[#This Row],[Buffer]],1,0)</f>
        <v>0</v>
      </c>
      <c r="T242" s="11"/>
      <c r="U242" s="175" t="e">
        <f>NFA_total/GFA_total</f>
        <v>#DIV/0!</v>
      </c>
      <c r="V242" s="131"/>
      <c r="W242" s="131"/>
      <c r="X242" s="131">
        <v>0.8</v>
      </c>
      <c r="Y242" s="11"/>
      <c r="Z242" s="174">
        <v>0.8</v>
      </c>
      <c r="AA242" s="174">
        <v>0.79999999999999993</v>
      </c>
      <c r="AB242" s="174">
        <v>0.79999999999999993</v>
      </c>
      <c r="AC242" s="178">
        <v>0.8</v>
      </c>
      <c r="AD242">
        <v>0.8</v>
      </c>
      <c r="AE242">
        <v>0.8</v>
      </c>
      <c r="AF242">
        <v>0.8</v>
      </c>
      <c r="AG242">
        <v>0.8</v>
      </c>
      <c r="AH242">
        <v>0.8</v>
      </c>
      <c r="AI242">
        <v>0.79999999999999993</v>
      </c>
      <c r="AJ242">
        <v>0.79999999999999993</v>
      </c>
    </row>
    <row r="243" spans="1:36" ht="15.75" thickTop="1" x14ac:dyDescent="0.25">
      <c r="A243" s="168" t="s">
        <v>36</v>
      </c>
      <c r="B243" s="169" t="s">
        <v>322</v>
      </c>
      <c r="C243" s="16" t="s">
        <v>38</v>
      </c>
      <c r="D243" s="16"/>
      <c r="E243" s="17" t="s">
        <v>78</v>
      </c>
      <c r="F243" s="18" t="s">
        <v>323</v>
      </c>
      <c r="G243" s="134" t="str">
        <f ca="1">_xlfn.FORMULATEXT(IN[[#This Row],[STAGE]])</f>
        <v>=I227*I235</v>
      </c>
      <c r="H243" s="20">
        <v>0</v>
      </c>
      <c r="I243" s="104">
        <f>I227*I235</f>
        <v>0</v>
      </c>
      <c r="J243" s="135">
        <f>IF(IN[[#This Row],[Sim_]]=IN[[#This Row],[STAGE]],1,0)</f>
        <v>1</v>
      </c>
      <c r="K243" s="131"/>
      <c r="L243" s="130"/>
      <c r="M243" s="130">
        <f>IF(IN[[#This Row],[Sim_]]=IN[[#This Row],[Sim Var ref]],1,0)</f>
        <v>1</v>
      </c>
      <c r="N243" s="8"/>
      <c r="O243" s="8">
        <v>229</v>
      </c>
      <c r="P243" s="105"/>
      <c r="Q243" s="137">
        <f>IF(IN[[#This Row],[Sim_]]=IN[[#This Row],[Direkt alt]],1,0)</f>
        <v>1</v>
      </c>
      <c r="R243" s="10">
        <v>130784</v>
      </c>
      <c r="S243" s="10">
        <f>IF(IN[[#This Row],[Sim_]]=IN[[#This Row],[Buffer]],1,0)</f>
        <v>0</v>
      </c>
      <c r="T243" s="11"/>
      <c r="U243" s="104">
        <f>U227*U235</f>
        <v>0</v>
      </c>
      <c r="V243" s="131"/>
      <c r="W243" s="131"/>
      <c r="X243" s="131">
        <v>3840</v>
      </c>
      <c r="Y243" s="11"/>
      <c r="Z243" s="174">
        <v>3840</v>
      </c>
      <c r="AA243" s="174">
        <v>14028.96</v>
      </c>
      <c r="AB243" s="174">
        <v>14028.96</v>
      </c>
      <c r="AC243" s="106">
        <v>3840</v>
      </c>
      <c r="AD243">
        <v>130784</v>
      </c>
      <c r="AE243">
        <v>130784</v>
      </c>
      <c r="AF243">
        <v>130784</v>
      </c>
      <c r="AG243">
        <v>130784</v>
      </c>
      <c r="AH243">
        <v>130784</v>
      </c>
      <c r="AI243">
        <v>14028.96</v>
      </c>
      <c r="AJ243">
        <v>14028.96</v>
      </c>
    </row>
    <row r="244" spans="1:36" x14ac:dyDescent="0.25">
      <c r="A244" s="168" t="s">
        <v>36</v>
      </c>
      <c r="B244" s="15" t="s">
        <v>324</v>
      </c>
      <c r="C244" s="16" t="s">
        <v>38</v>
      </c>
      <c r="D244" s="16"/>
      <c r="E244" s="17" t="s">
        <v>78</v>
      </c>
      <c r="F244" s="18" t="s">
        <v>325</v>
      </c>
      <c r="G244" s="134" t="str">
        <f ca="1">_xlfn.FORMULATEXT(IN[[#This Row],[STAGE]])</f>
        <v>=I228*I236</v>
      </c>
      <c r="H244" s="20">
        <v>0</v>
      </c>
      <c r="I244" s="104">
        <f t="shared" ref="I244:I249" si="3">I228*I236</f>
        <v>0</v>
      </c>
      <c r="J244" s="135">
        <f>IF(IN[[#This Row],[Sim_]]=IN[[#This Row],[STAGE]],1,0)</f>
        <v>1</v>
      </c>
      <c r="K244" s="131"/>
      <c r="L244" s="130"/>
      <c r="M244" s="130">
        <f>IF(IN[[#This Row],[Sim_]]=IN[[#This Row],[Sim Var ref]],1,0)</f>
        <v>1</v>
      </c>
      <c r="N244" s="8"/>
      <c r="O244" s="8">
        <v>230</v>
      </c>
      <c r="P244" s="105"/>
      <c r="Q244" s="137">
        <f>IF(IN[[#This Row],[Sim_]]=IN[[#This Row],[Direkt alt]],1,0)</f>
        <v>1</v>
      </c>
      <c r="R244" s="10">
        <v>13609.6</v>
      </c>
      <c r="S244" s="10">
        <f>IF(IN[[#This Row],[Sim_]]=IN[[#This Row],[Buffer]],1,0)</f>
        <v>0</v>
      </c>
      <c r="T244" s="11"/>
      <c r="U244" s="104">
        <f t="shared" ref="U244:U249" si="4">U228*U236</f>
        <v>0</v>
      </c>
      <c r="V244" s="131"/>
      <c r="W244" s="131"/>
      <c r="X244" s="131">
        <v>3840</v>
      </c>
      <c r="Y244" s="11"/>
      <c r="Z244" s="174">
        <v>3840</v>
      </c>
      <c r="AA244" s="174">
        <v>10082.640000000001</v>
      </c>
      <c r="AB244" s="174">
        <v>10082.640000000001</v>
      </c>
      <c r="AC244" s="106">
        <v>3840</v>
      </c>
      <c r="AD244">
        <v>13609.6</v>
      </c>
      <c r="AE244">
        <v>13609.6</v>
      </c>
      <c r="AF244">
        <v>13609.6</v>
      </c>
      <c r="AG244">
        <v>13609.6</v>
      </c>
      <c r="AH244">
        <v>13609.6</v>
      </c>
      <c r="AI244">
        <v>10082.640000000001</v>
      </c>
      <c r="AJ244">
        <v>10082.640000000001</v>
      </c>
    </row>
    <row r="245" spans="1:36" ht="21" x14ac:dyDescent="0.25">
      <c r="A245" s="168" t="s">
        <v>36</v>
      </c>
      <c r="B245" s="15" t="s">
        <v>326</v>
      </c>
      <c r="C245" s="16" t="s">
        <v>38</v>
      </c>
      <c r="D245" s="16"/>
      <c r="E245" s="17" t="s">
        <v>78</v>
      </c>
      <c r="F245" s="18" t="s">
        <v>327</v>
      </c>
      <c r="G245" s="134" t="str">
        <f ca="1">_xlfn.FORMULATEXT(IN[[#This Row],[STAGE]])</f>
        <v>=I229*I237</v>
      </c>
      <c r="H245" s="179">
        <v>0</v>
      </c>
      <c r="I245" s="104">
        <f t="shared" si="3"/>
        <v>0</v>
      </c>
      <c r="J245" s="135">
        <f>IF(IN[[#This Row],[Sim_]]=IN[[#This Row],[STAGE]],1,0)</f>
        <v>1</v>
      </c>
      <c r="K245" s="131"/>
      <c r="L245" s="130"/>
      <c r="M245" s="130">
        <f>IF(IN[[#This Row],[Sim_]]=IN[[#This Row],[Sim Var ref]],1,0)</f>
        <v>1</v>
      </c>
      <c r="N245" s="8"/>
      <c r="O245" s="8">
        <v>231</v>
      </c>
      <c r="P245" s="105"/>
      <c r="Q245" s="137">
        <f>IF(IN[[#This Row],[Sim_]]=IN[[#This Row],[Direkt alt]],1,0)</f>
        <v>1</v>
      </c>
      <c r="R245" s="10">
        <v>0</v>
      </c>
      <c r="S245" s="10">
        <f>IF(IN[[#This Row],[Sim_]]=IN[[#This Row],[Buffer]],1,0)</f>
        <v>1</v>
      </c>
      <c r="T245" s="11"/>
      <c r="U245" s="104">
        <f t="shared" si="4"/>
        <v>0</v>
      </c>
      <c r="V245" s="131"/>
      <c r="W245" s="131"/>
      <c r="X245" s="131">
        <v>0</v>
      </c>
      <c r="Y245" s="11"/>
      <c r="Z245" s="174">
        <v>0</v>
      </c>
      <c r="AA245" s="174">
        <v>0</v>
      </c>
      <c r="AB245" s="174">
        <v>0</v>
      </c>
      <c r="AC245" s="106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s="168" t="s">
        <v>36</v>
      </c>
      <c r="B246" s="15" t="s">
        <v>328</v>
      </c>
      <c r="C246" s="16" t="s">
        <v>38</v>
      </c>
      <c r="D246" s="16"/>
      <c r="E246" s="17" t="s">
        <v>78</v>
      </c>
      <c r="F246" s="18" t="s">
        <v>329</v>
      </c>
      <c r="G246" s="134" t="str">
        <f ca="1">_xlfn.FORMULATEXT(IN[[#This Row],[STAGE]])</f>
        <v>=I230*I238</v>
      </c>
      <c r="H246" s="20">
        <v>0</v>
      </c>
      <c r="I246" s="104">
        <f t="shared" si="3"/>
        <v>0</v>
      </c>
      <c r="J246" s="135">
        <f>IF(IN[[#This Row],[Sim_]]=IN[[#This Row],[STAGE]],1,0)</f>
        <v>1</v>
      </c>
      <c r="K246" s="131"/>
      <c r="L246" s="130"/>
      <c r="M246" s="130">
        <f>IF(IN[[#This Row],[Sim_]]=IN[[#This Row],[Sim Var ref]],1,0)</f>
        <v>1</v>
      </c>
      <c r="N246" s="8"/>
      <c r="O246" s="8">
        <v>232</v>
      </c>
      <c r="P246" s="105"/>
      <c r="Q246" s="137">
        <f>IF(IN[[#This Row],[Sim_]]=IN[[#This Row],[Direkt alt]],1,0)</f>
        <v>1</v>
      </c>
      <c r="R246" s="10">
        <v>0</v>
      </c>
      <c r="S246" s="10">
        <f>IF(IN[[#This Row],[Sim_]]=IN[[#This Row],[Buffer]],1,0)</f>
        <v>1</v>
      </c>
      <c r="T246" s="11"/>
      <c r="U246" s="104">
        <f t="shared" si="4"/>
        <v>0</v>
      </c>
      <c r="V246" s="131"/>
      <c r="W246" s="131"/>
      <c r="X246" s="131">
        <v>0</v>
      </c>
      <c r="Y246" s="11"/>
      <c r="Z246" s="174">
        <v>0</v>
      </c>
      <c r="AA246" s="174">
        <v>618.32000000000005</v>
      </c>
      <c r="AB246" s="174">
        <v>618.32000000000005</v>
      </c>
      <c r="AC246" s="10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618.32000000000005</v>
      </c>
      <c r="AJ246">
        <v>618.32000000000005</v>
      </c>
    </row>
    <row r="247" spans="1:36" x14ac:dyDescent="0.25">
      <c r="A247" s="168" t="s">
        <v>36</v>
      </c>
      <c r="B247" s="15" t="s">
        <v>330</v>
      </c>
      <c r="C247" s="16" t="s">
        <v>38</v>
      </c>
      <c r="D247" s="16"/>
      <c r="E247" s="17" t="s">
        <v>78</v>
      </c>
      <c r="F247" s="18" t="s">
        <v>331</v>
      </c>
      <c r="G247" s="134" t="str">
        <f ca="1">_xlfn.FORMULATEXT(IN[[#This Row],[STAGE]])</f>
        <v>=I231*I239</v>
      </c>
      <c r="H247" s="20">
        <v>0</v>
      </c>
      <c r="I247" s="104">
        <f t="shared" si="3"/>
        <v>0</v>
      </c>
      <c r="J247" s="135">
        <f>IF(IN[[#This Row],[Sim_]]=IN[[#This Row],[STAGE]],1,0)</f>
        <v>1</v>
      </c>
      <c r="K247" s="131"/>
      <c r="L247" s="130"/>
      <c r="M247" s="130">
        <f>IF(IN[[#This Row],[Sim_]]=IN[[#This Row],[Sim Var ref]],1,0)</f>
        <v>1</v>
      </c>
      <c r="N247" s="8"/>
      <c r="O247" s="8">
        <v>233</v>
      </c>
      <c r="P247" s="105"/>
      <c r="Q247" s="137">
        <f>IF(IN[[#This Row],[Sim_]]=IN[[#This Row],[Direkt alt]],1,0)</f>
        <v>1</v>
      </c>
      <c r="R247" s="10">
        <v>0</v>
      </c>
      <c r="S247" s="10">
        <f>IF(IN[[#This Row],[Sim_]]=IN[[#This Row],[Buffer]],1,0)</f>
        <v>1</v>
      </c>
      <c r="T247" s="11"/>
      <c r="U247" s="104">
        <f t="shared" si="4"/>
        <v>0</v>
      </c>
      <c r="V247" s="131"/>
      <c r="W247" s="131"/>
      <c r="X247" s="131">
        <v>0</v>
      </c>
      <c r="Y247" s="11"/>
      <c r="Z247" s="174">
        <v>0</v>
      </c>
      <c r="AA247" s="174">
        <v>0</v>
      </c>
      <c r="AB247" s="174">
        <v>0</v>
      </c>
      <c r="AC247" s="106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s="168" t="s">
        <v>36</v>
      </c>
      <c r="B248" s="15" t="s">
        <v>332</v>
      </c>
      <c r="C248" s="16" t="s">
        <v>38</v>
      </c>
      <c r="D248" s="16"/>
      <c r="E248" s="17" t="s">
        <v>78</v>
      </c>
      <c r="F248" s="18" t="s">
        <v>333</v>
      </c>
      <c r="G248" s="134" t="str">
        <f ca="1">_xlfn.FORMULATEXT(IN[[#This Row],[STAGE]])</f>
        <v>=I232*I240</v>
      </c>
      <c r="H248" s="20">
        <v>0</v>
      </c>
      <c r="I248" s="104">
        <f t="shared" si="3"/>
        <v>0</v>
      </c>
      <c r="J248" s="135">
        <f>IF(IN[[#This Row],[Sim_]]=IN[[#This Row],[STAGE]],1,0)</f>
        <v>1</v>
      </c>
      <c r="K248" s="131"/>
      <c r="L248" s="130"/>
      <c r="M248" s="130">
        <f>IF(IN[[#This Row],[Sim_]]=IN[[#This Row],[Sim Var ref]],1,0)</f>
        <v>1</v>
      </c>
      <c r="N248" s="8"/>
      <c r="O248" s="8">
        <v>234</v>
      </c>
      <c r="P248" s="105"/>
      <c r="Q248" s="137">
        <f>IF(IN[[#This Row],[Sim_]]=IN[[#This Row],[Direkt alt]],1,0)</f>
        <v>1</v>
      </c>
      <c r="R248" s="10">
        <v>0</v>
      </c>
      <c r="S248" s="10">
        <f>IF(IN[[#This Row],[Sim_]]=IN[[#This Row],[Buffer]],1,0)</f>
        <v>1</v>
      </c>
      <c r="T248" s="11"/>
      <c r="U248" s="104">
        <f t="shared" si="4"/>
        <v>0</v>
      </c>
      <c r="V248" s="131"/>
      <c r="W248" s="131"/>
      <c r="X248" s="131">
        <v>0</v>
      </c>
      <c r="Y248" s="11"/>
      <c r="Z248" s="174">
        <v>0</v>
      </c>
      <c r="AA248" s="174">
        <v>2074.88</v>
      </c>
      <c r="AB248" s="174">
        <v>2074.88</v>
      </c>
      <c r="AC248" s="106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2074.88</v>
      </c>
      <c r="AJ248">
        <v>2074.88</v>
      </c>
    </row>
    <row r="249" spans="1:36" x14ac:dyDescent="0.25">
      <c r="A249" s="168" t="s">
        <v>36</v>
      </c>
      <c r="B249" s="15" t="s">
        <v>334</v>
      </c>
      <c r="C249" s="16" t="s">
        <v>38</v>
      </c>
      <c r="D249" s="16"/>
      <c r="E249" s="17" t="s">
        <v>78</v>
      </c>
      <c r="F249" s="18" t="s">
        <v>335</v>
      </c>
      <c r="G249" s="134" t="str">
        <f ca="1">_xlfn.FORMULATEXT(IN[[#This Row],[STAGE]])</f>
        <v>=I233*I241</v>
      </c>
      <c r="H249" s="20">
        <v>0</v>
      </c>
      <c r="I249" s="104">
        <f t="shared" si="3"/>
        <v>0</v>
      </c>
      <c r="J249" s="135">
        <f>IF(IN[[#This Row],[Sim_]]=IN[[#This Row],[STAGE]],1,0)</f>
        <v>1</v>
      </c>
      <c r="K249" s="131"/>
      <c r="L249" s="130"/>
      <c r="M249" s="130">
        <f>IF(IN[[#This Row],[Sim_]]=IN[[#This Row],[Sim Var ref]],1,0)</f>
        <v>1</v>
      </c>
      <c r="N249" s="8"/>
      <c r="O249" s="8">
        <v>235</v>
      </c>
      <c r="P249" s="105"/>
      <c r="Q249" s="137">
        <f>IF(IN[[#This Row],[Sim_]]=IN[[#This Row],[Direkt alt]],1,0)</f>
        <v>1</v>
      </c>
      <c r="R249" s="10">
        <v>0</v>
      </c>
      <c r="S249" s="10">
        <f>IF(IN[[#This Row],[Sim_]]=IN[[#This Row],[Buffer]],1,0)</f>
        <v>1</v>
      </c>
      <c r="T249" s="11"/>
      <c r="U249" s="104">
        <f t="shared" si="4"/>
        <v>0</v>
      </c>
      <c r="V249" s="131"/>
      <c r="W249" s="131"/>
      <c r="X249" s="131">
        <v>0</v>
      </c>
      <c r="Y249" s="11"/>
      <c r="Z249" s="174">
        <v>0</v>
      </c>
      <c r="AA249" s="174">
        <v>0</v>
      </c>
      <c r="AB249" s="174">
        <v>0</v>
      </c>
      <c r="AC249" s="106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s="168" t="s">
        <v>36</v>
      </c>
      <c r="B250" s="15" t="s">
        <v>336</v>
      </c>
      <c r="C250" s="16" t="s">
        <v>38</v>
      </c>
      <c r="D250" s="16"/>
      <c r="E250" s="17" t="s">
        <v>78</v>
      </c>
      <c r="F250" s="18" t="s">
        <v>337</v>
      </c>
      <c r="G250" s="134" t="str">
        <f ca="1">_xlfn.FORMULATEXT(IN[[#This Row],[STAGE]])</f>
        <v>=SUMME(I243:I249)</v>
      </c>
      <c r="H250" s="20">
        <v>0</v>
      </c>
      <c r="I250" s="104">
        <f>SUM(I243:I249)</f>
        <v>0</v>
      </c>
      <c r="J250" s="135">
        <f>IF(IN[[#This Row],[Sim_]]=IN[[#This Row],[STAGE]],1,0)</f>
        <v>1</v>
      </c>
      <c r="K250" s="131"/>
      <c r="L250" s="130"/>
      <c r="M250" s="130">
        <f>IF(IN[[#This Row],[Sim_]]=IN[[#This Row],[Sim Var ref]],1,0)</f>
        <v>1</v>
      </c>
      <c r="N250" s="8"/>
      <c r="O250" s="8">
        <v>236</v>
      </c>
      <c r="P250" s="105"/>
      <c r="Q250" s="137">
        <f>IF(IN[[#This Row],[Sim_]]=IN[[#This Row],[Direkt alt]],1,0)</f>
        <v>1</v>
      </c>
      <c r="R250" s="10">
        <v>144393.60000000001</v>
      </c>
      <c r="S250" s="10">
        <f>IF(IN[[#This Row],[Sim_]]=IN[[#This Row],[Buffer]],1,0)</f>
        <v>0</v>
      </c>
      <c r="T250" s="11"/>
      <c r="U250" s="104">
        <f>SUM(U243:U249)</f>
        <v>0</v>
      </c>
      <c r="V250" s="131"/>
      <c r="W250" s="131"/>
      <c r="X250" s="131">
        <v>7680</v>
      </c>
      <c r="Y250" s="11"/>
      <c r="Z250" s="174">
        <v>7680</v>
      </c>
      <c r="AA250" s="174">
        <v>26804.799999999999</v>
      </c>
      <c r="AB250" s="174">
        <v>26804.799999999999</v>
      </c>
      <c r="AC250" s="106">
        <v>7680</v>
      </c>
      <c r="AD250">
        <v>144393.60000000001</v>
      </c>
      <c r="AE250">
        <v>144393.60000000001</v>
      </c>
      <c r="AF250">
        <v>144393.60000000001</v>
      </c>
      <c r="AG250">
        <v>144393.60000000001</v>
      </c>
      <c r="AH250">
        <v>144393.60000000001</v>
      </c>
      <c r="AI250">
        <v>26804.799999999999</v>
      </c>
      <c r="AJ250">
        <v>26804.799999999999</v>
      </c>
    </row>
    <row r="251" spans="1:36" x14ac:dyDescent="0.25">
      <c r="A251" s="168" t="s">
        <v>36</v>
      </c>
      <c r="B251" s="15" t="s">
        <v>338</v>
      </c>
      <c r="C251" s="16" t="s">
        <v>339</v>
      </c>
      <c r="D251" s="16"/>
      <c r="E251" s="17" t="s">
        <v>78</v>
      </c>
      <c r="F251" s="18" t="s">
        <v>340</v>
      </c>
      <c r="G251" s="134" t="str">
        <f ca="1">_xlfn.FORMULATEXT(IN[[#This Row],[STAGE]])</f>
        <v>=1/NFA_total</v>
      </c>
      <c r="H251" s="20">
        <v>0</v>
      </c>
      <c r="I251" s="180" t="e">
        <f>1/NFA_total</f>
        <v>#DIV/0!</v>
      </c>
      <c r="J251" s="135" t="e">
        <f>IF(IN[[#This Row],[Sim_]]=IN[[#This Row],[STAGE]],1,0)</f>
        <v>#DIV/0!</v>
      </c>
      <c r="K251" s="131"/>
      <c r="L251" s="130"/>
      <c r="M251" s="130">
        <f>IF(IN[[#This Row],[Sim_]]=IN[[#This Row],[Sim Var ref]],1,0)</f>
        <v>1</v>
      </c>
      <c r="N251" s="8"/>
      <c r="O251" s="8">
        <v>237</v>
      </c>
      <c r="P251" s="105"/>
      <c r="Q251" s="137">
        <f>IF(IN[[#This Row],[Sim_]]=IN[[#This Row],[Direkt alt]],1,0)</f>
        <v>1</v>
      </c>
      <c r="R251" s="10">
        <v>6.9255147042528198E-6</v>
      </c>
      <c r="S251" s="10">
        <f>IF(IN[[#This Row],[Sim_]]=IN[[#This Row],[Buffer]],1,0)</f>
        <v>0</v>
      </c>
      <c r="T251" s="11"/>
      <c r="U251" s="180" t="e">
        <f>1/NFA_total</f>
        <v>#DIV/0!</v>
      </c>
      <c r="V251" s="131"/>
      <c r="W251" s="131"/>
      <c r="X251" s="131">
        <v>1.3020833333333333E-4</v>
      </c>
      <c r="Y251" s="11"/>
      <c r="Z251" s="174">
        <v>1.3020833333333333E-4</v>
      </c>
      <c r="AA251" s="174"/>
      <c r="AB251" s="174">
        <v>3.7306751029666332E-5</v>
      </c>
      <c r="AC251" s="181">
        <v>1.3020833333333333E-4</v>
      </c>
      <c r="AD251">
        <v>6.9255147042528198E-6</v>
      </c>
      <c r="AE251">
        <v>6.9255147042528198E-6</v>
      </c>
      <c r="AF251">
        <v>6.9255147042528198E-6</v>
      </c>
      <c r="AG251">
        <v>6.9255147042528198E-6</v>
      </c>
      <c r="AH251">
        <v>6.9255147042528198E-6</v>
      </c>
      <c r="AI251">
        <v>3.7306751029666332E-5</v>
      </c>
      <c r="AJ251">
        <v>3.7306751029666332E-5</v>
      </c>
    </row>
    <row r="252" spans="1:36" x14ac:dyDescent="0.25">
      <c r="A252" s="168" t="s">
        <v>36</v>
      </c>
      <c r="B252" s="15" t="s">
        <v>341</v>
      </c>
      <c r="C252" s="16" t="s">
        <v>342</v>
      </c>
      <c r="D252" s="16"/>
      <c r="E252" s="17" t="s">
        <v>285</v>
      </c>
      <c r="F252" s="18"/>
      <c r="G252" s="134" t="str">
        <f ca="1">_xlfn.FORMULATEXT(IN[[#This Row],[STAGE]])</f>
        <v>='[ka_PEQ_Nachweistool.xlsb]🏙️'!B55</v>
      </c>
      <c r="H252" s="20">
        <v>2</v>
      </c>
      <c r="I252" s="104">
        <f>'[1]🏙️'!B55</f>
        <v>0</v>
      </c>
      <c r="J252" s="135">
        <f>IF(IN[[#This Row],[Sim_]]=IN[[#This Row],[STAGE]],1,0)</f>
        <v>0</v>
      </c>
      <c r="K252" s="173">
        <f>K185</f>
        <v>7323.4</v>
      </c>
      <c r="L252" s="130"/>
      <c r="M252" s="130">
        <f>IF(IN[[#This Row],[Sim_]]=IN[[#This Row],[Sim Var ref]],1,0)</f>
        <v>0</v>
      </c>
      <c r="N252" s="8"/>
      <c r="O252" s="8">
        <v>238</v>
      </c>
      <c r="P252" s="105"/>
      <c r="Q252" s="137">
        <f>IF(IN[[#This Row],[Sim_]]=IN[[#This Row],[Direkt alt]],1,0)</f>
        <v>0</v>
      </c>
      <c r="R252" s="10">
        <v>48131.200000000004</v>
      </c>
      <c r="S252" s="10">
        <f>IF(IN[[#This Row],[Sim_]]=IN[[#This Row],[Buffer]],1,0)</f>
        <v>0</v>
      </c>
      <c r="T252" s="11"/>
      <c r="U252" s="104" t="str">
        <f>'[1]🏙️'!M55</f>
        <v>Alltagsmobilität</v>
      </c>
      <c r="V252" s="131">
        <f>V185</f>
        <v>7323.4</v>
      </c>
      <c r="W252" s="131">
        <f>W185</f>
        <v>7000</v>
      </c>
      <c r="X252" s="131">
        <v>4662</v>
      </c>
      <c r="Y252" s="11"/>
      <c r="Z252" s="131">
        <v>4662</v>
      </c>
      <c r="AA252" s="131">
        <f>AA185</f>
        <v>7323.4</v>
      </c>
      <c r="AB252" s="131">
        <v>7323.4</v>
      </c>
      <c r="AC252" s="106">
        <v>4662</v>
      </c>
      <c r="AD252">
        <v>48131.200000000004</v>
      </c>
      <c r="AE252">
        <v>48131.200000000004</v>
      </c>
      <c r="AF252">
        <v>48131.200000000004</v>
      </c>
      <c r="AG252">
        <v>48131.200000000004</v>
      </c>
      <c r="AH252">
        <v>48000</v>
      </c>
      <c r="AI252">
        <v>7323.4</v>
      </c>
      <c r="AJ252">
        <v>7323.4</v>
      </c>
    </row>
    <row r="253" spans="1:36" x14ac:dyDescent="0.25">
      <c r="A253" s="168" t="s">
        <v>36</v>
      </c>
      <c r="B253" s="15" t="s">
        <v>343</v>
      </c>
      <c r="C253" s="16" t="s">
        <v>344</v>
      </c>
      <c r="D253" s="16"/>
      <c r="E253" s="17"/>
      <c r="F253" s="18" t="s">
        <v>345</v>
      </c>
      <c r="G253" s="134" t="str">
        <f ca="1">_xlfn.FORMULATEXT(IN[[#This Row],[STAGE]])</f>
        <v>=GFA_total/I252</v>
      </c>
      <c r="H253" s="20">
        <v>0</v>
      </c>
      <c r="I253" s="104" t="e">
        <f>GFA_total/I252</f>
        <v>#DIV/0!</v>
      </c>
      <c r="J253" s="135" t="e">
        <f>IF(IN[[#This Row],[Sim_]]=IN[[#This Row],[STAGE]],1,0)</f>
        <v>#DIV/0!</v>
      </c>
      <c r="K253" s="182"/>
      <c r="L253" s="130"/>
      <c r="M253" s="130">
        <f>IF(IN[[#This Row],[Sim_]]=IN[[#This Row],[Sim Var ref]],1,0)</f>
        <v>1</v>
      </c>
      <c r="N253" s="8"/>
      <c r="O253" s="8"/>
      <c r="P253" s="105"/>
      <c r="Q253" s="137">
        <f>IF(IN[[#This Row],[Sim_]]=IN[[#This Row],[Direkt alt]],1,0)</f>
        <v>1</v>
      </c>
      <c r="R253" s="10">
        <v>3.7499999999999996</v>
      </c>
      <c r="S253" s="10">
        <f>IF(IN[[#This Row],[Sim_]]=IN[[#This Row],[Buffer]],1,0)</f>
        <v>0</v>
      </c>
      <c r="T253" s="11">
        <v>0</v>
      </c>
      <c r="U253" s="145"/>
      <c r="V253" s="131">
        <v>0</v>
      </c>
      <c r="W253" s="131">
        <v>0</v>
      </c>
      <c r="X253" s="131">
        <v>2.0592020592020592</v>
      </c>
      <c r="Y253" s="11"/>
      <c r="Z253" s="174">
        <v>2.0592020592020592</v>
      </c>
      <c r="AA253" s="131"/>
      <c r="AB253" s="131"/>
      <c r="AC253" s="106">
        <v>2.0592020592020592</v>
      </c>
      <c r="AD253">
        <v>3.7499999999999996</v>
      </c>
      <c r="AE253">
        <v>3.7499999999999996</v>
      </c>
      <c r="AF253">
        <v>3.7499999999999996</v>
      </c>
      <c r="AG253">
        <v>3.7499999999999996</v>
      </c>
      <c r="AH253">
        <v>3.7602500000000001</v>
      </c>
      <c r="AI253">
        <v>4.5751973127235983</v>
      </c>
      <c r="AJ253">
        <v>4.5751973127235983</v>
      </c>
    </row>
    <row r="254" spans="1:36" x14ac:dyDescent="0.25">
      <c r="A254" s="168" t="s">
        <v>36</v>
      </c>
      <c r="B254" s="15" t="s">
        <v>346</v>
      </c>
      <c r="C254" s="16"/>
      <c r="D254" s="16"/>
      <c r="E254" s="17"/>
      <c r="F254" s="18"/>
      <c r="G254" s="134" t="str">
        <f ca="1">_xlfn.FORMULATEXT(IN[[#This Row],[STAGE]])</f>
        <v>='[ka_PEQ_Nachweistool.xlsb]🏙️'!B61</v>
      </c>
      <c r="H254" s="20">
        <v>2</v>
      </c>
      <c r="I254" s="104">
        <f>'[1]🏙️'!B61</f>
        <v>0</v>
      </c>
      <c r="J254" s="135">
        <f>IF(IN[[#This Row],[Sim_]]=IN[[#This Row],[STAGE]],1,0)</f>
        <v>1</v>
      </c>
      <c r="K254" s="182"/>
      <c r="L254" s="130"/>
      <c r="M254" s="130">
        <f>IF(IN[[#This Row],[Sim_]]=IN[[#This Row],[Sim Var ref]],1,0)</f>
        <v>1</v>
      </c>
      <c r="N254" s="8"/>
      <c r="O254" s="8"/>
      <c r="P254" s="105"/>
      <c r="Q254" s="137">
        <f>IF(IN[[#This Row],[Sim_]]=IN[[#This Row],[Direkt alt]],1,0)</f>
        <v>1</v>
      </c>
      <c r="R254" s="10">
        <v>1</v>
      </c>
      <c r="S254" s="10">
        <f>IF(IN[[#This Row],[Sim_]]=IN[[#This Row],[Buffer]],1,0)</f>
        <v>0</v>
      </c>
      <c r="T254" s="11">
        <v>0</v>
      </c>
      <c r="U254" s="145"/>
      <c r="V254" s="131">
        <v>0</v>
      </c>
      <c r="W254" s="131">
        <v>0</v>
      </c>
      <c r="X254" s="131">
        <v>1</v>
      </c>
      <c r="Y254" s="11"/>
      <c r="Z254" s="174">
        <v>1</v>
      </c>
      <c r="AA254" s="131"/>
      <c r="AB254" s="131"/>
      <c r="AC254" s="106">
        <v>1</v>
      </c>
      <c r="AD254">
        <v>0</v>
      </c>
      <c r="AE254" s="146">
        <v>0</v>
      </c>
      <c r="AF254" s="146">
        <v>1</v>
      </c>
      <c r="AG254">
        <v>1</v>
      </c>
      <c r="AH254">
        <v>1</v>
      </c>
      <c r="AI254">
        <v>0</v>
      </c>
      <c r="AJ254">
        <v>0</v>
      </c>
    </row>
    <row r="255" spans="1:36" x14ac:dyDescent="0.25">
      <c r="A255" s="168" t="s">
        <v>36</v>
      </c>
      <c r="B255" s="15" t="s">
        <v>347</v>
      </c>
      <c r="C255" s="16"/>
      <c r="D255" s="16"/>
      <c r="E255" s="17"/>
      <c r="F255" s="18"/>
      <c r="G255" s="134" t="str">
        <f ca="1">_xlfn.FORMULATEXT(IN[[#This Row],[STAGE]])</f>
        <v>='[ka_PEQ_Nachweistool.xlsb]🏙️'!B62</v>
      </c>
      <c r="H255" s="20">
        <v>2</v>
      </c>
      <c r="I255" s="104">
        <f>'[1]🏙️'!B62</f>
        <v>0</v>
      </c>
      <c r="J255" s="135">
        <f>IF(IN[[#This Row],[Sim_]]=IN[[#This Row],[STAGE]],1,0)</f>
        <v>1</v>
      </c>
      <c r="K255" s="182"/>
      <c r="L255" s="130"/>
      <c r="M255" s="130">
        <f>IF(IN[[#This Row],[Sim_]]=IN[[#This Row],[Sim Var ref]],1,0)</f>
        <v>1</v>
      </c>
      <c r="N255" s="8"/>
      <c r="O255" s="8"/>
      <c r="P255" s="105"/>
      <c r="Q255" s="137">
        <f>IF(IN[[#This Row],[Sim_]]=IN[[#This Row],[Direkt alt]],1,0)</f>
        <v>1</v>
      </c>
      <c r="R255" s="10">
        <v>1</v>
      </c>
      <c r="S255" s="10">
        <f>IF(IN[[#This Row],[Sim_]]=IN[[#This Row],[Buffer]],1,0)</f>
        <v>0</v>
      </c>
      <c r="T255" s="11">
        <v>0</v>
      </c>
      <c r="U255" s="145"/>
      <c r="V255" s="131">
        <v>0</v>
      </c>
      <c r="W255" s="131">
        <v>0</v>
      </c>
      <c r="X255" s="131">
        <v>1</v>
      </c>
      <c r="Y255" s="11"/>
      <c r="Z255" s="174">
        <v>1</v>
      </c>
      <c r="AA255" s="131"/>
      <c r="AB255" s="131"/>
      <c r="AC255" s="106">
        <v>1</v>
      </c>
      <c r="AD255">
        <v>0</v>
      </c>
      <c r="AE255" s="146">
        <v>0</v>
      </c>
      <c r="AF255" s="146">
        <v>1</v>
      </c>
      <c r="AG255">
        <v>1</v>
      </c>
      <c r="AH255">
        <v>1</v>
      </c>
      <c r="AI255">
        <v>0</v>
      </c>
      <c r="AJ255">
        <v>0</v>
      </c>
    </row>
    <row r="256" spans="1:36" x14ac:dyDescent="0.25">
      <c r="A256" s="168" t="s">
        <v>36</v>
      </c>
      <c r="B256" s="15" t="s">
        <v>348</v>
      </c>
      <c r="C256" s="16"/>
      <c r="D256" s="16"/>
      <c r="E256" s="17"/>
      <c r="F256" s="18"/>
      <c r="G256" s="134" t="str">
        <f ca="1">_xlfn.FORMULATEXT(IN[[#This Row],[STAGE]])</f>
        <v>='[ka_PEQ_Nachweistool.xlsb]🏙️'!B63</v>
      </c>
      <c r="H256" s="20">
        <v>2</v>
      </c>
      <c r="I256" s="104">
        <f>'[1]🏙️'!B63</f>
        <v>0</v>
      </c>
      <c r="J256" s="135">
        <f>IF(IN[[#This Row],[Sim_]]=IN[[#This Row],[STAGE]],1,0)</f>
        <v>1</v>
      </c>
      <c r="K256" s="182"/>
      <c r="L256" s="130"/>
      <c r="M256" s="130">
        <f>IF(IN[[#This Row],[Sim_]]=IN[[#This Row],[Sim Var ref]],1,0)</f>
        <v>1</v>
      </c>
      <c r="N256" s="8"/>
      <c r="O256" s="8"/>
      <c r="P256" s="105"/>
      <c r="Q256" s="137">
        <f>IF(IN[[#This Row],[Sim_]]=IN[[#This Row],[Direkt alt]],1,0)</f>
        <v>1</v>
      </c>
      <c r="R256" s="10">
        <v>0</v>
      </c>
      <c r="S256" s="10">
        <f>IF(IN[[#This Row],[Sim_]]=IN[[#This Row],[Buffer]],1,0)</f>
        <v>1</v>
      </c>
      <c r="T256" s="11">
        <v>0</v>
      </c>
      <c r="U256" s="145"/>
      <c r="V256" s="131">
        <v>0</v>
      </c>
      <c r="W256" s="131">
        <v>0</v>
      </c>
      <c r="X256" s="131">
        <v>1</v>
      </c>
      <c r="Y256" s="11"/>
      <c r="Z256" s="174">
        <v>1</v>
      </c>
      <c r="AA256" s="131"/>
      <c r="AB256" s="131"/>
      <c r="AC256" s="10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168" t="s">
        <v>36</v>
      </c>
      <c r="B257" s="15" t="s">
        <v>349</v>
      </c>
      <c r="C257" s="16"/>
      <c r="D257" s="16"/>
      <c r="E257" s="17"/>
      <c r="F257" s="18"/>
      <c r="G257" s="134" t="str">
        <f ca="1">_xlfn.FORMULATEXT(IN[[#This Row],[STAGE]])</f>
        <v>='[ka_PEQ_Nachweistool.xlsb]🏙️'!B64</v>
      </c>
      <c r="H257" s="20">
        <v>2</v>
      </c>
      <c r="I257" s="104">
        <f>'[1]🏙️'!B64</f>
        <v>0</v>
      </c>
      <c r="J257" s="135">
        <f>IF(IN[[#This Row],[Sim_]]=IN[[#This Row],[STAGE]],1,0)</f>
        <v>1</v>
      </c>
      <c r="K257" s="182"/>
      <c r="L257" s="130"/>
      <c r="M257" s="130">
        <f>IF(IN[[#This Row],[Sim_]]=IN[[#This Row],[Sim Var ref]],1,0)</f>
        <v>1</v>
      </c>
      <c r="N257" s="8"/>
      <c r="O257" s="8"/>
      <c r="P257" s="105"/>
      <c r="Q257" s="137">
        <f>IF(IN[[#This Row],[Sim_]]=IN[[#This Row],[Direkt alt]],1,0)</f>
        <v>1</v>
      </c>
      <c r="R257" s="10">
        <v>0</v>
      </c>
      <c r="S257" s="10">
        <f>IF(IN[[#This Row],[Sim_]]=IN[[#This Row],[Buffer]],1,0)</f>
        <v>1</v>
      </c>
      <c r="T257" s="11">
        <v>0</v>
      </c>
      <c r="U257" s="145"/>
      <c r="V257" s="131">
        <v>0</v>
      </c>
      <c r="W257" s="131">
        <v>0</v>
      </c>
      <c r="X257" s="131">
        <v>1</v>
      </c>
      <c r="Y257" s="11"/>
      <c r="Z257" s="174">
        <v>1</v>
      </c>
      <c r="AA257" s="131"/>
      <c r="AB257" s="131"/>
      <c r="AC257" s="106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s="168" t="s">
        <v>36</v>
      </c>
      <c r="B258" s="15" t="s">
        <v>350</v>
      </c>
      <c r="C258" s="16"/>
      <c r="D258" s="16"/>
      <c r="E258" s="17"/>
      <c r="F258" s="18"/>
      <c r="G258" s="134" t="str">
        <f ca="1">_xlfn.FORMULATEXT(IN[[#This Row],[STAGE]])</f>
        <v>='[ka_PEQ_Nachweistool.xlsb]🏙️'!B65</v>
      </c>
      <c r="H258" s="20">
        <v>2</v>
      </c>
      <c r="I258" s="104">
        <f>'[1]🏙️'!B65</f>
        <v>0</v>
      </c>
      <c r="J258" s="135">
        <f>IF(IN[[#This Row],[Sim_]]=IN[[#This Row],[STAGE]],1,0)</f>
        <v>1</v>
      </c>
      <c r="K258" s="182"/>
      <c r="L258" s="130"/>
      <c r="M258" s="130">
        <f>IF(IN[[#This Row],[Sim_]]=IN[[#This Row],[Sim Var ref]],1,0)</f>
        <v>1</v>
      </c>
      <c r="N258" s="8"/>
      <c r="O258" s="8"/>
      <c r="P258" s="105"/>
      <c r="Q258" s="137">
        <f>IF(IN[[#This Row],[Sim_]]=IN[[#This Row],[Direkt alt]],1,0)</f>
        <v>1</v>
      </c>
      <c r="R258" s="10">
        <v>0</v>
      </c>
      <c r="S258" s="10">
        <f>IF(IN[[#This Row],[Sim_]]=IN[[#This Row],[Buffer]],1,0)</f>
        <v>1</v>
      </c>
      <c r="T258" s="11">
        <v>0</v>
      </c>
      <c r="U258" s="145"/>
      <c r="V258" s="131">
        <v>0</v>
      </c>
      <c r="W258" s="131">
        <v>0</v>
      </c>
      <c r="X258" s="131">
        <v>1</v>
      </c>
      <c r="Y258" s="11"/>
      <c r="Z258" s="174">
        <v>1</v>
      </c>
      <c r="AA258" s="131"/>
      <c r="AB258" s="131"/>
      <c r="AC258" s="106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s="168" t="s">
        <v>36</v>
      </c>
      <c r="B259" s="15" t="s">
        <v>351</v>
      </c>
      <c r="C259" s="16"/>
      <c r="D259" s="16"/>
      <c r="E259" s="17"/>
      <c r="F259" s="18"/>
      <c r="G259" s="134" t="str">
        <f ca="1">_xlfn.FORMULATEXT(IN[[#This Row],[STAGE]])</f>
        <v>='[ka_PEQ_Nachweistool.xlsb]🏙️'!B66</v>
      </c>
      <c r="H259" s="20">
        <v>2</v>
      </c>
      <c r="I259" s="104">
        <f>'[1]🏙️'!B66</f>
        <v>0</v>
      </c>
      <c r="J259" s="135">
        <f>IF(IN[[#This Row],[Sim_]]=IN[[#This Row],[STAGE]],1,0)</f>
        <v>1</v>
      </c>
      <c r="K259" s="182"/>
      <c r="L259" s="130"/>
      <c r="M259" s="130">
        <f>IF(IN[[#This Row],[Sim_]]=IN[[#This Row],[Sim Var ref]],1,0)</f>
        <v>1</v>
      </c>
      <c r="N259" s="8"/>
      <c r="O259" s="8"/>
      <c r="P259" s="105"/>
      <c r="Q259" s="137">
        <f>IF(IN[[#This Row],[Sim_]]=IN[[#This Row],[Direkt alt]],1,0)</f>
        <v>1</v>
      </c>
      <c r="R259" s="10">
        <v>0</v>
      </c>
      <c r="S259" s="10">
        <f>IF(IN[[#This Row],[Sim_]]=IN[[#This Row],[Buffer]],1,0)</f>
        <v>1</v>
      </c>
      <c r="T259" s="11">
        <v>0</v>
      </c>
      <c r="U259" s="145"/>
      <c r="V259" s="131">
        <v>0</v>
      </c>
      <c r="W259" s="131">
        <v>0</v>
      </c>
      <c r="X259" s="131">
        <v>1</v>
      </c>
      <c r="Y259" s="11"/>
      <c r="Z259" s="174">
        <v>1</v>
      </c>
      <c r="AA259" s="131"/>
      <c r="AB259" s="131"/>
      <c r="AC259" s="106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s="168" t="s">
        <v>36</v>
      </c>
      <c r="B260" s="15" t="s">
        <v>352</v>
      </c>
      <c r="C260" s="16"/>
      <c r="D260" s="16"/>
      <c r="E260" s="17"/>
      <c r="F260" s="18"/>
      <c r="G260" s="134" t="str">
        <f ca="1">_xlfn.FORMULATEXT(IN[[#This Row],[STAGE]])</f>
        <v>='[ka_PEQ_Nachweistool.xlsb]🏙️'!B67</v>
      </c>
      <c r="H260" s="20">
        <v>2</v>
      </c>
      <c r="I260" s="104">
        <f>'[1]🏙️'!B67</f>
        <v>0</v>
      </c>
      <c r="J260" s="135">
        <f>IF(IN[[#This Row],[Sim_]]=IN[[#This Row],[STAGE]],1,0)</f>
        <v>1</v>
      </c>
      <c r="K260" s="182"/>
      <c r="L260" s="130"/>
      <c r="M260" s="130">
        <f>IF(IN[[#This Row],[Sim_]]=IN[[#This Row],[Sim Var ref]],1,0)</f>
        <v>1</v>
      </c>
      <c r="N260" s="8"/>
      <c r="O260" s="8"/>
      <c r="P260" s="105"/>
      <c r="Q260" s="137">
        <f>IF(IN[[#This Row],[Sim_]]=IN[[#This Row],[Direkt alt]],1,0)</f>
        <v>1</v>
      </c>
      <c r="R260" s="10">
        <v>0</v>
      </c>
      <c r="S260" s="10">
        <f>IF(IN[[#This Row],[Sim_]]=IN[[#This Row],[Buffer]],1,0)</f>
        <v>1</v>
      </c>
      <c r="T260" s="11">
        <v>0</v>
      </c>
      <c r="U260" s="145"/>
      <c r="V260" s="131">
        <v>0</v>
      </c>
      <c r="W260" s="131">
        <v>0</v>
      </c>
      <c r="X260" s="131">
        <v>1</v>
      </c>
      <c r="Y260" s="11"/>
      <c r="Z260" s="174">
        <v>1</v>
      </c>
      <c r="AA260" s="131"/>
      <c r="AB260" s="131"/>
      <c r="AC260" s="106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s="168" t="s">
        <v>36</v>
      </c>
      <c r="B261" s="15" t="s">
        <v>353</v>
      </c>
      <c r="C261" s="16"/>
      <c r="D261" s="16"/>
      <c r="E261" s="17"/>
      <c r="F261" s="18" t="s">
        <v>354</v>
      </c>
      <c r="G261" s="134" t="str">
        <f ca="1">_xlfn.FORMULATEXT(IN[[#This Row],[STAGE]])</f>
        <v>=SUMMENPRODUKT(Renovation_shares;NFA_shares)</v>
      </c>
      <c r="H261" s="20">
        <v>0</v>
      </c>
      <c r="I261" s="183">
        <f>SUMPRODUCT(Renovation_shares,NFA_shares)</f>
        <v>0</v>
      </c>
      <c r="J261" s="135">
        <f>IF(IN[[#This Row],[Sim_]]=IN[[#This Row],[STAGE]],1,0)</f>
        <v>1</v>
      </c>
      <c r="K261" s="182"/>
      <c r="L261" s="130"/>
      <c r="M261" s="130">
        <f>IF(IN[[#This Row],[Sim_]]=IN[[#This Row],[Sim Var ref]],1,0)</f>
        <v>1</v>
      </c>
      <c r="N261" s="8"/>
      <c r="O261" s="8"/>
      <c r="P261" s="105"/>
      <c r="Q261" s="137">
        <f>IF(IN[[#This Row],[Sim_]]=IN[[#This Row],[Direkt alt]],1,0)</f>
        <v>1</v>
      </c>
      <c r="R261" s="10">
        <v>1</v>
      </c>
      <c r="S261" s="10">
        <f>IF(IN[[#This Row],[Sim_]]=IN[[#This Row],[Buffer]],1,0)</f>
        <v>0</v>
      </c>
      <c r="T261" s="11"/>
      <c r="U261" s="145"/>
      <c r="V261" s="131"/>
      <c r="W261" s="131"/>
      <c r="X261" s="131">
        <v>1</v>
      </c>
      <c r="Y261" s="11"/>
      <c r="Z261" s="174">
        <v>1</v>
      </c>
      <c r="AA261" s="131"/>
      <c r="AB261" s="131"/>
      <c r="AC261" s="184">
        <v>1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0</v>
      </c>
    </row>
    <row r="262" spans="1:36" x14ac:dyDescent="0.25">
      <c r="A262" s="168" t="s">
        <v>36</v>
      </c>
      <c r="B262" s="15" t="s">
        <v>355</v>
      </c>
      <c r="C262" s="16"/>
      <c r="D262" s="16"/>
      <c r="E262" s="17"/>
      <c r="F262" s="18"/>
      <c r="G262" s="134" t="e">
        <f ca="1">_xlfn.FORMULATEXT(IN[[#This Row],[STAGE]])</f>
        <v>#N/A</v>
      </c>
      <c r="H262" s="20">
        <v>0</v>
      </c>
      <c r="I262" s="185">
        <v>70</v>
      </c>
      <c r="J262" s="135">
        <f>IF(IN[[#This Row],[Sim_]]=IN[[#This Row],[STAGE]],1,0)</f>
        <v>0</v>
      </c>
      <c r="K262" s="182"/>
      <c r="L262" s="130"/>
      <c r="M262" s="130">
        <f>IF(IN[[#This Row],[Sim_]]=IN[[#This Row],[Sim Var ref]],1,0)</f>
        <v>1</v>
      </c>
      <c r="N262" s="8"/>
      <c r="O262" s="8"/>
      <c r="P262" s="105"/>
      <c r="Q262" s="137">
        <f>IF(IN[[#This Row],[Sim_]]=IN[[#This Row],[Direkt alt]],1,0)</f>
        <v>1</v>
      </c>
      <c r="R262" s="10">
        <v>1</v>
      </c>
      <c r="S262" s="10">
        <f>IF(IN[[#This Row],[Sim_]]=IN[[#This Row],[Buffer]],1,0)</f>
        <v>0</v>
      </c>
      <c r="T262" s="11"/>
      <c r="U262" s="145"/>
      <c r="V262" s="131"/>
      <c r="W262" s="131"/>
      <c r="X262" s="131">
        <v>0</v>
      </c>
      <c r="Y262" s="11"/>
      <c r="Z262" s="174">
        <v>1</v>
      </c>
      <c r="AA262" s="131"/>
      <c r="AB262" s="131"/>
      <c r="AC262" s="106">
        <v>0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70</v>
      </c>
      <c r="AJ262">
        <v>70</v>
      </c>
    </row>
    <row r="263" spans="1:36" x14ac:dyDescent="0.25">
      <c r="A263" s="168" t="s">
        <v>36</v>
      </c>
      <c r="B263" s="15" t="s">
        <v>356</v>
      </c>
      <c r="C263" s="16"/>
      <c r="D263" s="16"/>
      <c r="E263" s="17"/>
      <c r="F263" s="18"/>
      <c r="G263" s="134" t="e">
        <f ca="1">_xlfn.FORMULATEXT(IN[[#This Row],[STAGE]])</f>
        <v>#N/A</v>
      </c>
      <c r="H263" s="20">
        <v>0</v>
      </c>
      <c r="I263" s="185">
        <v>7</v>
      </c>
      <c r="J263" s="135">
        <f>IF(IN[[#This Row],[Sim_]]=IN[[#This Row],[STAGE]],1,0)</f>
        <v>0</v>
      </c>
      <c r="K263" s="182"/>
      <c r="L263" s="130"/>
      <c r="M263" s="130">
        <f>IF(IN[[#This Row],[Sim_]]=IN[[#This Row],[Sim Var ref]],1,0)</f>
        <v>1</v>
      </c>
      <c r="N263" s="8"/>
      <c r="O263" s="8"/>
      <c r="P263" s="105"/>
      <c r="Q263" s="137">
        <f>IF(IN[[#This Row],[Sim_]]=IN[[#This Row],[Direkt alt]],1,0)</f>
        <v>1</v>
      </c>
      <c r="R263" s="10">
        <v>7</v>
      </c>
      <c r="S263" s="10">
        <f>IF(IN[[#This Row],[Sim_]]=IN[[#This Row],[Buffer]],1,0)</f>
        <v>0</v>
      </c>
      <c r="T263" s="11"/>
      <c r="U263" s="145"/>
      <c r="V263" s="131"/>
      <c r="W263" s="131"/>
      <c r="X263" s="131">
        <v>0</v>
      </c>
      <c r="Y263" s="11"/>
      <c r="Z263" s="174">
        <v>7</v>
      </c>
      <c r="AA263" s="131"/>
      <c r="AB263" s="131"/>
      <c r="AC263" s="106">
        <v>0</v>
      </c>
      <c r="AD263">
        <v>7</v>
      </c>
      <c r="AE263">
        <v>7</v>
      </c>
      <c r="AF263">
        <v>7</v>
      </c>
      <c r="AG263">
        <v>7</v>
      </c>
      <c r="AH263">
        <v>7</v>
      </c>
      <c r="AI263">
        <v>7</v>
      </c>
      <c r="AJ263">
        <v>7</v>
      </c>
    </row>
    <row r="264" spans="1:36" x14ac:dyDescent="0.25">
      <c r="A264" s="63"/>
      <c r="B264" s="15"/>
      <c r="C264" s="16"/>
      <c r="D264" s="16"/>
      <c r="E264" s="17"/>
      <c r="F264" s="18"/>
      <c r="G264" s="147"/>
      <c r="H264" s="20">
        <v>0</v>
      </c>
      <c r="I264" s="104">
        <f>IN[[#This Row],[Buffer]]</f>
        <v>0</v>
      </c>
      <c r="J264" s="135">
        <f>IF(IN[[#This Row],[Sim_]]=IN[[#This Row],[STAGE]],1,0)</f>
        <v>1</v>
      </c>
      <c r="K264" s="182"/>
      <c r="L264" s="130"/>
      <c r="M264" s="130">
        <f>IF(IN[[#This Row],[Sim_]]=IN[[#This Row],[Sim Var ref]],1,0)</f>
        <v>1</v>
      </c>
      <c r="N264" s="8"/>
      <c r="O264" s="8"/>
      <c r="P264" s="105"/>
      <c r="Q264" s="137">
        <f>IF(IN[[#This Row],[Sim_]]=IN[[#This Row],[Direkt alt]],1,0)</f>
        <v>1</v>
      </c>
      <c r="R264" s="10">
        <v>0</v>
      </c>
      <c r="S264" s="10">
        <f>IF(IN[[#This Row],[Sim_]]=IN[[#This Row],[Buffer]],1,0)</f>
        <v>1</v>
      </c>
      <c r="T264" s="11"/>
      <c r="U264" s="145"/>
      <c r="V264" s="131"/>
      <c r="W264" s="131"/>
      <c r="X264" s="131">
        <v>0</v>
      </c>
      <c r="Y264" s="11"/>
      <c r="Z264" s="174">
        <v>0</v>
      </c>
      <c r="AA264" s="131"/>
      <c r="AB264" s="131"/>
      <c r="AC264" s="106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s="63"/>
      <c r="B265" s="15"/>
      <c r="C265" s="16"/>
      <c r="D265" s="16"/>
      <c r="E265" s="17"/>
      <c r="F265" s="18"/>
      <c r="G265" s="147"/>
      <c r="H265" s="20">
        <v>0</v>
      </c>
      <c r="I265" s="104">
        <f>IN[[#This Row],[Buffer]]</f>
        <v>0</v>
      </c>
      <c r="J265" s="135">
        <f>IF(IN[[#This Row],[Sim_]]=IN[[#This Row],[STAGE]],1,0)</f>
        <v>1</v>
      </c>
      <c r="K265" s="182"/>
      <c r="L265" s="130"/>
      <c r="M265" s="130">
        <f>IF(IN[[#This Row],[Sim_]]=IN[[#This Row],[Sim Var ref]],1,0)</f>
        <v>1</v>
      </c>
      <c r="N265" s="8"/>
      <c r="O265" s="8"/>
      <c r="P265" s="105"/>
      <c r="Q265" s="137">
        <f>IF(IN[[#This Row],[Sim_]]=IN[[#This Row],[Direkt alt]],1,0)</f>
        <v>1</v>
      </c>
      <c r="R265" s="10">
        <v>0</v>
      </c>
      <c r="S265" s="10">
        <f>IF(IN[[#This Row],[Sim_]]=IN[[#This Row],[Buffer]],1,0)</f>
        <v>1</v>
      </c>
      <c r="T265" s="11"/>
      <c r="U265" s="145"/>
      <c r="V265" s="131"/>
      <c r="W265" s="131"/>
      <c r="X265" s="131">
        <v>0</v>
      </c>
      <c r="Y265" s="11"/>
      <c r="Z265" s="174">
        <v>0</v>
      </c>
      <c r="AA265" s="131"/>
      <c r="AB265" s="131"/>
      <c r="AC265" s="106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s="63"/>
      <c r="B266" s="15"/>
      <c r="C266" s="16"/>
      <c r="D266" s="16"/>
      <c r="E266" s="17"/>
      <c r="F266" s="18"/>
      <c r="G266" s="147"/>
      <c r="H266" s="20">
        <v>0</v>
      </c>
      <c r="I266" s="104">
        <f>IN[[#This Row],[Buffer]]</f>
        <v>0</v>
      </c>
      <c r="J266" s="135">
        <f>IF(IN[[#This Row],[Sim_]]=IN[[#This Row],[STAGE]],1,0)</f>
        <v>1</v>
      </c>
      <c r="K266" s="182"/>
      <c r="L266" s="130"/>
      <c r="M266" s="130">
        <f>IF(IN[[#This Row],[Sim_]]=IN[[#This Row],[Sim Var ref]],1,0)</f>
        <v>1</v>
      </c>
      <c r="N266" s="8"/>
      <c r="O266" s="8"/>
      <c r="P266" s="105"/>
      <c r="Q266" s="137">
        <f>IF(IN[[#This Row],[Sim_]]=IN[[#This Row],[Direkt alt]],1,0)</f>
        <v>1</v>
      </c>
      <c r="R266" s="10">
        <v>0</v>
      </c>
      <c r="S266" s="10">
        <f>IF(IN[[#This Row],[Sim_]]=IN[[#This Row],[Buffer]],1,0)</f>
        <v>1</v>
      </c>
      <c r="T266" s="11"/>
      <c r="U266" s="145"/>
      <c r="V266" s="131"/>
      <c r="W266" s="131"/>
      <c r="X266" s="131">
        <v>0</v>
      </c>
      <c r="Y266" s="11"/>
      <c r="Z266" s="174">
        <v>0</v>
      </c>
      <c r="AA266" s="131"/>
      <c r="AB266" s="131"/>
      <c r="AC266" s="10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s="63"/>
      <c r="B267" s="15"/>
      <c r="C267" s="16"/>
      <c r="D267" s="16"/>
      <c r="E267" s="17"/>
      <c r="F267" s="18"/>
      <c r="G267" s="147"/>
      <c r="H267" s="20">
        <v>0</v>
      </c>
      <c r="I267" s="104">
        <f>IN[[#This Row],[Buffer]]</f>
        <v>0</v>
      </c>
      <c r="J267" s="135">
        <f>IF(IN[[#This Row],[Sim_]]=IN[[#This Row],[STAGE]],1,0)</f>
        <v>1</v>
      </c>
      <c r="K267" s="182"/>
      <c r="L267" s="130"/>
      <c r="M267" s="130">
        <f>IF(IN[[#This Row],[Sim_]]=IN[[#This Row],[Sim Var ref]],1,0)</f>
        <v>1</v>
      </c>
      <c r="N267" s="8"/>
      <c r="O267" s="8"/>
      <c r="P267" s="105"/>
      <c r="Q267" s="137">
        <f>IF(IN[[#This Row],[Sim_]]=IN[[#This Row],[Direkt alt]],1,0)</f>
        <v>1</v>
      </c>
      <c r="R267" s="10">
        <v>0</v>
      </c>
      <c r="S267" s="10">
        <f>IF(IN[[#This Row],[Sim_]]=IN[[#This Row],[Buffer]],1,0)</f>
        <v>1</v>
      </c>
      <c r="T267" s="11"/>
      <c r="U267" s="145"/>
      <c r="V267" s="131"/>
      <c r="W267" s="131"/>
      <c r="X267" s="131">
        <v>0</v>
      </c>
      <c r="Y267" s="11"/>
      <c r="Z267" s="174">
        <v>0</v>
      </c>
      <c r="AA267" s="131"/>
      <c r="AB267" s="131"/>
      <c r="AC267" s="106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ht="46.5" x14ac:dyDescent="0.25">
      <c r="A268" s="186"/>
      <c r="B268" s="186"/>
      <c r="C268" s="187" t="e">
        <f>ROWS(#REF!)-1</f>
        <v>#REF!</v>
      </c>
      <c r="D268" s="187" t="s">
        <v>293</v>
      </c>
      <c r="E268" s="186"/>
      <c r="F268" s="188"/>
      <c r="G268" s="189"/>
      <c r="H268" s="190">
        <v>0</v>
      </c>
      <c r="I268" s="191"/>
      <c r="J268" s="186"/>
      <c r="K268" s="186"/>
      <c r="L268" s="186"/>
      <c r="M268" s="186"/>
      <c r="N268" s="186"/>
      <c r="O268" s="186"/>
      <c r="P268" s="186"/>
      <c r="Q268" s="186"/>
      <c r="R268" s="186"/>
      <c r="S268" s="186"/>
      <c r="T268" s="186"/>
      <c r="U268" s="186"/>
      <c r="V268" s="192"/>
      <c r="W268" s="192"/>
      <c r="X268" s="192"/>
      <c r="Y268" s="192"/>
      <c r="Z268" s="192"/>
      <c r="AA268" s="192"/>
      <c r="AB268" s="192"/>
      <c r="AC268" s="193"/>
    </row>
    <row r="269" spans="1:36" ht="15.75" thickBot="1" x14ac:dyDescent="0.3">
      <c r="A269" s="194" t="s">
        <v>357</v>
      </c>
      <c r="B269" s="169" t="s">
        <v>358</v>
      </c>
      <c r="C269" s="16" t="s">
        <v>359</v>
      </c>
      <c r="D269" s="16"/>
      <c r="E269" s="17" t="s">
        <v>285</v>
      </c>
      <c r="F269" s="18" t="s">
        <v>360</v>
      </c>
      <c r="G269" s="134" t="str">
        <f ca="1">_xlfn.FORMULATEXT(IN[[#This Row],[STAGE]])</f>
        <v>='[ka_PEQ_Nachweistool.xlsb]🏙️'!B42</v>
      </c>
      <c r="H269" s="20">
        <v>2</v>
      </c>
      <c r="I269" s="195">
        <f>'[1]🏙️'!B42</f>
        <v>0</v>
      </c>
      <c r="J269" s="135">
        <f>IF(IN[[#This Row],[Sim_]]=IN[[#This Row],[STAGE]],1,0)</f>
        <v>0</v>
      </c>
      <c r="K269" s="173">
        <f t="shared" ref="K269:K275" si="5">K$33</f>
        <v>2.6</v>
      </c>
      <c r="L269" s="130"/>
      <c r="M269" s="130">
        <f>IF(IN[[#This Row],[Sim_]]=IN[[#This Row],[Sim Var ref]],1,0)</f>
        <v>0</v>
      </c>
      <c r="N269" s="8"/>
      <c r="O269" s="8">
        <v>239</v>
      </c>
      <c r="P269" s="105"/>
      <c r="Q269" s="137">
        <f>IF(IN[[#This Row],[Sim_]]=IN[[#This Row],[Direkt alt]],1,0)</f>
        <v>0</v>
      </c>
      <c r="R269" s="10">
        <v>2.5</v>
      </c>
      <c r="S269" s="10">
        <f>IF(IN[[#This Row],[Sim_]]=IN[[#This Row],[Buffer]],1,0)</f>
        <v>0</v>
      </c>
      <c r="T269" s="11"/>
      <c r="U269" s="195">
        <f>'[1]🏙️'!M42</f>
        <v>0</v>
      </c>
      <c r="V269" s="131">
        <f t="shared" ref="V269:W275" si="6">V$33</f>
        <v>2.6</v>
      </c>
      <c r="W269" s="131">
        <f t="shared" si="6"/>
        <v>2.5</v>
      </c>
      <c r="X269" s="131">
        <v>2.5</v>
      </c>
      <c r="Y269" s="11"/>
      <c r="Z269" s="174">
        <v>2.5</v>
      </c>
      <c r="AA269" s="174">
        <v>2.6</v>
      </c>
      <c r="AB269" s="174">
        <v>2.6</v>
      </c>
      <c r="AC269" s="196">
        <v>2.5</v>
      </c>
      <c r="AD269">
        <v>2.5</v>
      </c>
      <c r="AE269">
        <v>2.5</v>
      </c>
      <c r="AF269">
        <v>2.5</v>
      </c>
      <c r="AG269">
        <v>2.5</v>
      </c>
      <c r="AH269">
        <v>3.2</v>
      </c>
      <c r="AI269">
        <v>2.6</v>
      </c>
      <c r="AJ269">
        <v>2.6</v>
      </c>
    </row>
    <row r="270" spans="1:36" ht="16.5" thickTop="1" thickBot="1" x14ac:dyDescent="0.3">
      <c r="A270" s="194" t="s">
        <v>357</v>
      </c>
      <c r="B270" s="15" t="s">
        <v>361</v>
      </c>
      <c r="C270" s="16" t="s">
        <v>359</v>
      </c>
      <c r="D270" s="16"/>
      <c r="E270" s="17" t="s">
        <v>285</v>
      </c>
      <c r="F270" s="18" t="s">
        <v>362</v>
      </c>
      <c r="G270" s="134" t="str">
        <f ca="1">_xlfn.FORMULATEXT(IN[[#This Row],[STAGE]])</f>
        <v>='[ka_PEQ_Nachweistool.xlsb]🏙️'!B43</v>
      </c>
      <c r="H270" s="20">
        <v>2</v>
      </c>
      <c r="I270" s="195">
        <f>'[1]🏙️'!B43</f>
        <v>0</v>
      </c>
      <c r="J270" s="135">
        <f>IF(IN[[#This Row],[Sim_]]=IN[[#This Row],[STAGE]],1,0)</f>
        <v>0</v>
      </c>
      <c r="K270" s="173">
        <f t="shared" si="5"/>
        <v>2.6</v>
      </c>
      <c r="L270" s="130"/>
      <c r="M270" s="130">
        <f>IF(IN[[#This Row],[Sim_]]=IN[[#This Row],[Sim Var ref]],1,0)</f>
        <v>0</v>
      </c>
      <c r="N270" s="8"/>
      <c r="O270" s="8">
        <v>240</v>
      </c>
      <c r="P270" s="105"/>
      <c r="Q270" s="137">
        <f>IF(IN[[#This Row],[Sim_]]=IN[[#This Row],[Direkt alt]],1,0)</f>
        <v>0</v>
      </c>
      <c r="R270" s="10">
        <v>2.5</v>
      </c>
      <c r="S270" s="10">
        <f>IF(IN[[#This Row],[Sim_]]=IN[[#This Row],[Buffer]],1,0)</f>
        <v>0</v>
      </c>
      <c r="T270" s="11"/>
      <c r="U270" s="195">
        <f>'[1]🏙️'!M43</f>
        <v>0</v>
      </c>
      <c r="V270" s="131">
        <f t="shared" si="6"/>
        <v>2.6</v>
      </c>
      <c r="W270" s="131">
        <f t="shared" si="6"/>
        <v>2.5</v>
      </c>
      <c r="X270" s="131">
        <v>2.5</v>
      </c>
      <c r="Y270" s="11"/>
      <c r="Z270" s="174">
        <v>2.5</v>
      </c>
      <c r="AA270" s="174">
        <v>2.6</v>
      </c>
      <c r="AB270" s="174">
        <v>2.6</v>
      </c>
      <c r="AC270" s="196">
        <v>2.5</v>
      </c>
      <c r="AD270">
        <v>2.5</v>
      </c>
      <c r="AE270">
        <v>2.5</v>
      </c>
      <c r="AF270">
        <v>2.5</v>
      </c>
      <c r="AG270">
        <v>2.5</v>
      </c>
      <c r="AH270">
        <v>3.5</v>
      </c>
      <c r="AI270">
        <v>2.6</v>
      </c>
      <c r="AJ270">
        <v>2.6</v>
      </c>
    </row>
    <row r="271" spans="1:36" ht="16.5" thickTop="1" thickBot="1" x14ac:dyDescent="0.3">
      <c r="A271" s="194" t="s">
        <v>357</v>
      </c>
      <c r="B271" s="15" t="s">
        <v>363</v>
      </c>
      <c r="C271" s="16" t="s">
        <v>359</v>
      </c>
      <c r="D271" s="16"/>
      <c r="E271" s="17" t="s">
        <v>285</v>
      </c>
      <c r="F271" s="18" t="s">
        <v>364</v>
      </c>
      <c r="G271" s="134" t="str">
        <f ca="1">_xlfn.FORMULATEXT(IN[[#This Row],[STAGE]])</f>
        <v>='[ka_PEQ_Nachweistool.xlsb]🏙️'!B45</v>
      </c>
      <c r="H271" s="20">
        <v>2</v>
      </c>
      <c r="I271" s="195">
        <f>'[1]🏙️'!B45</f>
        <v>0</v>
      </c>
      <c r="J271" s="135">
        <f>IF(IN[[#This Row],[Sim_]]=IN[[#This Row],[STAGE]],1,0)</f>
        <v>0</v>
      </c>
      <c r="K271" s="173">
        <f t="shared" si="5"/>
        <v>2.6</v>
      </c>
      <c r="L271" s="130"/>
      <c r="M271" s="130">
        <f>IF(IN[[#This Row],[Sim_]]=IN[[#This Row],[Sim Var ref]],1,0)</f>
        <v>0</v>
      </c>
      <c r="N271" s="8"/>
      <c r="O271" s="8">
        <v>241</v>
      </c>
      <c r="P271" s="105"/>
      <c r="Q271" s="137">
        <f>IF(IN[[#This Row],[Sim_]]=IN[[#This Row],[Direkt alt]],1,0)</f>
        <v>0</v>
      </c>
      <c r="R271" s="10">
        <v>2.5</v>
      </c>
      <c r="S271" s="10">
        <f>IF(IN[[#This Row],[Sim_]]=IN[[#This Row],[Buffer]],1,0)</f>
        <v>0</v>
      </c>
      <c r="T271" s="11"/>
      <c r="U271" s="195">
        <f>'[1]🏙️'!M45</f>
        <v>0</v>
      </c>
      <c r="V271" s="131">
        <f t="shared" si="6"/>
        <v>2.6</v>
      </c>
      <c r="W271" s="131">
        <f t="shared" si="6"/>
        <v>2.5</v>
      </c>
      <c r="X271" s="131">
        <v>2.5</v>
      </c>
      <c r="Y271" s="11"/>
      <c r="Z271" s="174">
        <v>2.5</v>
      </c>
      <c r="AA271" s="174">
        <v>2.6</v>
      </c>
      <c r="AB271" s="174">
        <v>2.6</v>
      </c>
      <c r="AC271" s="196">
        <v>2.5</v>
      </c>
      <c r="AD271">
        <v>2.5</v>
      </c>
      <c r="AE271">
        <v>2.5</v>
      </c>
      <c r="AF271">
        <v>2.5</v>
      </c>
      <c r="AG271">
        <v>2.5</v>
      </c>
      <c r="AH271">
        <v>2.5</v>
      </c>
      <c r="AI271">
        <v>2.6</v>
      </c>
      <c r="AJ271">
        <v>2.6</v>
      </c>
    </row>
    <row r="272" spans="1:36" ht="16.5" thickTop="1" thickBot="1" x14ac:dyDescent="0.3">
      <c r="A272" s="194" t="s">
        <v>357</v>
      </c>
      <c r="B272" s="15" t="s">
        <v>365</v>
      </c>
      <c r="C272" s="16" t="s">
        <v>359</v>
      </c>
      <c r="D272" s="16"/>
      <c r="E272" s="17" t="s">
        <v>285</v>
      </c>
      <c r="F272" s="18" t="s">
        <v>366</v>
      </c>
      <c r="G272" s="134" t="str">
        <f ca="1">_xlfn.FORMULATEXT(IN[[#This Row],[STAGE]])</f>
        <v>='[ka_PEQ_Nachweistool.xlsb]🏙️'!B44</v>
      </c>
      <c r="H272" s="20">
        <v>2</v>
      </c>
      <c r="I272" s="195">
        <f>'[1]🏙️'!B44</f>
        <v>0</v>
      </c>
      <c r="J272" s="135">
        <f>IF(IN[[#This Row],[Sim_]]=IN[[#This Row],[STAGE]],1,0)</f>
        <v>0</v>
      </c>
      <c r="K272" s="173">
        <f t="shared" si="5"/>
        <v>2.6</v>
      </c>
      <c r="L272" s="130"/>
      <c r="M272" s="130">
        <f>IF(IN[[#This Row],[Sim_]]=IN[[#This Row],[Sim Var ref]],1,0)</f>
        <v>0</v>
      </c>
      <c r="N272" s="8"/>
      <c r="O272" s="8">
        <v>242</v>
      </c>
      <c r="P272" s="105"/>
      <c r="Q272" s="137">
        <f>IF(IN[[#This Row],[Sim_]]=IN[[#This Row],[Direkt alt]],1,0)</f>
        <v>0</v>
      </c>
      <c r="R272" s="10">
        <v>2.5</v>
      </c>
      <c r="S272" s="10">
        <f>IF(IN[[#This Row],[Sim_]]=IN[[#This Row],[Buffer]],1,0)</f>
        <v>0</v>
      </c>
      <c r="T272" s="11"/>
      <c r="U272" s="195">
        <f>'[1]🏙️'!M44</f>
        <v>0</v>
      </c>
      <c r="V272" s="131">
        <f t="shared" si="6"/>
        <v>2.6</v>
      </c>
      <c r="W272" s="131">
        <f t="shared" si="6"/>
        <v>2.5</v>
      </c>
      <c r="X272" s="131">
        <v>2.5</v>
      </c>
      <c r="Y272" s="11"/>
      <c r="Z272" s="174">
        <v>2.5</v>
      </c>
      <c r="AA272" s="174">
        <v>2.6</v>
      </c>
      <c r="AB272" s="174">
        <v>2.6</v>
      </c>
      <c r="AC272" s="196">
        <v>2.5</v>
      </c>
      <c r="AD272">
        <v>2.5</v>
      </c>
      <c r="AE272">
        <v>2.5</v>
      </c>
      <c r="AF272">
        <v>2.5</v>
      </c>
      <c r="AG272">
        <v>2.5</v>
      </c>
      <c r="AH272">
        <v>2.5</v>
      </c>
      <c r="AI272">
        <v>2.6</v>
      </c>
      <c r="AJ272">
        <v>2.6</v>
      </c>
    </row>
    <row r="273" spans="1:36" ht="16.5" thickTop="1" thickBot="1" x14ac:dyDescent="0.3">
      <c r="A273" s="194" t="s">
        <v>357</v>
      </c>
      <c r="B273" s="15" t="s">
        <v>367</v>
      </c>
      <c r="C273" s="16" t="s">
        <v>359</v>
      </c>
      <c r="D273" s="16"/>
      <c r="E273" s="17" t="s">
        <v>285</v>
      </c>
      <c r="F273" s="18" t="s">
        <v>368</v>
      </c>
      <c r="G273" s="134" t="str">
        <f ca="1">_xlfn.FORMULATEXT(IN[[#This Row],[STAGE]])</f>
        <v>='[ka_PEQ_Nachweistool.xlsb]🏙️'!B46</v>
      </c>
      <c r="H273" s="20">
        <v>2</v>
      </c>
      <c r="I273" s="195">
        <f>'[1]🏙️'!B46</f>
        <v>0</v>
      </c>
      <c r="J273" s="135">
        <f>IF(IN[[#This Row],[Sim_]]=IN[[#This Row],[STAGE]],1,0)</f>
        <v>0</v>
      </c>
      <c r="K273" s="173">
        <f t="shared" si="5"/>
        <v>2.6</v>
      </c>
      <c r="L273" s="130"/>
      <c r="M273" s="130">
        <f>IF(IN[[#This Row],[Sim_]]=IN[[#This Row],[Sim Var ref]],1,0)</f>
        <v>0</v>
      </c>
      <c r="N273" s="8"/>
      <c r="O273" s="8">
        <v>243</v>
      </c>
      <c r="P273" s="105"/>
      <c r="Q273" s="137">
        <f>IF(IN[[#This Row],[Sim_]]=IN[[#This Row],[Direkt alt]],1,0)</f>
        <v>0</v>
      </c>
      <c r="R273" s="10">
        <v>2.5</v>
      </c>
      <c r="S273" s="10">
        <f>IF(IN[[#This Row],[Sim_]]=IN[[#This Row],[Buffer]],1,0)</f>
        <v>0</v>
      </c>
      <c r="T273" s="11"/>
      <c r="U273" s="195">
        <f>'[1]🏙️'!M46</f>
        <v>0</v>
      </c>
      <c r="V273" s="131">
        <f t="shared" si="6"/>
        <v>2.6</v>
      </c>
      <c r="W273" s="131">
        <f t="shared" si="6"/>
        <v>2.5</v>
      </c>
      <c r="X273" s="131">
        <v>2.5</v>
      </c>
      <c r="Y273" s="11"/>
      <c r="Z273" s="174">
        <v>2.5</v>
      </c>
      <c r="AA273" s="174">
        <v>2.6</v>
      </c>
      <c r="AB273" s="174">
        <v>2.6</v>
      </c>
      <c r="AC273" s="196">
        <v>2.5</v>
      </c>
      <c r="AD273">
        <v>2.5</v>
      </c>
      <c r="AE273">
        <v>2.5</v>
      </c>
      <c r="AF273">
        <v>2.5</v>
      </c>
      <c r="AG273">
        <v>2.5</v>
      </c>
      <c r="AH273">
        <v>4</v>
      </c>
      <c r="AI273">
        <v>2.6</v>
      </c>
      <c r="AJ273">
        <v>2.6</v>
      </c>
    </row>
    <row r="274" spans="1:36" ht="16.5" thickTop="1" thickBot="1" x14ac:dyDescent="0.3">
      <c r="A274" s="194" t="s">
        <v>357</v>
      </c>
      <c r="B274" s="15" t="s">
        <v>369</v>
      </c>
      <c r="C274" s="16" t="s">
        <v>359</v>
      </c>
      <c r="D274" s="16"/>
      <c r="E274" s="17" t="s">
        <v>285</v>
      </c>
      <c r="F274" s="18" t="s">
        <v>370</v>
      </c>
      <c r="G274" s="134" t="str">
        <f ca="1">_xlfn.FORMULATEXT(IN[[#This Row],[STAGE]])</f>
        <v>='[ka_PEQ_Nachweistool.xlsb]🏙️'!B47</v>
      </c>
      <c r="H274" s="20">
        <v>2</v>
      </c>
      <c r="I274" s="195">
        <f>'[1]🏙️'!B47</f>
        <v>0</v>
      </c>
      <c r="J274" s="135">
        <f>IF(IN[[#This Row],[Sim_]]=IN[[#This Row],[STAGE]],1,0)</f>
        <v>0</v>
      </c>
      <c r="K274" s="173">
        <f t="shared" si="5"/>
        <v>2.6</v>
      </c>
      <c r="L274" s="130"/>
      <c r="M274" s="130">
        <f>IF(IN[[#This Row],[Sim_]]=IN[[#This Row],[Sim Var ref]],1,0)</f>
        <v>0</v>
      </c>
      <c r="N274" s="8"/>
      <c r="O274" s="8">
        <v>244</v>
      </c>
      <c r="P274" s="105"/>
      <c r="Q274" s="137">
        <f>IF(IN[[#This Row],[Sim_]]=IN[[#This Row],[Direkt alt]],1,0)</f>
        <v>0</v>
      </c>
      <c r="R274" s="10">
        <v>2.5</v>
      </c>
      <c r="S274" s="10">
        <f>IF(IN[[#This Row],[Sim_]]=IN[[#This Row],[Buffer]],1,0)</f>
        <v>0</v>
      </c>
      <c r="T274" s="11"/>
      <c r="U274" s="195">
        <f>'[1]🏙️'!M47</f>
        <v>0</v>
      </c>
      <c r="V274" s="131">
        <f t="shared" si="6"/>
        <v>2.6</v>
      </c>
      <c r="W274" s="131">
        <f t="shared" si="6"/>
        <v>2.5</v>
      </c>
      <c r="X274" s="131">
        <v>2.5</v>
      </c>
      <c r="Y274" s="11"/>
      <c r="Z274" s="174">
        <v>2.5</v>
      </c>
      <c r="AA274" s="174">
        <v>2.6</v>
      </c>
      <c r="AB274" s="174">
        <v>2.6</v>
      </c>
      <c r="AC274" s="196">
        <v>2.5</v>
      </c>
      <c r="AD274">
        <v>2.5</v>
      </c>
      <c r="AE274">
        <v>2.5</v>
      </c>
      <c r="AF274">
        <v>2.5</v>
      </c>
      <c r="AG274">
        <v>2.5</v>
      </c>
      <c r="AH274">
        <v>3.2</v>
      </c>
      <c r="AI274">
        <v>2.6</v>
      </c>
      <c r="AJ274">
        <v>2.6</v>
      </c>
    </row>
    <row r="275" spans="1:36" ht="16.5" thickTop="1" thickBot="1" x14ac:dyDescent="0.3">
      <c r="A275" s="194" t="s">
        <v>357</v>
      </c>
      <c r="B275" s="15" t="s">
        <v>371</v>
      </c>
      <c r="C275" s="16" t="s">
        <v>359</v>
      </c>
      <c r="D275" s="16"/>
      <c r="E275" s="17" t="s">
        <v>285</v>
      </c>
      <c r="F275" s="18" t="s">
        <v>372</v>
      </c>
      <c r="G275" s="134" t="str">
        <f ca="1">_xlfn.FORMULATEXT(IN[[#This Row],[STAGE]])</f>
        <v>='[ka_PEQ_Nachweistool.xlsb]🏙️'!B48</v>
      </c>
      <c r="H275" s="20">
        <v>2</v>
      </c>
      <c r="I275" s="195">
        <f>'[1]🏙️'!B48</f>
        <v>0</v>
      </c>
      <c r="J275" s="135">
        <f>IF(IN[[#This Row],[Sim_]]=IN[[#This Row],[STAGE]],1,0)</f>
        <v>0</v>
      </c>
      <c r="K275" s="173">
        <f t="shared" si="5"/>
        <v>2.6</v>
      </c>
      <c r="L275" s="130"/>
      <c r="M275" s="130">
        <f>IF(IN[[#This Row],[Sim_]]=IN[[#This Row],[Sim Var ref]],1,0)</f>
        <v>0</v>
      </c>
      <c r="N275" s="8"/>
      <c r="O275" s="8">
        <v>245</v>
      </c>
      <c r="P275" s="105"/>
      <c r="Q275" s="137">
        <f>IF(IN[[#This Row],[Sim_]]=IN[[#This Row],[Direkt alt]],1,0)</f>
        <v>0</v>
      </c>
      <c r="R275" s="10">
        <v>2.5</v>
      </c>
      <c r="S275" s="10">
        <f>IF(IN[[#This Row],[Sim_]]=IN[[#This Row],[Buffer]],1,0)</f>
        <v>0</v>
      </c>
      <c r="T275" s="11"/>
      <c r="U275" s="195">
        <f>'[1]🏙️'!M48</f>
        <v>0</v>
      </c>
      <c r="V275" s="131">
        <f t="shared" si="6"/>
        <v>2.6</v>
      </c>
      <c r="W275" s="131">
        <f t="shared" si="6"/>
        <v>2.5</v>
      </c>
      <c r="X275" s="131">
        <v>2.5</v>
      </c>
      <c r="Y275" s="11"/>
      <c r="Z275" s="174">
        <v>2.5</v>
      </c>
      <c r="AA275" s="174">
        <v>2.6</v>
      </c>
      <c r="AB275" s="174">
        <v>2.6</v>
      </c>
      <c r="AC275" s="196">
        <v>2.5</v>
      </c>
      <c r="AD275">
        <v>2.5</v>
      </c>
      <c r="AE275">
        <v>2.5</v>
      </c>
      <c r="AF275">
        <v>2.5</v>
      </c>
      <c r="AG275">
        <v>2.5</v>
      </c>
      <c r="AH275">
        <v>2.5</v>
      </c>
      <c r="AI275">
        <v>2.6</v>
      </c>
      <c r="AJ275">
        <v>2.6</v>
      </c>
    </row>
    <row r="276" spans="1:36" ht="16.5" thickTop="1" thickBot="1" x14ac:dyDescent="0.3">
      <c r="A276" s="194" t="s">
        <v>357</v>
      </c>
      <c r="B276" s="15" t="s">
        <v>373</v>
      </c>
      <c r="C276" s="16" t="s">
        <v>359</v>
      </c>
      <c r="D276" s="16"/>
      <c r="E276" s="17" t="s">
        <v>78</v>
      </c>
      <c r="F276" s="18" t="s">
        <v>374</v>
      </c>
      <c r="G276" s="134" t="str">
        <f ca="1">_xlfn.FORMULATEXT(IN[[#This Row],[STAGE]])</f>
        <v>=SUMMENPRODUKT(I269:I275;I243:I249)/NFA_total</v>
      </c>
      <c r="H276" s="20">
        <v>0</v>
      </c>
      <c r="I276" s="195" t="e">
        <f>SUMPRODUCT(I269:I275,I243:I249)/NFA_total</f>
        <v>#DIV/0!</v>
      </c>
      <c r="J276" s="135" t="e">
        <f>IF(IN[[#This Row],[Sim_]]=IN[[#This Row],[STAGE]],1,0)</f>
        <v>#DIV/0!</v>
      </c>
      <c r="K276" s="131"/>
      <c r="L276" s="130"/>
      <c r="M276" s="130">
        <f>IF(IN[[#This Row],[Sim_]]=IN[[#This Row],[Sim Var ref]],1,0)</f>
        <v>1</v>
      </c>
      <c r="N276" s="8"/>
      <c r="O276" s="8">
        <v>246</v>
      </c>
      <c r="P276" s="105"/>
      <c r="Q276" s="137">
        <f>IF(IN[[#This Row],[Sim_]]=IN[[#This Row],[Direkt alt]],1,0)</f>
        <v>1</v>
      </c>
      <c r="R276" s="10">
        <v>2.5</v>
      </c>
      <c r="S276" s="10">
        <f>IF(IN[[#This Row],[Sim_]]=IN[[#This Row],[Buffer]],1,0)</f>
        <v>0</v>
      </c>
      <c r="T276" s="11"/>
      <c r="U276" s="195" t="e">
        <f>SUMPRODUCT(U269:U275,U243:U249)/NFA_total</f>
        <v>#DIV/0!</v>
      </c>
      <c r="V276" s="131"/>
      <c r="W276" s="131"/>
      <c r="X276" s="131">
        <v>2.5</v>
      </c>
      <c r="Y276" s="11"/>
      <c r="Z276" s="174">
        <v>2.5</v>
      </c>
      <c r="AA276" s="174">
        <v>2.5999999999999996</v>
      </c>
      <c r="AB276" s="174">
        <v>2.6</v>
      </c>
      <c r="AC276" s="196">
        <v>2.5</v>
      </c>
      <c r="AD276">
        <v>2.5</v>
      </c>
      <c r="AE276">
        <v>2.5</v>
      </c>
      <c r="AF276">
        <v>2.5</v>
      </c>
      <c r="AG276">
        <v>2.5</v>
      </c>
      <c r="AH276">
        <v>3.2282760454756998</v>
      </c>
      <c r="AI276">
        <v>2.6</v>
      </c>
      <c r="AJ276">
        <v>2.6</v>
      </c>
    </row>
    <row r="277" spans="1:36" ht="15.75" thickTop="1" x14ac:dyDescent="0.25">
      <c r="A277" s="194" t="s">
        <v>357</v>
      </c>
      <c r="B277" s="15" t="s">
        <v>375</v>
      </c>
      <c r="C277" s="16" t="s">
        <v>376</v>
      </c>
      <c r="D277" s="16"/>
      <c r="E277" s="17" t="s">
        <v>78</v>
      </c>
      <c r="F277" s="18" t="s">
        <v>377</v>
      </c>
      <c r="G277" s="134" t="str">
        <f ca="1">_xlfn.FORMULATEXT(IN[[#This Row],[STAGE]])</f>
        <v>=NFA_total*rh_avg</v>
      </c>
      <c r="H277" s="20">
        <v>0</v>
      </c>
      <c r="I277" s="197">
        <f>NFA_total*rh_avg</f>
        <v>0</v>
      </c>
      <c r="J277" s="135">
        <f>IF(IN[[#This Row],[Sim_]]=IN[[#This Row],[STAGE]],1,0)</f>
        <v>1</v>
      </c>
      <c r="K277" s="131"/>
      <c r="L277" s="130"/>
      <c r="M277" s="130">
        <f>IF(IN[[#This Row],[Sim_]]=IN[[#This Row],[Sim Var ref]],1,0)</f>
        <v>1</v>
      </c>
      <c r="N277" s="8"/>
      <c r="O277" s="8">
        <v>247</v>
      </c>
      <c r="P277" s="105"/>
      <c r="Q277" s="137">
        <f>IF(IN[[#This Row],[Sim_]]=IN[[#This Row],[Direkt alt]],1,0)</f>
        <v>1</v>
      </c>
      <c r="R277" s="10">
        <v>360984</v>
      </c>
      <c r="S277" s="10">
        <f>IF(IN[[#This Row],[Sim_]]=IN[[#This Row],[Buffer]],1,0)</f>
        <v>0</v>
      </c>
      <c r="T277" s="11"/>
      <c r="U277" s="198"/>
      <c r="V277" s="131"/>
      <c r="W277" s="131"/>
      <c r="X277" s="131">
        <v>19200</v>
      </c>
      <c r="Y277" s="11"/>
      <c r="Z277" s="174">
        <v>19200</v>
      </c>
      <c r="AA277" s="174"/>
      <c r="AB277" s="174">
        <v>69692.479999999996</v>
      </c>
      <c r="AC277" s="197">
        <v>19200</v>
      </c>
      <c r="AD277">
        <v>360984</v>
      </c>
      <c r="AE277">
        <v>360984</v>
      </c>
      <c r="AF277">
        <v>360984</v>
      </c>
      <c r="AG277">
        <v>360984</v>
      </c>
      <c r="AH277">
        <v>466142.4</v>
      </c>
      <c r="AI277">
        <v>69692.479999999996</v>
      </c>
      <c r="AJ277">
        <v>69692.479999999996</v>
      </c>
    </row>
    <row r="278" spans="1:36" x14ac:dyDescent="0.25">
      <c r="A278" s="194" t="s">
        <v>357</v>
      </c>
      <c r="B278" s="15" t="s">
        <v>378</v>
      </c>
      <c r="C278" s="16" t="s">
        <v>376</v>
      </c>
      <c r="D278" s="16"/>
      <c r="E278" s="17" t="s">
        <v>78</v>
      </c>
      <c r="F278" s="18" t="s">
        <v>379</v>
      </c>
      <c r="G278" s="134" t="str">
        <f ca="1">_xlfn.FORMULATEXT(IN[[#This Row],[STAGE]])</f>
        <v>=SUMMENPRODUKT(I243:I249;I269:I275;Cool_Passive_Shares)</v>
      </c>
      <c r="H278" s="20">
        <v>0</v>
      </c>
      <c r="I278" s="197">
        <f>SUMPRODUCT(I243:I249,I269:I275,Cool_Passive_Shares)</f>
        <v>0</v>
      </c>
      <c r="J278" s="135">
        <f>IF(IN[[#This Row],[Sim_]]=IN[[#This Row],[STAGE]],1,0)</f>
        <v>1</v>
      </c>
      <c r="K278" s="131"/>
      <c r="L278" s="130"/>
      <c r="M278" s="130">
        <f>IF(IN[[#This Row],[Sim_]]=IN[[#This Row],[Sim Var ref]],1,0)</f>
        <v>1</v>
      </c>
      <c r="N278" s="8"/>
      <c r="O278" s="8"/>
      <c r="P278" s="105"/>
      <c r="Q278" s="137">
        <f>IF(IN[[#This Row],[Sim_]]=IN[[#This Row],[Direkt alt]],1,0)</f>
        <v>1</v>
      </c>
      <c r="R278" s="10">
        <v>326960</v>
      </c>
      <c r="S278" s="10">
        <f>IF(IN[[#This Row],[Sim_]]=IN[[#This Row],[Buffer]],1,0)</f>
        <v>0</v>
      </c>
      <c r="T278" s="11"/>
      <c r="U278" s="198"/>
      <c r="V278" s="131"/>
      <c r="W278" s="131"/>
      <c r="X278" s="131">
        <v>9600</v>
      </c>
      <c r="Y278" s="11"/>
      <c r="Z278" s="174">
        <v>9600</v>
      </c>
      <c r="AA278" s="174"/>
      <c r="AB278" s="174"/>
      <c r="AC278" s="197">
        <v>9600</v>
      </c>
      <c r="AD278">
        <v>360984</v>
      </c>
      <c r="AE278">
        <v>360984</v>
      </c>
      <c r="AF278">
        <v>326960</v>
      </c>
      <c r="AG278">
        <v>326960</v>
      </c>
      <c r="AH278">
        <v>418508.80000000005</v>
      </c>
      <c r="AI278">
        <v>69692.479999999996</v>
      </c>
      <c r="AJ278">
        <v>69692.479999999996</v>
      </c>
    </row>
    <row r="279" spans="1:36" x14ac:dyDescent="0.25">
      <c r="A279" s="194" t="s">
        <v>357</v>
      </c>
      <c r="B279" s="15" t="s">
        <v>380</v>
      </c>
      <c r="C279" s="16" t="s">
        <v>376</v>
      </c>
      <c r="D279" s="16"/>
      <c r="E279" s="17" t="s">
        <v>78</v>
      </c>
      <c r="F279" s="18" t="s">
        <v>381</v>
      </c>
      <c r="G279" s="134" t="str">
        <f ca="1">_xlfn.FORMULATEXT(IN[[#This Row],[STAGE]])</f>
        <v>=SUMMENPRODUKT(I243:I249;I269:I275;COOL_active_shares)</v>
      </c>
      <c r="H279" s="20">
        <v>0</v>
      </c>
      <c r="I279" s="197">
        <f>SUMPRODUCT(I243:I249,I269:I275,COOL_active_shares)</f>
        <v>0</v>
      </c>
      <c r="J279" s="135">
        <f>IF(IN[[#This Row],[Sim_]]=IN[[#This Row],[STAGE]],1,0)</f>
        <v>1</v>
      </c>
      <c r="K279" s="131"/>
      <c r="L279" s="130"/>
      <c r="M279" s="130">
        <f>IF(IN[[#This Row],[Sim_]]=IN[[#This Row],[Sim Var ref]],1,0)</f>
        <v>1</v>
      </c>
      <c r="N279" s="8"/>
      <c r="O279" s="8"/>
      <c r="P279" s="105"/>
      <c r="Q279" s="137">
        <f>IF(IN[[#This Row],[Sim_]]=IN[[#This Row],[Direkt alt]],1,0)</f>
        <v>1</v>
      </c>
      <c r="R279" s="10">
        <v>34024</v>
      </c>
      <c r="S279" s="10">
        <f>IF(IN[[#This Row],[Sim_]]=IN[[#This Row],[Buffer]],1,0)</f>
        <v>0</v>
      </c>
      <c r="T279" s="11"/>
      <c r="U279" s="198"/>
      <c r="V279" s="131"/>
      <c r="W279" s="131"/>
      <c r="X279" s="131">
        <v>9600</v>
      </c>
      <c r="Y279" s="11"/>
      <c r="Z279" s="174">
        <v>9600</v>
      </c>
      <c r="AA279" s="174"/>
      <c r="AB279" s="174"/>
      <c r="AC279" s="197">
        <v>9600</v>
      </c>
      <c r="AD279">
        <v>0</v>
      </c>
      <c r="AE279">
        <v>0</v>
      </c>
      <c r="AF279">
        <v>34024</v>
      </c>
      <c r="AG279">
        <v>34024</v>
      </c>
      <c r="AH279">
        <v>47633.599999999999</v>
      </c>
      <c r="AI279">
        <v>0</v>
      </c>
      <c r="AJ279">
        <v>0</v>
      </c>
    </row>
    <row r="280" spans="1:36" x14ac:dyDescent="0.25">
      <c r="A280" s="194" t="s">
        <v>357</v>
      </c>
      <c r="B280" s="15" t="s">
        <v>382</v>
      </c>
      <c r="C280" s="16" t="s">
        <v>383</v>
      </c>
      <c r="D280" s="16"/>
      <c r="E280" s="17" t="s">
        <v>262</v>
      </c>
      <c r="F280" s="18"/>
      <c r="G280" s="147"/>
      <c r="H280" s="20">
        <v>1</v>
      </c>
      <c r="I280" s="185">
        <v>0.4</v>
      </c>
      <c r="J280" s="135">
        <f>IF(IN[[#This Row],[Sim_]]=IN[[#This Row],[STAGE]],1,0)</f>
        <v>0</v>
      </c>
      <c r="K280" s="131"/>
      <c r="L280" s="130"/>
      <c r="M280" s="130">
        <f>IF(IN[[#This Row],[Sim_]]=IN[[#This Row],[Sim Var ref]],1,0)</f>
        <v>1</v>
      </c>
      <c r="N280" s="8"/>
      <c r="O280" s="8"/>
      <c r="P280" s="105"/>
      <c r="Q280" s="137">
        <f>IF(IN[[#This Row],[Sim_]]=IN[[#This Row],[Direkt alt]],1,0)</f>
        <v>1</v>
      </c>
      <c r="R280" s="10">
        <v>0.4</v>
      </c>
      <c r="S280" s="10">
        <f>IF(IN[[#This Row],[Sim_]]=IN[[#This Row],[Buffer]],1,0)</f>
        <v>0</v>
      </c>
      <c r="T280" s="11"/>
      <c r="U280" s="198"/>
      <c r="V280" s="131"/>
      <c r="W280" s="131"/>
      <c r="X280" s="131">
        <v>0.4</v>
      </c>
      <c r="Y280" s="11"/>
      <c r="Z280" s="174">
        <v>0.4</v>
      </c>
      <c r="AA280" s="174"/>
      <c r="AB280" s="174"/>
      <c r="AC280" s="199">
        <v>0.4</v>
      </c>
      <c r="AD280">
        <v>0.4</v>
      </c>
      <c r="AE280">
        <v>0.4</v>
      </c>
      <c r="AF280">
        <v>0.4</v>
      </c>
      <c r="AG280">
        <v>0.4</v>
      </c>
      <c r="AH280">
        <v>0.4</v>
      </c>
      <c r="AI280">
        <v>0.4</v>
      </c>
      <c r="AJ280">
        <v>0.4</v>
      </c>
    </row>
    <row r="281" spans="1:36" x14ac:dyDescent="0.25">
      <c r="A281" s="194" t="s">
        <v>357</v>
      </c>
      <c r="B281" s="15" t="s">
        <v>384</v>
      </c>
      <c r="C281" s="16" t="s">
        <v>385</v>
      </c>
      <c r="D281" s="16"/>
      <c r="E281" s="17" t="s">
        <v>78</v>
      </c>
      <c r="F281" s="18" t="s">
        <v>386</v>
      </c>
      <c r="G281" s="147"/>
      <c r="H281" s="20">
        <v>0</v>
      </c>
      <c r="I281" s="200">
        <f>NFA_total*(rh_avg+I280)</f>
        <v>0</v>
      </c>
      <c r="J281" s="135">
        <f>IF(IN[[#This Row],[Sim_]]=IN[[#This Row],[STAGE]],1,0)</f>
        <v>1</v>
      </c>
      <c r="K281" s="131"/>
      <c r="L281" s="130"/>
      <c r="M281" s="130">
        <f>IF(IN[[#This Row],[Sim_]]=IN[[#This Row],[Sim Var ref]],1,0)</f>
        <v>1</v>
      </c>
      <c r="N281" s="8"/>
      <c r="O281" s="8"/>
      <c r="P281" s="105"/>
      <c r="Q281" s="137">
        <f>IF(IN[[#This Row],[Sim_]]=IN[[#This Row],[Direkt alt]],1,0)</f>
        <v>1</v>
      </c>
      <c r="R281" s="10">
        <v>418741.44</v>
      </c>
      <c r="S281" s="10">
        <f>IF(IN[[#This Row],[Sim_]]=IN[[#This Row],[Buffer]],1,0)</f>
        <v>0</v>
      </c>
      <c r="T281" s="11"/>
      <c r="U281" s="198"/>
      <c r="V281" s="131"/>
      <c r="W281" s="131"/>
      <c r="X281" s="131">
        <v>22272</v>
      </c>
      <c r="Y281" s="11"/>
      <c r="Z281" s="174">
        <v>22272</v>
      </c>
      <c r="AA281" s="174"/>
      <c r="AB281" s="174"/>
      <c r="AC281" s="201">
        <v>22272</v>
      </c>
      <c r="AD281">
        <v>418741.44</v>
      </c>
      <c r="AE281">
        <v>418741.44</v>
      </c>
      <c r="AF281">
        <v>418741.44</v>
      </c>
      <c r="AG281">
        <v>418741.44</v>
      </c>
      <c r="AH281">
        <v>523899.84</v>
      </c>
      <c r="AI281">
        <v>80414.399999999994</v>
      </c>
      <c r="AJ281">
        <v>80414.399999999994</v>
      </c>
    </row>
    <row r="282" spans="1:36" x14ac:dyDescent="0.25">
      <c r="A282" s="63"/>
      <c r="B282" s="15"/>
      <c r="C282" s="16"/>
      <c r="D282" s="16"/>
      <c r="E282" s="17"/>
      <c r="F282" s="18"/>
      <c r="G282" s="147"/>
      <c r="H282" s="20">
        <v>0</v>
      </c>
      <c r="I282" s="200">
        <f>IN[[#This Row],[Buffer]]</f>
        <v>0</v>
      </c>
      <c r="J282" s="135">
        <f>IF(IN[[#This Row],[Sim_]]=IN[[#This Row],[STAGE]],1,0)</f>
        <v>1</v>
      </c>
      <c r="K282" s="131"/>
      <c r="L282" s="130"/>
      <c r="M282" s="130">
        <f>IF(IN[[#This Row],[Sim_]]=IN[[#This Row],[Sim Var ref]],1,0)</f>
        <v>1</v>
      </c>
      <c r="N282" s="8"/>
      <c r="O282" s="8"/>
      <c r="P282" s="105"/>
      <c r="Q282" s="137">
        <f>IF(IN[[#This Row],[Sim_]]=IN[[#This Row],[Direkt alt]],1,0)</f>
        <v>1</v>
      </c>
      <c r="R282" s="10">
        <v>0</v>
      </c>
      <c r="S282" s="10">
        <f>IF(IN[[#This Row],[Sim_]]=IN[[#This Row],[Buffer]],1,0)</f>
        <v>1</v>
      </c>
      <c r="T282" s="11"/>
      <c r="U282" s="198"/>
      <c r="V282" s="131"/>
      <c r="W282" s="131"/>
      <c r="X282" s="131">
        <v>0</v>
      </c>
      <c r="Y282" s="11"/>
      <c r="Z282" s="174">
        <v>0</v>
      </c>
      <c r="AA282" s="174"/>
      <c r="AB282" s="174"/>
      <c r="AC282" s="201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s="63"/>
      <c r="B283" s="15"/>
      <c r="C283" s="16"/>
      <c r="D283" s="16"/>
      <c r="E283" s="17"/>
      <c r="F283" s="18"/>
      <c r="G283" s="147"/>
      <c r="H283" s="20">
        <v>0</v>
      </c>
      <c r="I283" s="200">
        <f>IN[[#This Row],[Buffer]]</f>
        <v>0</v>
      </c>
      <c r="J283" s="135">
        <f>IF(IN[[#This Row],[Sim_]]=IN[[#This Row],[STAGE]],1,0)</f>
        <v>1</v>
      </c>
      <c r="K283" s="131"/>
      <c r="L283" s="130"/>
      <c r="M283" s="130">
        <f>IF(IN[[#This Row],[Sim_]]=IN[[#This Row],[Sim Var ref]],1,0)</f>
        <v>1</v>
      </c>
      <c r="N283" s="8"/>
      <c r="O283" s="8"/>
      <c r="P283" s="105"/>
      <c r="Q283" s="137">
        <f>IF(IN[[#This Row],[Sim_]]=IN[[#This Row],[Direkt alt]],1,0)</f>
        <v>1</v>
      </c>
      <c r="R283" s="10">
        <v>0</v>
      </c>
      <c r="S283" s="10">
        <f>IF(IN[[#This Row],[Sim_]]=IN[[#This Row],[Buffer]],1,0)</f>
        <v>1</v>
      </c>
      <c r="T283" s="11"/>
      <c r="U283" s="198"/>
      <c r="V283" s="131"/>
      <c r="W283" s="131"/>
      <c r="X283" s="131">
        <v>0</v>
      </c>
      <c r="Y283" s="11"/>
      <c r="Z283" s="174">
        <v>0</v>
      </c>
      <c r="AA283" s="174"/>
      <c r="AB283" s="174"/>
      <c r="AC283" s="201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ht="26.25" x14ac:dyDescent="0.35">
      <c r="A284" s="202"/>
      <c r="B284" s="202"/>
      <c r="C284" s="203" t="e">
        <f>ROWS(#REF!)-1</f>
        <v>#REF!</v>
      </c>
      <c r="D284" s="203" t="s">
        <v>293</v>
      </c>
      <c r="E284" s="202"/>
      <c r="F284" s="204"/>
      <c r="G284" s="205"/>
      <c r="H284" s="179">
        <v>0</v>
      </c>
      <c r="I284" s="202"/>
      <c r="J284" s="202"/>
      <c r="K284" s="202"/>
      <c r="L284" s="202"/>
      <c r="M284" s="202"/>
      <c r="N284" s="202"/>
      <c r="O284" s="202"/>
      <c r="P284" s="202"/>
      <c r="Q284" s="202"/>
      <c r="R284" s="202"/>
      <c r="S284" s="202"/>
      <c r="T284" s="202"/>
      <c r="U284" s="202"/>
      <c r="V284" s="206"/>
      <c r="W284" s="206"/>
      <c r="X284" s="206"/>
      <c r="Y284" s="206"/>
      <c r="Z284" s="206"/>
      <c r="AA284" s="206"/>
      <c r="AB284" s="206"/>
      <c r="AC284" s="206"/>
      <c r="AD284" s="207"/>
      <c r="AE284" s="207"/>
      <c r="AF284" s="207"/>
      <c r="AG284" s="207"/>
      <c r="AH284" s="207"/>
      <c r="AI284" s="207"/>
      <c r="AJ284" s="207"/>
    </row>
    <row r="285" spans="1:36" x14ac:dyDescent="0.25">
      <c r="A285" s="208" t="s">
        <v>387</v>
      </c>
      <c r="B285" s="209" t="s">
        <v>388</v>
      </c>
      <c r="C285" s="16" t="s">
        <v>389</v>
      </c>
      <c r="D285" s="16" t="s">
        <v>390</v>
      </c>
      <c r="E285" s="17" t="s">
        <v>285</v>
      </c>
      <c r="F285" s="18" t="s">
        <v>391</v>
      </c>
      <c r="G285" s="134" t="str">
        <f ca="1">_xlfn.FORMULATEXT(IN[[#This Row],[STAGE]])</f>
        <v>='[ka_PEQ_Nachweistool.xlsb]🧱'!B11</v>
      </c>
      <c r="H285" s="20">
        <v>2</v>
      </c>
      <c r="I285" s="104">
        <f>'[1]🧱'!B11</f>
        <v>0</v>
      </c>
      <c r="J285" s="135">
        <f>IF(IN[[#This Row],[Sim_]]=IN[[#This Row],[STAGE]],1,0)</f>
        <v>0</v>
      </c>
      <c r="K285" s="210">
        <f>K9</f>
        <v>6081.9799999999977</v>
      </c>
      <c r="L285" s="130"/>
      <c r="M285" s="130">
        <f>IF(IN[[#This Row],[Sim_]]=IN[[#This Row],[Sim Var ref]],1,0)</f>
        <v>0</v>
      </c>
      <c r="N285" s="8"/>
      <c r="O285" s="8">
        <v>248</v>
      </c>
      <c r="P285" s="105"/>
      <c r="Q285" s="137">
        <f>IF(IN[[#This Row],[Sim_]]=IN[[#This Row],[Direkt alt]],1,0)</f>
        <v>0</v>
      </c>
      <c r="R285" s="10">
        <v>112841.86911353406</v>
      </c>
      <c r="S285" s="10">
        <f>IF(IN[[#This Row],[Sim_]]=IN[[#This Row],[Buffer]],1,0)</f>
        <v>0</v>
      </c>
      <c r="T285" s="11"/>
      <c r="U285" s="104" t="e">
        <f>'[1]🧱'!#REF!</f>
        <v>#REF!</v>
      </c>
      <c r="V285" s="131">
        <f>V9</f>
        <v>6081.9799999999977</v>
      </c>
      <c r="W285" s="131">
        <f>W9</f>
        <v>2220.0700000000002</v>
      </c>
      <c r="X285" s="131">
        <v>3795.39</v>
      </c>
      <c r="Y285" s="11"/>
      <c r="Z285" s="174">
        <v>3795.39</v>
      </c>
      <c r="AA285" s="174">
        <v>6081.9799999999977</v>
      </c>
      <c r="AB285" s="174">
        <v>6081.9799999999977</v>
      </c>
      <c r="AC285" s="106">
        <v>3795.39</v>
      </c>
      <c r="AD285">
        <v>112841.86911353406</v>
      </c>
      <c r="AE285">
        <v>112841.86911353406</v>
      </c>
      <c r="AF285">
        <v>112841.86911353406</v>
      </c>
      <c r="AG285">
        <v>112841.86911353406</v>
      </c>
      <c r="AH285">
        <v>112841.86911353406</v>
      </c>
      <c r="AI285">
        <v>6081.9799999999977</v>
      </c>
      <c r="AJ285">
        <v>6081.9799999999977</v>
      </c>
    </row>
    <row r="286" spans="1:36" x14ac:dyDescent="0.25">
      <c r="A286" s="208" t="s">
        <v>387</v>
      </c>
      <c r="B286" s="209" t="s">
        <v>392</v>
      </c>
      <c r="C286" s="16" t="s">
        <v>389</v>
      </c>
      <c r="D286" s="16"/>
      <c r="E286" s="17" t="s">
        <v>285</v>
      </c>
      <c r="F286" s="18" t="s">
        <v>393</v>
      </c>
      <c r="G286" s="134" t="str">
        <f ca="1">_xlfn.FORMULATEXT(IN[[#This Row],[STAGE]])</f>
        <v>='[ka_PEQ_Nachweistool.xlsb]🧱'!B12</v>
      </c>
      <c r="H286" s="20">
        <v>2</v>
      </c>
      <c r="I286" s="104">
        <f>'[1]🧱'!B12</f>
        <v>0</v>
      </c>
      <c r="J286" s="135">
        <f>IF(IN[[#This Row],[Sim_]]=IN[[#This Row],[STAGE]],1,0)</f>
        <v>0</v>
      </c>
      <c r="K286" s="210">
        <f>K11</f>
        <v>6813.4900000000007</v>
      </c>
      <c r="L286" s="130"/>
      <c r="M286" s="130">
        <f>IF(IN[[#This Row],[Sim_]]=IN[[#This Row],[Sim Var ref]],1,0)</f>
        <v>0</v>
      </c>
      <c r="N286" s="8"/>
      <c r="O286" s="8">
        <v>249</v>
      </c>
      <c r="P286" s="105"/>
      <c r="Q286" s="137">
        <f>IF(IN[[#This Row],[Sim_]]=IN[[#This Row],[Direkt alt]],1,0)</f>
        <v>0</v>
      </c>
      <c r="R286" s="10">
        <v>33823.92617996128</v>
      </c>
      <c r="S286" s="10">
        <f>IF(IN[[#This Row],[Sim_]]=IN[[#This Row],[Buffer]],1,0)</f>
        <v>0</v>
      </c>
      <c r="T286" s="11"/>
      <c r="U286" s="104" t="e">
        <f>'[1]🧱'!#REF!</f>
        <v>#REF!</v>
      </c>
      <c r="V286" s="131">
        <f>V11</f>
        <v>6813.4900000000007</v>
      </c>
      <c r="W286" s="131">
        <f>W11</f>
        <v>1830.1</v>
      </c>
      <c r="X286" s="131">
        <v>2176.5</v>
      </c>
      <c r="Y286" s="11"/>
      <c r="Z286" s="174">
        <v>2176.5</v>
      </c>
      <c r="AA286" s="174">
        <v>6813.4900000000007</v>
      </c>
      <c r="AB286" s="174">
        <v>6813.4900000000007</v>
      </c>
      <c r="AC286" s="106">
        <v>2176.5</v>
      </c>
      <c r="AD286">
        <v>33823.92617996128</v>
      </c>
      <c r="AE286">
        <v>33823.92617996128</v>
      </c>
      <c r="AF286">
        <v>33823.92617996128</v>
      </c>
      <c r="AG286">
        <v>33823.92617996128</v>
      </c>
      <c r="AH286">
        <v>33823.92617996128</v>
      </c>
      <c r="AI286">
        <v>6813.4900000000007</v>
      </c>
      <c r="AJ286">
        <v>6813.4900000000007</v>
      </c>
    </row>
    <row r="287" spans="1:36" x14ac:dyDescent="0.25">
      <c r="A287" s="208" t="s">
        <v>387</v>
      </c>
      <c r="B287" s="209" t="s">
        <v>394</v>
      </c>
      <c r="C287" s="16" t="s">
        <v>389</v>
      </c>
      <c r="D287" s="16"/>
      <c r="E287" s="17" t="s">
        <v>285</v>
      </c>
      <c r="F287" s="18" t="s">
        <v>395</v>
      </c>
      <c r="G287" s="134" t="str">
        <f ca="1">_xlfn.FORMULATEXT(IN[[#This Row],[STAGE]])</f>
        <v>='[ka_PEQ_Nachweistool.xlsb]🧱'!B13</v>
      </c>
      <c r="H287" s="20">
        <v>2</v>
      </c>
      <c r="I287" s="104">
        <f>'[1]🧱'!B13</f>
        <v>0</v>
      </c>
      <c r="J287" s="135">
        <f>IF(IN[[#This Row],[Sim_]]=IN[[#This Row],[STAGE]],1,0)</f>
        <v>0</v>
      </c>
      <c r="K287" s="210">
        <f>K12</f>
        <v>3660.1400000000003</v>
      </c>
      <c r="L287" s="130"/>
      <c r="M287" s="130">
        <f>IF(IN[[#This Row],[Sim_]]=IN[[#This Row],[Sim Var ref]],1,0)</f>
        <v>0</v>
      </c>
      <c r="N287" s="8"/>
      <c r="O287" s="8">
        <v>250</v>
      </c>
      <c r="P287" s="105"/>
      <c r="Q287" s="137">
        <f>IF(IN[[#This Row],[Sim_]]=IN[[#This Row],[Direkt alt]],1,0)</f>
        <v>0</v>
      </c>
      <c r="R287" s="10">
        <v>33823.92617996128</v>
      </c>
      <c r="S287" s="10">
        <f>IF(IN[[#This Row],[Sim_]]=IN[[#This Row],[Buffer]],1,0)</f>
        <v>0</v>
      </c>
      <c r="T287" s="11"/>
      <c r="U287" s="104" t="e">
        <f>'[1]🧱'!#REF!</f>
        <v>#REF!</v>
      </c>
      <c r="V287" s="131">
        <f>V12</f>
        <v>3660.1400000000003</v>
      </c>
      <c r="W287" s="131">
        <f>W12</f>
        <v>1710.3</v>
      </c>
      <c r="X287" s="131">
        <v>2296.84</v>
      </c>
      <c r="Y287" s="11"/>
      <c r="Z287" s="174">
        <v>2296.84</v>
      </c>
      <c r="AA287" s="174">
        <v>3660.1400000000003</v>
      </c>
      <c r="AB287" s="174">
        <v>3660.1400000000003</v>
      </c>
      <c r="AC287" s="106">
        <v>2296.84</v>
      </c>
      <c r="AD287">
        <v>33823.92617996128</v>
      </c>
      <c r="AE287">
        <v>33823.92617996128</v>
      </c>
      <c r="AF287">
        <v>33823.92617996128</v>
      </c>
      <c r="AG287">
        <v>33823.92617996128</v>
      </c>
      <c r="AH287">
        <v>33823.92617996128</v>
      </c>
      <c r="AI287">
        <v>3660.1400000000003</v>
      </c>
      <c r="AJ287">
        <v>3660.1400000000003</v>
      </c>
    </row>
    <row r="288" spans="1:36" x14ac:dyDescent="0.25">
      <c r="A288" s="208" t="s">
        <v>387</v>
      </c>
      <c r="B288" s="209" t="s">
        <v>396</v>
      </c>
      <c r="C288" s="16" t="s">
        <v>389</v>
      </c>
      <c r="D288" s="16" t="s">
        <v>397</v>
      </c>
      <c r="E288" s="17" t="s">
        <v>285</v>
      </c>
      <c r="F288" s="18"/>
      <c r="G288" s="134" t="str">
        <f ca="1">_xlfn.FORMULATEXT(IN[[#This Row],[STAGE]])</f>
        <v>='[ka_PEQ_Nachweistool.xlsb]🧱'!B18</v>
      </c>
      <c r="H288" s="20">
        <v>2</v>
      </c>
      <c r="I288" s="104">
        <f>'[1]🧱'!B18</f>
        <v>0</v>
      </c>
      <c r="J288" s="135">
        <f>IF(IN[[#This Row],[Sim_]]=IN[[#This Row],[STAGE]],1,0)</f>
        <v>0</v>
      </c>
      <c r="K288" s="210">
        <f>K146</f>
        <v>1459.27</v>
      </c>
      <c r="L288" s="130"/>
      <c r="M288" s="130">
        <f>IF(IN[[#This Row],[Sim_]]=IN[[#This Row],[Sim Var ref]],1,0)</f>
        <v>0</v>
      </c>
      <c r="N288" s="8"/>
      <c r="O288" s="8">
        <v>251</v>
      </c>
      <c r="P288" s="105"/>
      <c r="Q288" s="137">
        <f>IF(IN[[#This Row],[Sim_]]=IN[[#This Row],[Direkt alt]],1,0)</f>
        <v>0</v>
      </c>
      <c r="R288" s="10">
        <v>9106.5088645404267</v>
      </c>
      <c r="S288" s="10">
        <f>IF(IN[[#This Row],[Sim_]]=IN[[#This Row],[Buffer]],1,0)</f>
        <v>0</v>
      </c>
      <c r="T288" s="11"/>
      <c r="U288" s="104" t="e">
        <f>'[1]🧱'!#REF!</f>
        <v>#REF!</v>
      </c>
      <c r="V288" s="131">
        <f t="shared" ref="V288:W292" si="7">V146</f>
        <v>1459.27</v>
      </c>
      <c r="W288" s="131">
        <f t="shared" si="7"/>
        <v>113.875</v>
      </c>
      <c r="X288" s="131">
        <v>550.37</v>
      </c>
      <c r="Y288" s="11"/>
      <c r="Z288" s="174">
        <v>550.37</v>
      </c>
      <c r="AA288" s="174">
        <v>1459.27</v>
      </c>
      <c r="AB288" s="174">
        <v>1459.27</v>
      </c>
      <c r="AC288" s="106">
        <v>550.37</v>
      </c>
      <c r="AD288">
        <v>9106.5088645404267</v>
      </c>
      <c r="AE288">
        <v>9106.5088645404267</v>
      </c>
      <c r="AF288">
        <v>9106.5088645404267</v>
      </c>
      <c r="AG288">
        <v>9106.5088645404267</v>
      </c>
      <c r="AH288">
        <v>9106.5088645404267</v>
      </c>
      <c r="AI288">
        <v>1459.27</v>
      </c>
      <c r="AJ288">
        <v>1459.27</v>
      </c>
    </row>
    <row r="289" spans="1:36" x14ac:dyDescent="0.25">
      <c r="A289" s="208" t="s">
        <v>387</v>
      </c>
      <c r="B289" s="209" t="s">
        <v>398</v>
      </c>
      <c r="C289" s="16" t="s">
        <v>389</v>
      </c>
      <c r="D289" s="16" t="s">
        <v>397</v>
      </c>
      <c r="E289" s="17" t="s">
        <v>285</v>
      </c>
      <c r="F289" s="18"/>
      <c r="G289" s="134" t="str">
        <f ca="1">_xlfn.FORMULATEXT(IN[[#This Row],[STAGE]])</f>
        <v>='[ka_PEQ_Nachweistool.xlsb]🧱'!B19</v>
      </c>
      <c r="H289" s="20">
        <v>2</v>
      </c>
      <c r="I289" s="104">
        <f>'[1]🧱'!B19</f>
        <v>0</v>
      </c>
      <c r="J289" s="135">
        <f>IF(IN[[#This Row],[Sim_]]=IN[[#This Row],[STAGE]],1,0)</f>
        <v>0</v>
      </c>
      <c r="K289" s="210">
        <f>K147</f>
        <v>690.72</v>
      </c>
      <c r="L289" s="130"/>
      <c r="M289" s="130">
        <f>IF(IN[[#This Row],[Sim_]]=IN[[#This Row],[Sim Var ref]],1,0)</f>
        <v>0</v>
      </c>
      <c r="N289" s="8"/>
      <c r="O289" s="8">
        <v>252</v>
      </c>
      <c r="P289" s="105"/>
      <c r="Q289" s="137">
        <f>IF(IN[[#This Row],[Sim_]]=IN[[#This Row],[Direkt alt]],1,0)</f>
        <v>0</v>
      </c>
      <c r="R289" s="10">
        <v>6912.551724902768</v>
      </c>
      <c r="S289" s="10">
        <f>IF(IN[[#This Row],[Sim_]]=IN[[#This Row],[Buffer]],1,0)</f>
        <v>0</v>
      </c>
      <c r="T289" s="11"/>
      <c r="U289" s="104" t="e">
        <f>'[1]🧱'!#REF!</f>
        <v>#REF!</v>
      </c>
      <c r="V289" s="131">
        <f t="shared" si="7"/>
        <v>690.72</v>
      </c>
      <c r="W289" s="131">
        <f t="shared" si="7"/>
        <v>136.06549999999999</v>
      </c>
      <c r="X289" s="131">
        <v>129.15</v>
      </c>
      <c r="Y289" s="11"/>
      <c r="Z289" s="174">
        <v>129.15</v>
      </c>
      <c r="AA289" s="174">
        <v>690.72</v>
      </c>
      <c r="AB289" s="174">
        <v>690.72</v>
      </c>
      <c r="AC289" s="106">
        <v>129.15</v>
      </c>
      <c r="AD289">
        <v>6912.551724902768</v>
      </c>
      <c r="AE289">
        <v>6912.551724902768</v>
      </c>
      <c r="AF289">
        <v>6912.551724902768</v>
      </c>
      <c r="AG289">
        <v>6912.551724902768</v>
      </c>
      <c r="AH289">
        <v>6912.551724902768</v>
      </c>
      <c r="AI289">
        <v>690.72</v>
      </c>
      <c r="AJ289">
        <v>690.72</v>
      </c>
    </row>
    <row r="290" spans="1:36" x14ac:dyDescent="0.25">
      <c r="A290" s="208" t="s">
        <v>387</v>
      </c>
      <c r="B290" s="209" t="s">
        <v>399</v>
      </c>
      <c r="C290" s="16" t="s">
        <v>389</v>
      </c>
      <c r="D290" s="16" t="s">
        <v>397</v>
      </c>
      <c r="E290" s="17" t="s">
        <v>285</v>
      </c>
      <c r="F290" s="18"/>
      <c r="G290" s="134" t="str">
        <f ca="1">_xlfn.FORMULATEXT(IN[[#This Row],[STAGE]])</f>
        <v>='[ka_PEQ_Nachweistool.xlsb]🧱'!B20</v>
      </c>
      <c r="H290" s="20">
        <v>2</v>
      </c>
      <c r="I290" s="104">
        <f>'[1]🧱'!B20</f>
        <v>0</v>
      </c>
      <c r="J290" s="135">
        <f>IF(IN[[#This Row],[Sim_]]=IN[[#This Row],[STAGE]],1,0)</f>
        <v>0</v>
      </c>
      <c r="K290" s="210">
        <f>K148</f>
        <v>1335.1299999999999</v>
      </c>
      <c r="L290" s="130"/>
      <c r="M290" s="130">
        <f>IF(IN[[#This Row],[Sim_]]=IN[[#This Row],[Sim Var ref]],1,0)</f>
        <v>0</v>
      </c>
      <c r="N290" s="8"/>
      <c r="O290" s="8">
        <v>253</v>
      </c>
      <c r="P290" s="105"/>
      <c r="Q290" s="137">
        <f>IF(IN[[#This Row],[Sim_]]=IN[[#This Row],[Direkt alt]],1,0)</f>
        <v>0</v>
      </c>
      <c r="R290" s="10">
        <v>8829.1132235792666</v>
      </c>
      <c r="S290" s="10">
        <f>IF(IN[[#This Row],[Sim_]]=IN[[#This Row],[Buffer]],1,0)</f>
        <v>0</v>
      </c>
      <c r="T290" s="11"/>
      <c r="U290" s="104" t="e">
        <f>'[1]🧱'!#REF!</f>
        <v>#REF!</v>
      </c>
      <c r="V290" s="131">
        <f t="shared" si="7"/>
        <v>1335.1299999999999</v>
      </c>
      <c r="W290" s="131">
        <f t="shared" si="7"/>
        <v>180.24</v>
      </c>
      <c r="X290" s="131">
        <v>605.5</v>
      </c>
      <c r="Y290" s="11"/>
      <c r="Z290" s="174">
        <v>605.5</v>
      </c>
      <c r="AA290" s="174">
        <v>1335.1299999999999</v>
      </c>
      <c r="AB290" s="174">
        <v>1335.1299999999999</v>
      </c>
      <c r="AC290" s="106">
        <v>605.5</v>
      </c>
      <c r="AD290">
        <v>8829.1132235792666</v>
      </c>
      <c r="AE290">
        <v>8829.1132235792666</v>
      </c>
      <c r="AF290">
        <v>8829.1132235792666</v>
      </c>
      <c r="AG290">
        <v>8829.1132235792666</v>
      </c>
      <c r="AH290">
        <v>8829.1132235792666</v>
      </c>
      <c r="AI290">
        <v>1335.1299999999999</v>
      </c>
      <c r="AJ290">
        <v>1335.1299999999999</v>
      </c>
    </row>
    <row r="291" spans="1:36" x14ac:dyDescent="0.25">
      <c r="A291" s="208" t="s">
        <v>387</v>
      </c>
      <c r="B291" s="209" t="s">
        <v>400</v>
      </c>
      <c r="C291" s="16" t="s">
        <v>389</v>
      </c>
      <c r="D291" s="16" t="s">
        <v>397</v>
      </c>
      <c r="E291" s="17" t="s">
        <v>285</v>
      </c>
      <c r="F291" s="18"/>
      <c r="G291" s="134" t="str">
        <f ca="1">_xlfn.FORMULATEXT(IN[[#This Row],[STAGE]])</f>
        <v>='[ka_PEQ_Nachweistool.xlsb]🧱'!B21</v>
      </c>
      <c r="H291" s="20">
        <v>2</v>
      </c>
      <c r="I291" s="104">
        <f>'[1]🧱'!B21</f>
        <v>0</v>
      </c>
      <c r="J291" s="135">
        <f>IF(IN[[#This Row],[Sim_]]=IN[[#This Row],[STAGE]],1,0)</f>
        <v>0</v>
      </c>
      <c r="K291" s="210">
        <f>K149</f>
        <v>678.49000000000012</v>
      </c>
      <c r="L291" s="130"/>
      <c r="M291" s="130">
        <f>IF(IN[[#This Row],[Sim_]]=IN[[#This Row],[Sim Var ref]],1,0)</f>
        <v>0</v>
      </c>
      <c r="N291" s="8"/>
      <c r="O291" s="8">
        <v>254</v>
      </c>
      <c r="P291" s="105"/>
      <c r="Q291" s="137">
        <f>IF(IN[[#This Row],[Sim_]]=IN[[#This Row],[Direkt alt]],1,0)</f>
        <v>0</v>
      </c>
      <c r="R291" s="10">
        <v>5917.2022450421182</v>
      </c>
      <c r="S291" s="10">
        <f>IF(IN[[#This Row],[Sim_]]=IN[[#This Row],[Buffer]],1,0)</f>
        <v>0</v>
      </c>
      <c r="T291" s="11"/>
      <c r="U291" s="104" t="e">
        <f>'[1]🧱'!#REF!</f>
        <v>#REF!</v>
      </c>
      <c r="V291" s="131">
        <f t="shared" si="7"/>
        <v>678.49000000000012</v>
      </c>
      <c r="W291" s="131">
        <f t="shared" si="7"/>
        <v>313.245</v>
      </c>
      <c r="X291" s="131">
        <v>107.41999999999999</v>
      </c>
      <c r="Y291" s="11"/>
      <c r="Z291" s="174">
        <v>107.41999999999999</v>
      </c>
      <c r="AA291" s="174">
        <v>678.49000000000012</v>
      </c>
      <c r="AB291" s="174">
        <v>678.49000000000012</v>
      </c>
      <c r="AC291" s="106">
        <v>107.41999999999999</v>
      </c>
      <c r="AD291">
        <v>5917.2022450421182</v>
      </c>
      <c r="AE291">
        <v>5917.2022450421182</v>
      </c>
      <c r="AF291">
        <v>5917.2022450421182</v>
      </c>
      <c r="AG291">
        <v>5917.2022450421182</v>
      </c>
      <c r="AH291">
        <v>5917.2022450421182</v>
      </c>
      <c r="AI291">
        <v>678.49000000000012</v>
      </c>
      <c r="AJ291">
        <v>678.49000000000012</v>
      </c>
    </row>
    <row r="292" spans="1:36" x14ac:dyDescent="0.25">
      <c r="A292" s="208" t="s">
        <v>387</v>
      </c>
      <c r="B292" s="209" t="s">
        <v>401</v>
      </c>
      <c r="C292" s="16" t="s">
        <v>389</v>
      </c>
      <c r="D292" s="16" t="s">
        <v>397</v>
      </c>
      <c r="E292" s="17" t="s">
        <v>285</v>
      </c>
      <c r="F292" s="18"/>
      <c r="G292" s="134" t="str">
        <f ca="1">_xlfn.FORMULATEXT(IN[[#This Row],[STAGE]])</f>
        <v>='[ka_PEQ_Nachweistool.xlsb]🧱'!B22</v>
      </c>
      <c r="H292" s="20">
        <v>2</v>
      </c>
      <c r="I292" s="104">
        <f>'[1]🧱'!B22</f>
        <v>0</v>
      </c>
      <c r="J292" s="135">
        <f>IF(IN[[#This Row],[Sim_]]=IN[[#This Row],[STAGE]],1,0)</f>
        <v>1</v>
      </c>
      <c r="K292" s="210">
        <f>K150</f>
        <v>0</v>
      </c>
      <c r="L292" s="130"/>
      <c r="M292" s="130">
        <f>IF(IN[[#This Row],[Sim_]]=IN[[#This Row],[Sim Var ref]],1,0)</f>
        <v>1</v>
      </c>
      <c r="N292" s="8"/>
      <c r="O292" s="8">
        <v>255</v>
      </c>
      <c r="P292" s="105"/>
      <c r="Q292" s="137">
        <f>IF(IN[[#This Row],[Sim_]]=IN[[#This Row],[Direkt alt]],1,0)</f>
        <v>1</v>
      </c>
      <c r="R292" s="10">
        <v>0</v>
      </c>
      <c r="S292" s="10">
        <f>IF(IN[[#This Row],[Sim_]]=IN[[#This Row],[Buffer]],1,0)</f>
        <v>1</v>
      </c>
      <c r="T292" s="11"/>
      <c r="U292" s="104" t="e">
        <f>'[1]🧱'!#REF!</f>
        <v>#REF!</v>
      </c>
      <c r="V292" s="131">
        <f t="shared" si="7"/>
        <v>0</v>
      </c>
      <c r="W292" s="131">
        <f t="shared" si="7"/>
        <v>0</v>
      </c>
      <c r="X292" s="131">
        <v>0</v>
      </c>
      <c r="Y292" s="11"/>
      <c r="Z292" s="174">
        <v>0</v>
      </c>
      <c r="AA292" s="174">
        <v>0</v>
      </c>
      <c r="AB292" s="174">
        <v>0</v>
      </c>
      <c r="AC292" s="106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s="208" t="s">
        <v>387</v>
      </c>
      <c r="B293" s="209" t="s">
        <v>402</v>
      </c>
      <c r="C293" s="16" t="s">
        <v>389</v>
      </c>
      <c r="D293" s="16"/>
      <c r="E293" s="17" t="s">
        <v>78</v>
      </c>
      <c r="F293" s="18" t="s">
        <v>403</v>
      </c>
      <c r="G293" s="134" t="str">
        <f ca="1">_xlfn.FORMULATEXT(IN[[#This Row],[STAGE]])</f>
        <v>=SUMME(I288:I291)</v>
      </c>
      <c r="H293" s="20">
        <v>0</v>
      </c>
      <c r="I293" s="104">
        <f>SUM(I288:I291)</f>
        <v>0</v>
      </c>
      <c r="J293" s="135">
        <f>IF(IN[[#This Row],[Sim_]]=IN[[#This Row],[STAGE]],1,0)</f>
        <v>1</v>
      </c>
      <c r="K293" s="131"/>
      <c r="L293" s="130"/>
      <c r="M293" s="130">
        <f>IF(IN[[#This Row],[Sim_]]=IN[[#This Row],[Sim Var ref]],1,0)</f>
        <v>1</v>
      </c>
      <c r="N293" s="8"/>
      <c r="O293" s="8">
        <v>256</v>
      </c>
      <c r="P293" s="105"/>
      <c r="Q293" s="137">
        <f>IF(IN[[#This Row],[Sim_]]=IN[[#This Row],[Direkt alt]],1,0)</f>
        <v>1</v>
      </c>
      <c r="R293" s="10">
        <v>30765.376058064579</v>
      </c>
      <c r="S293" s="10">
        <f>IF(IN[[#This Row],[Sim_]]=IN[[#This Row],[Buffer]],1,0)</f>
        <v>0</v>
      </c>
      <c r="T293" s="11"/>
      <c r="U293" s="104" t="e">
        <f>SUM(U288:U291)</f>
        <v>#REF!</v>
      </c>
      <c r="V293" s="131"/>
      <c r="W293" s="131"/>
      <c r="X293" s="131">
        <v>1392.44</v>
      </c>
      <c r="Y293" s="11"/>
      <c r="Z293" s="174">
        <v>1392.44</v>
      </c>
      <c r="AA293" s="174">
        <v>4163.6099999999997</v>
      </c>
      <c r="AB293" s="174">
        <v>4163.6099999999997</v>
      </c>
      <c r="AC293" s="106">
        <v>1392.44</v>
      </c>
      <c r="AD293">
        <v>30765.376058064579</v>
      </c>
      <c r="AE293">
        <v>30765.376058064579</v>
      </c>
      <c r="AF293">
        <v>30765.376058064579</v>
      </c>
      <c r="AG293">
        <v>30765.376058064579</v>
      </c>
      <c r="AH293">
        <v>30765.376058064579</v>
      </c>
      <c r="AI293">
        <v>4163.6099999999997</v>
      </c>
      <c r="AJ293">
        <v>4163.6099999999997</v>
      </c>
    </row>
    <row r="294" spans="1:36" ht="15.75" thickBot="1" x14ac:dyDescent="0.3">
      <c r="A294" s="208" t="s">
        <v>387</v>
      </c>
      <c r="B294" s="209" t="s">
        <v>404</v>
      </c>
      <c r="C294" s="16"/>
      <c r="D294" s="16"/>
      <c r="E294" s="17" t="s">
        <v>78</v>
      </c>
      <c r="F294" s="18" t="s">
        <v>405</v>
      </c>
      <c r="G294" s="134" t="str">
        <f ca="1">_xlfn.FORMULATEXT(IN[[#This Row],[STAGE]])</f>
        <v>=I293/(I293+I285)</v>
      </c>
      <c r="H294" s="20">
        <v>0</v>
      </c>
      <c r="I294" s="211" t="e">
        <f>I293/(I293+I285)</f>
        <v>#DIV/0!</v>
      </c>
      <c r="J294" s="135" t="e">
        <f>IF(IN[[#This Row],[Sim_]]=IN[[#This Row],[STAGE]],1,0)</f>
        <v>#DIV/0!</v>
      </c>
      <c r="K294" s="131"/>
      <c r="L294" s="130"/>
      <c r="M294" s="130">
        <f>IF(IN[[#This Row],[Sim_]]=IN[[#This Row],[Sim Var ref]],1,0)</f>
        <v>1</v>
      </c>
      <c r="N294" s="8"/>
      <c r="O294" s="8">
        <v>257</v>
      </c>
      <c r="P294" s="105"/>
      <c r="Q294" s="137">
        <f>IF(IN[[#This Row],[Sim_]]=IN[[#This Row],[Direkt alt]],1,0)</f>
        <v>1</v>
      </c>
      <c r="R294" s="10">
        <v>0.21423275699845454</v>
      </c>
      <c r="S294" s="10">
        <f>IF(IN[[#This Row],[Sim_]]=IN[[#This Row],[Buffer]],1,0)</f>
        <v>0</v>
      </c>
      <c r="T294" s="11"/>
      <c r="U294" s="211" t="e">
        <f>U293/(U293+U285)</f>
        <v>#REF!</v>
      </c>
      <c r="V294" s="131"/>
      <c r="W294" s="131"/>
      <c r="X294" s="131">
        <v>0.26840509423015019</v>
      </c>
      <c r="Y294" s="11"/>
      <c r="Z294" s="174">
        <v>0.26840509423015019</v>
      </c>
      <c r="AA294" s="174">
        <v>0.40638069647526409</v>
      </c>
      <c r="AB294" s="174">
        <v>0.40638069647526409</v>
      </c>
      <c r="AC294" s="212">
        <v>0.26840509423015019</v>
      </c>
      <c r="AD294">
        <v>0.21423275699845454</v>
      </c>
      <c r="AE294">
        <v>0.21423275699845454</v>
      </c>
      <c r="AF294">
        <v>0.21423275699845454</v>
      </c>
      <c r="AG294">
        <v>0.21423275699845454</v>
      </c>
      <c r="AH294">
        <v>0.21423275699845454</v>
      </c>
      <c r="AI294">
        <v>0.40638069647526409</v>
      </c>
      <c r="AJ294">
        <v>0.40638069647526409</v>
      </c>
    </row>
    <row r="295" spans="1:36" ht="15.75" thickTop="1" x14ac:dyDescent="0.25">
      <c r="A295" s="63"/>
      <c r="B295" s="209" t="s">
        <v>406</v>
      </c>
      <c r="C295" s="16" t="s">
        <v>389</v>
      </c>
      <c r="D295" s="16"/>
      <c r="E295" s="17" t="s">
        <v>78</v>
      </c>
      <c r="F295" s="18"/>
      <c r="G295" s="134" t="str">
        <f ca="1">_xlfn.FORMULATEXT(IN[[#This Row],[STAGE]])</f>
        <v>=hull_ext_wall_wo_window_m2+hull_roof_m2+hull_fundament_m2+hull_window_m2</v>
      </c>
      <c r="H295" s="20">
        <v>0</v>
      </c>
      <c r="I295" s="200">
        <f>hull_ext_wall_wo_window_m2+hull_roof_m2+hull_fundament_m2+hull_window_m2</f>
        <v>16555.609999999997</v>
      </c>
      <c r="J295" s="135">
        <f>IF(IN[[#This Row],[Sim_]]=IN[[#This Row],[STAGE]],1,0)</f>
        <v>0</v>
      </c>
      <c r="K295" s="131"/>
      <c r="L295" s="130"/>
      <c r="M295" s="130">
        <f>IF(IN[[#This Row],[Sim_]]=IN[[#This Row],[Sim Var ref]],1,0)</f>
        <v>1</v>
      </c>
      <c r="N295" s="8"/>
      <c r="O295" s="8"/>
      <c r="P295" s="105"/>
      <c r="Q295" s="137">
        <f>IF(IN[[#This Row],[Sim_]]=IN[[#This Row],[Direkt alt]],1,0)</f>
        <v>1</v>
      </c>
      <c r="R295" s="10">
        <v>211255.0975315212</v>
      </c>
      <c r="S295" s="10">
        <f>IF(IN[[#This Row],[Sim_]]=IN[[#This Row],[Buffer]],1,0)</f>
        <v>0</v>
      </c>
      <c r="T295" s="11"/>
      <c r="U295" s="198"/>
      <c r="V295" s="131"/>
      <c r="W295" s="131"/>
      <c r="X295" s="131">
        <v>9661.17</v>
      </c>
      <c r="Y295" s="11"/>
      <c r="Z295" s="174">
        <v>9661.17</v>
      </c>
      <c r="AA295" s="174"/>
      <c r="AB295" s="174"/>
      <c r="AC295" s="201">
        <v>9661.17</v>
      </c>
      <c r="AD295">
        <v>211255.0975315212</v>
      </c>
      <c r="AE295">
        <v>211255.0975315212</v>
      </c>
      <c r="AF295">
        <v>211255.0975315212</v>
      </c>
      <c r="AG295">
        <v>211255.0975315212</v>
      </c>
      <c r="AH295">
        <v>211255.0975315212</v>
      </c>
      <c r="AI295">
        <v>20719.219999999998</v>
      </c>
      <c r="AJ295">
        <v>20719.219999999998</v>
      </c>
    </row>
    <row r="296" spans="1:36" x14ac:dyDescent="0.25">
      <c r="A296" s="63"/>
      <c r="B296" s="209" t="s">
        <v>407</v>
      </c>
      <c r="C296" s="16"/>
      <c r="D296" s="16"/>
      <c r="E296" s="17"/>
      <c r="F296" s="18" t="s">
        <v>407</v>
      </c>
      <c r="G296" s="134" t="str">
        <f ca="1">_xlfn.FORMULATEXT(IN[[#This Row],[STAGE]])</f>
        <v>=I281/(hull_ext_wall_wo_window_m2+hull_roof_m2+hull_fundament_m2+hull_window_m2)</v>
      </c>
      <c r="H296" s="20">
        <v>0</v>
      </c>
      <c r="I296" s="200">
        <f>I281/(hull_ext_wall_wo_window_m2+hull_roof_m2+hull_fundament_m2+hull_window_m2)</f>
        <v>0</v>
      </c>
      <c r="J296" s="135">
        <f>IF(IN[[#This Row],[Sim_]]=IN[[#This Row],[STAGE]],1,0)</f>
        <v>1</v>
      </c>
      <c r="K296" s="131"/>
      <c r="L296" s="130"/>
      <c r="M296" s="130">
        <f>IF(IN[[#This Row],[Sim_]]=IN[[#This Row],[Sim Var ref]],1,0)</f>
        <v>1</v>
      </c>
      <c r="N296" s="8"/>
      <c r="O296" s="8"/>
      <c r="P296" s="105"/>
      <c r="Q296" s="137">
        <f>IF(IN[[#This Row],[Sim_]]=IN[[#This Row],[Direkt alt]],1,0)</f>
        <v>1</v>
      </c>
      <c r="R296" s="10">
        <v>1.9821601698274758</v>
      </c>
      <c r="S296" s="10">
        <f>IF(IN[[#This Row],[Sim_]]=IN[[#This Row],[Buffer]],1,0)</f>
        <v>0</v>
      </c>
      <c r="T296" s="11"/>
      <c r="U296" s="198"/>
      <c r="V296" s="131"/>
      <c r="W296" s="131"/>
      <c r="X296" s="131">
        <v>2.305310847443943</v>
      </c>
      <c r="Y296" s="11"/>
      <c r="Z296" s="174">
        <v>2.305310847443943</v>
      </c>
      <c r="AA296" s="174"/>
      <c r="AB296" s="174"/>
      <c r="AC296" s="201">
        <v>2.305310847443943</v>
      </c>
      <c r="AD296">
        <v>1.9821601698274758</v>
      </c>
      <c r="AE296">
        <v>1.9821601698274758</v>
      </c>
      <c r="AF296">
        <v>1.9821601698274758</v>
      </c>
      <c r="AG296">
        <v>1.9821601698274758</v>
      </c>
      <c r="AH296">
        <v>2.4799394008555433</v>
      </c>
      <c r="AI296">
        <v>3.8811499660701516</v>
      </c>
      <c r="AJ296">
        <v>3.8811499660701516</v>
      </c>
    </row>
    <row r="297" spans="1:36" x14ac:dyDescent="0.25">
      <c r="A297" s="63"/>
      <c r="B297" s="209"/>
      <c r="C297" s="16"/>
      <c r="D297" s="16"/>
      <c r="E297" s="17"/>
      <c r="F297" s="18"/>
      <c r="G297" s="134"/>
      <c r="H297" s="20"/>
      <c r="I297" s="200"/>
      <c r="J297" s="135"/>
      <c r="K297" s="131"/>
      <c r="L297" s="130"/>
      <c r="M297" s="130"/>
      <c r="N297" s="8"/>
      <c r="O297" s="8"/>
      <c r="P297" s="105"/>
      <c r="Q297" s="137"/>
      <c r="R297" s="10"/>
      <c r="S297" s="10"/>
      <c r="T297" s="11"/>
      <c r="U297" s="198"/>
      <c r="V297" s="131"/>
      <c r="W297" s="131"/>
      <c r="X297" s="131">
        <v>4.4107512060647833</v>
      </c>
      <c r="Y297" s="11"/>
      <c r="Z297" s="174"/>
      <c r="AA297" s="174"/>
      <c r="AB297" s="174"/>
      <c r="AC297" s="201">
        <v>4.4107512060647833</v>
      </c>
    </row>
    <row r="298" spans="1:36" x14ac:dyDescent="0.25">
      <c r="A298" s="63"/>
      <c r="B298" s="209"/>
      <c r="C298" s="16"/>
      <c r="D298" s="16"/>
      <c r="E298" s="17"/>
      <c r="F298" s="18"/>
      <c r="G298" s="147"/>
      <c r="H298" s="20">
        <v>0</v>
      </c>
      <c r="I298" s="200">
        <f>IN[[#This Row],[Buffer]]</f>
        <v>0</v>
      </c>
      <c r="J298" s="135">
        <f>IF(IN[[#This Row],[Sim_]]=IN[[#This Row],[STAGE]],1,0)</f>
        <v>1</v>
      </c>
      <c r="K298" s="131"/>
      <c r="L298" s="130"/>
      <c r="M298" s="130">
        <f>IF(IN[[#This Row],[Sim_]]=IN[[#This Row],[Sim Var ref]],1,0)</f>
        <v>1</v>
      </c>
      <c r="N298" s="8"/>
      <c r="O298" s="8"/>
      <c r="P298" s="105"/>
      <c r="Q298" s="137">
        <f>IF(IN[[#This Row],[Sim_]]=IN[[#This Row],[Direkt alt]],1,0)</f>
        <v>1</v>
      </c>
      <c r="R298" s="10">
        <v>0</v>
      </c>
      <c r="S298" s="10">
        <f>IF(IN[[#This Row],[Sim_]]=IN[[#This Row],[Buffer]],1,0)</f>
        <v>1</v>
      </c>
      <c r="T298" s="11"/>
      <c r="U298" s="198"/>
      <c r="V298" s="131"/>
      <c r="W298" s="131"/>
      <c r="X298" s="131">
        <v>0</v>
      </c>
      <c r="Y298" s="11"/>
      <c r="Z298" s="174">
        <v>0</v>
      </c>
      <c r="AA298" s="174"/>
      <c r="AB298" s="174"/>
      <c r="AC298" s="201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s="63"/>
      <c r="B299" s="209"/>
      <c r="C299" s="16"/>
      <c r="D299" s="16"/>
      <c r="E299" s="17"/>
      <c r="F299" s="18"/>
      <c r="G299" s="147"/>
      <c r="H299" s="20">
        <v>0</v>
      </c>
      <c r="I299" s="200">
        <f>IN[[#This Row],[Buffer]]</f>
        <v>0</v>
      </c>
      <c r="J299" s="135">
        <f>IF(IN[[#This Row],[Sim_]]=IN[[#This Row],[STAGE]],1,0)</f>
        <v>1</v>
      </c>
      <c r="K299" s="131"/>
      <c r="L299" s="130"/>
      <c r="M299" s="130">
        <f>IF(IN[[#This Row],[Sim_]]=IN[[#This Row],[Sim Var ref]],1,0)</f>
        <v>1</v>
      </c>
      <c r="N299" s="8"/>
      <c r="O299" s="8"/>
      <c r="P299" s="105"/>
      <c r="Q299" s="137">
        <f>IF(IN[[#This Row],[Sim_]]=IN[[#This Row],[Direkt alt]],1,0)</f>
        <v>1</v>
      </c>
      <c r="R299" s="10">
        <v>0</v>
      </c>
      <c r="S299" s="10">
        <f>IF(IN[[#This Row],[Sim_]]=IN[[#This Row],[Buffer]],1,0)</f>
        <v>1</v>
      </c>
      <c r="T299" s="11"/>
      <c r="U299" s="198"/>
      <c r="V299" s="131"/>
      <c r="W299" s="131"/>
      <c r="X299" s="131">
        <v>0</v>
      </c>
      <c r="Y299" s="11"/>
      <c r="Z299" s="174">
        <v>0</v>
      </c>
      <c r="AA299" s="174"/>
      <c r="AB299" s="174"/>
      <c r="AC299" s="201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s="63"/>
      <c r="B300" s="209"/>
      <c r="C300" s="16"/>
      <c r="D300" s="16"/>
      <c r="E300" s="17"/>
      <c r="F300" s="18"/>
      <c r="G300" s="147"/>
      <c r="H300" s="20">
        <v>0</v>
      </c>
      <c r="I300" s="200">
        <f>IN[[#This Row],[Buffer]]</f>
        <v>0</v>
      </c>
      <c r="J300" s="135">
        <f>IF(IN[[#This Row],[Sim_]]=IN[[#This Row],[STAGE]],1,0)</f>
        <v>1</v>
      </c>
      <c r="K300" s="131"/>
      <c r="L300" s="130"/>
      <c r="M300" s="130">
        <f>IF(IN[[#This Row],[Sim_]]=IN[[#This Row],[Sim Var ref]],1,0)</f>
        <v>1</v>
      </c>
      <c r="N300" s="8"/>
      <c r="O300" s="8"/>
      <c r="P300" s="105"/>
      <c r="Q300" s="137">
        <f>IF(IN[[#This Row],[Sim_]]=IN[[#This Row],[Direkt alt]],1,0)</f>
        <v>1</v>
      </c>
      <c r="R300" s="10">
        <v>0</v>
      </c>
      <c r="S300" s="10">
        <f>IF(IN[[#This Row],[Sim_]]=IN[[#This Row],[Buffer]],1,0)</f>
        <v>1</v>
      </c>
      <c r="T300" s="11"/>
      <c r="U300" s="198"/>
      <c r="V300" s="131"/>
      <c r="W300" s="131"/>
      <c r="X300" s="131">
        <v>0</v>
      </c>
      <c r="Y300" s="11"/>
      <c r="Z300" s="174">
        <v>0</v>
      </c>
      <c r="AA300" s="174"/>
      <c r="AB300" s="174"/>
      <c r="AC300" s="201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s="63"/>
      <c r="B301" s="209"/>
      <c r="C301" s="16"/>
      <c r="D301" s="16"/>
      <c r="E301" s="17"/>
      <c r="F301" s="18"/>
      <c r="G301" s="147"/>
      <c r="H301" s="20">
        <v>0</v>
      </c>
      <c r="I301" s="200">
        <f>IN[[#This Row],[Buffer]]</f>
        <v>0</v>
      </c>
      <c r="J301" s="135">
        <f>IF(IN[[#This Row],[Sim_]]=IN[[#This Row],[STAGE]],1,0)</f>
        <v>1</v>
      </c>
      <c r="K301" s="131"/>
      <c r="L301" s="130"/>
      <c r="M301" s="130">
        <f>IF(IN[[#This Row],[Sim_]]=IN[[#This Row],[Sim Var ref]],1,0)</f>
        <v>1</v>
      </c>
      <c r="N301" s="8"/>
      <c r="O301" s="8"/>
      <c r="P301" s="105"/>
      <c r="Q301" s="137">
        <f>IF(IN[[#This Row],[Sim_]]=IN[[#This Row],[Direkt alt]],1,0)</f>
        <v>1</v>
      </c>
      <c r="R301" s="10">
        <v>0</v>
      </c>
      <c r="S301" s="10">
        <f>IF(IN[[#This Row],[Sim_]]=IN[[#This Row],[Buffer]],1,0)</f>
        <v>1</v>
      </c>
      <c r="T301" s="11"/>
      <c r="U301" s="198"/>
      <c r="V301" s="131"/>
      <c r="W301" s="131"/>
      <c r="X301" s="131">
        <v>0</v>
      </c>
      <c r="Y301" s="11"/>
      <c r="Z301" s="174">
        <v>0</v>
      </c>
      <c r="AA301" s="174"/>
      <c r="AB301" s="174"/>
      <c r="AC301" s="2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s="63"/>
      <c r="B302" s="209"/>
      <c r="C302" s="16"/>
      <c r="D302" s="16"/>
      <c r="E302" s="17"/>
      <c r="F302" s="18"/>
      <c r="G302" s="147"/>
      <c r="H302" s="20">
        <v>0</v>
      </c>
      <c r="I302" s="200">
        <f>IN[[#This Row],[Buffer]]</f>
        <v>0</v>
      </c>
      <c r="J302" s="135">
        <f>IF(IN[[#This Row],[Sim_]]=IN[[#This Row],[STAGE]],1,0)</f>
        <v>1</v>
      </c>
      <c r="K302" s="131"/>
      <c r="L302" s="130"/>
      <c r="M302" s="130">
        <f>IF(IN[[#This Row],[Sim_]]=IN[[#This Row],[Sim Var ref]],1,0)</f>
        <v>1</v>
      </c>
      <c r="N302" s="8"/>
      <c r="O302" s="8"/>
      <c r="P302" s="105"/>
      <c r="Q302" s="137">
        <f>IF(IN[[#This Row],[Sim_]]=IN[[#This Row],[Direkt alt]],1,0)</f>
        <v>1</v>
      </c>
      <c r="R302" s="10">
        <v>0</v>
      </c>
      <c r="S302" s="10">
        <f>IF(IN[[#This Row],[Sim_]]=IN[[#This Row],[Buffer]],1,0)</f>
        <v>1</v>
      </c>
      <c r="T302" s="11"/>
      <c r="U302" s="198"/>
      <c r="V302" s="131"/>
      <c r="W302" s="131"/>
      <c r="X302" s="131">
        <v>0</v>
      </c>
      <c r="Y302" s="11"/>
      <c r="Z302" s="174">
        <v>0</v>
      </c>
      <c r="AA302" s="174"/>
      <c r="AB302" s="174"/>
      <c r="AC302" s="201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s="63"/>
      <c r="B303" s="209"/>
      <c r="C303" s="16"/>
      <c r="D303" s="16"/>
      <c r="E303" s="17"/>
      <c r="F303" s="18"/>
      <c r="G303" s="147"/>
      <c r="H303" s="20">
        <v>0</v>
      </c>
      <c r="I303" s="200">
        <f>IN[[#This Row],[Buffer]]</f>
        <v>0</v>
      </c>
      <c r="J303" s="135">
        <f>IF(IN[[#This Row],[Sim_]]=IN[[#This Row],[STAGE]],1,0)</f>
        <v>1</v>
      </c>
      <c r="K303" s="131"/>
      <c r="L303" s="130"/>
      <c r="M303" s="130">
        <f>IF(IN[[#This Row],[Sim_]]=IN[[#This Row],[Sim Var ref]],1,0)</f>
        <v>1</v>
      </c>
      <c r="N303" s="8"/>
      <c r="O303" s="8"/>
      <c r="P303" s="105"/>
      <c r="Q303" s="137">
        <f>IF(IN[[#This Row],[Sim_]]=IN[[#This Row],[Direkt alt]],1,0)</f>
        <v>1</v>
      </c>
      <c r="R303" s="10">
        <v>0</v>
      </c>
      <c r="S303" s="10">
        <f>IF(IN[[#This Row],[Sim_]]=IN[[#This Row],[Buffer]],1,0)</f>
        <v>1</v>
      </c>
      <c r="T303" s="11"/>
      <c r="U303" s="198"/>
      <c r="V303" s="131"/>
      <c r="W303" s="131"/>
      <c r="X303" s="131">
        <v>0</v>
      </c>
      <c r="Y303" s="11"/>
      <c r="Z303" s="174">
        <v>0</v>
      </c>
      <c r="AA303" s="174"/>
      <c r="AB303" s="174"/>
      <c r="AC303" s="201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s="63"/>
      <c r="B304" s="209"/>
      <c r="C304" s="16"/>
      <c r="D304" s="16"/>
      <c r="E304" s="17"/>
      <c r="F304" s="18"/>
      <c r="G304" s="147"/>
      <c r="H304" s="20">
        <v>0</v>
      </c>
      <c r="I304" s="200">
        <f>IN[[#This Row],[Buffer]]</f>
        <v>0</v>
      </c>
      <c r="J304" s="135">
        <f>IF(IN[[#This Row],[Sim_]]=IN[[#This Row],[STAGE]],1,0)</f>
        <v>1</v>
      </c>
      <c r="K304" s="131"/>
      <c r="L304" s="130"/>
      <c r="M304" s="130">
        <f>IF(IN[[#This Row],[Sim_]]=IN[[#This Row],[Sim Var ref]],1,0)</f>
        <v>1</v>
      </c>
      <c r="N304" s="8"/>
      <c r="O304" s="8"/>
      <c r="P304" s="105"/>
      <c r="Q304" s="137">
        <f>IF(IN[[#This Row],[Sim_]]=IN[[#This Row],[Direkt alt]],1,0)</f>
        <v>1</v>
      </c>
      <c r="R304" s="10">
        <v>0</v>
      </c>
      <c r="S304" s="10">
        <f>IF(IN[[#This Row],[Sim_]]=IN[[#This Row],[Buffer]],1,0)</f>
        <v>1</v>
      </c>
      <c r="T304" s="11"/>
      <c r="U304" s="198"/>
      <c r="V304" s="131"/>
      <c r="W304" s="131"/>
      <c r="X304" s="131">
        <v>0</v>
      </c>
      <c r="Y304" s="11"/>
      <c r="Z304" s="174">
        <v>0</v>
      </c>
      <c r="AA304" s="174"/>
      <c r="AB304" s="174"/>
      <c r="AC304" s="201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ht="46.5" x14ac:dyDescent="0.25">
      <c r="A305" s="213"/>
      <c r="B305" s="213"/>
      <c r="C305" s="214" t="e">
        <f>ROWS(#REF!)-1</f>
        <v>#REF!</v>
      </c>
      <c r="D305" s="214" t="s">
        <v>293</v>
      </c>
      <c r="E305" s="213"/>
      <c r="F305" s="215"/>
      <c r="G305" s="216"/>
      <c r="H305" s="217">
        <v>0</v>
      </c>
      <c r="I305" s="218"/>
      <c r="J305" s="213"/>
      <c r="K305" s="213"/>
      <c r="L305" s="213"/>
      <c r="M305" s="213"/>
      <c r="N305" s="213"/>
      <c r="O305" s="213"/>
      <c r="P305" s="213"/>
      <c r="Q305" s="213"/>
      <c r="R305" s="213"/>
      <c r="S305" s="213"/>
      <c r="T305" s="213"/>
      <c r="U305" s="213"/>
      <c r="V305" s="219"/>
      <c r="W305" s="219"/>
      <c r="X305" s="219"/>
      <c r="Y305" s="219"/>
      <c r="Z305" s="219"/>
      <c r="AA305" s="219"/>
      <c r="AB305" s="219"/>
      <c r="AC305" s="220"/>
    </row>
    <row r="306" spans="1:36" x14ac:dyDescent="0.25">
      <c r="A306" s="221" t="s">
        <v>408</v>
      </c>
      <c r="B306" s="209" t="s">
        <v>409</v>
      </c>
      <c r="C306" s="16" t="s">
        <v>410</v>
      </c>
      <c r="D306" s="16"/>
      <c r="E306" s="17" t="s">
        <v>285</v>
      </c>
      <c r="F306" s="18"/>
      <c r="G306" s="134" t="str">
        <f ca="1">_xlfn.FORMULATEXT(IN[[#This Row],[STAGE]])</f>
        <v>='[ka_PEQ_Nachweistool.xlsb]🧱'!D11</v>
      </c>
      <c r="H306" s="20">
        <v>2</v>
      </c>
      <c r="I306" s="222">
        <f>'[1]🧱'!D11</f>
        <v>112841.86911353406</v>
      </c>
      <c r="J306" s="135">
        <f>IF(IN[[#This Row],[Sim_]]=IN[[#This Row],[STAGE]],1,0)</f>
        <v>0</v>
      </c>
      <c r="K306" s="223">
        <f>K14</f>
        <v>0.16700000000000001</v>
      </c>
      <c r="L306" s="130"/>
      <c r="M306" s="130">
        <f>IF(IN[[#This Row],[Sim_]]=IN[[#This Row],[Sim Var ref]],1,0)</f>
        <v>0</v>
      </c>
      <c r="N306" s="8"/>
      <c r="O306" s="8">
        <v>258</v>
      </c>
      <c r="P306" s="105"/>
      <c r="Q306" s="137">
        <f>IF(IN[[#This Row],[Sim_]]=IN[[#This Row],[Direkt alt]],1,0)</f>
        <v>0</v>
      </c>
      <c r="R306" s="10">
        <v>0.2</v>
      </c>
      <c r="S306" s="10">
        <f>IF(IN[[#This Row],[Sim_]]=IN[[#This Row],[Buffer]],1,0)</f>
        <v>0</v>
      </c>
      <c r="T306" s="11"/>
      <c r="U306" s="222" t="e">
        <f>'[1]🧱'!#REF!</f>
        <v>#REF!</v>
      </c>
      <c r="V306" s="174">
        <f>V14</f>
        <v>0.16700000000000001</v>
      </c>
      <c r="W306" s="174">
        <f>W14</f>
        <v>0.12</v>
      </c>
      <c r="X306" s="174">
        <v>0.18178962488786005</v>
      </c>
      <c r="Y306" s="11"/>
      <c r="Z306" s="174">
        <v>0.18178962488786005</v>
      </c>
      <c r="AA306" s="174">
        <v>0.16700000000000001</v>
      </c>
      <c r="AB306" s="174">
        <v>0.16700000000000001</v>
      </c>
      <c r="AC306" s="224">
        <v>0.18178962488786005</v>
      </c>
      <c r="AD306">
        <v>0.92792229018460659</v>
      </c>
      <c r="AE306" s="146">
        <v>0.92792229018460659</v>
      </c>
      <c r="AF306" s="146">
        <v>0.2</v>
      </c>
      <c r="AG306">
        <v>0.2</v>
      </c>
      <c r="AH306">
        <v>0.2</v>
      </c>
      <c r="AI306">
        <v>0.16700000000000001</v>
      </c>
      <c r="AJ306">
        <v>0.16700000000000001</v>
      </c>
    </row>
    <row r="307" spans="1:36" x14ac:dyDescent="0.25">
      <c r="A307" s="221" t="s">
        <v>408</v>
      </c>
      <c r="B307" s="209" t="s">
        <v>411</v>
      </c>
      <c r="C307" s="16" t="s">
        <v>410</v>
      </c>
      <c r="D307" s="16"/>
      <c r="E307" s="17" t="s">
        <v>285</v>
      </c>
      <c r="F307" s="18"/>
      <c r="G307" s="134" t="str">
        <f ca="1">_xlfn.FORMULATEXT(IN[[#This Row],[STAGE]])</f>
        <v>='[ka_PEQ_Nachweistool.xlsb]🧱'!D12</v>
      </c>
      <c r="H307" s="20">
        <v>2</v>
      </c>
      <c r="I307" s="222">
        <f>'[1]🧱'!D12</f>
        <v>33823.92617996128</v>
      </c>
      <c r="J307" s="135">
        <f>IF(IN[[#This Row],[Sim_]]=IN[[#This Row],[STAGE]],1,0)</f>
        <v>0</v>
      </c>
      <c r="K307" s="223">
        <f>K16</f>
        <v>0.10882642522407752</v>
      </c>
      <c r="L307" s="130"/>
      <c r="M307" s="130">
        <f>IF(IN[[#This Row],[Sim_]]=IN[[#This Row],[Sim Var ref]],1,0)</f>
        <v>0</v>
      </c>
      <c r="N307" s="8"/>
      <c r="O307" s="8">
        <v>259</v>
      </c>
      <c r="P307" s="105"/>
      <c r="Q307" s="137">
        <f>IF(IN[[#This Row],[Sim_]]=IN[[#This Row],[Direkt alt]],1,0)</f>
        <v>0</v>
      </c>
      <c r="R307" s="10">
        <v>0.13</v>
      </c>
      <c r="S307" s="10">
        <f>IF(IN[[#This Row],[Sim_]]=IN[[#This Row],[Buffer]],1,0)</f>
        <v>0</v>
      </c>
      <c r="T307" s="11"/>
      <c r="U307" s="222" t="e">
        <f>'[1]🧱'!#REF!</f>
        <v>#REF!</v>
      </c>
      <c r="V307" s="174">
        <f>V16</f>
        <v>0.10882642522407752</v>
      </c>
      <c r="W307" s="174">
        <f>W16</f>
        <v>0.11</v>
      </c>
      <c r="X307" s="174">
        <v>0.13929057613352627</v>
      </c>
      <c r="Y307" s="11"/>
      <c r="Z307" s="174">
        <v>0.13929057613352627</v>
      </c>
      <c r="AA307" s="174">
        <v>0.10882642522407752</v>
      </c>
      <c r="AB307" s="174">
        <v>0.10882642522407752</v>
      </c>
      <c r="AC307" s="224">
        <v>0.13929057613352627</v>
      </c>
      <c r="AD307">
        <v>0.64541780245107794</v>
      </c>
      <c r="AE307" s="146">
        <v>0.64541780245107794</v>
      </c>
      <c r="AF307" s="146">
        <v>0.13</v>
      </c>
      <c r="AG307">
        <v>0.13</v>
      </c>
      <c r="AH307">
        <v>0.13</v>
      </c>
      <c r="AI307">
        <v>0.10882642522407752</v>
      </c>
      <c r="AJ307">
        <v>0.10882642522407752</v>
      </c>
    </row>
    <row r="308" spans="1:36" x14ac:dyDescent="0.25">
      <c r="A308" s="221" t="s">
        <v>408</v>
      </c>
      <c r="B308" s="209" t="s">
        <v>412</v>
      </c>
      <c r="C308" s="16" t="s">
        <v>410</v>
      </c>
      <c r="D308" s="16"/>
      <c r="E308" s="17" t="s">
        <v>285</v>
      </c>
      <c r="F308" s="18"/>
      <c r="G308" s="134" t="str">
        <f ca="1">_xlfn.FORMULATEXT(IN[[#This Row],[STAGE]])</f>
        <v>='[ka_PEQ_Nachweistool.xlsb]🧱'!D13</v>
      </c>
      <c r="H308" s="20">
        <v>2</v>
      </c>
      <c r="I308" s="222">
        <f>'[1]🧱'!D13</f>
        <v>33823.92617996128</v>
      </c>
      <c r="J308" s="135">
        <f>IF(IN[[#This Row],[Sim_]]=IN[[#This Row],[STAGE]],1,0)</f>
        <v>0</v>
      </c>
      <c r="K308" s="223">
        <f>K17</f>
        <v>0.20121009578868568</v>
      </c>
      <c r="L308" s="130"/>
      <c r="M308" s="130">
        <f>IF(IN[[#This Row],[Sim_]]=IN[[#This Row],[Sim Var ref]],1,0)</f>
        <v>0</v>
      </c>
      <c r="N308" s="8"/>
      <c r="O308" s="8">
        <v>260</v>
      </c>
      <c r="P308" s="105"/>
      <c r="Q308" s="137">
        <f>IF(IN[[#This Row],[Sim_]]=IN[[#This Row],[Direkt alt]],1,0)</f>
        <v>0</v>
      </c>
      <c r="R308" s="10">
        <v>0.15</v>
      </c>
      <c r="S308" s="10">
        <f>IF(IN[[#This Row],[Sim_]]=IN[[#This Row],[Buffer]],1,0)</f>
        <v>0</v>
      </c>
      <c r="T308" s="11"/>
      <c r="U308" s="222" t="e">
        <f>'[1]🧱'!#REF!</f>
        <v>#REF!</v>
      </c>
      <c r="V308" s="174">
        <f>V17</f>
        <v>0.20121009578868568</v>
      </c>
      <c r="W308" s="174">
        <f>W17</f>
        <v>0.1</v>
      </c>
      <c r="X308" s="174">
        <v>0.2</v>
      </c>
      <c r="Y308" s="11"/>
      <c r="Z308" s="174">
        <v>0.2</v>
      </c>
      <c r="AA308" s="174">
        <v>0.20121009578868568</v>
      </c>
      <c r="AB308" s="174">
        <v>0.20121009578868568</v>
      </c>
      <c r="AC308" s="224">
        <v>0.2</v>
      </c>
      <c r="AD308">
        <v>0.91533308955521586</v>
      </c>
      <c r="AE308" s="146">
        <v>0.91533308955521586</v>
      </c>
      <c r="AF308" s="146">
        <v>0.15</v>
      </c>
      <c r="AG308">
        <v>0.15</v>
      </c>
      <c r="AH308">
        <v>0.15</v>
      </c>
      <c r="AI308">
        <v>0.20121009578868568</v>
      </c>
      <c r="AJ308">
        <v>0.20121009578868568</v>
      </c>
    </row>
    <row r="309" spans="1:36" x14ac:dyDescent="0.25">
      <c r="A309" s="221" t="s">
        <v>408</v>
      </c>
      <c r="B309" s="209" t="s">
        <v>413</v>
      </c>
      <c r="C309" s="16" t="s">
        <v>410</v>
      </c>
      <c r="D309" s="16" t="s">
        <v>397</v>
      </c>
      <c r="E309" s="17" t="s">
        <v>285</v>
      </c>
      <c r="F309" s="18"/>
      <c r="G309" s="134" t="str">
        <f ca="1">_xlfn.FORMULATEXT(IN[[#This Row],[STAGE]])</f>
        <v>='[ka_PEQ_Nachweistool.xlsb]🧱'!D27</v>
      </c>
      <c r="H309" s="20">
        <v>2</v>
      </c>
      <c r="I309" s="222">
        <f>'[1]🧱'!D27</f>
        <v>0.6</v>
      </c>
      <c r="J309" s="135">
        <f>IF(IN[[#This Row],[Sim_]]=IN[[#This Row],[STAGE]],1,0)</f>
        <v>0</v>
      </c>
      <c r="K309" s="223">
        <f>K$15</f>
        <v>0.75569500985923277</v>
      </c>
      <c r="L309" s="130"/>
      <c r="M309" s="130">
        <f>IF(IN[[#This Row],[Sim_]]=IN[[#This Row],[Sim Var ref]],1,0)</f>
        <v>0</v>
      </c>
      <c r="N309" s="8"/>
      <c r="O309" s="8">
        <v>261</v>
      </c>
      <c r="P309" s="105"/>
      <c r="Q309" s="137">
        <f>IF(IN[[#This Row],[Sim_]]=IN[[#This Row],[Direkt alt]],1,0)</f>
        <v>0</v>
      </c>
      <c r="R309" s="10">
        <v>0.9</v>
      </c>
      <c r="S309" s="10">
        <f>IF(IN[[#This Row],[Sim_]]=IN[[#This Row],[Buffer]],1,0)</f>
        <v>0</v>
      </c>
      <c r="T309" s="11"/>
      <c r="U309" s="222" t="e">
        <f>'[1]🧱'!#REF!</f>
        <v>#REF!</v>
      </c>
      <c r="V309" s="174">
        <f t="shared" ref="V309:W313" si="8">V$15</f>
        <v>0.75569500985923277</v>
      </c>
      <c r="W309" s="174">
        <f t="shared" si="8"/>
        <v>0.69</v>
      </c>
      <c r="X309" s="174">
        <v>0.85000000000000009</v>
      </c>
      <c r="Y309" s="11"/>
      <c r="Z309" s="174">
        <v>0.85000000000000009</v>
      </c>
      <c r="AA309" s="174">
        <v>0.75569500985923277</v>
      </c>
      <c r="AB309" s="174">
        <v>0.75569500985923277</v>
      </c>
      <c r="AC309" s="224">
        <v>0.85000000000000009</v>
      </c>
      <c r="AD309">
        <v>1.9538597278549747</v>
      </c>
      <c r="AE309" s="146">
        <v>1.9538597278549747</v>
      </c>
      <c r="AF309" s="146">
        <v>0.9</v>
      </c>
      <c r="AG309">
        <v>0.9</v>
      </c>
      <c r="AH309">
        <v>0.9</v>
      </c>
      <c r="AI309">
        <v>0.75569500985923277</v>
      </c>
      <c r="AJ309">
        <v>0.75569500985923277</v>
      </c>
    </row>
    <row r="310" spans="1:36" x14ac:dyDescent="0.25">
      <c r="A310" s="221" t="s">
        <v>408</v>
      </c>
      <c r="B310" s="209" t="s">
        <v>414</v>
      </c>
      <c r="C310" s="16" t="s">
        <v>410</v>
      </c>
      <c r="D310" s="16" t="s">
        <v>397</v>
      </c>
      <c r="E310" s="17" t="s">
        <v>285</v>
      </c>
      <c r="F310" s="18"/>
      <c r="G310" s="134" t="str">
        <f ca="1">_xlfn.FORMULATEXT(IN[[#This Row],[STAGE]])</f>
        <v>='[ka_PEQ_Nachweistool.xlsb]🧱'!D28</v>
      </c>
      <c r="H310" s="20">
        <v>2</v>
      </c>
      <c r="I310" s="222">
        <f>'[1]🧱'!D28</f>
        <v>0.6</v>
      </c>
      <c r="J310" s="135">
        <f>IF(IN[[#This Row],[Sim_]]=IN[[#This Row],[STAGE]],1,0)</f>
        <v>0</v>
      </c>
      <c r="K310" s="223">
        <f>K$15</f>
        <v>0.75569500985923277</v>
      </c>
      <c r="L310" s="130"/>
      <c r="M310" s="130">
        <f>IF(IN[[#This Row],[Sim_]]=IN[[#This Row],[Sim Var ref]],1,0)</f>
        <v>0</v>
      </c>
      <c r="N310" s="8"/>
      <c r="O310" s="8">
        <v>262</v>
      </c>
      <c r="P310" s="105"/>
      <c r="Q310" s="137">
        <f>IF(IN[[#This Row],[Sim_]]=IN[[#This Row],[Direkt alt]],1,0)</f>
        <v>0</v>
      </c>
      <c r="R310" s="10">
        <v>0.9</v>
      </c>
      <c r="S310" s="10">
        <f>IF(IN[[#This Row],[Sim_]]=IN[[#This Row],[Buffer]],1,0)</f>
        <v>0</v>
      </c>
      <c r="T310" s="11"/>
      <c r="U310" s="222" t="e">
        <f>'[1]🧱'!#REF!</f>
        <v>#REF!</v>
      </c>
      <c r="V310" s="174">
        <f t="shared" si="8"/>
        <v>0.75569500985923277</v>
      </c>
      <c r="W310" s="174">
        <f t="shared" si="8"/>
        <v>0.69</v>
      </c>
      <c r="X310" s="174">
        <v>0.85000000000000009</v>
      </c>
      <c r="Y310" s="11"/>
      <c r="Z310" s="174">
        <v>0.85000000000000009</v>
      </c>
      <c r="AA310" s="174">
        <v>0.75569500985923277</v>
      </c>
      <c r="AB310" s="174">
        <v>0.75569500985923277</v>
      </c>
      <c r="AC310" s="224">
        <v>0.85000000000000009</v>
      </c>
      <c r="AD310">
        <v>1.9538597278549747</v>
      </c>
      <c r="AE310" s="146">
        <v>1.9538597278549747</v>
      </c>
      <c r="AF310" s="146">
        <v>0.9</v>
      </c>
      <c r="AG310">
        <v>0.9</v>
      </c>
      <c r="AH310">
        <v>0.9</v>
      </c>
      <c r="AI310">
        <v>0.75569500985923277</v>
      </c>
      <c r="AJ310">
        <v>0.75569500985923277</v>
      </c>
    </row>
    <row r="311" spans="1:36" x14ac:dyDescent="0.25">
      <c r="A311" s="221" t="s">
        <v>408</v>
      </c>
      <c r="B311" s="209" t="s">
        <v>415</v>
      </c>
      <c r="C311" s="16" t="s">
        <v>410</v>
      </c>
      <c r="D311" s="16" t="s">
        <v>397</v>
      </c>
      <c r="E311" s="17" t="s">
        <v>285</v>
      </c>
      <c r="F311" s="18"/>
      <c r="G311" s="134" t="str">
        <f ca="1">_xlfn.FORMULATEXT(IN[[#This Row],[STAGE]])</f>
        <v>='[ka_PEQ_Nachweistool.xlsb]🧱'!D29</v>
      </c>
      <c r="H311" s="20">
        <v>2</v>
      </c>
      <c r="I311" s="222">
        <f>'[1]🧱'!D29</f>
        <v>0.6</v>
      </c>
      <c r="J311" s="135">
        <f>IF(IN[[#This Row],[Sim_]]=IN[[#This Row],[STAGE]],1,0)</f>
        <v>0</v>
      </c>
      <c r="K311" s="223">
        <f>K$15</f>
        <v>0.75569500985923277</v>
      </c>
      <c r="L311" s="130"/>
      <c r="M311" s="130">
        <f>IF(IN[[#This Row],[Sim_]]=IN[[#This Row],[Sim Var ref]],1,0)</f>
        <v>0</v>
      </c>
      <c r="N311" s="8"/>
      <c r="O311" s="8">
        <v>263</v>
      </c>
      <c r="P311" s="105"/>
      <c r="Q311" s="137">
        <f>IF(IN[[#This Row],[Sim_]]=IN[[#This Row],[Direkt alt]],1,0)</f>
        <v>0</v>
      </c>
      <c r="R311" s="10">
        <v>0.9</v>
      </c>
      <c r="S311" s="10">
        <f>IF(IN[[#This Row],[Sim_]]=IN[[#This Row],[Buffer]],1,0)</f>
        <v>0</v>
      </c>
      <c r="T311" s="11"/>
      <c r="U311" s="222" t="e">
        <f>'[1]🧱'!#REF!</f>
        <v>#REF!</v>
      </c>
      <c r="V311" s="174">
        <f t="shared" si="8"/>
        <v>0.75569500985923277</v>
      </c>
      <c r="W311" s="174">
        <f t="shared" si="8"/>
        <v>0.69</v>
      </c>
      <c r="X311" s="174">
        <v>0.85000000000000009</v>
      </c>
      <c r="Y311" s="11"/>
      <c r="Z311" s="174">
        <v>0.85000000000000009</v>
      </c>
      <c r="AA311" s="174">
        <v>0.75569500985923277</v>
      </c>
      <c r="AB311" s="174">
        <v>0.75569500985923277</v>
      </c>
      <c r="AC311" s="224">
        <v>0.85000000000000009</v>
      </c>
      <c r="AD311">
        <v>1.9538597278549747</v>
      </c>
      <c r="AE311" s="146">
        <v>1.9538597278549747</v>
      </c>
      <c r="AF311" s="146">
        <v>0.9</v>
      </c>
      <c r="AG311">
        <v>0.9</v>
      </c>
      <c r="AH311">
        <v>0.9</v>
      </c>
      <c r="AI311">
        <v>0.75569500985923277</v>
      </c>
      <c r="AJ311">
        <v>0.75569500985923277</v>
      </c>
    </row>
    <row r="312" spans="1:36" x14ac:dyDescent="0.25">
      <c r="A312" s="221" t="s">
        <v>408</v>
      </c>
      <c r="B312" s="209" t="s">
        <v>416</v>
      </c>
      <c r="C312" s="16" t="s">
        <v>410</v>
      </c>
      <c r="D312" s="16" t="s">
        <v>397</v>
      </c>
      <c r="E312" s="17" t="s">
        <v>285</v>
      </c>
      <c r="F312" s="18"/>
      <c r="G312" s="134" t="str">
        <f ca="1">_xlfn.FORMULATEXT(IN[[#This Row],[STAGE]])</f>
        <v>='[ka_PEQ_Nachweistool.xlsb]🧱'!D30</v>
      </c>
      <c r="H312" s="20">
        <v>2</v>
      </c>
      <c r="I312" s="222">
        <f>'[1]🧱'!D30</f>
        <v>0.6</v>
      </c>
      <c r="J312" s="135">
        <f>IF(IN[[#This Row],[Sim_]]=IN[[#This Row],[STAGE]],1,0)</f>
        <v>0</v>
      </c>
      <c r="K312" s="223">
        <f>K$15</f>
        <v>0.75569500985923277</v>
      </c>
      <c r="L312" s="130"/>
      <c r="M312" s="130">
        <f>IF(IN[[#This Row],[Sim_]]=IN[[#This Row],[Sim Var ref]],1,0)</f>
        <v>0</v>
      </c>
      <c r="N312" s="8"/>
      <c r="O312" s="8">
        <v>264</v>
      </c>
      <c r="P312" s="105"/>
      <c r="Q312" s="137">
        <f>IF(IN[[#This Row],[Sim_]]=IN[[#This Row],[Direkt alt]],1,0)</f>
        <v>0</v>
      </c>
      <c r="R312" s="10">
        <v>0.9</v>
      </c>
      <c r="S312" s="10">
        <f>IF(IN[[#This Row],[Sim_]]=IN[[#This Row],[Buffer]],1,0)</f>
        <v>0</v>
      </c>
      <c r="T312" s="11"/>
      <c r="U312" s="222" t="e">
        <f>'[1]🧱'!#REF!</f>
        <v>#REF!</v>
      </c>
      <c r="V312" s="174">
        <f t="shared" si="8"/>
        <v>0.75569500985923277</v>
      </c>
      <c r="W312" s="174">
        <f t="shared" si="8"/>
        <v>0.69</v>
      </c>
      <c r="X312" s="174">
        <v>0.85000000000000009</v>
      </c>
      <c r="Y312" s="11"/>
      <c r="Z312" s="174">
        <v>0.85000000000000009</v>
      </c>
      <c r="AA312" s="174">
        <v>0.75569500985923277</v>
      </c>
      <c r="AB312" s="174">
        <v>0.75569500985923277</v>
      </c>
      <c r="AC312" s="224">
        <v>0.85000000000000009</v>
      </c>
      <c r="AD312">
        <v>1.9538597278549747</v>
      </c>
      <c r="AE312" s="146">
        <v>1.9538597278549747</v>
      </c>
      <c r="AF312" s="146">
        <v>0.9</v>
      </c>
      <c r="AG312">
        <v>0.9</v>
      </c>
      <c r="AH312">
        <v>0.9</v>
      </c>
      <c r="AI312">
        <v>0.75569500985923277</v>
      </c>
      <c r="AJ312">
        <v>0.75569500985923277</v>
      </c>
    </row>
    <row r="313" spans="1:36" x14ac:dyDescent="0.25">
      <c r="A313" s="221" t="s">
        <v>408</v>
      </c>
      <c r="B313" s="209" t="s">
        <v>417</v>
      </c>
      <c r="C313" s="16" t="s">
        <v>410</v>
      </c>
      <c r="D313" s="16" t="s">
        <v>397</v>
      </c>
      <c r="E313" s="17" t="s">
        <v>285</v>
      </c>
      <c r="F313" s="18"/>
      <c r="G313" s="134" t="str">
        <f ca="1">_xlfn.FORMULATEXT(IN[[#This Row],[STAGE]])</f>
        <v>='[ka_PEQ_Nachweistool.xlsb]🧱'!D31</v>
      </c>
      <c r="H313" s="20">
        <v>2</v>
      </c>
      <c r="I313" s="222">
        <f>'[1]🧱'!D31</f>
        <v>0.6</v>
      </c>
      <c r="J313" s="135">
        <f>IF(IN[[#This Row],[Sim_]]=IN[[#This Row],[STAGE]],1,0)</f>
        <v>0</v>
      </c>
      <c r="K313" s="223">
        <f>K$15</f>
        <v>0.75569500985923277</v>
      </c>
      <c r="L313" s="130"/>
      <c r="M313" s="130">
        <f>IF(IN[[#This Row],[Sim_]]=IN[[#This Row],[Sim Var ref]],1,0)</f>
        <v>0</v>
      </c>
      <c r="N313" s="8"/>
      <c r="O313" s="8">
        <v>265</v>
      </c>
      <c r="P313" s="105"/>
      <c r="Q313" s="137">
        <f>IF(IN[[#This Row],[Sim_]]=IN[[#This Row],[Direkt alt]],1,0)</f>
        <v>0</v>
      </c>
      <c r="R313" s="10">
        <v>0.9</v>
      </c>
      <c r="S313" s="10">
        <f>IF(IN[[#This Row],[Sim_]]=IN[[#This Row],[Buffer]],1,0)</f>
        <v>0</v>
      </c>
      <c r="T313" s="11"/>
      <c r="U313" s="222" t="e">
        <f>'[1]🧱'!#REF!</f>
        <v>#REF!</v>
      </c>
      <c r="V313" s="174">
        <f t="shared" si="8"/>
        <v>0.75569500985923277</v>
      </c>
      <c r="W313" s="174">
        <f t="shared" si="8"/>
        <v>0.69</v>
      </c>
      <c r="X313" s="174">
        <v>0.85000000000000009</v>
      </c>
      <c r="Y313" s="11"/>
      <c r="Z313" s="174">
        <v>0.85000000000000009</v>
      </c>
      <c r="AA313" s="174">
        <v>0.75569500985923277</v>
      </c>
      <c r="AB313" s="174">
        <v>0.75569500985923277</v>
      </c>
      <c r="AC313" s="224">
        <v>0.85000000000000009</v>
      </c>
      <c r="AD313">
        <v>1.9538597278549747</v>
      </c>
      <c r="AE313" s="146">
        <v>1.9538597278549747</v>
      </c>
      <c r="AF313" s="146">
        <v>0.9</v>
      </c>
      <c r="AG313">
        <v>0.9</v>
      </c>
      <c r="AH313">
        <v>0.9</v>
      </c>
      <c r="AI313">
        <v>0.75569500985923277</v>
      </c>
      <c r="AJ313">
        <v>0.75569500985923277</v>
      </c>
    </row>
    <row r="314" spans="1:36" x14ac:dyDescent="0.25">
      <c r="A314" s="221" t="s">
        <v>408</v>
      </c>
      <c r="B314" s="209" t="s">
        <v>418</v>
      </c>
      <c r="C314" s="16"/>
      <c r="D314" s="16" t="s">
        <v>419</v>
      </c>
      <c r="E314" s="17" t="s">
        <v>285</v>
      </c>
      <c r="F314" s="18"/>
      <c r="G314" s="134" t="str">
        <f ca="1">_xlfn.FORMULATEXT(IN[[#This Row],[STAGE]])</f>
        <v>='[ka_PEQ_Nachweistool.xlsb]🧱'!B35</v>
      </c>
      <c r="H314" s="20">
        <v>2</v>
      </c>
      <c r="I314" s="222">
        <f>'[1]🧱'!B35</f>
        <v>0</v>
      </c>
      <c r="J314" s="135">
        <f>IF(IN[[#This Row],[Sim_]]=IN[[#This Row],[STAGE]],1,0)</f>
        <v>0</v>
      </c>
      <c r="K314" s="223">
        <f>K31</f>
        <v>0.1</v>
      </c>
      <c r="L314" s="130"/>
      <c r="M314" s="130">
        <f>IF(IN[[#This Row],[Sim_]]=IN[[#This Row],[Sim Var ref]],1,0)</f>
        <v>0</v>
      </c>
      <c r="N314" s="8"/>
      <c r="O314" s="8">
        <v>266</v>
      </c>
      <c r="P314" s="105"/>
      <c r="Q314" s="137">
        <f>IF(IN[[#This Row],[Sim_]]=IN[[#This Row],[Direkt alt]],1,0)</f>
        <v>0</v>
      </c>
      <c r="R314" s="10">
        <v>5.000000000000001E-2</v>
      </c>
      <c r="S314" s="10">
        <f>IF(IN[[#This Row],[Sim_]]=IN[[#This Row],[Buffer]],1,0)</f>
        <v>0</v>
      </c>
      <c r="T314" s="11"/>
      <c r="U314" s="222">
        <f>'[1]🧱'!M35</f>
        <v>0</v>
      </c>
      <c r="V314" s="174">
        <f>V31</f>
        <v>0.1</v>
      </c>
      <c r="W314" s="174">
        <f>W31</f>
        <v>0.12939571947519746</v>
      </c>
      <c r="X314" s="174">
        <v>0.05</v>
      </c>
      <c r="Y314" s="11"/>
      <c r="Z314" s="174">
        <v>0.05</v>
      </c>
      <c r="AA314" s="174">
        <v>0.1</v>
      </c>
      <c r="AB314" s="174">
        <v>0.1</v>
      </c>
      <c r="AC314" s="224">
        <v>0.05</v>
      </c>
      <c r="AD314">
        <v>5.000000000000001E-2</v>
      </c>
      <c r="AE314">
        <v>5.000000000000001E-2</v>
      </c>
      <c r="AF314">
        <v>5.000000000000001E-2</v>
      </c>
      <c r="AG314">
        <v>5.000000000000001E-2</v>
      </c>
      <c r="AH314">
        <v>5.000000000000001E-2</v>
      </c>
      <c r="AI314">
        <v>0.1</v>
      </c>
      <c r="AJ314">
        <v>0.1</v>
      </c>
    </row>
    <row r="315" spans="1:36" x14ac:dyDescent="0.25">
      <c r="A315" s="221" t="s">
        <v>408</v>
      </c>
      <c r="B315" s="209" t="s">
        <v>420</v>
      </c>
      <c r="C315" s="16" t="s">
        <v>410</v>
      </c>
      <c r="D315" s="16"/>
      <c r="E315" s="17"/>
      <c r="F315" s="18"/>
      <c r="G315" s="134" t="str">
        <f ca="1">_xlfn.FORMULATEXT(IN[[#This Row],[STAGE]])</f>
        <v>=I285*I306*per_NFA</v>
      </c>
      <c r="H315" s="20">
        <v>0</v>
      </c>
      <c r="I315" s="225">
        <f>I285*I306*per_NFA</f>
        <v>0</v>
      </c>
      <c r="J315" s="135">
        <f>IF(IN[[#This Row],[Sim_]]=IN[[#This Row],[STAGE]],1,0)</f>
        <v>1</v>
      </c>
      <c r="K315" s="226"/>
      <c r="L315" s="130"/>
      <c r="M315" s="130">
        <f>IF(IN[[#This Row],[Sim_]]=IN[[#This Row],[Sim Var ref]],1,0)</f>
        <v>1</v>
      </c>
      <c r="N315" s="8"/>
      <c r="O315" s="8"/>
      <c r="P315" s="105"/>
      <c r="Q315" s="137">
        <f>IF(IN[[#This Row],[Sim_]]=IN[[#This Row],[Direkt alt]],1,0)</f>
        <v>1</v>
      </c>
      <c r="R315" s="10">
        <v>0.15629760476023047</v>
      </c>
      <c r="S315" s="10">
        <f>IF(IN[[#This Row],[Sim_]]=IN[[#This Row],[Buffer]],1,0)</f>
        <v>0</v>
      </c>
      <c r="T315" s="11"/>
      <c r="U315" s="145"/>
      <c r="V315" s="174"/>
      <c r="W315" s="174"/>
      <c r="X315" s="174">
        <v>8.9838870364991552E-2</v>
      </c>
      <c r="Y315" s="11"/>
      <c r="Z315" s="174">
        <v>8.9838870364991552E-2</v>
      </c>
      <c r="AA315" s="174"/>
      <c r="AB315" s="174"/>
      <c r="AC315" s="227">
        <v>8.9838870364991552E-2</v>
      </c>
      <c r="AD315">
        <v>0.72516015679740753</v>
      </c>
      <c r="AE315">
        <v>0.72516015679740753</v>
      </c>
      <c r="AF315">
        <v>0.15629760476023047</v>
      </c>
      <c r="AG315">
        <v>0.15629760476023047</v>
      </c>
      <c r="AH315">
        <v>0.15629760476023047</v>
      </c>
      <c r="AI315">
        <v>3.7892118575777463E-2</v>
      </c>
      <c r="AJ315">
        <v>3.7892118575777463E-2</v>
      </c>
    </row>
    <row r="316" spans="1:36" x14ac:dyDescent="0.25">
      <c r="A316" s="221" t="s">
        <v>408</v>
      </c>
      <c r="B316" s="209" t="s">
        <v>421</v>
      </c>
      <c r="C316" s="16" t="s">
        <v>410</v>
      </c>
      <c r="D316" s="16"/>
      <c r="E316" s="17"/>
      <c r="F316" s="18"/>
      <c r="G316" s="134" t="str">
        <f ca="1">_xlfn.FORMULATEXT(IN[[#This Row],[STAGE]])</f>
        <v>=I286*I307*per_NFA</v>
      </c>
      <c r="H316" s="20">
        <v>0</v>
      </c>
      <c r="I316" s="225">
        <f>I286*I307*per_NFA</f>
        <v>0</v>
      </c>
      <c r="J316" s="135">
        <f>IF(IN[[#This Row],[Sim_]]=IN[[#This Row],[STAGE]],1,0)</f>
        <v>1</v>
      </c>
      <c r="K316" s="226"/>
      <c r="L316" s="130"/>
      <c r="M316" s="130">
        <f>IF(IN[[#This Row],[Sim_]]=IN[[#This Row],[Sim Var ref]],1,0)</f>
        <v>1</v>
      </c>
      <c r="N316" s="8"/>
      <c r="O316" s="8"/>
      <c r="P316" s="105"/>
      <c r="Q316" s="137">
        <f>IF(IN[[#This Row],[Sim_]]=IN[[#This Row],[Direkt alt]],1,0)</f>
        <v>1</v>
      </c>
      <c r="R316" s="10">
        <v>3.0452252754934891E-2</v>
      </c>
      <c r="S316" s="10">
        <f>IF(IN[[#This Row],[Sim_]]=IN[[#This Row],[Buffer]],1,0)</f>
        <v>0</v>
      </c>
      <c r="T316" s="11"/>
      <c r="U316" s="145"/>
      <c r="V316" s="174"/>
      <c r="W316" s="174"/>
      <c r="X316" s="174">
        <v>3.947473163471614E-2</v>
      </c>
      <c r="Y316" s="11"/>
      <c r="Z316" s="174">
        <v>3.947473163471614E-2</v>
      </c>
      <c r="AA316" s="174"/>
      <c r="AB316" s="174"/>
      <c r="AC316" s="227">
        <v>3.947473163471614E-2</v>
      </c>
      <c r="AD316">
        <v>0.15118789271365277</v>
      </c>
      <c r="AE316">
        <v>0.15118789271365277</v>
      </c>
      <c r="AF316">
        <v>3.0452252754934891E-2</v>
      </c>
      <c r="AG316">
        <v>3.0452252754934891E-2</v>
      </c>
      <c r="AH316">
        <v>3.0452252754934891E-2</v>
      </c>
      <c r="AI316">
        <v>2.7662499253864985E-2</v>
      </c>
      <c r="AJ316">
        <v>2.7662499253864985E-2</v>
      </c>
    </row>
    <row r="317" spans="1:36" x14ac:dyDescent="0.25">
      <c r="A317" s="221" t="s">
        <v>408</v>
      </c>
      <c r="B317" s="209" t="s">
        <v>422</v>
      </c>
      <c r="C317" s="16" t="s">
        <v>410</v>
      </c>
      <c r="D317" s="16"/>
      <c r="E317" s="17"/>
      <c r="F317" s="18"/>
      <c r="G317" s="134" t="str">
        <f ca="1">_xlfn.FORMULATEXT(IN[[#This Row],[STAGE]])</f>
        <v>=I287*I308*per_NFA</v>
      </c>
      <c r="H317" s="20">
        <v>0</v>
      </c>
      <c r="I317" s="225">
        <f>I287*I308*per_NFA</f>
        <v>0</v>
      </c>
      <c r="J317" s="135">
        <f>IF(IN[[#This Row],[Sim_]]=IN[[#This Row],[STAGE]],1,0)</f>
        <v>1</v>
      </c>
      <c r="K317" s="226"/>
      <c r="L317" s="130"/>
      <c r="M317" s="130">
        <f>IF(IN[[#This Row],[Sim_]]=IN[[#This Row],[Sim Var ref]],1,0)</f>
        <v>1</v>
      </c>
      <c r="N317" s="8"/>
      <c r="O317" s="8"/>
      <c r="P317" s="105"/>
      <c r="Q317" s="137">
        <f>IF(IN[[#This Row],[Sim_]]=IN[[#This Row],[Direkt alt]],1,0)</f>
        <v>1</v>
      </c>
      <c r="R317" s="10">
        <v>3.5137214717232558E-2</v>
      </c>
      <c r="S317" s="10">
        <f>IF(IN[[#This Row],[Sim_]]=IN[[#This Row],[Buffer]],1,0)</f>
        <v>0</v>
      </c>
      <c r="T317" s="11"/>
      <c r="U317" s="145"/>
      <c r="V317" s="174"/>
      <c r="W317" s="174"/>
      <c r="X317" s="174">
        <v>5.9813541666666671E-2</v>
      </c>
      <c r="Y317" s="11"/>
      <c r="Z317" s="174">
        <v>5.9813541666666671E-2</v>
      </c>
      <c r="AA317" s="174"/>
      <c r="AB317" s="174"/>
      <c r="AC317" s="227">
        <v>5.9813541666666671E-2</v>
      </c>
      <c r="AD317">
        <v>0.21441503536992987</v>
      </c>
      <c r="AE317">
        <v>0.21441503536992987</v>
      </c>
      <c r="AF317">
        <v>3.5137214717232558E-2</v>
      </c>
      <c r="AG317">
        <v>3.5137214717232558E-2</v>
      </c>
      <c r="AH317">
        <v>3.5137214717232558E-2</v>
      </c>
      <c r="AI317">
        <v>2.7474822419865104E-2</v>
      </c>
      <c r="AJ317">
        <v>2.7474822419865104E-2</v>
      </c>
    </row>
    <row r="318" spans="1:36" x14ac:dyDescent="0.25">
      <c r="A318" s="221" t="s">
        <v>408</v>
      </c>
      <c r="B318" s="209" t="s">
        <v>423</v>
      </c>
      <c r="C318" s="16" t="s">
        <v>410</v>
      </c>
      <c r="D318" s="16"/>
      <c r="E318" s="17"/>
      <c r="F318" s="18"/>
      <c r="G318" s="134" t="str">
        <f ca="1">_xlfn.FORMULATEXT(IN[[#This Row],[STAGE]])</f>
        <v>=SUMMENPRODUKT(I288:I292;I309:I313)*per_NFA</v>
      </c>
      <c r="H318" s="20">
        <v>0</v>
      </c>
      <c r="I318" s="225">
        <f>SUMPRODUCT(I288:I292,I309:I313)*per_NFA</f>
        <v>0</v>
      </c>
      <c r="J318" s="135">
        <f>IF(IN[[#This Row],[Sim_]]=IN[[#This Row],[STAGE]],1,0)</f>
        <v>1</v>
      </c>
      <c r="K318" s="226"/>
      <c r="L318" s="130"/>
      <c r="M318" s="130">
        <f>IF(IN[[#This Row],[Sim_]]=IN[[#This Row],[Sim Var ref]],1,0)</f>
        <v>1</v>
      </c>
      <c r="N318" s="8"/>
      <c r="O318" s="8"/>
      <c r="P318" s="105"/>
      <c r="Q318" s="137">
        <f>IF(IN[[#This Row],[Sim_]]=IN[[#This Row],[Direkt alt]],1,0)</f>
        <v>1</v>
      </c>
      <c r="R318" s="10">
        <v>0.19175945784479453</v>
      </c>
      <c r="S318" s="10">
        <f>IF(IN[[#This Row],[Sim_]]=IN[[#This Row],[Buffer]],1,0)</f>
        <v>0</v>
      </c>
      <c r="T318" s="11"/>
      <c r="U318" s="145"/>
      <c r="V318" s="174"/>
      <c r="W318" s="174"/>
      <c r="X318" s="174">
        <v>0.15411119791666669</v>
      </c>
      <c r="Y318" s="11"/>
      <c r="Z318" s="174">
        <v>0.15411119791666669</v>
      </c>
      <c r="AA318" s="174"/>
      <c r="AB318" s="174"/>
      <c r="AC318" s="227">
        <v>0.15411119791666669</v>
      </c>
      <c r="AD318">
        <v>0.41630120235360851</v>
      </c>
      <c r="AE318">
        <v>0.41630120235360851</v>
      </c>
      <c r="AF318">
        <v>0.19175945784479453</v>
      </c>
      <c r="AG318">
        <v>0.19175945784479453</v>
      </c>
      <c r="AH318">
        <v>0.19175945784479453</v>
      </c>
      <c r="AI318">
        <v>0.11738268146003702</v>
      </c>
      <c r="AJ318">
        <v>0.11738268146003702</v>
      </c>
    </row>
    <row r="319" spans="1:36" x14ac:dyDescent="0.25">
      <c r="A319" s="221" t="s">
        <v>408</v>
      </c>
      <c r="B319" s="209" t="s">
        <v>424</v>
      </c>
      <c r="C319" s="16" t="s">
        <v>410</v>
      </c>
      <c r="D319" s="16"/>
      <c r="E319" s="17"/>
      <c r="F319" s="18"/>
      <c r="G319" s="134" t="str">
        <f ca="1">_xlfn.FORMULATEXT(IN[[#This Row],[STAGE]])</f>
        <v>=SUMME(I315:I318)*I314</v>
      </c>
      <c r="H319" s="20">
        <v>0</v>
      </c>
      <c r="I319" s="225">
        <f>SUM(I315:I318)*I314</f>
        <v>0</v>
      </c>
      <c r="J319" s="135">
        <f>IF(IN[[#This Row],[Sim_]]=IN[[#This Row],[STAGE]],1,0)</f>
        <v>1</v>
      </c>
      <c r="K319" s="226"/>
      <c r="L319" s="130"/>
      <c r="M319" s="130">
        <f>IF(IN[[#This Row],[Sim_]]=IN[[#This Row],[Sim Var ref]],1,0)</f>
        <v>1</v>
      </c>
      <c r="N319" s="8"/>
      <c r="O319" s="8"/>
      <c r="P319" s="105"/>
      <c r="Q319" s="137">
        <f>IF(IN[[#This Row],[Sim_]]=IN[[#This Row],[Direkt alt]],1,0)</f>
        <v>1</v>
      </c>
      <c r="R319" s="10">
        <v>2.0682326503859625E-2</v>
      </c>
      <c r="S319" s="10">
        <f>IF(IN[[#This Row],[Sim_]]=IN[[#This Row],[Buffer]],1,0)</f>
        <v>0</v>
      </c>
      <c r="T319" s="11"/>
      <c r="U319" s="145"/>
      <c r="V319" s="174"/>
      <c r="W319" s="174"/>
      <c r="X319" s="174">
        <v>1.7161917079152055E-2</v>
      </c>
      <c r="Y319" s="11"/>
      <c r="Z319" s="174">
        <v>1.7161917079152055E-2</v>
      </c>
      <c r="AA319" s="174"/>
      <c r="AB319" s="174"/>
      <c r="AC319" s="227">
        <v>1.7161917079152055E-2</v>
      </c>
      <c r="AD319">
        <v>7.5353214361729953E-2</v>
      </c>
      <c r="AE319">
        <v>7.5353214361729953E-2</v>
      </c>
      <c r="AF319">
        <v>2.0682326503859625E-2</v>
      </c>
      <c r="AG319">
        <v>2.0682326503859625E-2</v>
      </c>
      <c r="AH319">
        <v>2.0682326503859625E-2</v>
      </c>
      <c r="AI319">
        <v>2.1041212170954459E-2</v>
      </c>
      <c r="AJ319">
        <v>2.1041212170954459E-2</v>
      </c>
    </row>
    <row r="320" spans="1:36" x14ac:dyDescent="0.25">
      <c r="A320" s="221" t="s">
        <v>408</v>
      </c>
      <c r="B320" s="209" t="s">
        <v>425</v>
      </c>
      <c r="C320" s="16" t="s">
        <v>426</v>
      </c>
      <c r="D320" s="16" t="s">
        <v>427</v>
      </c>
      <c r="E320" s="17" t="s">
        <v>78</v>
      </c>
      <c r="F320" s="18" t="s">
        <v>428</v>
      </c>
      <c r="G320" s="134" t="str">
        <f ca="1">_xlfn.FORMULATEXT(IN[[#This Row],[STAGE]])</f>
        <v>=transmittance_Wm²*NFA_total/1000000</v>
      </c>
      <c r="H320" s="20">
        <v>0</v>
      </c>
      <c r="I320" s="225">
        <f>transmittance_Wm²*NFA_total/1000000</f>
        <v>0</v>
      </c>
      <c r="J320" s="135">
        <f>IF(IN[[#This Row],[Sim_]]=IN[[#This Row],[STAGE]],1,0)</f>
        <v>1</v>
      </c>
      <c r="K320" s="174"/>
      <c r="L320" s="130"/>
      <c r="M320" s="130">
        <f>IF(IN[[#This Row],[Sim_]]=IN[[#This Row],[Sim Var ref]],1,0)</f>
        <v>1</v>
      </c>
      <c r="N320" s="8"/>
      <c r="O320" s="8">
        <v>267</v>
      </c>
      <c r="P320" s="105"/>
      <c r="Q320" s="137">
        <f>IF(IN[[#This Row],[Sim_]]=IN[[#This Row],[Direkt alt]],1,0)</f>
        <v>1</v>
      </c>
      <c r="R320" s="10">
        <v>6.2714307185621807E-2</v>
      </c>
      <c r="S320" s="10">
        <f>IF(IN[[#This Row],[Sim_]]=IN[[#This Row],[Buffer]],1,0)</f>
        <v>0</v>
      </c>
      <c r="T320" s="11"/>
      <c r="U320" s="228" t="e">
        <f>SUMPRODUCT(U285:U292,U306:U313)*(1+U314)/1000000</f>
        <v>#REF!</v>
      </c>
      <c r="V320" s="174"/>
      <c r="W320" s="174"/>
      <c r="X320" s="174">
        <v>2.767873986525643E-3</v>
      </c>
      <c r="Y320" s="11"/>
      <c r="Z320" s="174">
        <v>2.767873986525643E-3</v>
      </c>
      <c r="AA320" s="174">
        <v>6.2040603240000004E-3</v>
      </c>
      <c r="AB320" s="174">
        <v>6.2040603240000004E-3</v>
      </c>
      <c r="AC320" s="227">
        <v>2.767873986525643E-3</v>
      </c>
      <c r="AD320">
        <v>0.22849095975849965</v>
      </c>
      <c r="AE320">
        <v>0.22849095975849965</v>
      </c>
      <c r="AF320">
        <v>6.2714307185621807E-2</v>
      </c>
      <c r="AG320">
        <v>6.2714307185621807E-2</v>
      </c>
      <c r="AH320">
        <v>6.2714307185621807E-2</v>
      </c>
      <c r="AI320">
        <v>6.2040603240000004E-3</v>
      </c>
      <c r="AJ320">
        <v>6.2040603240000004E-3</v>
      </c>
    </row>
    <row r="321" spans="1:36" x14ac:dyDescent="0.25">
      <c r="A321" s="221" t="s">
        <v>408</v>
      </c>
      <c r="B321" s="209" t="s">
        <v>429</v>
      </c>
      <c r="C321" s="16" t="s">
        <v>410</v>
      </c>
      <c r="D321" s="16" t="s">
        <v>427</v>
      </c>
      <c r="E321" s="17" t="s">
        <v>78</v>
      </c>
      <c r="F321" s="18" t="s">
        <v>430</v>
      </c>
      <c r="G321" s="134" t="str">
        <f ca="1">_xlfn.FORMULATEXT(IN[[#This Row],[STAGE]])</f>
        <v>=SUMME(I315:I319)</v>
      </c>
      <c r="H321" s="20">
        <v>0</v>
      </c>
      <c r="I321" s="225">
        <f>SUM(I315:I319)</f>
        <v>0</v>
      </c>
      <c r="J321" s="135">
        <f>IF(IN[[#This Row],[Sim_]]=IN[[#This Row],[STAGE]],1,0)</f>
        <v>1</v>
      </c>
      <c r="K321" s="174"/>
      <c r="L321" s="130"/>
      <c r="M321" s="130">
        <f>IF(IN[[#This Row],[Sim_]]=IN[[#This Row],[Sim Var ref]],1,0)</f>
        <v>1</v>
      </c>
      <c r="N321" s="8"/>
      <c r="O321" s="8">
        <v>268</v>
      </c>
      <c r="P321" s="105"/>
      <c r="Q321" s="137">
        <f>IF(IN[[#This Row],[Sim_]]=IN[[#This Row],[Direkt alt]],1,0)</f>
        <v>1</v>
      </c>
      <c r="R321" s="10">
        <v>0.43432885658105208</v>
      </c>
      <c r="S321" s="10">
        <f>IF(IN[[#This Row],[Sim_]]=IN[[#This Row],[Buffer]],1,0)</f>
        <v>0</v>
      </c>
      <c r="T321" s="11"/>
      <c r="U321" s="229" t="e">
        <f>SUMPRODUCT(U285:U292,U306:U313)*(1+U314)/NFA_total</f>
        <v>#REF!</v>
      </c>
      <c r="V321" s="174"/>
      <c r="W321" s="174"/>
      <c r="X321" s="174">
        <v>0.36040025866219311</v>
      </c>
      <c r="Y321" s="11"/>
      <c r="Z321" s="174">
        <v>0.36040025866219311</v>
      </c>
      <c r="AA321" s="174">
        <v>0.23145333388049902</v>
      </c>
      <c r="AB321" s="174">
        <v>0.23145333388049902</v>
      </c>
      <c r="AC321" s="227">
        <v>0.36040025866219311</v>
      </c>
      <c r="AD321">
        <v>1.5824175015963287</v>
      </c>
      <c r="AE321">
        <v>1.5824175015963287</v>
      </c>
      <c r="AF321">
        <v>0.43432885658105208</v>
      </c>
      <c r="AG321">
        <v>0.43432885658105208</v>
      </c>
      <c r="AH321">
        <v>0.43432885658105208</v>
      </c>
      <c r="AI321">
        <v>0.23145333388049902</v>
      </c>
      <c r="AJ321">
        <v>0.23145333388049902</v>
      </c>
    </row>
    <row r="322" spans="1:36" x14ac:dyDescent="0.25">
      <c r="A322" s="63"/>
      <c r="B322" s="209"/>
      <c r="C322" s="16"/>
      <c r="D322" s="16"/>
      <c r="E322" s="17"/>
      <c r="F322" s="18"/>
      <c r="G322" s="147"/>
      <c r="H322" s="20">
        <v>0</v>
      </c>
      <c r="I322" s="104">
        <f>IN[[#This Row],[Buffer]]</f>
        <v>0</v>
      </c>
      <c r="J322" s="135">
        <f>IF(IN[[#This Row],[Sim_]]=IN[[#This Row],[STAGE]],1,0)</f>
        <v>1</v>
      </c>
      <c r="K322" s="174"/>
      <c r="L322" s="130"/>
      <c r="M322" s="130">
        <f>IF(IN[[#This Row],[Sim_]]=IN[[#This Row],[Sim Var ref]],1,0)</f>
        <v>1</v>
      </c>
      <c r="N322" s="8"/>
      <c r="O322" s="8"/>
      <c r="P322" s="105"/>
      <c r="Q322" s="137">
        <f>IF(IN[[#This Row],[Sim_]]=IN[[#This Row],[Direkt alt]],1,0)</f>
        <v>1</v>
      </c>
      <c r="R322" s="10">
        <v>0</v>
      </c>
      <c r="S322" s="10">
        <f>IF(IN[[#This Row],[Sim_]]=IN[[#This Row],[Buffer]],1,0)</f>
        <v>1</v>
      </c>
      <c r="T322" s="11"/>
      <c r="U322" s="145"/>
      <c r="V322" s="174"/>
      <c r="W322" s="174"/>
      <c r="X322" s="174">
        <v>0</v>
      </c>
      <c r="Y322" s="11"/>
      <c r="Z322" s="174">
        <v>0</v>
      </c>
      <c r="AA322" s="174"/>
      <c r="AB322" s="174"/>
      <c r="AC322" s="106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s="221" t="s">
        <v>408</v>
      </c>
      <c r="B323" s="209" t="s">
        <v>431</v>
      </c>
      <c r="C323" s="16" t="s">
        <v>432</v>
      </c>
      <c r="D323" s="16"/>
      <c r="E323" s="17" t="s">
        <v>285</v>
      </c>
      <c r="F323" s="18" t="s">
        <v>433</v>
      </c>
      <c r="G323" s="134" t="str">
        <f ca="1">_xlfn.FORMULATEXT(IN[[#This Row],[STAGE]])</f>
        <v>='[ka_PEQ_Nachweistool.xlsb]🧱'!B68</v>
      </c>
      <c r="H323" s="20">
        <v>1</v>
      </c>
      <c r="I323" s="104">
        <f>'[1]🧱'!B68</f>
        <v>0</v>
      </c>
      <c r="J323" s="135">
        <f>IF(IN[[#This Row],[Sim_]]=IN[[#This Row],[STAGE]],1,0)</f>
        <v>0</v>
      </c>
      <c r="K323" s="223">
        <f>K19</f>
        <v>204</v>
      </c>
      <c r="L323" s="130"/>
      <c r="M323" s="130">
        <f>IF(IN[[#This Row],[Sim_]]=IN[[#This Row],[Sim Var ref]],1,0)</f>
        <v>0</v>
      </c>
      <c r="N323" s="8"/>
      <c r="O323" s="8">
        <v>269</v>
      </c>
      <c r="P323" s="105"/>
      <c r="Q323" s="137">
        <f>IF(IN[[#This Row],[Sim_]]=IN[[#This Row],[Direkt alt]],1,0)</f>
        <v>0</v>
      </c>
      <c r="R323" s="10">
        <v>204</v>
      </c>
      <c r="S323" s="10">
        <f>IF(IN[[#This Row],[Sim_]]=IN[[#This Row],[Buffer]],1,0)</f>
        <v>1</v>
      </c>
      <c r="T323" s="11"/>
      <c r="U323" s="104">
        <f>'[1]🧱'!M68</f>
        <v>0</v>
      </c>
      <c r="V323" s="174">
        <f>V19</f>
        <v>204</v>
      </c>
      <c r="W323" s="174">
        <f>W19</f>
        <v>132</v>
      </c>
      <c r="X323" s="174">
        <v>204</v>
      </c>
      <c r="Y323" s="11"/>
      <c r="Z323" s="174">
        <v>204</v>
      </c>
      <c r="AA323" s="174">
        <v>204</v>
      </c>
      <c r="AB323" s="174">
        <v>204</v>
      </c>
      <c r="AC323" s="106">
        <v>204</v>
      </c>
      <c r="AD323">
        <v>204</v>
      </c>
      <c r="AE323">
        <v>204</v>
      </c>
      <c r="AF323">
        <v>204</v>
      </c>
      <c r="AG323">
        <v>204</v>
      </c>
      <c r="AH323">
        <v>204</v>
      </c>
      <c r="AI323">
        <v>204</v>
      </c>
      <c r="AJ323">
        <v>204</v>
      </c>
    </row>
    <row r="324" spans="1:36" x14ac:dyDescent="0.25">
      <c r="A324" s="221" t="s">
        <v>408</v>
      </c>
      <c r="B324" s="209" t="s">
        <v>434</v>
      </c>
      <c r="C324" s="16" t="s">
        <v>432</v>
      </c>
      <c r="D324" s="230" t="s">
        <v>435</v>
      </c>
      <c r="E324" s="17" t="s">
        <v>78</v>
      </c>
      <c r="F324" s="18" t="s">
        <v>436</v>
      </c>
      <c r="G324" s="134" t="str">
        <f ca="1">_xlfn.FORMULATEXT(IN[[#This Row],[STAGE]])</f>
        <v>=heat_capacity_effective_m²</v>
      </c>
      <c r="H324" s="20">
        <v>0</v>
      </c>
      <c r="I324" s="104">
        <f>heat_capacity_effective_m²</f>
        <v>204</v>
      </c>
      <c r="J324" s="135">
        <f>IF(IN[[#This Row],[Sim_]]=IN[[#This Row],[STAGE]],1,0)</f>
        <v>0</v>
      </c>
      <c r="K324" s="174"/>
      <c r="L324" s="130"/>
      <c r="M324" s="130">
        <f>IF(IN[[#This Row],[Sim_]]=IN[[#This Row],[Sim Var ref]],1,0)</f>
        <v>1</v>
      </c>
      <c r="N324" s="8"/>
      <c r="O324" s="8">
        <v>270</v>
      </c>
      <c r="P324" s="105"/>
      <c r="Q324" s="137">
        <f>IF(IN[[#This Row],[Sim_]]=IN[[#This Row],[Direkt alt]],1,0)</f>
        <v>1</v>
      </c>
      <c r="R324" s="10">
        <v>204</v>
      </c>
      <c r="S324" s="10">
        <f>IF(IN[[#This Row],[Sim_]]=IN[[#This Row],[Buffer]],1,0)</f>
        <v>0</v>
      </c>
      <c r="T324" s="11"/>
      <c r="U324" s="104">
        <f>heat_capacity_effective_m²*NFAfrac_uncooled</f>
        <v>0</v>
      </c>
      <c r="V324" s="174"/>
      <c r="W324" s="174"/>
      <c r="X324" s="174">
        <v>204</v>
      </c>
      <c r="Y324" s="11"/>
      <c r="Z324" s="174">
        <v>204</v>
      </c>
      <c r="AA324" s="174"/>
      <c r="AB324" s="174">
        <v>204</v>
      </c>
      <c r="AC324" s="106">
        <v>204</v>
      </c>
      <c r="AD324">
        <v>204</v>
      </c>
      <c r="AE324">
        <v>204</v>
      </c>
      <c r="AF324">
        <v>204</v>
      </c>
      <c r="AG324">
        <v>204</v>
      </c>
      <c r="AH324">
        <v>204</v>
      </c>
      <c r="AI324">
        <v>204</v>
      </c>
      <c r="AJ324">
        <v>204</v>
      </c>
    </row>
    <row r="325" spans="1:36" x14ac:dyDescent="0.25">
      <c r="A325" s="221" t="s">
        <v>408</v>
      </c>
      <c r="B325" s="209" t="s">
        <v>437</v>
      </c>
      <c r="C325" s="16" t="s">
        <v>432</v>
      </c>
      <c r="D325" s="230" t="s">
        <v>435</v>
      </c>
      <c r="E325" s="17" t="s">
        <v>78</v>
      </c>
      <c r="F325" s="18" t="s">
        <v>438</v>
      </c>
      <c r="G325" s="134" t="str">
        <f ca="1">_xlfn.FORMULATEXT(IN[[#This Row],[STAGE]])</f>
        <v>=heat_capacity_effective_m²</v>
      </c>
      <c r="H325" s="20">
        <v>0</v>
      </c>
      <c r="I325" s="104">
        <f>heat_capacity_effective_m²</f>
        <v>204</v>
      </c>
      <c r="J325" s="135">
        <f>IF(IN[[#This Row],[Sim_]]=IN[[#This Row],[STAGE]],1,0)</f>
        <v>0</v>
      </c>
      <c r="K325" s="174"/>
      <c r="L325" s="130"/>
      <c r="M325" s="130">
        <f>IF(IN[[#This Row],[Sim_]]=IN[[#This Row],[Sim Var ref]],1,0)</f>
        <v>1</v>
      </c>
      <c r="N325" s="8"/>
      <c r="O325" s="8">
        <v>271</v>
      </c>
      <c r="P325" s="105"/>
      <c r="Q325" s="137">
        <f>IF(IN[[#This Row],[Sim_]]=IN[[#This Row],[Direkt alt]],1,0)</f>
        <v>1</v>
      </c>
      <c r="R325" s="10">
        <v>204</v>
      </c>
      <c r="S325" s="10">
        <f>IF(IN[[#This Row],[Sim_]]=IN[[#This Row],[Buffer]],1,0)</f>
        <v>0</v>
      </c>
      <c r="T325" s="11"/>
      <c r="U325" s="104">
        <f>heat_capacity_effective_m²*NFAfrac_cooled</f>
        <v>0</v>
      </c>
      <c r="V325" s="174"/>
      <c r="W325" s="174"/>
      <c r="X325" s="174">
        <v>204</v>
      </c>
      <c r="Y325" s="11"/>
      <c r="Z325" s="174">
        <v>204</v>
      </c>
      <c r="AA325" s="174">
        <v>0</v>
      </c>
      <c r="AB325" s="174">
        <v>204</v>
      </c>
      <c r="AC325" s="106">
        <v>204</v>
      </c>
      <c r="AD325">
        <v>204</v>
      </c>
      <c r="AE325">
        <v>204</v>
      </c>
      <c r="AF325">
        <v>204</v>
      </c>
      <c r="AG325">
        <v>204</v>
      </c>
      <c r="AH325">
        <v>204</v>
      </c>
      <c r="AI325">
        <v>204</v>
      </c>
      <c r="AJ325">
        <v>204</v>
      </c>
    </row>
    <row r="326" spans="1:36" x14ac:dyDescent="0.25">
      <c r="A326" s="221" t="s">
        <v>408</v>
      </c>
      <c r="B326" s="209" t="s">
        <v>439</v>
      </c>
      <c r="C326" s="16" t="s">
        <v>440</v>
      </c>
      <c r="D326" s="16"/>
      <c r="E326" s="17" t="s">
        <v>78</v>
      </c>
      <c r="F326" s="18" t="s">
        <v>441</v>
      </c>
      <c r="G326" s="134" t="str">
        <f ca="1">_xlfn.FORMULATEXT(IN[[#This Row],[STAGE]])</f>
        <v>=heat_capacity_effective_m²*NFA_total/1000000</v>
      </c>
      <c r="H326" s="20">
        <v>1</v>
      </c>
      <c r="I326" s="104">
        <f>heat_capacity_effective_m²*NFA_total/1000000</f>
        <v>0</v>
      </c>
      <c r="J326" s="135">
        <f>IF(IN[[#This Row],[Sim_]]=IN[[#This Row],[STAGE]],1,0)</f>
        <v>1</v>
      </c>
      <c r="K326" s="174"/>
      <c r="L326" s="130"/>
      <c r="M326" s="130">
        <f>IF(IN[[#This Row],[Sim_]]=IN[[#This Row],[Sim Var ref]],1,0)</f>
        <v>1</v>
      </c>
      <c r="N326" s="8"/>
      <c r="O326" s="8">
        <v>272</v>
      </c>
      <c r="P326" s="105"/>
      <c r="Q326" s="137">
        <f>IF(IN[[#This Row],[Sim_]]=IN[[#This Row],[Direkt alt]],1,0)</f>
        <v>1</v>
      </c>
      <c r="R326" s="10">
        <v>29.456294400000001</v>
      </c>
      <c r="S326" s="10">
        <f>IF(IN[[#This Row],[Sim_]]=IN[[#This Row],[Buffer]],1,0)</f>
        <v>0</v>
      </c>
      <c r="T326" s="11"/>
      <c r="U326" s="104">
        <f>heat_capacity_effective_m²*NFA_total/1000000</f>
        <v>0</v>
      </c>
      <c r="V326" s="174"/>
      <c r="W326" s="174"/>
      <c r="X326" s="174">
        <v>0</v>
      </c>
      <c r="Y326" s="11"/>
      <c r="Z326" s="174">
        <v>1.5667199999999999</v>
      </c>
      <c r="AA326" s="174">
        <v>5.4681791999999998</v>
      </c>
      <c r="AB326" s="174"/>
      <c r="AC326" s="106">
        <v>0</v>
      </c>
      <c r="AD326">
        <v>29.456294400000001</v>
      </c>
      <c r="AE326">
        <v>29.456294400000001</v>
      </c>
      <c r="AF326">
        <v>29.456294400000001</v>
      </c>
      <c r="AG326">
        <v>29.456294400000001</v>
      </c>
      <c r="AH326">
        <v>29.456294400000001</v>
      </c>
      <c r="AI326">
        <v>5.4681791999999998</v>
      </c>
      <c r="AJ326">
        <v>5.4681791999999998</v>
      </c>
    </row>
    <row r="327" spans="1:36" x14ac:dyDescent="0.25">
      <c r="A327" s="221" t="s">
        <v>408</v>
      </c>
      <c r="B327" s="29" t="s">
        <v>442</v>
      </c>
      <c r="C327" s="16" t="s">
        <v>440</v>
      </c>
      <c r="D327" s="16"/>
      <c r="E327" s="231" t="s">
        <v>443</v>
      </c>
      <c r="F327" s="232" t="s">
        <v>444</v>
      </c>
      <c r="G327" s="233" t="str">
        <f ca="1">_xlfn.FORMULATEXT(IN[[#This Row],[STAGE]])</f>
        <v>=heat_capacity_effective_abs</v>
      </c>
      <c r="H327" s="234">
        <v>0</v>
      </c>
      <c r="I327" s="235">
        <f>heat_capacity_effective_abs</f>
        <v>0</v>
      </c>
      <c r="J327" s="135">
        <f>IF(IN[[#This Row],[Sim_]]=IN[[#This Row],[STAGE]],1,0)</f>
        <v>1</v>
      </c>
      <c r="K327" s="174"/>
      <c r="L327" s="130"/>
      <c r="M327" s="130">
        <f>IF(IN[[#This Row],[Sim_]]=IN[[#This Row],[Sim Var ref]],1,0)</f>
        <v>1</v>
      </c>
      <c r="N327" s="8"/>
      <c r="O327" s="8">
        <v>273</v>
      </c>
      <c r="P327" s="105"/>
      <c r="Q327" s="137">
        <f>IF(IN[[#This Row],[Sim_]]=IN[[#This Row],[Direkt alt]],1,0)</f>
        <v>1</v>
      </c>
      <c r="R327" s="10">
        <v>29.456294400000001</v>
      </c>
      <c r="S327" s="10">
        <f>IF(IN[[#This Row],[Sim_]]=IN[[#This Row],[Buffer]],1,0)</f>
        <v>0</v>
      </c>
      <c r="T327" s="11"/>
      <c r="U327" s="104">
        <f>heat_capacity_effective_abs*NFAfrac_uncooled</f>
        <v>0</v>
      </c>
      <c r="V327" s="174"/>
      <c r="W327" s="174"/>
      <c r="X327" s="174">
        <v>0</v>
      </c>
      <c r="Y327" s="11"/>
      <c r="Z327" s="174">
        <v>1.5667199999999999</v>
      </c>
      <c r="AA327" s="174">
        <v>0</v>
      </c>
      <c r="AB327" s="174">
        <v>0</v>
      </c>
      <c r="AC327" s="236">
        <v>0</v>
      </c>
      <c r="AD327">
        <v>29.456294400000001</v>
      </c>
      <c r="AE327">
        <v>29.456294400000001</v>
      </c>
      <c r="AF327">
        <v>29.456294400000001</v>
      </c>
      <c r="AG327">
        <v>29.456294400000001</v>
      </c>
      <c r="AH327">
        <v>29.456294400000001</v>
      </c>
      <c r="AI327">
        <v>5.4681791999999998</v>
      </c>
      <c r="AJ327">
        <v>5.4681791999999998</v>
      </c>
    </row>
    <row r="328" spans="1:36" x14ac:dyDescent="0.25">
      <c r="A328" s="221" t="s">
        <v>408</v>
      </c>
      <c r="B328" s="29" t="s">
        <v>445</v>
      </c>
      <c r="C328" s="16" t="s">
        <v>440</v>
      </c>
      <c r="D328" s="16"/>
      <c r="E328" s="231" t="s">
        <v>443</v>
      </c>
      <c r="F328" s="232" t="s">
        <v>446</v>
      </c>
      <c r="G328" s="233" t="str">
        <f ca="1">_xlfn.FORMULATEXT(IN[[#This Row],[STAGE]])</f>
        <v>=heat_capacity_effective_abs</v>
      </c>
      <c r="H328" s="234">
        <v>0</v>
      </c>
      <c r="I328" s="235">
        <f>heat_capacity_effective_abs</f>
        <v>0</v>
      </c>
      <c r="J328" s="135">
        <f>IF(IN[[#This Row],[Sim_]]=IN[[#This Row],[STAGE]],1,0)</f>
        <v>1</v>
      </c>
      <c r="K328" s="174"/>
      <c r="L328" s="130"/>
      <c r="M328" s="130">
        <f>IF(IN[[#This Row],[Sim_]]=IN[[#This Row],[Sim Var ref]],1,0)</f>
        <v>1</v>
      </c>
      <c r="N328" s="8"/>
      <c r="O328" s="8">
        <v>274</v>
      </c>
      <c r="P328" s="105"/>
      <c r="Q328" s="137">
        <f>IF(IN[[#This Row],[Sim_]]=IN[[#This Row],[Direkt alt]],1,0)</f>
        <v>1</v>
      </c>
      <c r="R328" s="10">
        <v>29.456294400000001</v>
      </c>
      <c r="S328" s="10">
        <f>IF(IN[[#This Row],[Sim_]]=IN[[#This Row],[Buffer]],1,0)</f>
        <v>0</v>
      </c>
      <c r="T328" s="11"/>
      <c r="U328" s="104">
        <f>heat_capacity_effective_abs*NFAfrac_cooled</f>
        <v>0</v>
      </c>
      <c r="V328" s="174"/>
      <c r="W328" s="174"/>
      <c r="X328" s="174">
        <v>0</v>
      </c>
      <c r="Y328" s="11"/>
      <c r="Z328" s="174">
        <v>1.5667199999999999</v>
      </c>
      <c r="AA328" s="174">
        <v>5.4681791999999998</v>
      </c>
      <c r="AB328" s="174">
        <v>0</v>
      </c>
      <c r="AC328" s="236">
        <v>0</v>
      </c>
      <c r="AD328">
        <v>29.456294400000001</v>
      </c>
      <c r="AE328">
        <v>29.456294400000001</v>
      </c>
      <c r="AF328">
        <v>29.456294400000001</v>
      </c>
      <c r="AG328">
        <v>29.456294400000001</v>
      </c>
      <c r="AH328">
        <v>29.456294400000001</v>
      </c>
      <c r="AI328">
        <v>5.4681791999999998</v>
      </c>
      <c r="AJ328">
        <v>5.4681791999999998</v>
      </c>
    </row>
    <row r="329" spans="1:36" x14ac:dyDescent="0.25">
      <c r="A329" s="63"/>
      <c r="B329" s="209"/>
      <c r="C329" s="16"/>
      <c r="D329" s="16"/>
      <c r="E329" s="237"/>
      <c r="F329" s="238"/>
      <c r="G329" s="239"/>
      <c r="H329" s="240">
        <v>0</v>
      </c>
      <c r="I329" s="241">
        <f>IN[[#This Row],[Buffer]]</f>
        <v>0</v>
      </c>
      <c r="J329" s="135">
        <f>IF(IN[[#This Row],[Sim_]]=IN[[#This Row],[STAGE]],1,0)</f>
        <v>1</v>
      </c>
      <c r="K329" s="174"/>
      <c r="L329" s="130"/>
      <c r="M329" s="130">
        <f>IF(IN[[#This Row],[Sim_]]=IN[[#This Row],[Sim Var ref]],1,0)</f>
        <v>1</v>
      </c>
      <c r="N329" s="8"/>
      <c r="O329" s="8"/>
      <c r="P329" s="105"/>
      <c r="Q329" s="137">
        <f>IF(IN[[#This Row],[Sim_]]=IN[[#This Row],[Direkt alt]],1,0)</f>
        <v>1</v>
      </c>
      <c r="R329" s="10">
        <v>0</v>
      </c>
      <c r="S329" s="10">
        <f>IF(IN[[#This Row],[Sim_]]=IN[[#This Row],[Buffer]],1,0)</f>
        <v>1</v>
      </c>
      <c r="T329" s="11"/>
      <c r="U329" s="145"/>
      <c r="V329" s="174"/>
      <c r="W329" s="174"/>
      <c r="X329" s="174">
        <v>0</v>
      </c>
      <c r="Y329" s="11"/>
      <c r="Z329" s="174">
        <v>0</v>
      </c>
      <c r="AA329" s="174"/>
      <c r="AB329" s="174"/>
      <c r="AC329" s="242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s="63"/>
      <c r="B330" s="209"/>
      <c r="C330" s="16"/>
      <c r="D330" s="16"/>
      <c r="E330" s="237"/>
      <c r="F330" s="238"/>
      <c r="G330" s="239"/>
      <c r="H330" s="240">
        <v>0</v>
      </c>
      <c r="I330" s="241">
        <f>IN[[#This Row],[Buffer]]</f>
        <v>0</v>
      </c>
      <c r="J330" s="135">
        <f>IF(IN[[#This Row],[Sim_]]=IN[[#This Row],[STAGE]],1,0)</f>
        <v>1</v>
      </c>
      <c r="K330" s="174"/>
      <c r="L330" s="130"/>
      <c r="M330" s="130">
        <f>IF(IN[[#This Row],[Sim_]]=IN[[#This Row],[Sim Var ref]],1,0)</f>
        <v>1</v>
      </c>
      <c r="N330" s="8"/>
      <c r="O330" s="8"/>
      <c r="P330" s="105"/>
      <c r="Q330" s="137">
        <f>IF(IN[[#This Row],[Sim_]]=IN[[#This Row],[Direkt alt]],1,0)</f>
        <v>1</v>
      </c>
      <c r="R330" s="10">
        <v>0</v>
      </c>
      <c r="S330" s="10">
        <f>IF(IN[[#This Row],[Sim_]]=IN[[#This Row],[Buffer]],1,0)</f>
        <v>1</v>
      </c>
      <c r="T330" s="11"/>
      <c r="U330" s="145"/>
      <c r="V330" s="174"/>
      <c r="W330" s="174"/>
      <c r="X330" s="174">
        <v>0</v>
      </c>
      <c r="Y330" s="11"/>
      <c r="Z330" s="174">
        <v>0</v>
      </c>
      <c r="AA330" s="174"/>
      <c r="AB330" s="174"/>
      <c r="AC330" s="242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s="63"/>
      <c r="B331" s="209"/>
      <c r="C331" s="16"/>
      <c r="D331" s="16"/>
      <c r="E331" s="237"/>
      <c r="F331" s="238"/>
      <c r="G331" s="239"/>
      <c r="H331" s="240">
        <v>0</v>
      </c>
      <c r="I331" s="241">
        <f>IN[[#This Row],[Buffer]]</f>
        <v>0</v>
      </c>
      <c r="J331" s="135">
        <f>IF(IN[[#This Row],[Sim_]]=IN[[#This Row],[STAGE]],1,0)</f>
        <v>1</v>
      </c>
      <c r="K331" s="174"/>
      <c r="L331" s="130"/>
      <c r="M331" s="130">
        <f>IF(IN[[#This Row],[Sim_]]=IN[[#This Row],[Sim Var ref]],1,0)</f>
        <v>1</v>
      </c>
      <c r="N331" s="8"/>
      <c r="O331" s="8"/>
      <c r="P331" s="105"/>
      <c r="Q331" s="137">
        <f>IF(IN[[#This Row],[Sim_]]=IN[[#This Row],[Direkt alt]],1,0)</f>
        <v>1</v>
      </c>
      <c r="R331" s="10">
        <v>0</v>
      </c>
      <c r="S331" s="10">
        <f>IF(IN[[#This Row],[Sim_]]=IN[[#This Row],[Buffer]],1,0)</f>
        <v>1</v>
      </c>
      <c r="T331" s="11"/>
      <c r="U331" s="145"/>
      <c r="V331" s="174"/>
      <c r="W331" s="174"/>
      <c r="X331" s="174">
        <v>0</v>
      </c>
      <c r="Y331" s="11"/>
      <c r="Z331" s="174">
        <v>0</v>
      </c>
      <c r="AA331" s="174"/>
      <c r="AB331" s="174"/>
      <c r="AC331" s="242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s="63"/>
      <c r="B332" s="209"/>
      <c r="C332" s="16"/>
      <c r="D332" s="16"/>
      <c r="E332" s="237"/>
      <c r="F332" s="238"/>
      <c r="G332" s="239"/>
      <c r="H332" s="240">
        <v>0</v>
      </c>
      <c r="I332" s="241">
        <f>IN[[#This Row],[Buffer]]</f>
        <v>0</v>
      </c>
      <c r="J332" s="135">
        <f>IF(IN[[#This Row],[Sim_]]=IN[[#This Row],[STAGE]],1,0)</f>
        <v>1</v>
      </c>
      <c r="K332" s="174"/>
      <c r="L332" s="130"/>
      <c r="M332" s="130">
        <f>IF(IN[[#This Row],[Sim_]]=IN[[#This Row],[Sim Var ref]],1,0)</f>
        <v>1</v>
      </c>
      <c r="N332" s="8"/>
      <c r="O332" s="8"/>
      <c r="P332" s="105"/>
      <c r="Q332" s="137">
        <f>IF(IN[[#This Row],[Sim_]]=IN[[#This Row],[Direkt alt]],1,0)</f>
        <v>1</v>
      </c>
      <c r="R332" s="10">
        <v>0</v>
      </c>
      <c r="S332" s="10">
        <f>IF(IN[[#This Row],[Sim_]]=IN[[#This Row],[Buffer]],1,0)</f>
        <v>1</v>
      </c>
      <c r="T332" s="11"/>
      <c r="U332" s="145"/>
      <c r="V332" s="174"/>
      <c r="W332" s="174"/>
      <c r="X332" s="174">
        <v>0</v>
      </c>
      <c r="Y332" s="11"/>
      <c r="Z332" s="174">
        <v>0</v>
      </c>
      <c r="AA332" s="174"/>
      <c r="AB332" s="174"/>
      <c r="AC332" s="24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s="63"/>
      <c r="B333" s="209"/>
      <c r="C333" s="16"/>
      <c r="D333" s="16"/>
      <c r="E333" s="237"/>
      <c r="F333" s="238"/>
      <c r="G333" s="239"/>
      <c r="H333" s="240">
        <v>0</v>
      </c>
      <c r="I333" s="241">
        <f>IN[[#This Row],[Buffer]]</f>
        <v>0</v>
      </c>
      <c r="J333" s="135">
        <f>IF(IN[[#This Row],[Sim_]]=IN[[#This Row],[STAGE]],1,0)</f>
        <v>1</v>
      </c>
      <c r="K333" s="174"/>
      <c r="L333" s="130"/>
      <c r="M333" s="130">
        <f>IF(IN[[#This Row],[Sim_]]=IN[[#This Row],[Sim Var ref]],1,0)</f>
        <v>1</v>
      </c>
      <c r="N333" s="8"/>
      <c r="O333" s="8"/>
      <c r="P333" s="105"/>
      <c r="Q333" s="137">
        <f>IF(IN[[#This Row],[Sim_]]=IN[[#This Row],[Direkt alt]],1,0)</f>
        <v>1</v>
      </c>
      <c r="R333" s="10">
        <v>0</v>
      </c>
      <c r="S333" s="10">
        <f>IF(IN[[#This Row],[Sim_]]=IN[[#This Row],[Buffer]],1,0)</f>
        <v>1</v>
      </c>
      <c r="T333" s="11"/>
      <c r="U333" s="145"/>
      <c r="V333" s="174"/>
      <c r="W333" s="174"/>
      <c r="X333" s="174">
        <v>0</v>
      </c>
      <c r="Y333" s="11"/>
      <c r="Z333" s="174">
        <v>0</v>
      </c>
      <c r="AA333" s="174"/>
      <c r="AB333" s="174"/>
      <c r="AC333" s="242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s="63"/>
      <c r="B334" s="209"/>
      <c r="C334" s="16"/>
      <c r="D334" s="16"/>
      <c r="E334" s="237"/>
      <c r="F334" s="238"/>
      <c r="G334" s="239"/>
      <c r="H334" s="240">
        <v>0</v>
      </c>
      <c r="I334" s="241">
        <f>IN[[#This Row],[Buffer]]</f>
        <v>0</v>
      </c>
      <c r="J334" s="135">
        <f>IF(IN[[#This Row],[Sim_]]=IN[[#This Row],[STAGE]],1,0)</f>
        <v>1</v>
      </c>
      <c r="K334" s="174"/>
      <c r="L334" s="130"/>
      <c r="M334" s="130">
        <f>IF(IN[[#This Row],[Sim_]]=IN[[#This Row],[Sim Var ref]],1,0)</f>
        <v>1</v>
      </c>
      <c r="N334" s="8"/>
      <c r="O334" s="8"/>
      <c r="P334" s="105"/>
      <c r="Q334" s="137">
        <f>IF(IN[[#This Row],[Sim_]]=IN[[#This Row],[Direkt alt]],1,0)</f>
        <v>1</v>
      </c>
      <c r="R334" s="10">
        <v>0</v>
      </c>
      <c r="S334" s="10">
        <f>IF(IN[[#This Row],[Sim_]]=IN[[#This Row],[Buffer]],1,0)</f>
        <v>1</v>
      </c>
      <c r="T334" s="11"/>
      <c r="U334" s="145"/>
      <c r="V334" s="174"/>
      <c r="W334" s="174"/>
      <c r="X334" s="174">
        <v>0</v>
      </c>
      <c r="Y334" s="11"/>
      <c r="Z334" s="174">
        <v>0</v>
      </c>
      <c r="AA334" s="174"/>
      <c r="AB334" s="174"/>
      <c r="AC334" s="242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s="63"/>
      <c r="B335" s="209"/>
      <c r="C335" s="16"/>
      <c r="D335" s="16"/>
      <c r="E335" s="237"/>
      <c r="F335" s="238"/>
      <c r="G335" s="239"/>
      <c r="H335" s="240">
        <v>0</v>
      </c>
      <c r="I335" s="241">
        <f>IN[[#This Row],[Buffer]]</f>
        <v>0</v>
      </c>
      <c r="J335" s="135">
        <f>IF(IN[[#This Row],[Sim_]]=IN[[#This Row],[STAGE]],1,0)</f>
        <v>1</v>
      </c>
      <c r="K335" s="174"/>
      <c r="L335" s="130"/>
      <c r="M335" s="130">
        <f>IF(IN[[#This Row],[Sim_]]=IN[[#This Row],[Sim Var ref]],1,0)</f>
        <v>1</v>
      </c>
      <c r="N335" s="8"/>
      <c r="O335" s="8"/>
      <c r="P335" s="105"/>
      <c r="Q335" s="137">
        <f>IF(IN[[#This Row],[Sim_]]=IN[[#This Row],[Direkt alt]],1,0)</f>
        <v>1</v>
      </c>
      <c r="R335" s="10">
        <v>0</v>
      </c>
      <c r="S335" s="10">
        <f>IF(IN[[#This Row],[Sim_]]=IN[[#This Row],[Buffer]],1,0)</f>
        <v>1</v>
      </c>
      <c r="T335" s="11"/>
      <c r="U335" s="145"/>
      <c r="V335" s="174"/>
      <c r="W335" s="174"/>
      <c r="X335" s="174">
        <v>0</v>
      </c>
      <c r="Y335" s="11"/>
      <c r="Z335" s="174">
        <v>0</v>
      </c>
      <c r="AA335" s="174"/>
      <c r="AB335" s="174"/>
      <c r="AC335" s="242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s="63"/>
      <c r="B336" s="209"/>
      <c r="C336" s="16"/>
      <c r="D336" s="16"/>
      <c r="E336" s="237"/>
      <c r="F336" s="238"/>
      <c r="G336" s="239"/>
      <c r="H336" s="240">
        <v>0</v>
      </c>
      <c r="I336" s="241">
        <f>IN[[#This Row],[Buffer]]</f>
        <v>0</v>
      </c>
      <c r="J336" s="135">
        <f>IF(IN[[#This Row],[Sim_]]=IN[[#This Row],[STAGE]],1,0)</f>
        <v>1</v>
      </c>
      <c r="K336" s="174"/>
      <c r="L336" s="130"/>
      <c r="M336" s="130">
        <f>IF(IN[[#This Row],[Sim_]]=IN[[#This Row],[Sim Var ref]],1,0)</f>
        <v>1</v>
      </c>
      <c r="N336" s="8"/>
      <c r="O336" s="8"/>
      <c r="P336" s="105"/>
      <c r="Q336" s="137">
        <f>IF(IN[[#This Row],[Sim_]]=IN[[#This Row],[Direkt alt]],1,0)</f>
        <v>1</v>
      </c>
      <c r="R336" s="10">
        <v>0</v>
      </c>
      <c r="S336" s="10">
        <f>IF(IN[[#This Row],[Sim_]]=IN[[#This Row],[Buffer]],1,0)</f>
        <v>1</v>
      </c>
      <c r="T336" s="11"/>
      <c r="U336" s="145"/>
      <c r="V336" s="174"/>
      <c r="W336" s="174"/>
      <c r="X336" s="174">
        <v>0</v>
      </c>
      <c r="Y336" s="11"/>
      <c r="Z336" s="174">
        <v>0</v>
      </c>
      <c r="AA336" s="174"/>
      <c r="AB336" s="174"/>
      <c r="AC336" s="242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s="63"/>
      <c r="B337" s="209"/>
      <c r="C337" s="16"/>
      <c r="D337" s="16"/>
      <c r="E337" s="237"/>
      <c r="F337" s="238"/>
      <c r="G337" s="239"/>
      <c r="H337" s="240">
        <v>0</v>
      </c>
      <c r="I337" s="241">
        <f>IN[[#This Row],[Buffer]]</f>
        <v>0</v>
      </c>
      <c r="J337" s="135">
        <f>IF(IN[[#This Row],[Sim_]]=IN[[#This Row],[STAGE]],1,0)</f>
        <v>1</v>
      </c>
      <c r="K337" s="174"/>
      <c r="L337" s="130"/>
      <c r="M337" s="130">
        <f>IF(IN[[#This Row],[Sim_]]=IN[[#This Row],[Sim Var ref]],1,0)</f>
        <v>1</v>
      </c>
      <c r="N337" s="8"/>
      <c r="O337" s="8"/>
      <c r="P337" s="105"/>
      <c r="Q337" s="137">
        <f>IF(IN[[#This Row],[Sim_]]=IN[[#This Row],[Direkt alt]],1,0)</f>
        <v>1</v>
      </c>
      <c r="R337" s="10">
        <v>0</v>
      </c>
      <c r="S337" s="10">
        <f>IF(IN[[#This Row],[Sim_]]=IN[[#This Row],[Buffer]],1,0)</f>
        <v>1</v>
      </c>
      <c r="T337" s="11"/>
      <c r="U337" s="145"/>
      <c r="V337" s="174"/>
      <c r="W337" s="174"/>
      <c r="X337" s="174">
        <v>0</v>
      </c>
      <c r="Y337" s="11"/>
      <c r="Z337" s="174">
        <v>0</v>
      </c>
      <c r="AA337" s="174"/>
      <c r="AB337" s="174"/>
      <c r="AC337" s="242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s="63"/>
      <c r="B338" s="209"/>
      <c r="C338" s="16"/>
      <c r="D338" s="16"/>
      <c r="E338" s="237"/>
      <c r="F338" s="238"/>
      <c r="G338" s="239"/>
      <c r="H338" s="240">
        <v>0</v>
      </c>
      <c r="I338" s="241">
        <f>IN[[#This Row],[Buffer]]</f>
        <v>0</v>
      </c>
      <c r="J338" s="135">
        <f>IF(IN[[#This Row],[Sim_]]=IN[[#This Row],[STAGE]],1,0)</f>
        <v>1</v>
      </c>
      <c r="K338" s="174"/>
      <c r="L338" s="130"/>
      <c r="M338" s="130">
        <f>IF(IN[[#This Row],[Sim_]]=IN[[#This Row],[Sim Var ref]],1,0)</f>
        <v>1</v>
      </c>
      <c r="N338" s="8"/>
      <c r="O338" s="8"/>
      <c r="P338" s="105"/>
      <c r="Q338" s="137">
        <f>IF(IN[[#This Row],[Sim_]]=IN[[#This Row],[Direkt alt]],1,0)</f>
        <v>1</v>
      </c>
      <c r="R338" s="10">
        <v>0</v>
      </c>
      <c r="S338" s="10">
        <f>IF(IN[[#This Row],[Sim_]]=IN[[#This Row],[Buffer]],1,0)</f>
        <v>1</v>
      </c>
      <c r="T338" s="11"/>
      <c r="U338" s="145"/>
      <c r="V338" s="174"/>
      <c r="W338" s="174"/>
      <c r="X338" s="174">
        <v>0</v>
      </c>
      <c r="Y338" s="11"/>
      <c r="Z338" s="174">
        <v>0</v>
      </c>
      <c r="AA338" s="174"/>
      <c r="AB338" s="174"/>
      <c r="AC338" s="242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s="63"/>
      <c r="B339" s="209"/>
      <c r="C339" s="16"/>
      <c r="D339" s="16"/>
      <c r="E339" s="237"/>
      <c r="F339" s="238"/>
      <c r="G339" s="239"/>
      <c r="H339" s="240">
        <v>0</v>
      </c>
      <c r="I339" s="241">
        <f>IN[[#This Row],[Buffer]]</f>
        <v>0</v>
      </c>
      <c r="J339" s="135">
        <f>IF(IN[[#This Row],[Sim_]]=IN[[#This Row],[STAGE]],1,0)</f>
        <v>1</v>
      </c>
      <c r="K339" s="174"/>
      <c r="L339" s="130"/>
      <c r="M339" s="130">
        <f>IF(IN[[#This Row],[Sim_]]=IN[[#This Row],[Sim Var ref]],1,0)</f>
        <v>1</v>
      </c>
      <c r="N339" s="8"/>
      <c r="O339" s="8"/>
      <c r="P339" s="105"/>
      <c r="Q339" s="137">
        <f>IF(IN[[#This Row],[Sim_]]=IN[[#This Row],[Direkt alt]],1,0)</f>
        <v>1</v>
      </c>
      <c r="R339" s="10">
        <v>0</v>
      </c>
      <c r="S339" s="10">
        <f>IF(IN[[#This Row],[Sim_]]=IN[[#This Row],[Buffer]],1,0)</f>
        <v>1</v>
      </c>
      <c r="T339" s="11"/>
      <c r="U339" s="145"/>
      <c r="V339" s="174"/>
      <c r="W339" s="174"/>
      <c r="X339" s="174">
        <v>0</v>
      </c>
      <c r="Y339" s="11"/>
      <c r="Z339" s="174">
        <v>0</v>
      </c>
      <c r="AA339" s="174"/>
      <c r="AB339" s="174"/>
      <c r="AC339" s="242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s="63"/>
      <c r="B340" s="209"/>
      <c r="C340" s="16"/>
      <c r="D340" s="16"/>
      <c r="E340" s="237"/>
      <c r="F340" s="238"/>
      <c r="G340" s="239"/>
      <c r="H340" s="240">
        <v>0</v>
      </c>
      <c r="I340" s="241">
        <f>IN[[#This Row],[Buffer]]</f>
        <v>0</v>
      </c>
      <c r="J340" s="135">
        <f>IF(IN[[#This Row],[Sim_]]=IN[[#This Row],[STAGE]],1,0)</f>
        <v>1</v>
      </c>
      <c r="K340" s="174"/>
      <c r="L340" s="130"/>
      <c r="M340" s="130">
        <f>IF(IN[[#This Row],[Sim_]]=IN[[#This Row],[Sim Var ref]],1,0)</f>
        <v>1</v>
      </c>
      <c r="N340" s="8"/>
      <c r="O340" s="8"/>
      <c r="P340" s="105"/>
      <c r="Q340" s="137">
        <f>IF(IN[[#This Row],[Sim_]]=IN[[#This Row],[Direkt alt]],1,0)</f>
        <v>1</v>
      </c>
      <c r="R340" s="10">
        <v>0</v>
      </c>
      <c r="S340" s="10">
        <f>IF(IN[[#This Row],[Sim_]]=IN[[#This Row],[Buffer]],1,0)</f>
        <v>1</v>
      </c>
      <c r="T340" s="11"/>
      <c r="U340" s="145"/>
      <c r="V340" s="174"/>
      <c r="W340" s="174"/>
      <c r="X340" s="174">
        <v>0</v>
      </c>
      <c r="Y340" s="11"/>
      <c r="Z340" s="174">
        <v>0</v>
      </c>
      <c r="AA340" s="174"/>
      <c r="AB340" s="174"/>
      <c r="AC340" s="242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s="63"/>
      <c r="B341" s="209"/>
      <c r="C341" s="16"/>
      <c r="D341" s="16"/>
      <c r="E341" s="237"/>
      <c r="F341" s="238"/>
      <c r="G341" s="239"/>
      <c r="H341" s="240">
        <v>0</v>
      </c>
      <c r="I341" s="241">
        <f>IN[[#This Row],[Buffer]]</f>
        <v>0</v>
      </c>
      <c r="J341" s="135">
        <f>IF(IN[[#This Row],[Sim_]]=IN[[#This Row],[STAGE]],1,0)</f>
        <v>1</v>
      </c>
      <c r="K341" s="174"/>
      <c r="L341" s="130"/>
      <c r="M341" s="130">
        <f>IF(IN[[#This Row],[Sim_]]=IN[[#This Row],[Sim Var ref]],1,0)</f>
        <v>1</v>
      </c>
      <c r="N341" s="8"/>
      <c r="O341" s="8"/>
      <c r="P341" s="105"/>
      <c r="Q341" s="137">
        <f>IF(IN[[#This Row],[Sim_]]=IN[[#This Row],[Direkt alt]],1,0)</f>
        <v>1</v>
      </c>
      <c r="R341" s="10">
        <v>0</v>
      </c>
      <c r="S341" s="10">
        <f>IF(IN[[#This Row],[Sim_]]=IN[[#This Row],[Buffer]],1,0)</f>
        <v>1</v>
      </c>
      <c r="T341" s="11"/>
      <c r="U341" s="145"/>
      <c r="V341" s="174"/>
      <c r="W341" s="174"/>
      <c r="X341" s="174">
        <v>0</v>
      </c>
      <c r="Y341" s="11"/>
      <c r="Z341" s="174">
        <v>0</v>
      </c>
      <c r="AA341" s="174"/>
      <c r="AB341" s="174"/>
      <c r="AC341" s="242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s="63"/>
      <c r="B342" s="209"/>
      <c r="C342" s="16"/>
      <c r="D342" s="16"/>
      <c r="E342" s="237"/>
      <c r="F342" s="238"/>
      <c r="G342" s="239"/>
      <c r="H342" s="240">
        <v>0</v>
      </c>
      <c r="I342" s="241">
        <f>IN[[#This Row],[Buffer]]</f>
        <v>0</v>
      </c>
      <c r="J342" s="135">
        <f>IF(IN[[#This Row],[Sim_]]=IN[[#This Row],[STAGE]],1,0)</f>
        <v>1</v>
      </c>
      <c r="K342" s="174"/>
      <c r="L342" s="130"/>
      <c r="M342" s="130">
        <f>IF(IN[[#This Row],[Sim_]]=IN[[#This Row],[Sim Var ref]],1,0)</f>
        <v>1</v>
      </c>
      <c r="N342" s="8"/>
      <c r="O342" s="8"/>
      <c r="P342" s="105"/>
      <c r="Q342" s="137">
        <f>IF(IN[[#This Row],[Sim_]]=IN[[#This Row],[Direkt alt]],1,0)</f>
        <v>1</v>
      </c>
      <c r="R342" s="10">
        <v>0</v>
      </c>
      <c r="S342" s="10">
        <f>IF(IN[[#This Row],[Sim_]]=IN[[#This Row],[Buffer]],1,0)</f>
        <v>1</v>
      </c>
      <c r="T342" s="11"/>
      <c r="U342" s="145"/>
      <c r="V342" s="174"/>
      <c r="W342" s="174"/>
      <c r="X342" s="174">
        <v>0</v>
      </c>
      <c r="Y342" s="11"/>
      <c r="Z342" s="174">
        <v>0</v>
      </c>
      <c r="AA342" s="174"/>
      <c r="AB342" s="174"/>
      <c r="AC342" s="2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s="63"/>
      <c r="B343" s="209"/>
      <c r="C343" s="16"/>
      <c r="D343" s="16"/>
      <c r="E343" s="237"/>
      <c r="F343" s="238"/>
      <c r="G343" s="239"/>
      <c r="H343" s="240">
        <v>0</v>
      </c>
      <c r="I343" s="241">
        <f>IN[[#This Row],[Buffer]]</f>
        <v>0</v>
      </c>
      <c r="J343" s="135">
        <f>IF(IN[[#This Row],[Sim_]]=IN[[#This Row],[STAGE]],1,0)</f>
        <v>1</v>
      </c>
      <c r="K343" s="174"/>
      <c r="L343" s="130"/>
      <c r="M343" s="130">
        <f>IF(IN[[#This Row],[Sim_]]=IN[[#This Row],[Sim Var ref]],1,0)</f>
        <v>1</v>
      </c>
      <c r="N343" s="8"/>
      <c r="O343" s="8"/>
      <c r="P343" s="105"/>
      <c r="Q343" s="137">
        <f>IF(IN[[#This Row],[Sim_]]=IN[[#This Row],[Direkt alt]],1,0)</f>
        <v>1</v>
      </c>
      <c r="R343" s="10">
        <v>0</v>
      </c>
      <c r="S343" s="10">
        <f>IF(IN[[#This Row],[Sim_]]=IN[[#This Row],[Buffer]],1,0)</f>
        <v>1</v>
      </c>
      <c r="T343" s="11"/>
      <c r="U343" s="145"/>
      <c r="V343" s="174"/>
      <c r="W343" s="174"/>
      <c r="X343" s="174">
        <v>0</v>
      </c>
      <c r="Y343" s="11"/>
      <c r="Z343" s="174">
        <v>0</v>
      </c>
      <c r="AA343" s="174"/>
      <c r="AB343" s="174"/>
      <c r="AC343" s="242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ht="26.25" x14ac:dyDescent="0.25">
      <c r="A344" s="243"/>
      <c r="B344" s="243"/>
      <c r="C344" s="244" t="e">
        <f>ROWS(#REF!)-1</f>
        <v>#REF!</v>
      </c>
      <c r="D344" s="244" t="s">
        <v>293</v>
      </c>
      <c r="E344" s="243"/>
      <c r="F344" s="245"/>
      <c r="G344" s="246"/>
      <c r="H344" s="247">
        <v>0</v>
      </c>
      <c r="I344" s="243"/>
      <c r="J344" s="243"/>
      <c r="K344" s="243"/>
      <c r="L344" s="243"/>
      <c r="M344" s="243"/>
      <c r="N344" s="243"/>
      <c r="O344" s="243"/>
      <c r="P344" s="243"/>
      <c r="Q344" s="243"/>
      <c r="R344" s="243"/>
      <c r="S344" s="243"/>
      <c r="T344" s="243"/>
      <c r="U344" s="243"/>
      <c r="V344" s="248"/>
      <c r="W344" s="248"/>
      <c r="X344" s="248"/>
      <c r="Y344" s="248"/>
      <c r="Z344" s="248"/>
      <c r="AA344" s="248"/>
      <c r="AB344" s="248"/>
      <c r="AC344" s="248"/>
    </row>
    <row r="345" spans="1:36" x14ac:dyDescent="0.25">
      <c r="A345" s="249" t="s">
        <v>447</v>
      </c>
      <c r="B345" s="209" t="s">
        <v>448</v>
      </c>
      <c r="C345" s="16"/>
      <c r="D345" s="16"/>
      <c r="E345" s="17" t="s">
        <v>285</v>
      </c>
      <c r="F345" s="18"/>
      <c r="G345" s="134" t="str">
        <f ca="1">_xlfn.FORMULATEXT(IN[[#This Row],[STAGE]])</f>
        <v>='[ka_PEQ_Nachweistool.xlsb]🧱'!B27</v>
      </c>
      <c r="H345" s="20">
        <v>2</v>
      </c>
      <c r="I345" s="222">
        <f>'[1]🧱'!B27</f>
        <v>0</v>
      </c>
      <c r="J345" s="135">
        <f>IF(IN[[#This Row],[Sim_]]=IN[[#This Row],[STAGE]],1,0)</f>
        <v>0</v>
      </c>
      <c r="K345" s="223">
        <f t="shared" ref="K345:K354" si="9">K151</f>
        <v>0.39489326478831027</v>
      </c>
      <c r="L345" s="130"/>
      <c r="M345" s="130">
        <f>IF(IN[[#This Row],[Sim_]]=IN[[#This Row],[Sim Var ref]],1,0)</f>
        <v>0</v>
      </c>
      <c r="N345" s="8"/>
      <c r="O345" s="8">
        <v>275</v>
      </c>
      <c r="P345" s="105"/>
      <c r="Q345" s="137">
        <f>IF(IN[[#This Row],[Sim_]]=IN[[#This Row],[Direkt alt]],1,0)</f>
        <v>0</v>
      </c>
      <c r="R345" s="10">
        <v>0.6</v>
      </c>
      <c r="S345" s="10">
        <f>IF(IN[[#This Row],[Sim_]]=IN[[#This Row],[Buffer]],1,0)</f>
        <v>0</v>
      </c>
      <c r="T345" s="11"/>
      <c r="U345" s="222" t="e">
        <f>'[1]🧱'!#REF!</f>
        <v>#REF!</v>
      </c>
      <c r="V345" s="174">
        <f t="shared" ref="V345:W354" si="10">V151</f>
        <v>0.39489326478831027</v>
      </c>
      <c r="W345" s="174">
        <f t="shared" si="10"/>
        <v>0.38967233513065119</v>
      </c>
      <c r="X345" s="174">
        <v>0.5</v>
      </c>
      <c r="Y345" s="11"/>
      <c r="Z345" s="174">
        <v>0.5</v>
      </c>
      <c r="AA345" s="174">
        <v>0.39489326478831027</v>
      </c>
      <c r="AB345" s="174">
        <v>0.39489326478831027</v>
      </c>
      <c r="AC345" s="224">
        <v>0.5</v>
      </c>
      <c r="AD345">
        <v>0.71755784189881</v>
      </c>
      <c r="AE345" s="146">
        <v>0.71755784189881</v>
      </c>
      <c r="AF345" s="146">
        <v>0.6</v>
      </c>
      <c r="AG345">
        <v>0.6</v>
      </c>
      <c r="AH345">
        <v>0.6</v>
      </c>
      <c r="AI345">
        <v>0.39489326478831027</v>
      </c>
      <c r="AJ345">
        <v>0.39489326478831027</v>
      </c>
    </row>
    <row r="346" spans="1:36" x14ac:dyDescent="0.25">
      <c r="A346" s="249" t="s">
        <v>447</v>
      </c>
      <c r="B346" s="209" t="s">
        <v>449</v>
      </c>
      <c r="C346" s="16"/>
      <c r="D346" s="16"/>
      <c r="E346" s="17" t="s">
        <v>285</v>
      </c>
      <c r="F346" s="18"/>
      <c r="G346" s="134" t="str">
        <f ca="1">_xlfn.FORMULATEXT(IN[[#This Row],[STAGE]])</f>
        <v>='[ka_PEQ_Nachweistool.xlsb]🧱'!B28</v>
      </c>
      <c r="H346" s="20">
        <v>2</v>
      </c>
      <c r="I346" s="222">
        <f>'[1]🧱'!B28</f>
        <v>0</v>
      </c>
      <c r="J346" s="135">
        <f>IF(IN[[#This Row],[Sim_]]=IN[[#This Row],[STAGE]],1,0)</f>
        <v>0</v>
      </c>
      <c r="K346" s="223">
        <f t="shared" si="9"/>
        <v>0.39489326478831027</v>
      </c>
      <c r="L346" s="130"/>
      <c r="M346" s="130">
        <f>IF(IN[[#This Row],[Sim_]]=IN[[#This Row],[Sim Var ref]],1,0)</f>
        <v>0</v>
      </c>
      <c r="N346" s="8"/>
      <c r="O346" s="8">
        <v>276</v>
      </c>
      <c r="P346" s="105"/>
      <c r="Q346" s="137">
        <f>IF(IN[[#This Row],[Sim_]]=IN[[#This Row],[Direkt alt]],1,0)</f>
        <v>0</v>
      </c>
      <c r="R346" s="10">
        <v>0.6</v>
      </c>
      <c r="S346" s="10">
        <f>IF(IN[[#This Row],[Sim_]]=IN[[#This Row],[Buffer]],1,0)</f>
        <v>0</v>
      </c>
      <c r="T346" s="11"/>
      <c r="U346" s="222" t="e">
        <f>'[1]🧱'!#REF!</f>
        <v>#REF!</v>
      </c>
      <c r="V346" s="174">
        <f t="shared" si="10"/>
        <v>0.39489326478831027</v>
      </c>
      <c r="W346" s="174">
        <f t="shared" si="10"/>
        <v>0.5</v>
      </c>
      <c r="X346" s="174">
        <v>0.5</v>
      </c>
      <c r="Y346" s="11"/>
      <c r="Z346" s="174">
        <v>0.5</v>
      </c>
      <c r="AA346" s="174">
        <v>0.39489326478831027</v>
      </c>
      <c r="AB346" s="174">
        <v>0.39489326478831027</v>
      </c>
      <c r="AC346" s="224">
        <v>0.5</v>
      </c>
      <c r="AD346">
        <v>0.71755784189881</v>
      </c>
      <c r="AE346" s="146">
        <v>0.71755784189881</v>
      </c>
      <c r="AF346" s="146">
        <v>0.6</v>
      </c>
      <c r="AG346">
        <v>0.6</v>
      </c>
      <c r="AH346">
        <v>0.6</v>
      </c>
      <c r="AI346">
        <v>0.39489326478831027</v>
      </c>
      <c r="AJ346">
        <v>0.39489326478831027</v>
      </c>
    </row>
    <row r="347" spans="1:36" x14ac:dyDescent="0.25">
      <c r="A347" s="249" t="s">
        <v>447</v>
      </c>
      <c r="B347" s="209" t="s">
        <v>450</v>
      </c>
      <c r="C347" s="16"/>
      <c r="D347" s="16"/>
      <c r="E347" s="17" t="s">
        <v>285</v>
      </c>
      <c r="F347" s="18"/>
      <c r="G347" s="134" t="str">
        <f ca="1">_xlfn.FORMULATEXT(IN[[#This Row],[STAGE]])</f>
        <v>='[ka_PEQ_Nachweistool.xlsb]🧱'!B29</v>
      </c>
      <c r="H347" s="20">
        <v>2</v>
      </c>
      <c r="I347" s="222">
        <f>'[1]🧱'!B29</f>
        <v>0</v>
      </c>
      <c r="J347" s="135">
        <f>IF(IN[[#This Row],[Sim_]]=IN[[#This Row],[STAGE]],1,0)</f>
        <v>0</v>
      </c>
      <c r="K347" s="223">
        <f t="shared" si="9"/>
        <v>0.39489326478831027</v>
      </c>
      <c r="L347" s="130"/>
      <c r="M347" s="130">
        <f>IF(IN[[#This Row],[Sim_]]=IN[[#This Row],[Sim Var ref]],1,0)</f>
        <v>0</v>
      </c>
      <c r="N347" s="8"/>
      <c r="O347" s="8">
        <v>277</v>
      </c>
      <c r="P347" s="105"/>
      <c r="Q347" s="137">
        <f>IF(IN[[#This Row],[Sim_]]=IN[[#This Row],[Direkt alt]],1,0)</f>
        <v>0</v>
      </c>
      <c r="R347" s="10">
        <v>0.6</v>
      </c>
      <c r="S347" s="10">
        <f>IF(IN[[#This Row],[Sim_]]=IN[[#This Row],[Buffer]],1,0)</f>
        <v>0</v>
      </c>
      <c r="T347" s="11"/>
      <c r="U347" s="222" t="e">
        <f>'[1]🧱'!#REF!</f>
        <v>#REF!</v>
      </c>
      <c r="V347" s="174">
        <f t="shared" si="10"/>
        <v>0.39489326478831027</v>
      </c>
      <c r="W347" s="174">
        <f t="shared" si="10"/>
        <v>0.5</v>
      </c>
      <c r="X347" s="174">
        <v>0.5</v>
      </c>
      <c r="Y347" s="11"/>
      <c r="Z347" s="174">
        <v>0.5</v>
      </c>
      <c r="AA347" s="174">
        <v>0.39489326478831027</v>
      </c>
      <c r="AB347" s="174">
        <v>0.39489326478831027</v>
      </c>
      <c r="AC347" s="224">
        <v>0.5</v>
      </c>
      <c r="AD347">
        <v>0.71755784189881</v>
      </c>
      <c r="AE347" s="146">
        <v>0.71755784189881</v>
      </c>
      <c r="AF347" s="146">
        <v>0.6</v>
      </c>
      <c r="AG347">
        <v>0.6</v>
      </c>
      <c r="AH347">
        <v>0.6</v>
      </c>
      <c r="AI347">
        <v>0.39489326478831027</v>
      </c>
      <c r="AJ347">
        <v>0.39489326478831027</v>
      </c>
    </row>
    <row r="348" spans="1:36" x14ac:dyDescent="0.25">
      <c r="A348" s="249" t="s">
        <v>447</v>
      </c>
      <c r="B348" s="209" t="s">
        <v>451</v>
      </c>
      <c r="C348" s="16"/>
      <c r="D348" s="16"/>
      <c r="E348" s="17" t="s">
        <v>285</v>
      </c>
      <c r="F348" s="18"/>
      <c r="G348" s="134" t="str">
        <f ca="1">_xlfn.FORMULATEXT(IN[[#This Row],[STAGE]])</f>
        <v>='[ka_PEQ_Nachweistool.xlsb]🧱'!B30</v>
      </c>
      <c r="H348" s="20">
        <v>2</v>
      </c>
      <c r="I348" s="222">
        <f>'[1]🧱'!B30</f>
        <v>0</v>
      </c>
      <c r="J348" s="135">
        <f>IF(IN[[#This Row],[Sim_]]=IN[[#This Row],[STAGE]],1,0)</f>
        <v>0</v>
      </c>
      <c r="K348" s="223">
        <f t="shared" si="9"/>
        <v>0.39489326478831027</v>
      </c>
      <c r="L348" s="130"/>
      <c r="M348" s="130">
        <f>IF(IN[[#This Row],[Sim_]]=IN[[#This Row],[Sim Var ref]],1,0)</f>
        <v>0</v>
      </c>
      <c r="N348" s="8"/>
      <c r="O348" s="8">
        <v>278</v>
      </c>
      <c r="P348" s="105"/>
      <c r="Q348" s="137">
        <f>IF(IN[[#This Row],[Sim_]]=IN[[#This Row],[Direkt alt]],1,0)</f>
        <v>0</v>
      </c>
      <c r="R348" s="10">
        <v>0.6</v>
      </c>
      <c r="S348" s="10">
        <f>IF(IN[[#This Row],[Sim_]]=IN[[#This Row],[Buffer]],1,0)</f>
        <v>0</v>
      </c>
      <c r="T348" s="11"/>
      <c r="U348" s="222" t="e">
        <f>'[1]🧱'!#REF!</f>
        <v>#REF!</v>
      </c>
      <c r="V348" s="174">
        <f t="shared" si="10"/>
        <v>0.39489326478831027</v>
      </c>
      <c r="W348" s="174">
        <f t="shared" si="10"/>
        <v>0.5</v>
      </c>
      <c r="X348" s="174">
        <v>0.5</v>
      </c>
      <c r="Y348" s="11"/>
      <c r="Z348" s="174">
        <v>0.5</v>
      </c>
      <c r="AA348" s="174">
        <v>0.39489326478831027</v>
      </c>
      <c r="AB348" s="174">
        <v>0.39489326478831027</v>
      </c>
      <c r="AC348" s="224">
        <v>0.5</v>
      </c>
      <c r="AD348">
        <v>0.71755784189881</v>
      </c>
      <c r="AE348" s="146">
        <v>0.71755784189881</v>
      </c>
      <c r="AF348" s="146">
        <v>0.6</v>
      </c>
      <c r="AG348">
        <v>0.6</v>
      </c>
      <c r="AH348">
        <v>0.6</v>
      </c>
      <c r="AI348">
        <v>0.39489326478831027</v>
      </c>
      <c r="AJ348">
        <v>0.39489326478831027</v>
      </c>
    </row>
    <row r="349" spans="1:36" x14ac:dyDescent="0.25">
      <c r="A349" s="249" t="s">
        <v>447</v>
      </c>
      <c r="B349" s="209" t="s">
        <v>452</v>
      </c>
      <c r="C349" s="16"/>
      <c r="D349" s="16"/>
      <c r="E349" s="17" t="s">
        <v>285</v>
      </c>
      <c r="F349" s="18"/>
      <c r="G349" s="134" t="str">
        <f ca="1">_xlfn.FORMULATEXT(IN[[#This Row],[STAGE]])</f>
        <v>='[ka_PEQ_Nachweistool.xlsb]🧱'!B31</v>
      </c>
      <c r="H349" s="20">
        <v>2</v>
      </c>
      <c r="I349" s="222">
        <f>'[1]🧱'!B31</f>
        <v>0</v>
      </c>
      <c r="J349" s="135">
        <f>IF(IN[[#This Row],[Sim_]]=IN[[#This Row],[STAGE]],1,0)</f>
        <v>0</v>
      </c>
      <c r="K349" s="223">
        <f t="shared" si="9"/>
        <v>0.39489326478831027</v>
      </c>
      <c r="L349" s="130"/>
      <c r="M349" s="130">
        <f>IF(IN[[#This Row],[Sim_]]=IN[[#This Row],[Sim Var ref]],1,0)</f>
        <v>0</v>
      </c>
      <c r="N349" s="8"/>
      <c r="O349" s="8">
        <v>279</v>
      </c>
      <c r="P349" s="105"/>
      <c r="Q349" s="137">
        <f>IF(IN[[#This Row],[Sim_]]=IN[[#This Row],[Direkt alt]],1,0)</f>
        <v>0</v>
      </c>
      <c r="R349" s="10">
        <v>0.6</v>
      </c>
      <c r="S349" s="10">
        <f>IF(IN[[#This Row],[Sim_]]=IN[[#This Row],[Buffer]],1,0)</f>
        <v>0</v>
      </c>
      <c r="T349" s="11"/>
      <c r="U349" s="222" t="e">
        <f>'[1]🧱'!#REF!</f>
        <v>#REF!</v>
      </c>
      <c r="V349" s="174">
        <f t="shared" si="10"/>
        <v>0.39489326478831027</v>
      </c>
      <c r="W349" s="174">
        <f t="shared" si="10"/>
        <v>0</v>
      </c>
      <c r="X349" s="174">
        <v>0.5</v>
      </c>
      <c r="Y349" s="11"/>
      <c r="Z349" s="174">
        <v>0.5</v>
      </c>
      <c r="AA349" s="174">
        <v>0.39489326478831027</v>
      </c>
      <c r="AB349" s="174">
        <v>0.39489326478831027</v>
      </c>
      <c r="AC349" s="224">
        <v>0.5</v>
      </c>
      <c r="AD349">
        <v>0.71755784189881</v>
      </c>
      <c r="AE349" s="146">
        <v>0.71755784189881</v>
      </c>
      <c r="AF349" s="146">
        <v>0.6</v>
      </c>
      <c r="AG349">
        <v>0.6</v>
      </c>
      <c r="AH349">
        <v>0.6</v>
      </c>
      <c r="AI349">
        <v>0.39489326478831027</v>
      </c>
      <c r="AJ349">
        <v>0.39489326478831027</v>
      </c>
    </row>
    <row r="350" spans="1:36" x14ac:dyDescent="0.25">
      <c r="A350" s="249" t="s">
        <v>447</v>
      </c>
      <c r="B350" s="29" t="s">
        <v>453</v>
      </c>
      <c r="C350" s="94"/>
      <c r="D350" s="94"/>
      <c r="E350" s="17" t="s">
        <v>285</v>
      </c>
      <c r="F350" s="95"/>
      <c r="G350" s="134" t="str">
        <f ca="1">_xlfn.FORMULATEXT(IN[[#This Row],[STAGE]])</f>
        <v>='[ka_PEQ_Nachweistool.xlsb]🧱'!B54</v>
      </c>
      <c r="H350" s="20">
        <v>2</v>
      </c>
      <c r="I350" s="250">
        <f>'[1]🧱'!B54</f>
        <v>0</v>
      </c>
      <c r="J350" s="22">
        <f>IF(IN[[#This Row],[Sim_]]=IN[[#This Row],[STAGE]],1,0)</f>
        <v>0</v>
      </c>
      <c r="K350" s="223">
        <f t="shared" si="9"/>
        <v>0.64795770602231528</v>
      </c>
      <c r="L350" s="24">
        <f>[1]SIM!$EZ$4</f>
        <v>0.64795770602231528</v>
      </c>
      <c r="M350" s="22">
        <f>IF(IN[[#This Row],[Sim_]]=IN[[#This Row],[Sim Var ref]],1,0)</f>
        <v>1</v>
      </c>
      <c r="N350" s="8" t="str">
        <f>[1]SIM!$EZ$7</f>
        <v>p155</v>
      </c>
      <c r="O350" s="8">
        <v>280</v>
      </c>
      <c r="P350" s="55" t="e">
        <f>[1]SIM!$EZ$3</f>
        <v>#REF!</v>
      </c>
      <c r="Q350" s="22" t="e">
        <f>IF(IN[[#This Row],[Sim_]]=IN[[#This Row],[Direkt alt]],1,0)</f>
        <v>#REF!</v>
      </c>
      <c r="R350" s="10">
        <v>0.40000000000000008</v>
      </c>
      <c r="S350" s="22">
        <f>IF(IN[[#This Row],[Sim_]]=IN[[#This Row],[Buffer]],1,0)</f>
        <v>0</v>
      </c>
      <c r="T350" s="11"/>
      <c r="U350" s="250">
        <f>'[1]🧱'!M54</f>
        <v>0</v>
      </c>
      <c r="V350" s="27">
        <f t="shared" si="10"/>
        <v>0.64795770602231528</v>
      </c>
      <c r="W350" s="27">
        <f t="shared" si="10"/>
        <v>0.36850116521656051</v>
      </c>
      <c r="X350" s="27">
        <v>0.4</v>
      </c>
      <c r="Y350" s="11"/>
      <c r="Z350" s="27">
        <v>0.4</v>
      </c>
      <c r="AA350" s="27">
        <v>0.64795770602231528</v>
      </c>
      <c r="AB350" s="27">
        <v>0.64795770602231528</v>
      </c>
      <c r="AC350" s="251">
        <v>0.4</v>
      </c>
      <c r="AD350">
        <v>0.40000000000000008</v>
      </c>
      <c r="AE350">
        <v>0.40000000000000008</v>
      </c>
      <c r="AF350">
        <v>0.40000000000000008</v>
      </c>
      <c r="AG350">
        <v>0.40000000000000008</v>
      </c>
      <c r="AH350">
        <v>0.40000000000000008</v>
      </c>
      <c r="AI350">
        <v>0.64795770602231528</v>
      </c>
      <c r="AJ350">
        <v>0.64795770602231528</v>
      </c>
    </row>
    <row r="351" spans="1:36" x14ac:dyDescent="0.25">
      <c r="A351" s="249" t="s">
        <v>447</v>
      </c>
      <c r="B351" s="29" t="s">
        <v>454</v>
      </c>
      <c r="C351" s="94"/>
      <c r="D351" s="94"/>
      <c r="E351" s="17" t="s">
        <v>285</v>
      </c>
      <c r="F351" s="95"/>
      <c r="G351" s="134" t="str">
        <f ca="1">_xlfn.FORMULATEXT(IN[[#This Row],[STAGE]])</f>
        <v>='[ka_PEQ_Nachweistool.xlsb]🧱'!B55</v>
      </c>
      <c r="H351" s="20">
        <v>2</v>
      </c>
      <c r="I351" s="250">
        <f>'[1]🧱'!B55</f>
        <v>0</v>
      </c>
      <c r="J351" s="22">
        <f>IF(IN[[#This Row],[Sim_]]=IN[[#This Row],[STAGE]],1,0)</f>
        <v>0</v>
      </c>
      <c r="K351" s="223">
        <f t="shared" si="9"/>
        <v>0.60779825154475386</v>
      </c>
      <c r="L351" s="24">
        <f>[1]SIM!$FA$4</f>
        <v>0.60779825154475386</v>
      </c>
      <c r="M351" s="22">
        <f>IF(IN[[#This Row],[Sim_]]=IN[[#This Row],[Sim Var ref]],1,0)</f>
        <v>1</v>
      </c>
      <c r="N351" s="8" t="str">
        <f>[1]SIM!$FA$7</f>
        <v>p156</v>
      </c>
      <c r="O351" s="8">
        <v>281</v>
      </c>
      <c r="P351" s="55" t="e">
        <f>[1]SIM!$FA$3</f>
        <v>#REF!</v>
      </c>
      <c r="Q351" s="22" t="e">
        <f>IF(IN[[#This Row],[Sim_]]=IN[[#This Row],[Direkt alt]],1,0)</f>
        <v>#REF!</v>
      </c>
      <c r="R351" s="10">
        <v>0.40000000000000008</v>
      </c>
      <c r="S351" s="22">
        <f>IF(IN[[#This Row],[Sim_]]=IN[[#This Row],[Buffer]],1,0)</f>
        <v>0</v>
      </c>
      <c r="T351" s="11"/>
      <c r="U351" s="250">
        <f>'[1]🧱'!M55</f>
        <v>0</v>
      </c>
      <c r="V351" s="27">
        <f t="shared" si="10"/>
        <v>0.60779825154475386</v>
      </c>
      <c r="W351" s="27">
        <f t="shared" si="10"/>
        <v>0.4529605879940522</v>
      </c>
      <c r="X351" s="27">
        <v>0.4</v>
      </c>
      <c r="Y351" s="11"/>
      <c r="Z351" s="27">
        <v>0.4</v>
      </c>
      <c r="AA351" s="27">
        <v>0.60779825154475386</v>
      </c>
      <c r="AB351" s="27">
        <v>0.60779825154475386</v>
      </c>
      <c r="AC351" s="251">
        <v>0.4</v>
      </c>
      <c r="AD351">
        <v>0.40000000000000008</v>
      </c>
      <c r="AE351">
        <v>0.40000000000000008</v>
      </c>
      <c r="AF351">
        <v>0.40000000000000008</v>
      </c>
      <c r="AG351">
        <v>0.40000000000000008</v>
      </c>
      <c r="AH351">
        <v>0.40000000000000008</v>
      </c>
      <c r="AI351">
        <v>0.60779825154475386</v>
      </c>
      <c r="AJ351">
        <v>0.60779825154475386</v>
      </c>
    </row>
    <row r="352" spans="1:36" x14ac:dyDescent="0.25">
      <c r="A352" s="249" t="s">
        <v>447</v>
      </c>
      <c r="B352" s="29" t="s">
        <v>455</v>
      </c>
      <c r="C352" s="94"/>
      <c r="D352" s="94"/>
      <c r="E352" s="17" t="s">
        <v>285</v>
      </c>
      <c r="F352" s="95"/>
      <c r="G352" s="134" t="str">
        <f ca="1">_xlfn.FORMULATEXT(IN[[#This Row],[STAGE]])</f>
        <v>='[ka_PEQ_Nachweistool.xlsb]🧱'!B56</v>
      </c>
      <c r="H352" s="20">
        <v>2</v>
      </c>
      <c r="I352" s="250">
        <f>'[1]🧱'!B56</f>
        <v>0</v>
      </c>
      <c r="J352" s="22">
        <f>IF(IN[[#This Row],[Sim_]]=IN[[#This Row],[STAGE]],1,0)</f>
        <v>0</v>
      </c>
      <c r="K352" s="223">
        <f t="shared" si="9"/>
        <v>0.68530224545348639</v>
      </c>
      <c r="L352" s="24">
        <f>[1]SIM!$FB$4</f>
        <v>0.68530224545348639</v>
      </c>
      <c r="M352" s="22">
        <f>IF(IN[[#This Row],[Sim_]]=IN[[#This Row],[Sim Var ref]],1,0)</f>
        <v>1</v>
      </c>
      <c r="N352" s="8" t="str">
        <f>[1]SIM!$FB$7</f>
        <v>p157</v>
      </c>
      <c r="O352" s="8">
        <v>282</v>
      </c>
      <c r="P352" s="55" t="e">
        <f>[1]SIM!$FB$3</f>
        <v>#REF!</v>
      </c>
      <c r="Q352" s="22" t="e">
        <f>IF(IN[[#This Row],[Sim_]]=IN[[#This Row],[Direkt alt]],1,0)</f>
        <v>#REF!</v>
      </c>
      <c r="R352" s="10">
        <v>0.40000000000000008</v>
      </c>
      <c r="S352" s="22">
        <f>IF(IN[[#This Row],[Sim_]]=IN[[#This Row],[Buffer]],1,0)</f>
        <v>0</v>
      </c>
      <c r="T352" s="11"/>
      <c r="U352" s="250">
        <f>'[1]🧱'!M56</f>
        <v>0</v>
      </c>
      <c r="V352" s="27">
        <f t="shared" si="10"/>
        <v>0.68530224545348639</v>
      </c>
      <c r="W352" s="27">
        <f t="shared" si="10"/>
        <v>0.43818904240526796</v>
      </c>
      <c r="X352" s="27">
        <v>0.4</v>
      </c>
      <c r="Y352" s="11"/>
      <c r="Z352" s="27">
        <v>0.4</v>
      </c>
      <c r="AA352" s="27">
        <v>0.68530224545348639</v>
      </c>
      <c r="AB352" s="27">
        <v>0.68530224545348639</v>
      </c>
      <c r="AC352" s="251">
        <v>0.4</v>
      </c>
      <c r="AD352">
        <v>0.40000000000000008</v>
      </c>
      <c r="AE352">
        <v>0.40000000000000008</v>
      </c>
      <c r="AF352">
        <v>0.40000000000000008</v>
      </c>
      <c r="AG352">
        <v>0.40000000000000008</v>
      </c>
      <c r="AH352">
        <v>0.40000000000000008</v>
      </c>
      <c r="AI352">
        <v>0.68530224545348639</v>
      </c>
      <c r="AJ352">
        <v>0.68530224545348639</v>
      </c>
    </row>
    <row r="353" spans="1:36" x14ac:dyDescent="0.25">
      <c r="A353" s="249" t="s">
        <v>447</v>
      </c>
      <c r="B353" s="29" t="s">
        <v>456</v>
      </c>
      <c r="C353" s="94"/>
      <c r="D353" s="94"/>
      <c r="E353" s="17" t="s">
        <v>285</v>
      </c>
      <c r="F353" s="95"/>
      <c r="G353" s="134" t="str">
        <f ca="1">_xlfn.FORMULATEXT(IN[[#This Row],[STAGE]])</f>
        <v>='[ka_PEQ_Nachweistool.xlsb]🧱'!B57</v>
      </c>
      <c r="H353" s="20">
        <v>2</v>
      </c>
      <c r="I353" s="250">
        <f>'[1]🧱'!B57</f>
        <v>0</v>
      </c>
      <c r="J353" s="22">
        <f>IF(IN[[#This Row],[Sim_]]=IN[[#This Row],[STAGE]],1,0)</f>
        <v>0</v>
      </c>
      <c r="K353" s="223">
        <f t="shared" si="9"/>
        <v>0.60779825154475386</v>
      </c>
      <c r="L353" s="24">
        <f>[1]SIM!$FC$4</f>
        <v>0.60779825154475386</v>
      </c>
      <c r="M353" s="22">
        <f>IF(IN[[#This Row],[Sim_]]=IN[[#This Row],[Sim Var ref]],1,0)</f>
        <v>1</v>
      </c>
      <c r="N353" s="8" t="str">
        <f>[1]SIM!$FC$7</f>
        <v>p158</v>
      </c>
      <c r="O353" s="8">
        <v>283</v>
      </c>
      <c r="P353" s="55" t="e">
        <f>[1]SIM!$FC$3</f>
        <v>#REF!</v>
      </c>
      <c r="Q353" s="22" t="e">
        <f>IF(IN[[#This Row],[Sim_]]=IN[[#This Row],[Direkt alt]],1,0)</f>
        <v>#REF!</v>
      </c>
      <c r="R353" s="10">
        <v>0.40000000000000008</v>
      </c>
      <c r="S353" s="22">
        <f>IF(IN[[#This Row],[Sim_]]=IN[[#This Row],[Buffer]],1,0)</f>
        <v>0</v>
      </c>
      <c r="T353" s="11"/>
      <c r="U353" s="250">
        <f>'[1]🧱'!M57</f>
        <v>0</v>
      </c>
      <c r="V353" s="27">
        <f t="shared" si="10"/>
        <v>0.60779825154475386</v>
      </c>
      <c r="W353" s="27">
        <f t="shared" si="10"/>
        <v>0.38898413373678015</v>
      </c>
      <c r="X353" s="27">
        <v>0.4</v>
      </c>
      <c r="Y353" s="11"/>
      <c r="Z353" s="27">
        <v>0.4</v>
      </c>
      <c r="AA353" s="27">
        <v>0.60779825154475386</v>
      </c>
      <c r="AB353" s="27">
        <v>0.60779825154475386</v>
      </c>
      <c r="AC353" s="251">
        <v>0.4</v>
      </c>
      <c r="AD353">
        <v>0.40000000000000008</v>
      </c>
      <c r="AE353">
        <v>0.40000000000000008</v>
      </c>
      <c r="AF353">
        <v>0.40000000000000008</v>
      </c>
      <c r="AG353">
        <v>0.40000000000000008</v>
      </c>
      <c r="AH353">
        <v>0.40000000000000008</v>
      </c>
      <c r="AI353">
        <v>0.60779825154475386</v>
      </c>
      <c r="AJ353">
        <v>0.60779825154475386</v>
      </c>
    </row>
    <row r="354" spans="1:36" x14ac:dyDescent="0.25">
      <c r="A354" s="249" t="s">
        <v>447</v>
      </c>
      <c r="B354" s="29" t="s">
        <v>457</v>
      </c>
      <c r="C354" s="94"/>
      <c r="D354" s="94"/>
      <c r="E354" s="17" t="s">
        <v>285</v>
      </c>
      <c r="F354" s="95"/>
      <c r="G354" s="134" t="str">
        <f ca="1">_xlfn.FORMULATEXT(IN[[#This Row],[STAGE]])</f>
        <v>='[ka_PEQ_Nachweistool.xlsb]🧱'!B58</v>
      </c>
      <c r="H354" s="20">
        <v>2</v>
      </c>
      <c r="I354" s="250">
        <f>'[1]🧱'!B58</f>
        <v>0</v>
      </c>
      <c r="J354" s="22">
        <f>IF(IN[[#This Row],[Sim_]]=IN[[#This Row],[STAGE]],1,0)</f>
        <v>1</v>
      </c>
      <c r="K354" s="223">
        <f t="shared" si="9"/>
        <v>0</v>
      </c>
      <c r="L354" s="24">
        <f>[1]SIM!$FD$4</f>
        <v>0</v>
      </c>
      <c r="M354" s="22">
        <f>IF(IN[[#This Row],[Sim_]]=IN[[#This Row],[Sim Var ref]],1,0)</f>
        <v>1</v>
      </c>
      <c r="N354" s="8" t="str">
        <f>[1]SIM!$FD$7</f>
        <v>p159</v>
      </c>
      <c r="O354" s="8">
        <v>284</v>
      </c>
      <c r="P354" s="55" t="e">
        <f>[1]SIM!$FD$3</f>
        <v>#REF!</v>
      </c>
      <c r="Q354" s="22" t="e">
        <f>IF(IN[[#This Row],[Sim_]]=IN[[#This Row],[Direkt alt]],1,0)</f>
        <v>#REF!</v>
      </c>
      <c r="R354" s="10">
        <v>0</v>
      </c>
      <c r="S354" s="22">
        <f>IF(IN[[#This Row],[Sim_]]=IN[[#This Row],[Buffer]],1,0)</f>
        <v>1</v>
      </c>
      <c r="T354" s="11"/>
      <c r="U354" s="250">
        <f>'[1]🧱'!M58</f>
        <v>0</v>
      </c>
      <c r="V354" s="27">
        <f t="shared" si="10"/>
        <v>0</v>
      </c>
      <c r="W354" s="27">
        <f t="shared" si="10"/>
        <v>0</v>
      </c>
      <c r="X354" s="27">
        <v>0</v>
      </c>
      <c r="Y354" s="11"/>
      <c r="Z354" s="27">
        <v>0</v>
      </c>
      <c r="AA354" s="27">
        <v>0</v>
      </c>
      <c r="AB354" s="27">
        <v>0</v>
      </c>
      <c r="AC354" s="251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s="249" t="s">
        <v>447</v>
      </c>
      <c r="B355" s="29" t="s">
        <v>458</v>
      </c>
      <c r="C355" s="94"/>
      <c r="D355" s="94"/>
      <c r="E355" s="17" t="s">
        <v>285</v>
      </c>
      <c r="F355" s="252"/>
      <c r="G355" s="134" t="str">
        <f ca="1">_xlfn.FORMULATEXT(IN[[#This Row],[STAGE]])</f>
        <v>='[ka_PEQ_Nachweistool.xlsb]🧱'!D54</v>
      </c>
      <c r="H355" s="20">
        <v>2</v>
      </c>
      <c r="I355" s="228">
        <f>'[1]🧱'!D54</f>
        <v>0.40000000000000008</v>
      </c>
      <c r="J355" s="135">
        <f>IF(IN[[#This Row],[Sim_]]=IN[[#This Row],[STAGE]],1,0)</f>
        <v>0</v>
      </c>
      <c r="K355" s="223">
        <f>K350*K360</f>
        <v>0.17357099704734563</v>
      </c>
      <c r="L355" s="24"/>
      <c r="M355" s="22">
        <f>IF(IN[[#This Row],[Sim_]]=IN[[#This Row],[Sim Var ref]],1,0)</f>
        <v>0</v>
      </c>
      <c r="N355" s="8"/>
      <c r="O355" s="8">
        <v>285</v>
      </c>
      <c r="P355" s="55"/>
      <c r="Q355" s="137">
        <f>IF(IN[[#This Row],[Sim_]]=IN[[#This Row],[Direkt alt]],1,0)</f>
        <v>0</v>
      </c>
      <c r="R355" s="10">
        <v>0.32564602530860115</v>
      </c>
      <c r="S355" s="10">
        <f>IF(IN[[#This Row],[Sim_]]=IN[[#This Row],[Buffer]],1,0)</f>
        <v>0</v>
      </c>
      <c r="T355" s="11"/>
      <c r="U355" s="228">
        <f>'[1]🧱'!O54</f>
        <v>0</v>
      </c>
      <c r="V355" s="27">
        <f t="shared" ref="V355:AA359" si="11">V350*V360</f>
        <v>0.17357099704734563</v>
      </c>
      <c r="W355" s="27">
        <f t="shared" si="11"/>
        <v>0.38278972331834038</v>
      </c>
      <c r="X355" s="27">
        <v>0.4</v>
      </c>
      <c r="Y355" s="11"/>
      <c r="Z355" s="27">
        <v>0.4</v>
      </c>
      <c r="AA355" s="27">
        <f t="shared" si="11"/>
        <v>0.17357099704734563</v>
      </c>
      <c r="AB355" s="27">
        <v>0.17357099704734563</v>
      </c>
      <c r="AC355" s="253">
        <v>0.4</v>
      </c>
      <c r="AD355">
        <v>0.32564602530860115</v>
      </c>
      <c r="AE355">
        <v>0.32564602530860115</v>
      </c>
      <c r="AF355">
        <v>0.32564602530860115</v>
      </c>
      <c r="AG355">
        <v>0.32564602530860115</v>
      </c>
      <c r="AH355">
        <v>0.32564602530860115</v>
      </c>
      <c r="AI355">
        <v>0.17357099704734563</v>
      </c>
      <c r="AJ355">
        <v>0.17357099704734563</v>
      </c>
    </row>
    <row r="356" spans="1:36" x14ac:dyDescent="0.25">
      <c r="A356" s="249" t="s">
        <v>447</v>
      </c>
      <c r="B356" s="29" t="s">
        <v>459</v>
      </c>
      <c r="C356" s="94"/>
      <c r="D356" s="94"/>
      <c r="E356" s="17" t="s">
        <v>285</v>
      </c>
      <c r="F356" s="252"/>
      <c r="G356" s="134" t="str">
        <f ca="1">_xlfn.FORMULATEXT(IN[[#This Row],[STAGE]])</f>
        <v>='[ka_PEQ_Nachweistool.xlsb]🧱'!D55</v>
      </c>
      <c r="H356" s="20">
        <v>2</v>
      </c>
      <c r="I356" s="228">
        <f>'[1]🧱'!D55</f>
        <v>0.40000000000000008</v>
      </c>
      <c r="J356" s="135">
        <f>IF(IN[[#This Row],[Sim_]]=IN[[#This Row],[STAGE]],1,0)</f>
        <v>0</v>
      </c>
      <c r="K356" s="223">
        <f>K351*K361</f>
        <v>0.17355885084474965</v>
      </c>
      <c r="L356" s="24"/>
      <c r="M356" s="22">
        <f>IF(IN[[#This Row],[Sim_]]=IN[[#This Row],[Sim Var ref]],1,0)</f>
        <v>0</v>
      </c>
      <c r="N356" s="8"/>
      <c r="O356" s="8">
        <v>286</v>
      </c>
      <c r="P356" s="55"/>
      <c r="Q356" s="137">
        <f>IF(IN[[#This Row],[Sim_]]=IN[[#This Row],[Direkt alt]],1,0)</f>
        <v>0</v>
      </c>
      <c r="R356" s="10">
        <v>0.32564602530860115</v>
      </c>
      <c r="S356" s="10">
        <f>IF(IN[[#This Row],[Sim_]]=IN[[#This Row],[Buffer]],1,0)</f>
        <v>0</v>
      </c>
      <c r="T356" s="11"/>
      <c r="U356" s="228" t="str">
        <f>'[1]🧱'!O55</f>
        <v>Fc</v>
      </c>
      <c r="V356" s="27">
        <f t="shared" si="11"/>
        <v>0.17355885084474965</v>
      </c>
      <c r="W356" s="27">
        <f t="shared" si="11"/>
        <v>0.53721038600191762</v>
      </c>
      <c r="X356" s="27">
        <v>0.4</v>
      </c>
      <c r="Y356" s="11"/>
      <c r="Z356" s="27">
        <v>0.4</v>
      </c>
      <c r="AA356" s="27">
        <f t="shared" si="11"/>
        <v>0.17355885084474965</v>
      </c>
      <c r="AB356" s="27">
        <v>0.17355885084474965</v>
      </c>
      <c r="AC356" s="253">
        <v>0.4</v>
      </c>
      <c r="AD356">
        <v>0.32564602530860115</v>
      </c>
      <c r="AE356">
        <v>0.32564602530860115</v>
      </c>
      <c r="AF356">
        <v>0.32564602530860115</v>
      </c>
      <c r="AG356">
        <v>0.32564602530860115</v>
      </c>
      <c r="AH356">
        <v>0.32564602530860115</v>
      </c>
      <c r="AI356">
        <v>0.17355885084474965</v>
      </c>
      <c r="AJ356">
        <v>0.17355885084474965</v>
      </c>
    </row>
    <row r="357" spans="1:36" x14ac:dyDescent="0.25">
      <c r="A357" s="249" t="s">
        <v>447</v>
      </c>
      <c r="B357" s="29" t="s">
        <v>460</v>
      </c>
      <c r="C357" s="94"/>
      <c r="D357" s="94"/>
      <c r="E357" s="17" t="s">
        <v>285</v>
      </c>
      <c r="F357" s="252"/>
      <c r="G357" s="134" t="str">
        <f ca="1">_xlfn.FORMULATEXT(IN[[#This Row],[STAGE]])</f>
        <v>='[ka_PEQ_Nachweistool.xlsb]🧱'!D56</v>
      </c>
      <c r="H357" s="20">
        <v>2</v>
      </c>
      <c r="I357" s="228">
        <f>'[1]🧱'!D56</f>
        <v>0.40000000000000008</v>
      </c>
      <c r="J357" s="135">
        <f>IF(IN[[#This Row],[Sim_]]=IN[[#This Row],[STAGE]],1,0)</f>
        <v>0</v>
      </c>
      <c r="K357" s="223">
        <f>K352*K362</f>
        <v>0.15789240780802957</v>
      </c>
      <c r="L357" s="24"/>
      <c r="M357" s="22">
        <f>IF(IN[[#This Row],[Sim_]]=IN[[#This Row],[Sim Var ref]],1,0)</f>
        <v>0</v>
      </c>
      <c r="N357" s="8"/>
      <c r="O357" s="8">
        <v>287</v>
      </c>
      <c r="P357" s="55"/>
      <c r="Q357" s="137">
        <f>IF(IN[[#This Row],[Sim_]]=IN[[#This Row],[Direkt alt]],1,0)</f>
        <v>0</v>
      </c>
      <c r="R357" s="10">
        <v>0.32564602530860115</v>
      </c>
      <c r="S357" s="10">
        <f>IF(IN[[#This Row],[Sim_]]=IN[[#This Row],[Buffer]],1,0)</f>
        <v>0</v>
      </c>
      <c r="T357" s="11"/>
      <c r="U357" s="228">
        <f>'[1]🧱'!O56</f>
        <v>1</v>
      </c>
      <c r="V357" s="27">
        <f t="shared" si="11"/>
        <v>0.15789240780802957</v>
      </c>
      <c r="W357" s="27">
        <f t="shared" si="11"/>
        <v>0.31963615353509889</v>
      </c>
      <c r="X357" s="27">
        <v>0.4</v>
      </c>
      <c r="Y357" s="11"/>
      <c r="Z357" s="27">
        <v>0.4</v>
      </c>
      <c r="AA357" s="27">
        <f t="shared" si="11"/>
        <v>0.15789240780802957</v>
      </c>
      <c r="AB357" s="27">
        <v>0.15789240780802957</v>
      </c>
      <c r="AC357" s="253">
        <v>0.4</v>
      </c>
      <c r="AD357">
        <v>0.32564602530860115</v>
      </c>
      <c r="AE357">
        <v>0.32564602530860115</v>
      </c>
      <c r="AF357">
        <v>0.32564602530860115</v>
      </c>
      <c r="AG357">
        <v>0.32564602530860115</v>
      </c>
      <c r="AH357">
        <v>0.32564602530860115</v>
      </c>
      <c r="AI357">
        <v>0.15789240780802957</v>
      </c>
      <c r="AJ357">
        <v>0.15789240780802957</v>
      </c>
    </row>
    <row r="358" spans="1:36" x14ac:dyDescent="0.25">
      <c r="A358" s="249" t="s">
        <v>447</v>
      </c>
      <c r="B358" s="29" t="s">
        <v>461</v>
      </c>
      <c r="C358" s="94"/>
      <c r="D358" s="94"/>
      <c r="E358" s="17" t="s">
        <v>285</v>
      </c>
      <c r="F358" s="252"/>
      <c r="G358" s="134" t="str">
        <f ca="1">_xlfn.FORMULATEXT(IN[[#This Row],[STAGE]])</f>
        <v>='[ka_PEQ_Nachweistool.xlsb]🧱'!D57</v>
      </c>
      <c r="H358" s="20">
        <v>2</v>
      </c>
      <c r="I358" s="228">
        <f>'[1]🧱'!D57</f>
        <v>0.40000000000000008</v>
      </c>
      <c r="J358" s="135">
        <f>IF(IN[[#This Row],[Sim_]]=IN[[#This Row],[STAGE]],1,0)</f>
        <v>0</v>
      </c>
      <c r="K358" s="223">
        <f>K353*K363</f>
        <v>0.17355885084474965</v>
      </c>
      <c r="L358" s="24"/>
      <c r="M358" s="22">
        <f>IF(IN[[#This Row],[Sim_]]=IN[[#This Row],[Sim Var ref]],1,0)</f>
        <v>0</v>
      </c>
      <c r="N358" s="8"/>
      <c r="O358" s="8">
        <v>288</v>
      </c>
      <c r="P358" s="55"/>
      <c r="Q358" s="137">
        <f>IF(IN[[#This Row],[Sim_]]=IN[[#This Row],[Direkt alt]],1,0)</f>
        <v>0</v>
      </c>
      <c r="R358" s="10">
        <v>0.32564602530860115</v>
      </c>
      <c r="S358" s="10">
        <f>IF(IN[[#This Row],[Sim_]]=IN[[#This Row],[Buffer]],1,0)</f>
        <v>0</v>
      </c>
      <c r="T358" s="11"/>
      <c r="U358" s="228">
        <f>'[1]🧱'!O57</f>
        <v>0.8</v>
      </c>
      <c r="V358" s="27">
        <f t="shared" si="11"/>
        <v>0.17355885084474965</v>
      </c>
      <c r="W358" s="27">
        <f t="shared" si="11"/>
        <v>0.37308368736301772</v>
      </c>
      <c r="X358" s="27">
        <v>0.4</v>
      </c>
      <c r="Y358" s="11"/>
      <c r="Z358" s="27">
        <v>0.4</v>
      </c>
      <c r="AA358" s="27">
        <f t="shared" si="11"/>
        <v>0.17355885084474965</v>
      </c>
      <c r="AB358" s="27">
        <v>0.17355885084474965</v>
      </c>
      <c r="AC358" s="253">
        <v>0.4</v>
      </c>
      <c r="AD358">
        <v>0.32564602530860115</v>
      </c>
      <c r="AE358">
        <v>0.32564602530860115</v>
      </c>
      <c r="AF358">
        <v>0.32564602530860115</v>
      </c>
      <c r="AG358">
        <v>0.32564602530860115</v>
      </c>
      <c r="AH358">
        <v>0.32564602530860115</v>
      </c>
      <c r="AI358">
        <v>0.17355885084474965</v>
      </c>
      <c r="AJ358">
        <v>0.17355885084474965</v>
      </c>
    </row>
    <row r="359" spans="1:36" x14ac:dyDescent="0.25">
      <c r="A359" s="249" t="s">
        <v>447</v>
      </c>
      <c r="B359" s="29" t="s">
        <v>462</v>
      </c>
      <c r="C359" s="94"/>
      <c r="D359" s="94"/>
      <c r="E359" s="17" t="s">
        <v>285</v>
      </c>
      <c r="F359" s="252"/>
      <c r="G359" s="134" t="str">
        <f ca="1">_xlfn.FORMULATEXT(IN[[#This Row],[STAGE]])</f>
        <v>='[ka_PEQ_Nachweistool.xlsb]🧱'!D58</v>
      </c>
      <c r="H359" s="20">
        <v>2</v>
      </c>
      <c r="I359" s="228">
        <f>'[1]🧱'!D58</f>
        <v>0</v>
      </c>
      <c r="J359" s="135">
        <f>IF(IN[[#This Row],[Sim_]]=IN[[#This Row],[STAGE]],1,0)</f>
        <v>1</v>
      </c>
      <c r="K359" s="223">
        <f>K354*K364</f>
        <v>0</v>
      </c>
      <c r="L359" s="24"/>
      <c r="M359" s="22">
        <f>IF(IN[[#This Row],[Sim_]]=IN[[#This Row],[Sim Var ref]],1,0)</f>
        <v>1</v>
      </c>
      <c r="N359" s="8"/>
      <c r="O359" s="8">
        <v>289</v>
      </c>
      <c r="P359" s="55"/>
      <c r="Q359" s="137">
        <f>IF(IN[[#This Row],[Sim_]]=IN[[#This Row],[Direkt alt]],1,0)</f>
        <v>1</v>
      </c>
      <c r="R359" s="10">
        <v>0</v>
      </c>
      <c r="S359" s="10">
        <f>IF(IN[[#This Row],[Sim_]]=IN[[#This Row],[Buffer]],1,0)</f>
        <v>1</v>
      </c>
      <c r="T359" s="11"/>
      <c r="U359" s="228">
        <f>'[1]🧱'!O58</f>
        <v>0.7</v>
      </c>
      <c r="V359" s="27">
        <f t="shared" si="11"/>
        <v>0</v>
      </c>
      <c r="W359" s="27">
        <f t="shared" si="11"/>
        <v>0</v>
      </c>
      <c r="X359" s="27">
        <v>0</v>
      </c>
      <c r="Y359" s="11"/>
      <c r="Z359" s="27">
        <v>0</v>
      </c>
      <c r="AA359" s="27">
        <f t="shared" si="11"/>
        <v>0</v>
      </c>
      <c r="AB359" s="27">
        <v>0</v>
      </c>
      <c r="AC359" s="253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s="249" t="s">
        <v>447</v>
      </c>
      <c r="B360" s="29" t="s">
        <v>463</v>
      </c>
      <c r="C360" s="94"/>
      <c r="D360" s="94"/>
      <c r="E360" s="17" t="s">
        <v>285</v>
      </c>
      <c r="F360" s="95"/>
      <c r="G360" s="134" t="str">
        <f ca="1">_xlfn.FORMULATEXT(IN[[#This Row],[STAGE]])</f>
        <v>=I355/I350</v>
      </c>
      <c r="H360" s="20">
        <v>0</v>
      </c>
      <c r="I360" s="250" t="e">
        <f>I355/I350</f>
        <v>#DIV/0!</v>
      </c>
      <c r="J360" s="22" t="e">
        <f>IF(IN[[#This Row],[Sim_]]=IN[[#This Row],[STAGE]],1,0)</f>
        <v>#DIV/0!</v>
      </c>
      <c r="K360" s="223">
        <f>K161</f>
        <v>0.26787396065225272</v>
      </c>
      <c r="L360" s="24">
        <f>[1]SIM!$FE$4</f>
        <v>0.26787396065225272</v>
      </c>
      <c r="M360" s="22">
        <f>IF(IN[[#This Row],[Sim_]]=IN[[#This Row],[Sim Var ref]],1,0)</f>
        <v>1</v>
      </c>
      <c r="N360" s="8" t="str">
        <f>[1]SIM!$FE$7</f>
        <v>p160</v>
      </c>
      <c r="O360" s="8">
        <v>290</v>
      </c>
      <c r="P360" s="55" t="e">
        <f>[1]SIM!$FE$3</f>
        <v>#REF!</v>
      </c>
      <c r="Q360" s="22" t="e">
        <f>IF(IN[[#This Row],[Sim_]]=IN[[#This Row],[Direkt alt]],1,0)</f>
        <v>#REF!</v>
      </c>
      <c r="R360" s="10">
        <v>0.81411506327150274</v>
      </c>
      <c r="S360" s="22">
        <f>IF(IN[[#This Row],[Sim_]]=IN[[#This Row],[Buffer]],1,0)</f>
        <v>0</v>
      </c>
      <c r="T360" s="11"/>
      <c r="U360" s="250" t="e">
        <f>U355/U350</f>
        <v>#DIV/0!</v>
      </c>
      <c r="V360" s="27">
        <f t="shared" ref="V360:W364" si="12">V161</f>
        <v>0.26787396065225272</v>
      </c>
      <c r="W360" s="27">
        <f t="shared" si="12"/>
        <v>1.0387747976139581</v>
      </c>
      <c r="X360" s="27">
        <v>1</v>
      </c>
      <c r="Y360" s="11"/>
      <c r="Z360" s="27">
        <v>1</v>
      </c>
      <c r="AA360" s="27">
        <v>0.26787396065225272</v>
      </c>
      <c r="AB360" s="27">
        <v>0.26787396065225272</v>
      </c>
      <c r="AC360" s="251">
        <v>1</v>
      </c>
      <c r="AD360">
        <v>0.81411506327150274</v>
      </c>
      <c r="AE360">
        <v>0.81411506327150274</v>
      </c>
      <c r="AF360">
        <v>0.81411506327150274</v>
      </c>
      <c r="AG360">
        <v>0.81411506327150274</v>
      </c>
      <c r="AH360">
        <v>0.81411506327150274</v>
      </c>
      <c r="AI360">
        <v>0.26787396065225272</v>
      </c>
      <c r="AJ360">
        <v>0.26787396065225272</v>
      </c>
    </row>
    <row r="361" spans="1:36" x14ac:dyDescent="0.25">
      <c r="A361" s="249" t="s">
        <v>447</v>
      </c>
      <c r="B361" s="29" t="s">
        <v>464</v>
      </c>
      <c r="C361" s="94"/>
      <c r="D361" s="94"/>
      <c r="E361" s="17" t="s">
        <v>285</v>
      </c>
      <c r="F361" s="95"/>
      <c r="G361" s="134" t="str">
        <f ca="1">_xlfn.FORMULATEXT(IN[[#This Row],[STAGE]])</f>
        <v>=I356/I351</v>
      </c>
      <c r="H361" s="20">
        <v>0</v>
      </c>
      <c r="I361" s="250" t="e">
        <f>I356/I351</f>
        <v>#DIV/0!</v>
      </c>
      <c r="J361" s="22" t="e">
        <f>IF(IN[[#This Row],[Sim_]]=IN[[#This Row],[STAGE]],1,0)</f>
        <v>#DIV/0!</v>
      </c>
      <c r="K361" s="223">
        <f>K162</f>
        <v>0.28555338947362868</v>
      </c>
      <c r="L361" s="24">
        <f>[1]SIM!$FF$4</f>
        <v>0.28555338947362868</v>
      </c>
      <c r="M361" s="22">
        <f>IF(IN[[#This Row],[Sim_]]=IN[[#This Row],[Sim Var ref]],1,0)</f>
        <v>1</v>
      </c>
      <c r="N361" s="8" t="str">
        <f>[1]SIM!$FF$7</f>
        <v>p161</v>
      </c>
      <c r="O361" s="8">
        <v>291</v>
      </c>
      <c r="P361" s="55" t="e">
        <f>[1]SIM!$FF$3</f>
        <v>#REF!</v>
      </c>
      <c r="Q361" s="22" t="e">
        <f>IF(IN[[#This Row],[Sim_]]=IN[[#This Row],[Direkt alt]],1,0)</f>
        <v>#REF!</v>
      </c>
      <c r="R361" s="10">
        <v>0.81411506327150274</v>
      </c>
      <c r="S361" s="22">
        <f>IF(IN[[#This Row],[Sim_]]=IN[[#This Row],[Buffer]],1,0)</f>
        <v>0</v>
      </c>
      <c r="T361" s="11"/>
      <c r="U361" s="250" t="e">
        <f>U356/U351</f>
        <v>#VALUE!</v>
      </c>
      <c r="V361" s="27">
        <f t="shared" si="12"/>
        <v>0.28555338947362868</v>
      </c>
      <c r="W361" s="27">
        <f t="shared" si="12"/>
        <v>1.1859980763027702</v>
      </c>
      <c r="X361" s="27">
        <v>1</v>
      </c>
      <c r="Y361" s="11"/>
      <c r="Z361" s="27">
        <v>1</v>
      </c>
      <c r="AA361" s="27">
        <v>0.28555338947362868</v>
      </c>
      <c r="AB361" s="27">
        <v>0.28555338947362868</v>
      </c>
      <c r="AC361" s="251">
        <v>1</v>
      </c>
      <c r="AD361">
        <v>0.81411506327150274</v>
      </c>
      <c r="AE361">
        <v>0.81411506327150274</v>
      </c>
      <c r="AF361">
        <v>0.81411506327150274</v>
      </c>
      <c r="AG361">
        <v>0.81411506327150274</v>
      </c>
      <c r="AH361">
        <v>0.81411506327150274</v>
      </c>
      <c r="AI361">
        <v>0.28555338947362868</v>
      </c>
      <c r="AJ361">
        <v>0.28555338947362868</v>
      </c>
    </row>
    <row r="362" spans="1:36" x14ac:dyDescent="0.25">
      <c r="A362" s="249" t="s">
        <v>447</v>
      </c>
      <c r="B362" s="29" t="s">
        <v>465</v>
      </c>
      <c r="C362" s="94"/>
      <c r="D362" s="94"/>
      <c r="E362" s="17" t="s">
        <v>285</v>
      </c>
      <c r="F362" s="95"/>
      <c r="G362" s="134" t="str">
        <f ca="1">_xlfn.FORMULATEXT(IN[[#This Row],[STAGE]])</f>
        <v>=I357/I352</v>
      </c>
      <c r="H362" s="20">
        <v>0</v>
      </c>
      <c r="I362" s="250" t="e">
        <f>I357/I352</f>
        <v>#DIV/0!</v>
      </c>
      <c r="J362" s="22" t="e">
        <f>IF(IN[[#This Row],[Sim_]]=IN[[#This Row],[STAGE]],1,0)</f>
        <v>#DIV/0!</v>
      </c>
      <c r="K362" s="223">
        <f>K163</f>
        <v>0.23039820583623963</v>
      </c>
      <c r="L362" s="24">
        <f>[1]SIM!$FG$4</f>
        <v>0.23039820583623963</v>
      </c>
      <c r="M362" s="22">
        <f>IF(IN[[#This Row],[Sim_]]=IN[[#This Row],[Sim Var ref]],1,0)</f>
        <v>1</v>
      </c>
      <c r="N362" s="8" t="str">
        <f>[1]SIM!$FG$7</f>
        <v>p162</v>
      </c>
      <c r="O362" s="8">
        <v>292</v>
      </c>
      <c r="P362" s="55" t="e">
        <f>[1]SIM!$FG$3</f>
        <v>#REF!</v>
      </c>
      <c r="Q362" s="22" t="e">
        <f>IF(IN[[#This Row],[Sim_]]=IN[[#This Row],[Direkt alt]],1,0)</f>
        <v>#REF!</v>
      </c>
      <c r="R362" s="10">
        <v>0.81411506327150274</v>
      </c>
      <c r="S362" s="22">
        <f>IF(IN[[#This Row],[Sim_]]=IN[[#This Row],[Buffer]],1,0)</f>
        <v>0</v>
      </c>
      <c r="T362" s="11"/>
      <c r="U362" s="250" t="e">
        <f>U357/U352</f>
        <v>#DIV/0!</v>
      </c>
      <c r="V362" s="27">
        <f t="shared" si="12"/>
        <v>0.23039820583623963</v>
      </c>
      <c r="W362" s="27">
        <f t="shared" si="12"/>
        <v>0.72944807515172172</v>
      </c>
      <c r="X362" s="27">
        <v>1</v>
      </c>
      <c r="Y362" s="11"/>
      <c r="Z362" s="27">
        <v>1</v>
      </c>
      <c r="AA362" s="27">
        <v>0.23039820583623963</v>
      </c>
      <c r="AB362" s="27">
        <v>0.23039820583623963</v>
      </c>
      <c r="AC362" s="251">
        <v>1</v>
      </c>
      <c r="AD362">
        <v>0.81411506327150274</v>
      </c>
      <c r="AE362">
        <v>0.81411506327150274</v>
      </c>
      <c r="AF362">
        <v>0.81411506327150274</v>
      </c>
      <c r="AG362">
        <v>0.81411506327150274</v>
      </c>
      <c r="AH362">
        <v>0.81411506327150274</v>
      </c>
      <c r="AI362">
        <v>0.23039820583623963</v>
      </c>
      <c r="AJ362">
        <v>0.23039820583623963</v>
      </c>
    </row>
    <row r="363" spans="1:36" x14ac:dyDescent="0.25">
      <c r="A363" s="249" t="s">
        <v>447</v>
      </c>
      <c r="B363" s="29" t="s">
        <v>466</v>
      </c>
      <c r="C363" s="94"/>
      <c r="D363" s="94"/>
      <c r="E363" s="17" t="s">
        <v>285</v>
      </c>
      <c r="F363" s="95"/>
      <c r="G363" s="134" t="str">
        <f ca="1">_xlfn.FORMULATEXT(IN[[#This Row],[STAGE]])</f>
        <v>=I358/I353</v>
      </c>
      <c r="H363" s="20">
        <v>0</v>
      </c>
      <c r="I363" s="250" t="e">
        <f>I358/I353</f>
        <v>#DIV/0!</v>
      </c>
      <c r="J363" s="22" t="e">
        <f>IF(IN[[#This Row],[Sim_]]=IN[[#This Row],[STAGE]],1,0)</f>
        <v>#DIV/0!</v>
      </c>
      <c r="K363" s="223">
        <f>K164</f>
        <v>0.28555338947362868</v>
      </c>
      <c r="L363" s="24">
        <f>[1]SIM!$FH$4</f>
        <v>0.28555338947362868</v>
      </c>
      <c r="M363" s="22">
        <f>IF(IN[[#This Row],[Sim_]]=IN[[#This Row],[Sim Var ref]],1,0)</f>
        <v>1</v>
      </c>
      <c r="N363" s="8" t="str">
        <f>[1]SIM!$FH$7</f>
        <v>p163</v>
      </c>
      <c r="O363" s="8">
        <v>293</v>
      </c>
      <c r="P363" s="55" t="e">
        <f>[1]SIM!$FH$3</f>
        <v>#REF!</v>
      </c>
      <c r="Q363" s="22" t="e">
        <f>IF(IN[[#This Row],[Sim_]]=IN[[#This Row],[Direkt alt]],1,0)</f>
        <v>#REF!</v>
      </c>
      <c r="R363" s="10">
        <v>0.81411506327150274</v>
      </c>
      <c r="S363" s="22">
        <f>IF(IN[[#This Row],[Sim_]]=IN[[#This Row],[Buffer]],1,0)</f>
        <v>0</v>
      </c>
      <c r="T363" s="11"/>
      <c r="U363" s="250" t="e">
        <f>U358/U353</f>
        <v>#DIV/0!</v>
      </c>
      <c r="V363" s="27">
        <f t="shared" si="12"/>
        <v>0.28555338947362868</v>
      </c>
      <c r="W363" s="27">
        <f t="shared" si="12"/>
        <v>0.95912314926314701</v>
      </c>
      <c r="X363" s="27">
        <v>1</v>
      </c>
      <c r="Y363" s="11"/>
      <c r="Z363" s="27">
        <v>1</v>
      </c>
      <c r="AA363" s="27">
        <v>0.28555338947362868</v>
      </c>
      <c r="AB363" s="27">
        <v>0.28555338947362868</v>
      </c>
      <c r="AC363" s="251">
        <v>1</v>
      </c>
      <c r="AD363">
        <v>0.81411506327150274</v>
      </c>
      <c r="AE363">
        <v>0.81411506327150274</v>
      </c>
      <c r="AF363">
        <v>0.81411506327150274</v>
      </c>
      <c r="AG363">
        <v>0.81411506327150274</v>
      </c>
      <c r="AH363">
        <v>0.81411506327150274</v>
      </c>
      <c r="AI363">
        <v>0.28555338947362868</v>
      </c>
      <c r="AJ363">
        <v>0.28555338947362868</v>
      </c>
    </row>
    <row r="364" spans="1:36" x14ac:dyDescent="0.25">
      <c r="A364" s="249" t="s">
        <v>447</v>
      </c>
      <c r="B364" s="29" t="s">
        <v>467</v>
      </c>
      <c r="C364" s="94"/>
      <c r="D364" s="94"/>
      <c r="E364" s="17" t="s">
        <v>285</v>
      </c>
      <c r="F364" s="95"/>
      <c r="G364" s="134" t="str">
        <f ca="1">_xlfn.FORMULATEXT(IN[[#This Row],[STAGE]])</f>
        <v>=WENNFEHLER(I359/I354;1)</v>
      </c>
      <c r="H364" s="20">
        <v>0</v>
      </c>
      <c r="I364" s="250">
        <f>IFERROR(I359/I354,1)</f>
        <v>1</v>
      </c>
      <c r="J364" s="22">
        <f>IF(IN[[#This Row],[Sim_]]=IN[[#This Row],[STAGE]],1,0)</f>
        <v>1</v>
      </c>
      <c r="K364" s="223">
        <f>K165</f>
        <v>1</v>
      </c>
      <c r="L364" s="24">
        <f>[1]SIM!$FI$4</f>
        <v>1</v>
      </c>
      <c r="M364" s="22">
        <f>IF(IN[[#This Row],[Sim_]]=IN[[#This Row],[Sim Var ref]],1,0)</f>
        <v>1</v>
      </c>
      <c r="N364" s="8" t="str">
        <f>[1]SIM!$FI$7</f>
        <v>p164</v>
      </c>
      <c r="O364" s="8">
        <v>294</v>
      </c>
      <c r="P364" s="55" t="e">
        <f>[1]SIM!$FI$3</f>
        <v>#REF!</v>
      </c>
      <c r="Q364" s="22" t="e">
        <f>IF(IN[[#This Row],[Sim_]]=IN[[#This Row],[Direkt alt]],1,0)</f>
        <v>#REF!</v>
      </c>
      <c r="R364" s="10">
        <v>1</v>
      </c>
      <c r="S364" s="22">
        <f>IF(IN[[#This Row],[Sim_]]=IN[[#This Row],[Buffer]],1,0)</f>
        <v>1</v>
      </c>
      <c r="T364" s="11"/>
      <c r="U364" s="250" t="e">
        <f>U359/U354</f>
        <v>#DIV/0!</v>
      </c>
      <c r="V364" s="27">
        <f t="shared" si="12"/>
        <v>1</v>
      </c>
      <c r="W364" s="27">
        <f t="shared" si="12"/>
        <v>1</v>
      </c>
      <c r="X364" s="27">
        <v>1</v>
      </c>
      <c r="Y364" s="11"/>
      <c r="Z364" s="27">
        <v>1</v>
      </c>
      <c r="AA364" s="27">
        <v>1</v>
      </c>
      <c r="AB364" s="27">
        <v>1</v>
      </c>
      <c r="AC364" s="251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25">
      <c r="A365" s="249" t="s">
        <v>447</v>
      </c>
      <c r="B365" s="209" t="s">
        <v>468</v>
      </c>
      <c r="C365" s="94"/>
      <c r="D365" s="94"/>
      <c r="E365" s="17" t="s">
        <v>285</v>
      </c>
      <c r="F365" s="252"/>
      <c r="G365" s="134" t="e">
        <f ca="1">_xlfn.FORMULATEXT(IN[[#This Row],[STAGE]])</f>
        <v>#N/A</v>
      </c>
      <c r="H365" s="20">
        <v>1</v>
      </c>
      <c r="I365" s="254">
        <v>1.0656015703573898</v>
      </c>
      <c r="J365" s="135">
        <f>IF(IN[[#This Row],[Sim_]]=IN[[#This Row],[STAGE]],1,0)</f>
        <v>1</v>
      </c>
      <c r="K365" s="223">
        <f>K34</f>
        <v>1.0656015703573898</v>
      </c>
      <c r="L365" s="130"/>
      <c r="M365" s="130">
        <f>IF(IN[[#This Row],[Sim_]]=IN[[#This Row],[Sim Var ref]],1,0)</f>
        <v>0</v>
      </c>
      <c r="N365" s="8"/>
      <c r="O365" s="8">
        <v>295</v>
      </c>
      <c r="P365" s="255"/>
      <c r="Q365" s="137">
        <f>IF(IN[[#This Row],[Sim_]]=IN[[#This Row],[Direkt alt]],1,0)</f>
        <v>0</v>
      </c>
      <c r="R365" s="10">
        <v>1.0656015703573898</v>
      </c>
      <c r="S365" s="10">
        <f>IF(IN[[#This Row],[Sim_]]=IN[[#This Row],[Buffer]],1,0)</f>
        <v>1</v>
      </c>
      <c r="T365" s="11"/>
      <c r="U365">
        <f>'[1]⚙'!$B$46</f>
        <v>1.0656015703573898</v>
      </c>
      <c r="V365" s="27">
        <f>V34</f>
        <v>1.0656015703573898</v>
      </c>
      <c r="W365" s="27">
        <f>W34</f>
        <v>1.0656015703573898</v>
      </c>
      <c r="X365" s="27">
        <v>1.0656015703573898</v>
      </c>
      <c r="Y365" s="11"/>
      <c r="Z365" s="27">
        <v>1.0656015703573898</v>
      </c>
      <c r="AA365" s="27">
        <v>1.0656015703573898</v>
      </c>
      <c r="AB365" s="27">
        <v>1.0656015703573898</v>
      </c>
      <c r="AC365">
        <v>1.0656015703573898</v>
      </c>
      <c r="AD365">
        <v>1.0656015703573898</v>
      </c>
      <c r="AE365">
        <v>1.0656015703573898</v>
      </c>
      <c r="AF365">
        <v>1.0656015703573898</v>
      </c>
      <c r="AG365">
        <v>1.0656015703573898</v>
      </c>
      <c r="AH365">
        <v>1.0656015703573898</v>
      </c>
      <c r="AI365">
        <v>1.0656015703573898</v>
      </c>
      <c r="AJ365">
        <v>1.0656015703573898</v>
      </c>
    </row>
    <row r="366" spans="1:36" x14ac:dyDescent="0.25">
      <c r="A366" s="249" t="s">
        <v>447</v>
      </c>
      <c r="B366" s="209" t="s">
        <v>469</v>
      </c>
      <c r="C366" s="94" t="s">
        <v>470</v>
      </c>
      <c r="D366" s="94" t="s">
        <v>471</v>
      </c>
      <c r="E366" s="17" t="s">
        <v>78</v>
      </c>
      <c r="F366" s="252"/>
      <c r="G366" s="134" t="str">
        <f ca="1">_xlfn.FORMULATEXT(IN[[#This Row],[STAGE]])</f>
        <v>=I288*I345*I350*I$365</v>
      </c>
      <c r="H366" s="20">
        <v>0</v>
      </c>
      <c r="I366" s="104">
        <f>I288*I345*I350*I$365</f>
        <v>0</v>
      </c>
      <c r="J366" s="135">
        <f>IF(IN[[#This Row],[Sim_]]=IN[[#This Row],[STAGE]],1,0)</f>
        <v>1</v>
      </c>
      <c r="K366" s="256"/>
      <c r="L366" s="130"/>
      <c r="M366" s="130">
        <f>IF(IN[[#This Row],[Sim_]]=IN[[#This Row],[Sim Var ref]],1,0)</f>
        <v>1</v>
      </c>
      <c r="N366" s="8"/>
      <c r="O366" s="8">
        <v>296</v>
      </c>
      <c r="P366" s="255"/>
      <c r="Q366" s="137">
        <f>IF(IN[[#This Row],[Sim_]]=IN[[#This Row],[Direkt alt]],1,0)</f>
        <v>1</v>
      </c>
      <c r="R366" s="10">
        <v>2328.9384351666654</v>
      </c>
      <c r="S366" s="10">
        <f>IF(IN[[#This Row],[Sim_]]=IN[[#This Row],[Buffer]],1,0)</f>
        <v>0</v>
      </c>
      <c r="T366" s="11"/>
      <c r="U366" s="104" t="e">
        <f>U288*U345*U350*U$365</f>
        <v>#REF!</v>
      </c>
      <c r="V366" s="27"/>
      <c r="W366" s="27"/>
      <c r="X366" s="27">
        <v>117.29502725551933</v>
      </c>
      <c r="Y366" s="11"/>
      <c r="Z366" s="27">
        <v>117.29502725551933</v>
      </c>
      <c r="AA366" s="27">
        <v>397.88438159703185</v>
      </c>
      <c r="AB366" s="27">
        <v>397.88438159703185</v>
      </c>
      <c r="AC366" s="106">
        <v>117.29502725551933</v>
      </c>
      <c r="AD366">
        <v>2785.2467290889731</v>
      </c>
      <c r="AE366">
        <v>2785.2467290889731</v>
      </c>
      <c r="AF366">
        <v>2328.9384351666654</v>
      </c>
      <c r="AG366">
        <v>2328.9384351666654</v>
      </c>
      <c r="AH366">
        <v>2328.9384351666654</v>
      </c>
      <c r="AI366">
        <v>397.88438159703185</v>
      </c>
      <c r="AJ366">
        <v>397.88438159703185</v>
      </c>
    </row>
    <row r="367" spans="1:36" x14ac:dyDescent="0.25">
      <c r="A367" s="249" t="s">
        <v>447</v>
      </c>
      <c r="B367" s="209" t="s">
        <v>472</v>
      </c>
      <c r="C367" s="94" t="s">
        <v>470</v>
      </c>
      <c r="D367" s="94" t="s">
        <v>471</v>
      </c>
      <c r="E367" s="17" t="s">
        <v>78</v>
      </c>
      <c r="F367" s="252"/>
      <c r="G367" s="134" t="str">
        <f ca="1">_xlfn.FORMULATEXT(IN[[#This Row],[STAGE]])</f>
        <v>=I289*I346*I351*I$365</v>
      </c>
      <c r="H367" s="20">
        <v>0</v>
      </c>
      <c r="I367" s="104">
        <f>I289*I346*I351*I$365</f>
        <v>0</v>
      </c>
      <c r="J367" s="135">
        <f>IF(IN[[#This Row],[Sim_]]=IN[[#This Row],[STAGE]],1,0)</f>
        <v>1</v>
      </c>
      <c r="K367" s="256"/>
      <c r="L367" s="130"/>
      <c r="M367" s="130">
        <f>IF(IN[[#This Row],[Sim_]]=IN[[#This Row],[Sim Var ref]],1,0)</f>
        <v>1</v>
      </c>
      <c r="N367" s="8"/>
      <c r="O367" s="8">
        <v>297</v>
      </c>
      <c r="P367" s="255"/>
      <c r="Q367" s="137">
        <f>IF(IN[[#This Row],[Sim_]]=IN[[#This Row],[Direkt alt]],1,0)</f>
        <v>1</v>
      </c>
      <c r="R367" s="10">
        <v>1767.8462335759377</v>
      </c>
      <c r="S367" s="10">
        <f>IF(IN[[#This Row],[Sim_]]=IN[[#This Row],[Buffer]],1,0)</f>
        <v>0</v>
      </c>
      <c r="T367" s="11"/>
      <c r="U367" s="104" t="e">
        <f>U289*U346*U351*U$365</f>
        <v>#REF!</v>
      </c>
      <c r="V367" s="27"/>
      <c r="W367" s="27"/>
      <c r="X367" s="27">
        <v>27.524488562331381</v>
      </c>
      <c r="Y367" s="11"/>
      <c r="Z367" s="27">
        <v>27.524488562331381</v>
      </c>
      <c r="AA367" s="27">
        <v>176.659117312837</v>
      </c>
      <c r="AB367" s="27">
        <v>176.659117312837</v>
      </c>
      <c r="AC367" s="106">
        <v>27.524488562331381</v>
      </c>
      <c r="AD367">
        <v>2114.2198802894827</v>
      </c>
      <c r="AE367">
        <v>2114.2198802894827</v>
      </c>
      <c r="AF367">
        <v>1767.8462335759377</v>
      </c>
      <c r="AG367">
        <v>1767.8462335759377</v>
      </c>
      <c r="AH367">
        <v>1767.8462335759377</v>
      </c>
      <c r="AI367">
        <v>176.659117312837</v>
      </c>
      <c r="AJ367">
        <v>176.659117312837</v>
      </c>
    </row>
    <row r="368" spans="1:36" x14ac:dyDescent="0.25">
      <c r="A368" s="249" t="s">
        <v>447</v>
      </c>
      <c r="B368" s="209" t="s">
        <v>473</v>
      </c>
      <c r="C368" s="94" t="s">
        <v>470</v>
      </c>
      <c r="D368" s="94" t="s">
        <v>471</v>
      </c>
      <c r="E368" s="17" t="s">
        <v>78</v>
      </c>
      <c r="F368" s="252"/>
      <c r="G368" s="134" t="str">
        <f ca="1">_xlfn.FORMULATEXT(IN[[#This Row],[STAGE]])</f>
        <v>=I290*I347*I352*I$365</v>
      </c>
      <c r="H368" s="20">
        <v>0</v>
      </c>
      <c r="I368" s="104">
        <f>I290*I347*I352*I$365</f>
        <v>0</v>
      </c>
      <c r="J368" s="135">
        <f>IF(IN[[#This Row],[Sim_]]=IN[[#This Row],[STAGE]],1,0)</f>
        <v>1</v>
      </c>
      <c r="K368" s="256"/>
      <c r="L368" s="130"/>
      <c r="M368" s="130">
        <f>IF(IN[[#This Row],[Sim_]]=IN[[#This Row],[Sim Var ref]],1,0)</f>
        <v>1</v>
      </c>
      <c r="N368" s="8"/>
      <c r="O368" s="8">
        <v>298</v>
      </c>
      <c r="P368" s="255"/>
      <c r="Q368" s="137">
        <f>IF(IN[[#This Row],[Sim_]]=IN[[#This Row],[Direkt alt]],1,0)</f>
        <v>1</v>
      </c>
      <c r="R368" s="10">
        <v>2257.9960598182233</v>
      </c>
      <c r="S368" s="10">
        <f>IF(IN[[#This Row],[Sim_]]=IN[[#This Row],[Buffer]],1,0)</f>
        <v>0</v>
      </c>
      <c r="T368" s="11"/>
      <c r="U368" s="104" t="e">
        <f>U290*U347*U352*U$365</f>
        <v>#REF!</v>
      </c>
      <c r="V368" s="27"/>
      <c r="W368" s="27"/>
      <c r="X368" s="27">
        <v>129.0443501702799</v>
      </c>
      <c r="Y368" s="11"/>
      <c r="Z368" s="27">
        <v>129.0443501702799</v>
      </c>
      <c r="AA368" s="27">
        <v>385.01733865416378</v>
      </c>
      <c r="AB368" s="27">
        <v>385.01733865416378</v>
      </c>
      <c r="AC368" s="106">
        <v>129.0443501702799</v>
      </c>
      <c r="AD368">
        <v>2700.4046328319678</v>
      </c>
      <c r="AE368">
        <v>2700.4046328319678</v>
      </c>
      <c r="AF368">
        <v>2257.9960598182233</v>
      </c>
      <c r="AG368">
        <v>2257.9960598182233</v>
      </c>
      <c r="AH368">
        <v>2257.9960598182233</v>
      </c>
      <c r="AI368">
        <v>385.01733865416378</v>
      </c>
      <c r="AJ368">
        <v>385.01733865416378</v>
      </c>
    </row>
    <row r="369" spans="1:36" x14ac:dyDescent="0.25">
      <c r="A369" s="249" t="s">
        <v>447</v>
      </c>
      <c r="B369" s="209" t="s">
        <v>474</v>
      </c>
      <c r="C369" s="94" t="s">
        <v>470</v>
      </c>
      <c r="D369" s="94" t="s">
        <v>471</v>
      </c>
      <c r="E369" s="17" t="s">
        <v>78</v>
      </c>
      <c r="F369" s="252"/>
      <c r="G369" s="134" t="str">
        <f ca="1">_xlfn.FORMULATEXT(IN[[#This Row],[STAGE]])</f>
        <v>=I291*I348*I353*I$365</v>
      </c>
      <c r="H369" s="20">
        <v>0</v>
      </c>
      <c r="I369" s="104">
        <f>I291*I348*I353*I$365</f>
        <v>0</v>
      </c>
      <c r="J369" s="135">
        <f>IF(IN[[#This Row],[Sim_]]=IN[[#This Row],[STAGE]],1,0)</f>
        <v>1</v>
      </c>
      <c r="K369" s="256"/>
      <c r="L369" s="130"/>
      <c r="M369" s="130">
        <f>IF(IN[[#This Row],[Sim_]]=IN[[#This Row],[Sim Var ref]],1,0)</f>
        <v>1</v>
      </c>
      <c r="N369" s="8"/>
      <c r="O369" s="8">
        <v>299</v>
      </c>
      <c r="P369" s="255"/>
      <c r="Q369" s="137">
        <f>IF(IN[[#This Row],[Sim_]]=IN[[#This Row],[Direkt alt]],1,0)</f>
        <v>1</v>
      </c>
      <c r="R369" s="10">
        <v>1513.2912010653972</v>
      </c>
      <c r="S369" s="10">
        <f>IF(IN[[#This Row],[Sim_]]=IN[[#This Row],[Buffer]],1,0)</f>
        <v>0</v>
      </c>
      <c r="T369" s="11"/>
      <c r="U369" s="104" t="e">
        <f>U291*U348*U353*U$365</f>
        <v>#REF!</v>
      </c>
      <c r="V369" s="27"/>
      <c r="W369" s="27"/>
      <c r="X369" s="27">
        <v>22.893384137558161</v>
      </c>
      <c r="Y369" s="11"/>
      <c r="Z369" s="27">
        <v>22.893384137558161</v>
      </c>
      <c r="AA369" s="27">
        <v>173.53116241832697</v>
      </c>
      <c r="AB369" s="27">
        <v>173.53116241832697</v>
      </c>
      <c r="AC369" s="106">
        <v>22.893384137558161</v>
      </c>
      <c r="AD369">
        <v>1809.7899473349075</v>
      </c>
      <c r="AE369">
        <v>1809.7899473349075</v>
      </c>
      <c r="AF369">
        <v>1513.2912010653972</v>
      </c>
      <c r="AG369">
        <v>1513.2912010653972</v>
      </c>
      <c r="AH369">
        <v>1513.2912010653972</v>
      </c>
      <c r="AI369">
        <v>173.53116241832697</v>
      </c>
      <c r="AJ369">
        <v>173.53116241832697</v>
      </c>
    </row>
    <row r="370" spans="1:36" x14ac:dyDescent="0.25">
      <c r="A370" s="249" t="s">
        <v>447</v>
      </c>
      <c r="B370" s="209" t="s">
        <v>475</v>
      </c>
      <c r="C370" s="94" t="s">
        <v>470</v>
      </c>
      <c r="D370" s="94" t="s">
        <v>471</v>
      </c>
      <c r="E370" s="17" t="s">
        <v>78</v>
      </c>
      <c r="F370" s="252"/>
      <c r="G370" s="134" t="str">
        <f ca="1">_xlfn.FORMULATEXT(IN[[#This Row],[STAGE]])</f>
        <v>=I292*I349*I354*I$365</v>
      </c>
      <c r="H370" s="20">
        <v>0</v>
      </c>
      <c r="I370" s="104">
        <f>I292*I349*I354*I$365</f>
        <v>0</v>
      </c>
      <c r="J370" s="135">
        <f>IF(IN[[#This Row],[Sim_]]=IN[[#This Row],[STAGE]],1,0)</f>
        <v>1</v>
      </c>
      <c r="K370" s="256"/>
      <c r="L370" s="130"/>
      <c r="M370" s="130">
        <f>IF(IN[[#This Row],[Sim_]]=IN[[#This Row],[Sim Var ref]],1,0)</f>
        <v>1</v>
      </c>
      <c r="N370" s="8"/>
      <c r="O370" s="8">
        <v>300</v>
      </c>
      <c r="P370" s="255"/>
      <c r="Q370" s="137">
        <f>IF(IN[[#This Row],[Sim_]]=IN[[#This Row],[Direkt alt]],1,0)</f>
        <v>1</v>
      </c>
      <c r="R370" s="10">
        <v>0</v>
      </c>
      <c r="S370" s="10">
        <f>IF(IN[[#This Row],[Sim_]]=IN[[#This Row],[Buffer]],1,0)</f>
        <v>1</v>
      </c>
      <c r="T370" s="11"/>
      <c r="U370" s="104" t="e">
        <f>U292*U349*U354*U$365</f>
        <v>#REF!</v>
      </c>
      <c r="V370" s="27"/>
      <c r="W370" s="27"/>
      <c r="X370" s="27">
        <v>0</v>
      </c>
      <c r="Y370" s="11"/>
      <c r="Z370" s="27">
        <v>0</v>
      </c>
      <c r="AA370" s="27">
        <v>0</v>
      </c>
      <c r="AB370" s="27">
        <v>0</v>
      </c>
      <c r="AC370" s="106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s="249" t="s">
        <v>447</v>
      </c>
      <c r="B371" s="209" t="s">
        <v>476</v>
      </c>
      <c r="C371" s="94" t="s">
        <v>470</v>
      </c>
      <c r="D371" s="94" t="s">
        <v>471</v>
      </c>
      <c r="E371" s="17" t="s">
        <v>78</v>
      </c>
      <c r="F371" s="252"/>
      <c r="G371" s="134" t="str">
        <f ca="1">_xlfn.FORMULATEXT(IN[[#This Row],[STAGE]])</f>
        <v>=I288*I355*I345*I$365</v>
      </c>
      <c r="H371" s="20">
        <v>0</v>
      </c>
      <c r="I371" s="104">
        <f>I288*I355*I345*I$365</f>
        <v>0</v>
      </c>
      <c r="J371" s="135">
        <f>IF(IN[[#This Row],[Sim_]]=IN[[#This Row],[STAGE]],1,0)</f>
        <v>1</v>
      </c>
      <c r="K371" s="256"/>
      <c r="L371" s="130"/>
      <c r="M371" s="130">
        <f>IF(IN[[#This Row],[Sim_]]=IN[[#This Row],[Sim Var ref]],1,0)</f>
        <v>1</v>
      </c>
      <c r="N371" s="8"/>
      <c r="O371" s="8">
        <v>301</v>
      </c>
      <c r="P371" s="255"/>
      <c r="Q371" s="137">
        <f>IF(IN[[#This Row],[Sim_]]=IN[[#This Row],[Direkt alt]],1,0)</f>
        <v>1</v>
      </c>
      <c r="R371" s="10">
        <v>1896.0238615011442</v>
      </c>
      <c r="S371" s="10">
        <f>IF(IN[[#This Row],[Sim_]]=IN[[#This Row],[Buffer]],1,0)</f>
        <v>0</v>
      </c>
      <c r="T371" s="11"/>
      <c r="U371" s="104" t="e">
        <f>U288*U355*U345*U$365</f>
        <v>#REF!</v>
      </c>
      <c r="V371" s="27"/>
      <c r="W371" s="27"/>
      <c r="X371" s="27">
        <v>117.29502725551933</v>
      </c>
      <c r="Y371" s="11"/>
      <c r="Z371" s="27">
        <v>117.29502725551933</v>
      </c>
      <c r="AA371" s="27">
        <v>106.58286518006921</v>
      </c>
      <c r="AB371" s="27">
        <v>106.58286518006922</v>
      </c>
      <c r="AC371" s="106">
        <v>117.29502725551933</v>
      </c>
      <c r="AD371">
        <v>2267.5113170790155</v>
      </c>
      <c r="AE371">
        <v>2267.5113170790155</v>
      </c>
      <c r="AF371">
        <v>1896.0238615011442</v>
      </c>
      <c r="AG371">
        <v>1896.0238615011442</v>
      </c>
      <c r="AH371">
        <v>1896.0238615011442</v>
      </c>
      <c r="AI371">
        <v>106.58286518006922</v>
      </c>
      <c r="AJ371">
        <v>106.58286518006922</v>
      </c>
    </row>
    <row r="372" spans="1:36" x14ac:dyDescent="0.25">
      <c r="A372" s="249" t="s">
        <v>447</v>
      </c>
      <c r="B372" s="209" t="s">
        <v>477</v>
      </c>
      <c r="C372" s="94" t="s">
        <v>470</v>
      </c>
      <c r="D372" s="94" t="s">
        <v>471</v>
      </c>
      <c r="E372" s="17" t="s">
        <v>78</v>
      </c>
      <c r="F372" s="252"/>
      <c r="G372" s="134" t="str">
        <f ca="1">_xlfn.FORMULATEXT(IN[[#This Row],[STAGE]])</f>
        <v>=I289*I356*I346*I$365</v>
      </c>
      <c r="H372" s="20">
        <v>0</v>
      </c>
      <c r="I372" s="104">
        <f>I289*I356*I346*I$365</f>
        <v>0</v>
      </c>
      <c r="J372" s="135">
        <f>IF(IN[[#This Row],[Sim_]]=IN[[#This Row],[STAGE]],1,0)</f>
        <v>1</v>
      </c>
      <c r="K372" s="256"/>
      <c r="L372" s="130"/>
      <c r="M372" s="130">
        <f>IF(IN[[#This Row],[Sim_]]=IN[[#This Row],[Sim Var ref]],1,0)</f>
        <v>1</v>
      </c>
      <c r="N372" s="8"/>
      <c r="O372" s="8">
        <v>302</v>
      </c>
      <c r="P372" s="255"/>
      <c r="Q372" s="137">
        <f>IF(IN[[#This Row],[Sim_]]=IN[[#This Row],[Direkt alt]],1,0)</f>
        <v>1</v>
      </c>
      <c r="R372" s="10">
        <v>1439.2302483019623</v>
      </c>
      <c r="S372" s="10">
        <f>IF(IN[[#This Row],[Sim_]]=IN[[#This Row],[Buffer]],1,0)</f>
        <v>0</v>
      </c>
      <c r="T372" s="11"/>
      <c r="U372" s="104" t="e">
        <f>U289*U356*U346*U$365</f>
        <v>#REF!</v>
      </c>
      <c r="V372" s="27"/>
      <c r="W372" s="27"/>
      <c r="X372" s="27">
        <v>27.524488562331381</v>
      </c>
      <c r="Y372" s="11"/>
      <c r="Z372" s="27">
        <v>27.524488562331381</v>
      </c>
      <c r="AA372" s="27">
        <v>50.44560973010001</v>
      </c>
      <c r="AB372" s="27">
        <v>50.44560973010001</v>
      </c>
      <c r="AC372" s="106">
        <v>27.524488562331381</v>
      </c>
      <c r="AD372">
        <v>1721.2182516117409</v>
      </c>
      <c r="AE372">
        <v>1721.2182516117409</v>
      </c>
      <c r="AF372">
        <v>1439.2302483019623</v>
      </c>
      <c r="AG372">
        <v>1439.2302483019623</v>
      </c>
      <c r="AH372">
        <v>1439.2302483019623</v>
      </c>
      <c r="AI372">
        <v>50.44560973010001</v>
      </c>
      <c r="AJ372">
        <v>50.44560973010001</v>
      </c>
    </row>
    <row r="373" spans="1:36" x14ac:dyDescent="0.25">
      <c r="A373" s="249" t="s">
        <v>447</v>
      </c>
      <c r="B373" s="209" t="s">
        <v>478</v>
      </c>
      <c r="C373" s="94" t="s">
        <v>470</v>
      </c>
      <c r="D373" s="94" t="s">
        <v>471</v>
      </c>
      <c r="E373" s="17" t="s">
        <v>78</v>
      </c>
      <c r="F373" s="252"/>
      <c r="G373" s="134" t="str">
        <f ca="1">_xlfn.FORMULATEXT(IN[[#This Row],[STAGE]])</f>
        <v>=I290*I357*I347*I$365</v>
      </c>
      <c r="H373" s="20">
        <v>0</v>
      </c>
      <c r="I373" s="104">
        <f>I290*I357*I347*I$365</f>
        <v>0</v>
      </c>
      <c r="J373" s="135">
        <f>IF(IN[[#This Row],[Sim_]]=IN[[#This Row],[STAGE]],1,0)</f>
        <v>1</v>
      </c>
      <c r="K373" s="256"/>
      <c r="L373" s="130"/>
      <c r="M373" s="130">
        <f>IF(IN[[#This Row],[Sim_]]=IN[[#This Row],[Sim Var ref]],1,0)</f>
        <v>1</v>
      </c>
      <c r="N373" s="8"/>
      <c r="O373" s="8">
        <v>303</v>
      </c>
      <c r="P373" s="255"/>
      <c r="Q373" s="137">
        <f>IF(IN[[#This Row],[Sim_]]=IN[[#This Row],[Direkt alt]],1,0)</f>
        <v>1</v>
      </c>
      <c r="R373" s="10">
        <v>1838.2686051057167</v>
      </c>
      <c r="S373" s="10">
        <f>IF(IN[[#This Row],[Sim_]]=IN[[#This Row],[Buffer]],1,0)</f>
        <v>0</v>
      </c>
      <c r="T373" s="11"/>
      <c r="U373" s="104" t="e">
        <f>U290*U357*U347*U$365</f>
        <v>#REF!</v>
      </c>
      <c r="V373" s="27"/>
      <c r="W373" s="27"/>
      <c r="X373" s="27">
        <v>129.0443501702799</v>
      </c>
      <c r="Y373" s="11"/>
      <c r="Z373" s="27">
        <v>129.0443501702799</v>
      </c>
      <c r="AA373" s="27">
        <v>88.707304041763194</v>
      </c>
      <c r="AB373" s="27">
        <v>88.707304041763194</v>
      </c>
      <c r="AC373" s="106">
        <v>129.0443501702799</v>
      </c>
      <c r="AD373">
        <v>2198.4400885166565</v>
      </c>
      <c r="AE373">
        <v>2198.4400885166565</v>
      </c>
      <c r="AF373">
        <v>1838.2686051057167</v>
      </c>
      <c r="AG373">
        <v>1838.2686051057167</v>
      </c>
      <c r="AH373">
        <v>1838.2686051057167</v>
      </c>
      <c r="AI373">
        <v>88.707304041763194</v>
      </c>
      <c r="AJ373">
        <v>88.707304041763194</v>
      </c>
    </row>
    <row r="374" spans="1:36" x14ac:dyDescent="0.25">
      <c r="A374" s="249" t="s">
        <v>447</v>
      </c>
      <c r="B374" s="209" t="s">
        <v>479</v>
      </c>
      <c r="C374" s="94" t="s">
        <v>470</v>
      </c>
      <c r="D374" s="94" t="s">
        <v>471</v>
      </c>
      <c r="E374" s="17" t="s">
        <v>78</v>
      </c>
      <c r="F374" s="252"/>
      <c r="G374" s="134" t="str">
        <f ca="1">_xlfn.FORMULATEXT(IN[[#This Row],[STAGE]])</f>
        <v>=I291*I358*I348*I$365</v>
      </c>
      <c r="H374" s="20">
        <v>0</v>
      </c>
      <c r="I374" s="104">
        <f>I291*I358*I348*I$365</f>
        <v>0</v>
      </c>
      <c r="J374" s="135">
        <f>IF(IN[[#This Row],[Sim_]]=IN[[#This Row],[STAGE]],1,0)</f>
        <v>1</v>
      </c>
      <c r="K374" s="256"/>
      <c r="L374" s="130"/>
      <c r="M374" s="130">
        <f>IF(IN[[#This Row],[Sim_]]=IN[[#This Row],[Sim Var ref]],1,0)</f>
        <v>1</v>
      </c>
      <c r="N374" s="8"/>
      <c r="O374" s="8">
        <v>304</v>
      </c>
      <c r="P374" s="255"/>
      <c r="Q374" s="137">
        <f>IF(IN[[#This Row],[Sim_]]=IN[[#This Row],[Direkt alt]],1,0)</f>
        <v>1</v>
      </c>
      <c r="R374" s="10">
        <v>1231.993161903564</v>
      </c>
      <c r="S374" s="10">
        <f>IF(IN[[#This Row],[Sim_]]=IN[[#This Row],[Buffer]],1,0)</f>
        <v>0</v>
      </c>
      <c r="T374" s="11"/>
      <c r="U374" s="104" t="e">
        <f>U291*U358*U348*U$365</f>
        <v>#REF!</v>
      </c>
      <c r="V374" s="27"/>
      <c r="W374" s="27"/>
      <c r="X374" s="27">
        <v>22.893384137558161</v>
      </c>
      <c r="Y374" s="11"/>
      <c r="Z374" s="27">
        <v>22.893384137558161</v>
      </c>
      <c r="AA374" s="27">
        <v>49.552411607852044</v>
      </c>
      <c r="AB374" s="27">
        <v>49.552411607852044</v>
      </c>
      <c r="AC374" s="106">
        <v>22.893384137558161</v>
      </c>
      <c r="AD374">
        <v>1473.3772574826878</v>
      </c>
      <c r="AE374">
        <v>1473.3772574826878</v>
      </c>
      <c r="AF374">
        <v>1231.993161903564</v>
      </c>
      <c r="AG374">
        <v>1231.993161903564</v>
      </c>
      <c r="AH374">
        <v>1231.993161903564</v>
      </c>
      <c r="AI374">
        <v>49.552411607852044</v>
      </c>
      <c r="AJ374">
        <v>49.552411607852044</v>
      </c>
    </row>
    <row r="375" spans="1:36" x14ac:dyDescent="0.25">
      <c r="A375" s="249" t="s">
        <v>447</v>
      </c>
      <c r="B375" s="209" t="s">
        <v>480</v>
      </c>
      <c r="C375" s="94" t="s">
        <v>470</v>
      </c>
      <c r="D375" s="94" t="s">
        <v>471</v>
      </c>
      <c r="E375" s="17" t="s">
        <v>78</v>
      </c>
      <c r="F375" s="252"/>
      <c r="G375" s="134" t="str">
        <f ca="1">_xlfn.FORMULATEXT(IN[[#This Row],[STAGE]])</f>
        <v>=I292*I359*I349*I$365</v>
      </c>
      <c r="H375" s="20">
        <v>0</v>
      </c>
      <c r="I375" s="104">
        <f>I292*I359*I349*I$365</f>
        <v>0</v>
      </c>
      <c r="J375" s="135">
        <f>IF(IN[[#This Row],[Sim_]]=IN[[#This Row],[STAGE]],1,0)</f>
        <v>1</v>
      </c>
      <c r="K375" s="256"/>
      <c r="L375" s="130"/>
      <c r="M375" s="130">
        <f>IF(IN[[#This Row],[Sim_]]=IN[[#This Row],[Sim Var ref]],1,0)</f>
        <v>1</v>
      </c>
      <c r="N375" s="8"/>
      <c r="O375" s="8">
        <v>305</v>
      </c>
      <c r="P375" s="255"/>
      <c r="Q375" s="137">
        <f>IF(IN[[#This Row],[Sim_]]=IN[[#This Row],[Direkt alt]],1,0)</f>
        <v>1</v>
      </c>
      <c r="R375" s="10">
        <v>0</v>
      </c>
      <c r="S375" s="10">
        <f>IF(IN[[#This Row],[Sim_]]=IN[[#This Row],[Buffer]],1,0)</f>
        <v>1</v>
      </c>
      <c r="T375" s="11"/>
      <c r="U375" s="104" t="e">
        <f>U292*U359*U349*U$365</f>
        <v>#REF!</v>
      </c>
      <c r="V375" s="27"/>
      <c r="W375" s="27"/>
      <c r="X375" s="27">
        <v>0</v>
      </c>
      <c r="Y375" s="11"/>
      <c r="Z375" s="27">
        <v>0</v>
      </c>
      <c r="AA375" s="27">
        <v>0</v>
      </c>
      <c r="AB375" s="27">
        <v>0</v>
      </c>
      <c r="AC375" s="106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s="249" t="s">
        <v>447</v>
      </c>
      <c r="B376" s="209" t="s">
        <v>481</v>
      </c>
      <c r="C376" s="94"/>
      <c r="D376" s="94"/>
      <c r="E376" s="17" t="s">
        <v>262</v>
      </c>
      <c r="F376" s="252" t="s">
        <v>482</v>
      </c>
      <c r="G376" s="134" t="str">
        <f ca="1">_xlfn.FORMULATEXT(IN[[#This Row],[STAGE]])</f>
        <v>='[ka_PEQ_Nachweistool.xlsb]🧱'!B62</v>
      </c>
      <c r="H376" s="20">
        <v>2</v>
      </c>
      <c r="I376" s="104">
        <f>'[1]🧱'!B62</f>
        <v>0</v>
      </c>
      <c r="J376" s="135">
        <f>IF(IN[[#This Row],[Sim_]]=IN[[#This Row],[STAGE]],1,0)</f>
        <v>0</v>
      </c>
      <c r="K376" s="257">
        <v>1</v>
      </c>
      <c r="L376" s="130"/>
      <c r="M376" s="130">
        <f>IF(IN[[#This Row],[Sim_]]=IN[[#This Row],[Sim Var ref]],1,0)</f>
        <v>0</v>
      </c>
      <c r="N376" s="8"/>
      <c r="O376" s="8">
        <v>306</v>
      </c>
      <c r="P376" s="255"/>
      <c r="Q376" s="137">
        <f>IF(IN[[#This Row],[Sim_]]=IN[[#This Row],[Direkt alt]],1,0)</f>
        <v>0</v>
      </c>
      <c r="R376" s="10">
        <v>1</v>
      </c>
      <c r="S376" s="10">
        <f>IF(IN[[#This Row],[Sim_]]=IN[[#This Row],[Buffer]],1,0)</f>
        <v>1</v>
      </c>
      <c r="T376" s="11"/>
      <c r="U376" s="104">
        <f>'[1]🧱'!M62</f>
        <v>0</v>
      </c>
      <c r="V376" s="258">
        <v>1</v>
      </c>
      <c r="W376" s="258">
        <v>1</v>
      </c>
      <c r="X376" s="258">
        <v>1</v>
      </c>
      <c r="Y376" s="11"/>
      <c r="Z376" s="258">
        <v>1</v>
      </c>
      <c r="AA376" s="258">
        <v>1</v>
      </c>
      <c r="AB376" s="258">
        <v>1</v>
      </c>
      <c r="AC376" s="10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25">
      <c r="A377" s="63"/>
      <c r="B377" s="209"/>
      <c r="C377" s="94"/>
      <c r="D377" s="94"/>
      <c r="E377" s="17"/>
      <c r="F377" s="252"/>
      <c r="G377" s="147"/>
      <c r="H377" s="20">
        <v>0</v>
      </c>
      <c r="I377" s="104">
        <f>IN[[#This Row],[Buffer]]</f>
        <v>0</v>
      </c>
      <c r="J377" s="135">
        <f>IF(IN[[#This Row],[Sim_]]=IN[[#This Row],[STAGE]],1,0)</f>
        <v>1</v>
      </c>
      <c r="K377" s="259"/>
      <c r="L377" s="130"/>
      <c r="M377" s="130">
        <f>IF(IN[[#This Row],[Sim_]]=IN[[#This Row],[Sim Var ref]],1,0)</f>
        <v>1</v>
      </c>
      <c r="N377" s="8"/>
      <c r="O377" s="8"/>
      <c r="P377" s="255"/>
      <c r="Q377" s="137">
        <f>IF(IN[[#This Row],[Sim_]]=IN[[#This Row],[Direkt alt]],1,0)</f>
        <v>1</v>
      </c>
      <c r="R377" s="10">
        <v>0</v>
      </c>
      <c r="S377" s="10">
        <f>IF(IN[[#This Row],[Sim_]]=IN[[#This Row],[Buffer]],1,0)</f>
        <v>1</v>
      </c>
      <c r="T377" s="11"/>
      <c r="U377" s="145"/>
      <c r="V377" s="258"/>
      <c r="W377" s="258"/>
      <c r="X377" s="258">
        <v>0</v>
      </c>
      <c r="Y377" s="11"/>
      <c r="Z377" s="258">
        <v>0</v>
      </c>
      <c r="AA377" s="258"/>
      <c r="AB377" s="258"/>
      <c r="AC377" s="106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s="63"/>
      <c r="B378" s="209"/>
      <c r="C378" s="94"/>
      <c r="D378" s="94"/>
      <c r="E378" s="17"/>
      <c r="F378" s="252"/>
      <c r="G378" s="147"/>
      <c r="H378" s="20">
        <v>0</v>
      </c>
      <c r="I378" s="104">
        <f>IN[[#This Row],[Buffer]]</f>
        <v>0</v>
      </c>
      <c r="J378" s="135">
        <f>IF(IN[[#This Row],[Sim_]]=IN[[#This Row],[STAGE]],1,0)</f>
        <v>1</v>
      </c>
      <c r="K378" s="259"/>
      <c r="L378" s="130"/>
      <c r="M378" s="130">
        <f>IF(IN[[#This Row],[Sim_]]=IN[[#This Row],[Sim Var ref]],1,0)</f>
        <v>1</v>
      </c>
      <c r="N378" s="8"/>
      <c r="O378" s="8"/>
      <c r="P378" s="255"/>
      <c r="Q378" s="137">
        <f>IF(IN[[#This Row],[Sim_]]=IN[[#This Row],[Direkt alt]],1,0)</f>
        <v>1</v>
      </c>
      <c r="R378" s="10">
        <v>0</v>
      </c>
      <c r="S378" s="10">
        <f>IF(IN[[#This Row],[Sim_]]=IN[[#This Row],[Buffer]],1,0)</f>
        <v>1</v>
      </c>
      <c r="T378" s="11"/>
      <c r="U378" s="145"/>
      <c r="V378" s="258"/>
      <c r="W378" s="258"/>
      <c r="X378" s="258">
        <v>0</v>
      </c>
      <c r="Y378" s="11"/>
      <c r="Z378" s="258">
        <v>0</v>
      </c>
      <c r="AA378" s="258"/>
      <c r="AB378" s="258"/>
      <c r="AC378" s="106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s="63"/>
      <c r="B379" s="209"/>
      <c r="C379" s="94"/>
      <c r="D379" s="94"/>
      <c r="E379" s="17"/>
      <c r="F379" s="252"/>
      <c r="G379" s="147"/>
      <c r="H379" s="20">
        <v>0</v>
      </c>
      <c r="I379" s="104">
        <f>IN[[#This Row],[Buffer]]</f>
        <v>0</v>
      </c>
      <c r="J379" s="135">
        <f>IF(IN[[#This Row],[Sim_]]=IN[[#This Row],[STAGE]],1,0)</f>
        <v>1</v>
      </c>
      <c r="K379" s="259"/>
      <c r="L379" s="130"/>
      <c r="M379" s="130">
        <f>IF(IN[[#This Row],[Sim_]]=IN[[#This Row],[Sim Var ref]],1,0)</f>
        <v>1</v>
      </c>
      <c r="N379" s="8"/>
      <c r="O379" s="8"/>
      <c r="P379" s="255"/>
      <c r="Q379" s="137">
        <f>IF(IN[[#This Row],[Sim_]]=IN[[#This Row],[Direkt alt]],1,0)</f>
        <v>1</v>
      </c>
      <c r="R379" s="10">
        <v>0</v>
      </c>
      <c r="S379" s="10">
        <f>IF(IN[[#This Row],[Sim_]]=IN[[#This Row],[Buffer]],1,0)</f>
        <v>1</v>
      </c>
      <c r="T379" s="11"/>
      <c r="U379" s="145"/>
      <c r="V379" s="258"/>
      <c r="W379" s="258"/>
      <c r="X379" s="258">
        <v>0</v>
      </c>
      <c r="Y379" s="11"/>
      <c r="Z379" s="258">
        <v>0</v>
      </c>
      <c r="AA379" s="258"/>
      <c r="AB379" s="258"/>
      <c r="AC379" s="106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s="63"/>
      <c r="B380" s="209"/>
      <c r="C380" s="94"/>
      <c r="D380" s="94"/>
      <c r="E380" s="17"/>
      <c r="F380" s="252"/>
      <c r="G380" s="147"/>
      <c r="H380" s="20">
        <v>0</v>
      </c>
      <c r="I380" s="104">
        <f>IN[[#This Row],[Buffer]]</f>
        <v>0</v>
      </c>
      <c r="J380" s="135">
        <f>IF(IN[[#This Row],[Sim_]]=IN[[#This Row],[STAGE]],1,0)</f>
        <v>1</v>
      </c>
      <c r="K380" s="259"/>
      <c r="L380" s="130"/>
      <c r="M380" s="130">
        <f>IF(IN[[#This Row],[Sim_]]=IN[[#This Row],[Sim Var ref]],1,0)</f>
        <v>1</v>
      </c>
      <c r="N380" s="8"/>
      <c r="O380" s="8"/>
      <c r="P380" s="255"/>
      <c r="Q380" s="137">
        <f>IF(IN[[#This Row],[Sim_]]=IN[[#This Row],[Direkt alt]],1,0)</f>
        <v>1</v>
      </c>
      <c r="R380" s="10">
        <v>0</v>
      </c>
      <c r="S380" s="10">
        <f>IF(IN[[#This Row],[Sim_]]=IN[[#This Row],[Buffer]],1,0)</f>
        <v>1</v>
      </c>
      <c r="T380" s="11"/>
      <c r="U380" s="145"/>
      <c r="V380" s="258"/>
      <c r="W380" s="258"/>
      <c r="X380" s="258">
        <v>0</v>
      </c>
      <c r="Y380" s="11"/>
      <c r="Z380" s="258">
        <v>0</v>
      </c>
      <c r="AA380" s="258"/>
      <c r="AB380" s="258"/>
      <c r="AC380" s="106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s="63"/>
      <c r="B381" s="209"/>
      <c r="C381" s="94"/>
      <c r="D381" s="94"/>
      <c r="E381" s="17"/>
      <c r="F381" s="252"/>
      <c r="G381" s="147"/>
      <c r="H381" s="20">
        <v>0</v>
      </c>
      <c r="I381" s="104">
        <f>IN[[#This Row],[Buffer]]</f>
        <v>0</v>
      </c>
      <c r="J381" s="135">
        <f>IF(IN[[#This Row],[Sim_]]=IN[[#This Row],[STAGE]],1,0)</f>
        <v>1</v>
      </c>
      <c r="K381" s="259"/>
      <c r="L381" s="130"/>
      <c r="M381" s="130">
        <f>IF(IN[[#This Row],[Sim_]]=IN[[#This Row],[Sim Var ref]],1,0)</f>
        <v>1</v>
      </c>
      <c r="N381" s="8"/>
      <c r="O381" s="8"/>
      <c r="P381" s="255"/>
      <c r="Q381" s="137">
        <f>IF(IN[[#This Row],[Sim_]]=IN[[#This Row],[Direkt alt]],1,0)</f>
        <v>1</v>
      </c>
      <c r="R381" s="10">
        <v>0</v>
      </c>
      <c r="S381" s="10">
        <f>IF(IN[[#This Row],[Sim_]]=IN[[#This Row],[Buffer]],1,0)</f>
        <v>1</v>
      </c>
      <c r="T381" s="11"/>
      <c r="U381" s="145"/>
      <c r="V381" s="258"/>
      <c r="W381" s="258"/>
      <c r="X381" s="258">
        <v>0</v>
      </c>
      <c r="Y381" s="11"/>
      <c r="Z381" s="258">
        <v>0</v>
      </c>
      <c r="AA381" s="258"/>
      <c r="AB381" s="258"/>
      <c r="AC381" s="106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s="63"/>
      <c r="B382" s="209"/>
      <c r="C382" s="94"/>
      <c r="D382" s="94"/>
      <c r="E382" s="17"/>
      <c r="F382" s="252"/>
      <c r="G382" s="147"/>
      <c r="H382" s="20">
        <v>0</v>
      </c>
      <c r="I382" s="104">
        <f>IN[[#This Row],[Buffer]]</f>
        <v>0</v>
      </c>
      <c r="J382" s="135">
        <f>IF(IN[[#This Row],[Sim_]]=IN[[#This Row],[STAGE]],1,0)</f>
        <v>1</v>
      </c>
      <c r="K382" s="259"/>
      <c r="L382" s="130"/>
      <c r="M382" s="130">
        <f>IF(IN[[#This Row],[Sim_]]=IN[[#This Row],[Sim Var ref]],1,0)</f>
        <v>1</v>
      </c>
      <c r="N382" s="8"/>
      <c r="O382" s="8"/>
      <c r="P382" s="255"/>
      <c r="Q382" s="137">
        <f>IF(IN[[#This Row],[Sim_]]=IN[[#This Row],[Direkt alt]],1,0)</f>
        <v>1</v>
      </c>
      <c r="R382" s="10">
        <v>0</v>
      </c>
      <c r="S382" s="10">
        <f>IF(IN[[#This Row],[Sim_]]=IN[[#This Row],[Buffer]],1,0)</f>
        <v>1</v>
      </c>
      <c r="T382" s="11"/>
      <c r="U382" s="145"/>
      <c r="V382" s="258"/>
      <c r="W382" s="258"/>
      <c r="X382" s="258">
        <v>0</v>
      </c>
      <c r="Y382" s="11"/>
      <c r="Z382" s="258">
        <v>0</v>
      </c>
      <c r="AA382" s="258"/>
      <c r="AB382" s="258"/>
      <c r="AC382" s="106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s="63"/>
      <c r="B383" s="209"/>
      <c r="C383" s="94"/>
      <c r="D383" s="94"/>
      <c r="E383" s="17"/>
      <c r="F383" s="252"/>
      <c r="G383" s="147"/>
      <c r="H383" s="20">
        <v>0</v>
      </c>
      <c r="I383" s="104">
        <f>IN[[#This Row],[Buffer]]</f>
        <v>0</v>
      </c>
      <c r="J383" s="135">
        <f>IF(IN[[#This Row],[Sim_]]=IN[[#This Row],[STAGE]],1,0)</f>
        <v>1</v>
      </c>
      <c r="K383" s="259"/>
      <c r="L383" s="130"/>
      <c r="M383" s="130">
        <f>IF(IN[[#This Row],[Sim_]]=IN[[#This Row],[Sim Var ref]],1,0)</f>
        <v>1</v>
      </c>
      <c r="N383" s="8"/>
      <c r="O383" s="8"/>
      <c r="P383" s="255"/>
      <c r="Q383" s="137">
        <f>IF(IN[[#This Row],[Sim_]]=IN[[#This Row],[Direkt alt]],1,0)</f>
        <v>1</v>
      </c>
      <c r="R383" s="10">
        <v>0</v>
      </c>
      <c r="S383" s="10">
        <f>IF(IN[[#This Row],[Sim_]]=IN[[#This Row],[Buffer]],1,0)</f>
        <v>1</v>
      </c>
      <c r="T383" s="11"/>
      <c r="U383" s="145"/>
      <c r="V383" s="258"/>
      <c r="W383" s="258"/>
      <c r="X383" s="258">
        <v>0</v>
      </c>
      <c r="Y383" s="11"/>
      <c r="Z383" s="258">
        <v>0</v>
      </c>
      <c r="AA383" s="258"/>
      <c r="AB383" s="258"/>
      <c r="AC383" s="106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s="63"/>
      <c r="B384" s="209"/>
      <c r="C384" s="94"/>
      <c r="D384" s="94"/>
      <c r="E384" s="17"/>
      <c r="F384" s="252"/>
      <c r="G384" s="147"/>
      <c r="H384" s="20">
        <v>0</v>
      </c>
      <c r="I384" s="104">
        <f>IN[[#This Row],[Buffer]]</f>
        <v>0</v>
      </c>
      <c r="J384" s="135">
        <f>IF(IN[[#This Row],[Sim_]]=IN[[#This Row],[STAGE]],1,0)</f>
        <v>1</v>
      </c>
      <c r="K384" s="259"/>
      <c r="L384" s="130"/>
      <c r="M384" s="130">
        <f>IF(IN[[#This Row],[Sim_]]=IN[[#This Row],[Sim Var ref]],1,0)</f>
        <v>1</v>
      </c>
      <c r="N384" s="8"/>
      <c r="O384" s="8"/>
      <c r="P384" s="255"/>
      <c r="Q384" s="137">
        <f>IF(IN[[#This Row],[Sim_]]=IN[[#This Row],[Direkt alt]],1,0)</f>
        <v>1</v>
      </c>
      <c r="R384" s="10">
        <v>0</v>
      </c>
      <c r="S384" s="10">
        <f>IF(IN[[#This Row],[Sim_]]=IN[[#This Row],[Buffer]],1,0)</f>
        <v>1</v>
      </c>
      <c r="T384" s="11"/>
      <c r="U384" s="145"/>
      <c r="V384" s="258"/>
      <c r="W384" s="258"/>
      <c r="X384" s="258">
        <v>0</v>
      </c>
      <c r="Y384" s="11"/>
      <c r="Z384" s="258">
        <v>0</v>
      </c>
      <c r="AA384" s="258"/>
      <c r="AB384" s="258"/>
      <c r="AC384" s="106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s="63"/>
      <c r="B385" s="209"/>
      <c r="C385" s="94"/>
      <c r="D385" s="94"/>
      <c r="E385" s="17"/>
      <c r="F385" s="252"/>
      <c r="G385" s="147"/>
      <c r="H385" s="20">
        <v>0</v>
      </c>
      <c r="I385" s="104">
        <f>IN[[#This Row],[Buffer]]</f>
        <v>0</v>
      </c>
      <c r="J385" s="135">
        <f>IF(IN[[#This Row],[Sim_]]=IN[[#This Row],[STAGE]],1,0)</f>
        <v>1</v>
      </c>
      <c r="K385" s="259"/>
      <c r="L385" s="130"/>
      <c r="M385" s="130">
        <f>IF(IN[[#This Row],[Sim_]]=IN[[#This Row],[Sim Var ref]],1,0)</f>
        <v>1</v>
      </c>
      <c r="N385" s="8"/>
      <c r="O385" s="8"/>
      <c r="P385" s="255"/>
      <c r="Q385" s="137">
        <f>IF(IN[[#This Row],[Sim_]]=IN[[#This Row],[Direkt alt]],1,0)</f>
        <v>1</v>
      </c>
      <c r="R385" s="10">
        <v>0</v>
      </c>
      <c r="S385" s="10">
        <f>IF(IN[[#This Row],[Sim_]]=IN[[#This Row],[Buffer]],1,0)</f>
        <v>1</v>
      </c>
      <c r="T385" s="11"/>
      <c r="U385" s="145"/>
      <c r="V385" s="258"/>
      <c r="W385" s="258"/>
      <c r="X385" s="258">
        <v>0</v>
      </c>
      <c r="Y385" s="11"/>
      <c r="Z385" s="258">
        <v>0</v>
      </c>
      <c r="AA385" s="258"/>
      <c r="AB385" s="258"/>
      <c r="AC385" s="106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s="63"/>
      <c r="B386" s="209"/>
      <c r="C386" s="94"/>
      <c r="D386" s="94"/>
      <c r="E386" s="17"/>
      <c r="F386" s="252"/>
      <c r="G386" s="147"/>
      <c r="H386" s="20">
        <v>0</v>
      </c>
      <c r="I386" s="104">
        <f>IN[[#This Row],[Buffer]]</f>
        <v>0</v>
      </c>
      <c r="J386" s="135">
        <f>IF(IN[[#This Row],[Sim_]]=IN[[#This Row],[STAGE]],1,0)</f>
        <v>1</v>
      </c>
      <c r="K386" s="259"/>
      <c r="L386" s="130"/>
      <c r="M386" s="130">
        <f>IF(IN[[#This Row],[Sim_]]=IN[[#This Row],[Sim Var ref]],1,0)</f>
        <v>1</v>
      </c>
      <c r="N386" s="8"/>
      <c r="O386" s="8"/>
      <c r="P386" s="255"/>
      <c r="Q386" s="137">
        <f>IF(IN[[#This Row],[Sim_]]=IN[[#This Row],[Direkt alt]],1,0)</f>
        <v>1</v>
      </c>
      <c r="R386" s="10">
        <v>0</v>
      </c>
      <c r="S386" s="10">
        <f>IF(IN[[#This Row],[Sim_]]=IN[[#This Row],[Buffer]],1,0)</f>
        <v>1</v>
      </c>
      <c r="T386" s="11"/>
      <c r="U386" s="145"/>
      <c r="V386" s="258"/>
      <c r="W386" s="258"/>
      <c r="X386" s="258">
        <v>0</v>
      </c>
      <c r="Y386" s="11"/>
      <c r="Z386" s="258">
        <v>0</v>
      </c>
      <c r="AA386" s="258"/>
      <c r="AB386" s="258"/>
      <c r="AC386" s="10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s="63"/>
      <c r="B387" s="209"/>
      <c r="C387" s="94"/>
      <c r="D387" s="94"/>
      <c r="E387" s="17"/>
      <c r="F387" s="252"/>
      <c r="G387" s="147"/>
      <c r="H387" s="20">
        <v>0</v>
      </c>
      <c r="I387" s="104">
        <f>IN[[#This Row],[Buffer]]</f>
        <v>0</v>
      </c>
      <c r="J387" s="135">
        <f>IF(IN[[#This Row],[Sim_]]=IN[[#This Row],[STAGE]],1,0)</f>
        <v>1</v>
      </c>
      <c r="K387" s="259"/>
      <c r="L387" s="130"/>
      <c r="M387" s="130">
        <f>IF(IN[[#This Row],[Sim_]]=IN[[#This Row],[Sim Var ref]],1,0)</f>
        <v>1</v>
      </c>
      <c r="N387" s="8"/>
      <c r="O387" s="8"/>
      <c r="P387" s="255"/>
      <c r="Q387" s="137">
        <f>IF(IN[[#This Row],[Sim_]]=IN[[#This Row],[Direkt alt]],1,0)</f>
        <v>1</v>
      </c>
      <c r="R387" s="10">
        <v>0</v>
      </c>
      <c r="S387" s="10">
        <f>IF(IN[[#This Row],[Sim_]]=IN[[#This Row],[Buffer]],1,0)</f>
        <v>1</v>
      </c>
      <c r="T387" s="11"/>
      <c r="U387" s="145"/>
      <c r="V387" s="258"/>
      <c r="W387" s="258"/>
      <c r="X387" s="258">
        <v>0</v>
      </c>
      <c r="Y387" s="11"/>
      <c r="Z387" s="258">
        <v>0</v>
      </c>
      <c r="AA387" s="258"/>
      <c r="AB387" s="258"/>
      <c r="AC387" s="106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ht="26.25" x14ac:dyDescent="0.25">
      <c r="A388" s="260"/>
      <c r="B388" s="260"/>
      <c r="C388" s="261" t="e">
        <f>ROWS(#REF!)-1</f>
        <v>#REF!</v>
      </c>
      <c r="D388" s="261" t="s">
        <v>293</v>
      </c>
      <c r="E388" s="260"/>
      <c r="F388" s="262"/>
      <c r="G388" s="263"/>
      <c r="H388" s="264">
        <v>0</v>
      </c>
      <c r="I388" s="260"/>
      <c r="J388" s="260"/>
      <c r="K388" s="260"/>
      <c r="L388" s="260"/>
      <c r="M388" s="260"/>
      <c r="N388" s="260"/>
      <c r="O388" s="260"/>
      <c r="P388" s="260"/>
      <c r="Q388" s="260"/>
      <c r="R388" s="260"/>
      <c r="S388" s="260"/>
      <c r="T388" s="260"/>
      <c r="U388" s="260"/>
      <c r="V388" s="265"/>
      <c r="W388" s="265"/>
      <c r="X388" s="265"/>
      <c r="Y388" s="265"/>
      <c r="Z388" s="265"/>
      <c r="AA388" s="265"/>
      <c r="AB388" s="265"/>
      <c r="AC388" s="265"/>
    </row>
    <row r="389" spans="1:36" x14ac:dyDescent="0.25">
      <c r="A389" s="266" t="s">
        <v>127</v>
      </c>
      <c r="B389" s="209" t="s">
        <v>483</v>
      </c>
      <c r="C389" s="16" t="s">
        <v>484</v>
      </c>
      <c r="D389" s="16"/>
      <c r="E389" s="17" t="s">
        <v>285</v>
      </c>
      <c r="F389" s="18"/>
      <c r="G389" s="134" t="str">
        <f ca="1">_xlfn.FORMULATEXT(IN[[#This Row],[STAGE]])</f>
        <v>='[ka_PEQ_Nachweistool.xlsb]🧱'!B40</v>
      </c>
      <c r="H389" s="20">
        <v>2</v>
      </c>
      <c r="I389" s="104">
        <f>'[1]🧱'!B40</f>
        <v>0</v>
      </c>
      <c r="J389" s="135">
        <f>IF(IN[[#This Row],[Sim_]]=IN[[#This Row],[STAGE]],1,0)</f>
        <v>0</v>
      </c>
      <c r="K389" s="210">
        <f>[1]IN!K171*'[1]⚙'!$B$42</f>
        <v>23.652951773090063</v>
      </c>
      <c r="L389" s="130"/>
      <c r="M389" s="130">
        <f>IF(IN[[#This Row],[Sim_]]=IN[[#This Row],[Sim Var ref]],1,0)</f>
        <v>0</v>
      </c>
      <c r="N389" s="8"/>
      <c r="O389" s="8">
        <v>307</v>
      </c>
      <c r="P389" s="105"/>
      <c r="Q389" s="137">
        <f>IF(IN[[#This Row],[Sim_]]=IN[[#This Row],[Direkt alt]],1,0)</f>
        <v>0</v>
      </c>
      <c r="R389" s="10">
        <v>0.4</v>
      </c>
      <c r="S389" s="10">
        <f>IF(IN[[#This Row],[Sim_]]=IN[[#This Row],[Buffer]],1,0)</f>
        <v>0</v>
      </c>
      <c r="T389" s="11"/>
      <c r="U389" s="104">
        <v>0.4</v>
      </c>
      <c r="V389" s="131">
        <v>0.4</v>
      </c>
      <c r="W389" s="131">
        <v>0.4</v>
      </c>
      <c r="X389" s="131">
        <v>0.4</v>
      </c>
      <c r="Y389" s="131">
        <v>0.4</v>
      </c>
      <c r="Z389" s="131">
        <v>0.4</v>
      </c>
      <c r="AA389" s="131">
        <v>0.4</v>
      </c>
      <c r="AB389" s="131">
        <v>0.4</v>
      </c>
      <c r="AC389" s="106">
        <v>0.4</v>
      </c>
      <c r="AD389" s="131">
        <v>0.4</v>
      </c>
      <c r="AE389" s="131">
        <v>0.4</v>
      </c>
      <c r="AF389" s="131">
        <v>0.4</v>
      </c>
      <c r="AG389">
        <v>0.4</v>
      </c>
      <c r="AH389">
        <v>0.4</v>
      </c>
      <c r="AI389">
        <v>0.4</v>
      </c>
      <c r="AJ389">
        <v>0.4</v>
      </c>
    </row>
    <row r="390" spans="1:36" x14ac:dyDescent="0.25">
      <c r="A390" s="266" t="s">
        <v>127</v>
      </c>
      <c r="B390" s="15" t="s">
        <v>485</v>
      </c>
      <c r="C390" s="16"/>
      <c r="D390" s="16"/>
      <c r="E390" s="17" t="s">
        <v>262</v>
      </c>
      <c r="F390" s="18"/>
      <c r="G390" s="134" t="e">
        <f ca="1">_xlfn.FORMULATEXT(IN[[#This Row],[STAGE]])</f>
        <v>#N/A</v>
      </c>
      <c r="H390" s="20">
        <v>1</v>
      </c>
      <c r="I390" s="185">
        <v>10</v>
      </c>
      <c r="J390" s="135">
        <f>IF(IN[[#This Row],[Sim_]]=IN[[#This Row],[STAGE]],1,0)</f>
        <v>0</v>
      </c>
      <c r="K390" s="131"/>
      <c r="L390" s="130"/>
      <c r="M390" s="130">
        <f>IF(IN[[#This Row],[Sim_]]=IN[[#This Row],[Sim Var ref]],1,0)</f>
        <v>1</v>
      </c>
      <c r="N390" s="8"/>
      <c r="O390" s="8">
        <v>308</v>
      </c>
      <c r="P390" s="105"/>
      <c r="Q390" s="137">
        <f>IF(IN[[#This Row],[Sim_]]=IN[[#This Row],[Direkt alt]],1,0)</f>
        <v>1</v>
      </c>
      <c r="R390" s="10">
        <v>10</v>
      </c>
      <c r="S390" s="10">
        <f>IF(IN[[#This Row],[Sim_]]=IN[[#This Row],[Buffer]],1,0)</f>
        <v>0</v>
      </c>
      <c r="T390" s="11"/>
      <c r="U390" s="104" t="e">
        <f>U389/'[1]⚙'!K42</f>
        <v>#DIV/0!</v>
      </c>
      <c r="V390" s="131"/>
      <c r="W390" s="131"/>
      <c r="X390" s="131">
        <v>10</v>
      </c>
      <c r="Y390" s="11"/>
      <c r="Z390" s="174">
        <v>10</v>
      </c>
      <c r="AA390" s="174">
        <v>1</v>
      </c>
      <c r="AB390" s="174">
        <v>1</v>
      </c>
      <c r="AC390" s="199">
        <v>10</v>
      </c>
      <c r="AD390">
        <v>10</v>
      </c>
      <c r="AE390">
        <v>10</v>
      </c>
      <c r="AF390">
        <v>10</v>
      </c>
      <c r="AG390">
        <v>10</v>
      </c>
      <c r="AH390">
        <v>10</v>
      </c>
      <c r="AI390">
        <v>10</v>
      </c>
      <c r="AJ390">
        <v>10</v>
      </c>
    </row>
    <row r="391" spans="1:36" x14ac:dyDescent="0.25">
      <c r="A391" s="266" t="s">
        <v>127</v>
      </c>
      <c r="B391" s="15" t="s">
        <v>486</v>
      </c>
      <c r="C391" s="16" t="s">
        <v>484</v>
      </c>
      <c r="D391" s="16"/>
      <c r="E391" s="17"/>
      <c r="F391" s="18" t="s">
        <v>487</v>
      </c>
      <c r="G391" s="134" t="str">
        <f ca="1">_xlfn.FORMULATEXT(IN[[#This Row],[STAGE]])</f>
        <v>=I389/I390</v>
      </c>
      <c r="H391" s="20">
        <v>0</v>
      </c>
      <c r="I391" s="223">
        <f>I389/I390</f>
        <v>0</v>
      </c>
      <c r="J391" s="135">
        <f>IF(IN[[#This Row],[Sim_]]=IN[[#This Row],[STAGE]],1,0)</f>
        <v>1</v>
      </c>
      <c r="K391" s="131"/>
      <c r="L391" s="130"/>
      <c r="M391" s="130">
        <f>IF(IN[[#This Row],[Sim_]]=IN[[#This Row],[Sim Var ref]],1,0)</f>
        <v>1</v>
      </c>
      <c r="N391" s="8"/>
      <c r="O391" s="8"/>
      <c r="P391" s="105"/>
      <c r="Q391" s="137">
        <f>IF(IN[[#This Row],[Sim_]]=IN[[#This Row],[Direkt alt]],1,0)</f>
        <v>1</v>
      </c>
      <c r="R391" s="10">
        <v>0.04</v>
      </c>
      <c r="S391" s="10">
        <f>IF(IN[[#This Row],[Sim_]]=IN[[#This Row],[Buffer]],1,0)</f>
        <v>0</v>
      </c>
      <c r="T391" s="11"/>
      <c r="U391" s="145"/>
      <c r="V391" s="131"/>
      <c r="W391" s="131"/>
      <c r="X391" s="131">
        <v>0.04</v>
      </c>
      <c r="Y391" s="11"/>
      <c r="Z391" s="174">
        <v>0.04</v>
      </c>
      <c r="AA391" s="174"/>
      <c r="AB391" s="174"/>
      <c r="AC391" s="223">
        <v>0.04</v>
      </c>
      <c r="AD391">
        <v>0</v>
      </c>
      <c r="AE391">
        <v>0</v>
      </c>
      <c r="AF391">
        <v>0.04</v>
      </c>
      <c r="AG391">
        <v>0.04</v>
      </c>
      <c r="AH391">
        <v>0.04</v>
      </c>
      <c r="AI391">
        <v>0.04</v>
      </c>
      <c r="AJ391">
        <v>0.04</v>
      </c>
    </row>
    <row r="392" spans="1:36" x14ac:dyDescent="0.25">
      <c r="A392" s="63"/>
      <c r="B392" s="15"/>
      <c r="C392" s="16"/>
      <c r="D392" s="16"/>
      <c r="E392" s="17"/>
      <c r="F392" s="18"/>
      <c r="G392" s="147"/>
      <c r="H392" s="20">
        <v>0</v>
      </c>
      <c r="I392" s="104">
        <f>IN[[#This Row],[Buffer]]</f>
        <v>0</v>
      </c>
      <c r="J392" s="135">
        <f>IF(IN[[#This Row],[Sim_]]=IN[[#This Row],[STAGE]],1,0)</f>
        <v>1</v>
      </c>
      <c r="K392" s="131"/>
      <c r="L392" s="130"/>
      <c r="M392" s="130">
        <f>IF(IN[[#This Row],[Sim_]]=IN[[#This Row],[Sim Var ref]],1,0)</f>
        <v>1</v>
      </c>
      <c r="N392" s="8"/>
      <c r="O392" s="8"/>
      <c r="P392" s="105"/>
      <c r="Q392" s="137">
        <f>IF(IN[[#This Row],[Sim_]]=IN[[#This Row],[Direkt alt]],1,0)</f>
        <v>1</v>
      </c>
      <c r="R392" s="10">
        <v>0</v>
      </c>
      <c r="S392" s="10">
        <f>IF(IN[[#This Row],[Sim_]]=IN[[#This Row],[Buffer]],1,0)</f>
        <v>1</v>
      </c>
      <c r="T392" s="11"/>
      <c r="U392" s="145"/>
      <c r="V392" s="131"/>
      <c r="W392" s="131"/>
      <c r="X392" s="131">
        <v>0</v>
      </c>
      <c r="Y392" s="11"/>
      <c r="Z392" s="174">
        <v>0</v>
      </c>
      <c r="AA392" s="174"/>
      <c r="AB392" s="174"/>
      <c r="AC392" s="106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s="63"/>
      <c r="B393" s="15"/>
      <c r="C393" s="16"/>
      <c r="D393" s="16"/>
      <c r="E393" s="17"/>
      <c r="F393" s="18"/>
      <c r="G393" s="147"/>
      <c r="H393" s="20">
        <v>0</v>
      </c>
      <c r="I393" s="104">
        <f>IN[[#This Row],[Buffer]]</f>
        <v>0</v>
      </c>
      <c r="J393" s="135">
        <f>IF(IN[[#This Row],[Sim_]]=IN[[#This Row],[STAGE]],1,0)</f>
        <v>1</v>
      </c>
      <c r="K393" s="131"/>
      <c r="L393" s="130"/>
      <c r="M393" s="130">
        <f>IF(IN[[#This Row],[Sim_]]=IN[[#This Row],[Sim Var ref]],1,0)</f>
        <v>1</v>
      </c>
      <c r="N393" s="8"/>
      <c r="O393" s="8"/>
      <c r="P393" s="105"/>
      <c r="Q393" s="137">
        <f>IF(IN[[#This Row],[Sim_]]=IN[[#This Row],[Direkt alt]],1,0)</f>
        <v>1</v>
      </c>
      <c r="R393" s="10">
        <v>0</v>
      </c>
      <c r="S393" s="10">
        <f>IF(IN[[#This Row],[Sim_]]=IN[[#This Row],[Buffer]],1,0)</f>
        <v>1</v>
      </c>
      <c r="T393" s="11"/>
      <c r="U393" s="145"/>
      <c r="V393" s="131"/>
      <c r="W393" s="131"/>
      <c r="X393" s="131">
        <v>0</v>
      </c>
      <c r="Y393" s="11"/>
      <c r="Z393" s="174">
        <v>0</v>
      </c>
      <c r="AA393" s="174"/>
      <c r="AB393" s="174"/>
      <c r="AC393" s="106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s="63"/>
      <c r="B394" s="15"/>
      <c r="C394" s="16"/>
      <c r="D394" s="16"/>
      <c r="E394" s="17"/>
      <c r="F394" s="18"/>
      <c r="G394" s="147"/>
      <c r="H394" s="20">
        <v>0</v>
      </c>
      <c r="I394" s="104">
        <f>IN[[#This Row],[Buffer]]</f>
        <v>0</v>
      </c>
      <c r="J394" s="135">
        <f>IF(IN[[#This Row],[Sim_]]=IN[[#This Row],[STAGE]],1,0)</f>
        <v>1</v>
      </c>
      <c r="K394" s="131"/>
      <c r="L394" s="130"/>
      <c r="M394" s="130">
        <f>IF(IN[[#This Row],[Sim_]]=IN[[#This Row],[Sim Var ref]],1,0)</f>
        <v>1</v>
      </c>
      <c r="N394" s="8"/>
      <c r="O394" s="8"/>
      <c r="P394" s="105"/>
      <c r="Q394" s="137">
        <f>IF(IN[[#This Row],[Sim_]]=IN[[#This Row],[Direkt alt]],1,0)</f>
        <v>1</v>
      </c>
      <c r="R394" s="10">
        <v>0</v>
      </c>
      <c r="S394" s="10">
        <f>IF(IN[[#This Row],[Sim_]]=IN[[#This Row],[Buffer]],1,0)</f>
        <v>1</v>
      </c>
      <c r="T394" s="11"/>
      <c r="U394" s="145"/>
      <c r="V394" s="131"/>
      <c r="W394" s="131"/>
      <c r="X394" s="131">
        <v>0</v>
      </c>
      <c r="Y394" s="11"/>
      <c r="Z394" s="174">
        <v>0</v>
      </c>
      <c r="AA394" s="174"/>
      <c r="AB394" s="174"/>
      <c r="AC394" s="106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s="266" t="s">
        <v>127</v>
      </c>
      <c r="B395" s="29" t="s">
        <v>488</v>
      </c>
      <c r="C395" s="16" t="s">
        <v>489</v>
      </c>
      <c r="D395" s="16"/>
      <c r="E395" s="17" t="s">
        <v>285</v>
      </c>
      <c r="F395" s="18"/>
      <c r="G395" s="134" t="str">
        <f ca="1">_xlfn.FORMULATEXT(IN[[#This Row],[STAGE]])</f>
        <v>='[ka_PEQ_Nachweistool.xlsb]💨L'!B19</v>
      </c>
      <c r="H395" s="20">
        <v>2</v>
      </c>
      <c r="I395" s="104">
        <f>'[1]💨L'!B19</f>
        <v>0</v>
      </c>
      <c r="J395" s="135">
        <f>IF(IN[[#This Row],[Sim_]]=IN[[#This Row],[STAGE]],1,0)</f>
        <v>0</v>
      </c>
      <c r="K395" s="223">
        <f t="shared" ref="K395:K401" si="13">IF(K$139,1,0)</f>
        <v>1</v>
      </c>
      <c r="L395" s="130"/>
      <c r="M395" s="130">
        <f>IF(IN[[#This Row],[Sim_]]=IN[[#This Row],[Sim Var ref]],1,0)</f>
        <v>0</v>
      </c>
      <c r="N395" s="8"/>
      <c r="O395" s="8">
        <v>309</v>
      </c>
      <c r="P395" s="105"/>
      <c r="Q395" s="137">
        <f>IF(IN[[#This Row],[Sim_]]=IN[[#This Row],[Direkt alt]],1,0)</f>
        <v>0</v>
      </c>
      <c r="R395" s="10">
        <v>0</v>
      </c>
      <c r="S395" s="10">
        <f>IF(IN[[#This Row],[Sim_]]=IN[[#This Row],[Buffer]],1,0)</f>
        <v>0</v>
      </c>
      <c r="T395" s="11"/>
      <c r="U395" s="104" t="e">
        <f>'[1]💨L'!#REF!</f>
        <v>#REF!</v>
      </c>
      <c r="V395" s="174">
        <f t="shared" ref="V395:AA401" si="14">IF(V$139,1,0)</f>
        <v>1</v>
      </c>
      <c r="W395" s="174">
        <f t="shared" si="14"/>
        <v>1</v>
      </c>
      <c r="X395" s="174">
        <v>1</v>
      </c>
      <c r="Y395" s="174">
        <f t="shared" si="14"/>
        <v>1</v>
      </c>
      <c r="Z395" s="174">
        <v>1</v>
      </c>
      <c r="AA395" s="174">
        <f t="shared" si="14"/>
        <v>1</v>
      </c>
      <c r="AB395" s="174">
        <v>0</v>
      </c>
      <c r="AC395" s="106">
        <v>0.5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s="266" t="s">
        <v>127</v>
      </c>
      <c r="B396" s="29" t="s">
        <v>490</v>
      </c>
      <c r="C396" s="16" t="s">
        <v>489</v>
      </c>
      <c r="D396" s="16"/>
      <c r="E396" s="17" t="s">
        <v>285</v>
      </c>
      <c r="F396" s="18"/>
      <c r="G396" s="134" t="str">
        <f ca="1">_xlfn.FORMULATEXT(IN[[#This Row],[STAGE]])</f>
        <v>='[ka_PEQ_Nachweistool.xlsb]💨L'!B20</v>
      </c>
      <c r="H396" s="20">
        <v>2</v>
      </c>
      <c r="I396" s="104">
        <f>'[1]💨L'!B20</f>
        <v>0</v>
      </c>
      <c r="J396" s="135">
        <f>IF(IN[[#This Row],[Sim_]]=IN[[#This Row],[STAGE]],1,0)</f>
        <v>0</v>
      </c>
      <c r="K396" s="223">
        <f t="shared" si="13"/>
        <v>1</v>
      </c>
      <c r="L396" s="130"/>
      <c r="M396" s="130">
        <f>IF(IN[[#This Row],[Sim_]]=IN[[#This Row],[Sim Var ref]],1,0)</f>
        <v>0</v>
      </c>
      <c r="N396" s="8"/>
      <c r="O396" s="8">
        <v>310</v>
      </c>
      <c r="P396" s="105"/>
      <c r="Q396" s="137">
        <f>IF(IN[[#This Row],[Sim_]]=IN[[#This Row],[Direkt alt]],1,0)</f>
        <v>0</v>
      </c>
      <c r="R396" s="10">
        <v>1</v>
      </c>
      <c r="S396" s="10">
        <f>IF(IN[[#This Row],[Sim_]]=IN[[#This Row],[Buffer]],1,0)</f>
        <v>1</v>
      </c>
      <c r="T396" s="11"/>
      <c r="U396" s="104" t="e">
        <f>'[1]💨L'!#REF!</f>
        <v>#REF!</v>
      </c>
      <c r="V396" s="174">
        <f t="shared" si="14"/>
        <v>1</v>
      </c>
      <c r="W396" s="174">
        <f t="shared" si="14"/>
        <v>1</v>
      </c>
      <c r="X396" s="174">
        <v>1</v>
      </c>
      <c r="Y396" s="174">
        <f t="shared" si="14"/>
        <v>1</v>
      </c>
      <c r="Z396" s="174">
        <v>1</v>
      </c>
      <c r="AA396" s="174">
        <f t="shared" si="14"/>
        <v>1</v>
      </c>
      <c r="AB396" s="174">
        <v>1</v>
      </c>
      <c r="AC396" s="10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25">
      <c r="A397" s="266" t="s">
        <v>127</v>
      </c>
      <c r="B397" s="29" t="s">
        <v>491</v>
      </c>
      <c r="C397" s="16" t="s">
        <v>489</v>
      </c>
      <c r="D397" s="16"/>
      <c r="E397" s="17" t="s">
        <v>285</v>
      </c>
      <c r="F397" s="18"/>
      <c r="G397" s="134" t="str">
        <f ca="1">_xlfn.FORMULATEXT(IN[[#This Row],[STAGE]])</f>
        <v>='[ka_PEQ_Nachweistool.xlsb]💨L'!B22</v>
      </c>
      <c r="H397" s="20">
        <v>2</v>
      </c>
      <c r="I397" s="104">
        <f>'[1]💨L'!B22</f>
        <v>0</v>
      </c>
      <c r="J397" s="135">
        <f>IF(IN[[#This Row],[Sim_]]=IN[[#This Row],[STAGE]],1,0)</f>
        <v>0</v>
      </c>
      <c r="K397" s="223">
        <f t="shared" si="13"/>
        <v>1</v>
      </c>
      <c r="L397" s="130"/>
      <c r="M397" s="130">
        <f>IF(IN[[#This Row],[Sim_]]=IN[[#This Row],[Sim Var ref]],1,0)</f>
        <v>0</v>
      </c>
      <c r="N397" s="8"/>
      <c r="O397" s="8">
        <v>311</v>
      </c>
      <c r="P397" s="105"/>
      <c r="Q397" s="137">
        <f>IF(IN[[#This Row],[Sim_]]=IN[[#This Row],[Direkt alt]],1,0)</f>
        <v>0</v>
      </c>
      <c r="R397" s="10">
        <v>1</v>
      </c>
      <c r="S397" s="10">
        <f>IF(IN[[#This Row],[Sim_]]=IN[[#This Row],[Buffer]],1,0)</f>
        <v>1</v>
      </c>
      <c r="T397" s="11"/>
      <c r="U397" s="104" t="e">
        <f>'[1]💨L'!#REF!</f>
        <v>#REF!</v>
      </c>
      <c r="V397" s="174">
        <f t="shared" si="14"/>
        <v>1</v>
      </c>
      <c r="W397" s="174">
        <f t="shared" si="14"/>
        <v>1</v>
      </c>
      <c r="X397" s="174">
        <v>0</v>
      </c>
      <c r="Y397" s="174">
        <f t="shared" si="14"/>
        <v>1</v>
      </c>
      <c r="Z397" s="174">
        <v>0</v>
      </c>
      <c r="AA397" s="174">
        <f t="shared" si="14"/>
        <v>1</v>
      </c>
      <c r="AB397" s="174">
        <v>1</v>
      </c>
      <c r="AC397" s="106">
        <v>0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25">
      <c r="A398" s="266" t="s">
        <v>127</v>
      </c>
      <c r="B398" s="29" t="s">
        <v>492</v>
      </c>
      <c r="C398" s="16" t="s">
        <v>489</v>
      </c>
      <c r="D398" s="16"/>
      <c r="E398" s="17" t="s">
        <v>285</v>
      </c>
      <c r="F398" s="18"/>
      <c r="G398" s="134" t="str">
        <f ca="1">_xlfn.FORMULATEXT(IN[[#This Row],[STAGE]])</f>
        <v>='[ka_PEQ_Nachweistool.xlsb]💨L'!B21</v>
      </c>
      <c r="H398" s="20">
        <v>2</v>
      </c>
      <c r="I398" s="104">
        <f>'[1]💨L'!B21</f>
        <v>0</v>
      </c>
      <c r="J398" s="135">
        <f>IF(IN[[#This Row],[Sim_]]=IN[[#This Row],[STAGE]],1,0)</f>
        <v>0</v>
      </c>
      <c r="K398" s="223">
        <f t="shared" si="13"/>
        <v>1</v>
      </c>
      <c r="L398" s="130"/>
      <c r="M398" s="130">
        <f>IF(IN[[#This Row],[Sim_]]=IN[[#This Row],[Sim Var ref]],1,0)</f>
        <v>0</v>
      </c>
      <c r="N398" s="8"/>
      <c r="O398" s="8">
        <v>312</v>
      </c>
      <c r="P398" s="105"/>
      <c r="Q398" s="137">
        <f>IF(IN[[#This Row],[Sim_]]=IN[[#This Row],[Direkt alt]],1,0)</f>
        <v>0</v>
      </c>
      <c r="R398" s="10">
        <v>1</v>
      </c>
      <c r="S398" s="10">
        <f>IF(IN[[#This Row],[Sim_]]=IN[[#This Row],[Buffer]],1,0)</f>
        <v>1</v>
      </c>
      <c r="T398" s="11"/>
      <c r="U398" s="104" t="e">
        <f>'[1]💨L'!#REF!</f>
        <v>#REF!</v>
      </c>
      <c r="V398" s="174">
        <f t="shared" si="14"/>
        <v>1</v>
      </c>
      <c r="W398" s="174">
        <f t="shared" si="14"/>
        <v>1</v>
      </c>
      <c r="X398" s="174">
        <v>0</v>
      </c>
      <c r="Y398" s="174">
        <f t="shared" si="14"/>
        <v>1</v>
      </c>
      <c r="Z398" s="174">
        <v>0</v>
      </c>
      <c r="AA398" s="174">
        <f t="shared" si="14"/>
        <v>1</v>
      </c>
      <c r="AB398" s="174">
        <v>1</v>
      </c>
      <c r="AC398" s="106">
        <v>0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25">
      <c r="A399" s="266" t="s">
        <v>127</v>
      </c>
      <c r="B399" s="29" t="s">
        <v>493</v>
      </c>
      <c r="C399" s="16" t="s">
        <v>489</v>
      </c>
      <c r="D399" s="16"/>
      <c r="E399" s="17" t="s">
        <v>285</v>
      </c>
      <c r="F399" s="18"/>
      <c r="G399" s="134" t="str">
        <f ca="1">_xlfn.FORMULATEXT(IN[[#This Row],[STAGE]])</f>
        <v>='[ka_PEQ_Nachweistool.xlsb]💨L'!B23</v>
      </c>
      <c r="H399" s="20">
        <v>2</v>
      </c>
      <c r="I399" s="104">
        <f>'[1]💨L'!B23</f>
        <v>0</v>
      </c>
      <c r="J399" s="135">
        <f>IF(IN[[#This Row],[Sim_]]=IN[[#This Row],[STAGE]],1,0)</f>
        <v>0</v>
      </c>
      <c r="K399" s="223">
        <f t="shared" si="13"/>
        <v>1</v>
      </c>
      <c r="L399" s="130"/>
      <c r="M399" s="130">
        <f>IF(IN[[#This Row],[Sim_]]=IN[[#This Row],[Sim Var ref]],1,0)</f>
        <v>0</v>
      </c>
      <c r="N399" s="8"/>
      <c r="O399" s="8">
        <v>313</v>
      </c>
      <c r="P399" s="105"/>
      <c r="Q399" s="137">
        <f>IF(IN[[#This Row],[Sim_]]=IN[[#This Row],[Direkt alt]],1,0)</f>
        <v>0</v>
      </c>
      <c r="R399" s="10">
        <v>1</v>
      </c>
      <c r="S399" s="10">
        <f>IF(IN[[#This Row],[Sim_]]=IN[[#This Row],[Buffer]],1,0)</f>
        <v>1</v>
      </c>
      <c r="T399" s="11"/>
      <c r="U399" s="104" t="e">
        <f>'[1]💨L'!#REF!</f>
        <v>#REF!</v>
      </c>
      <c r="V399" s="174">
        <f t="shared" si="14"/>
        <v>1</v>
      </c>
      <c r="W399" s="174">
        <f t="shared" si="14"/>
        <v>1</v>
      </c>
      <c r="X399" s="174">
        <v>0</v>
      </c>
      <c r="Y399" s="174">
        <f t="shared" si="14"/>
        <v>1</v>
      </c>
      <c r="Z399" s="174">
        <v>0</v>
      </c>
      <c r="AA399" s="174">
        <f t="shared" si="14"/>
        <v>1</v>
      </c>
      <c r="AB399" s="174">
        <v>1</v>
      </c>
      <c r="AC399" s="106">
        <v>0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25">
      <c r="A400" s="266" t="s">
        <v>127</v>
      </c>
      <c r="B400" s="29" t="s">
        <v>494</v>
      </c>
      <c r="C400" s="16" t="s">
        <v>489</v>
      </c>
      <c r="D400" s="16"/>
      <c r="E400" s="17" t="s">
        <v>285</v>
      </c>
      <c r="F400" s="18"/>
      <c r="G400" s="134" t="str">
        <f ca="1">_xlfn.FORMULATEXT(IN[[#This Row],[STAGE]])</f>
        <v>='[ka_PEQ_Nachweistool.xlsb]💨L'!B24</v>
      </c>
      <c r="H400" s="20">
        <v>2</v>
      </c>
      <c r="I400" s="104">
        <f>'[1]💨L'!B24</f>
        <v>0</v>
      </c>
      <c r="J400" s="135">
        <f>IF(IN[[#This Row],[Sim_]]=IN[[#This Row],[STAGE]],1,0)</f>
        <v>0</v>
      </c>
      <c r="K400" s="223">
        <f t="shared" si="13"/>
        <v>1</v>
      </c>
      <c r="L400" s="130"/>
      <c r="M400" s="130">
        <f>IF(IN[[#This Row],[Sim_]]=IN[[#This Row],[Sim Var ref]],1,0)</f>
        <v>0</v>
      </c>
      <c r="N400" s="8"/>
      <c r="O400" s="8">
        <v>314</v>
      </c>
      <c r="P400" s="105"/>
      <c r="Q400" s="137">
        <f>IF(IN[[#This Row],[Sim_]]=IN[[#This Row],[Direkt alt]],1,0)</f>
        <v>0</v>
      </c>
      <c r="R400" s="10">
        <v>1</v>
      </c>
      <c r="S400" s="10">
        <f>IF(IN[[#This Row],[Sim_]]=IN[[#This Row],[Buffer]],1,0)</f>
        <v>1</v>
      </c>
      <c r="T400" s="11"/>
      <c r="U400" s="104" t="e">
        <f>'[1]💨L'!#REF!</f>
        <v>#REF!</v>
      </c>
      <c r="V400" s="174">
        <f t="shared" si="14"/>
        <v>1</v>
      </c>
      <c r="W400" s="174">
        <f t="shared" si="14"/>
        <v>1</v>
      </c>
      <c r="X400" s="174">
        <v>0</v>
      </c>
      <c r="Y400" s="174">
        <f t="shared" si="14"/>
        <v>1</v>
      </c>
      <c r="Z400" s="174">
        <v>0</v>
      </c>
      <c r="AA400" s="174">
        <f t="shared" si="14"/>
        <v>1</v>
      </c>
      <c r="AB400" s="174">
        <v>1</v>
      </c>
      <c r="AC400" s="106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25">
      <c r="A401" s="266" t="s">
        <v>127</v>
      </c>
      <c r="B401" s="15" t="s">
        <v>495</v>
      </c>
      <c r="C401" s="16" t="s">
        <v>489</v>
      </c>
      <c r="D401" s="16"/>
      <c r="E401" s="17" t="s">
        <v>285</v>
      </c>
      <c r="F401" s="18"/>
      <c r="G401" s="134" t="str">
        <f ca="1">_xlfn.FORMULATEXT(IN[[#This Row],[STAGE]])</f>
        <v>='[ka_PEQ_Nachweistool.xlsb]💨L'!B25</v>
      </c>
      <c r="H401" s="20">
        <v>2</v>
      </c>
      <c r="I401" s="104">
        <f>'[1]💨L'!B25</f>
        <v>0</v>
      </c>
      <c r="J401" s="135">
        <f>IF(IN[[#This Row],[Sim_]]=IN[[#This Row],[STAGE]],1,0)</f>
        <v>0</v>
      </c>
      <c r="K401" s="223">
        <f t="shared" si="13"/>
        <v>1</v>
      </c>
      <c r="L401" s="130"/>
      <c r="M401" s="130">
        <f>IF(IN[[#This Row],[Sim_]]=IN[[#This Row],[Sim Var ref]],1,0)</f>
        <v>0</v>
      </c>
      <c r="N401" s="8"/>
      <c r="O401" s="8">
        <v>315</v>
      </c>
      <c r="P401" s="105"/>
      <c r="Q401" s="137">
        <f>IF(IN[[#This Row],[Sim_]]=IN[[#This Row],[Direkt alt]],1,0)</f>
        <v>0</v>
      </c>
      <c r="R401" s="10">
        <v>1</v>
      </c>
      <c r="S401" s="10">
        <f>IF(IN[[#This Row],[Sim_]]=IN[[#This Row],[Buffer]],1,0)</f>
        <v>1</v>
      </c>
      <c r="T401" s="11"/>
      <c r="U401" s="104" t="e">
        <f>'[1]💨L'!#REF!</f>
        <v>#REF!</v>
      </c>
      <c r="V401" s="174">
        <f t="shared" si="14"/>
        <v>1</v>
      </c>
      <c r="W401" s="174">
        <f t="shared" si="14"/>
        <v>1</v>
      </c>
      <c r="X401" s="174">
        <v>0</v>
      </c>
      <c r="Y401" s="174">
        <f t="shared" si="14"/>
        <v>1</v>
      </c>
      <c r="Z401" s="174">
        <v>0</v>
      </c>
      <c r="AA401" s="174">
        <f t="shared" si="14"/>
        <v>1</v>
      </c>
      <c r="AB401" s="174">
        <v>1</v>
      </c>
      <c r="AC401" s="106">
        <v>0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25">
      <c r="A402" s="266" t="s">
        <v>127</v>
      </c>
      <c r="B402" s="29" t="s">
        <v>496</v>
      </c>
      <c r="C402" s="16" t="s">
        <v>489</v>
      </c>
      <c r="D402" s="16"/>
      <c r="E402" s="17" t="s">
        <v>78</v>
      </c>
      <c r="F402" s="18"/>
      <c r="G402" s="134" t="str">
        <f ca="1">_xlfn.FORMULATEXT(IN[[#This Row],[STAGE]])</f>
        <v>=1-I395</v>
      </c>
      <c r="H402" s="20">
        <v>0</v>
      </c>
      <c r="I402" s="104">
        <f>1-I395</f>
        <v>1</v>
      </c>
      <c r="J402" s="135">
        <f>IF(IN[[#This Row],[Sim_]]=IN[[#This Row],[STAGE]],1,0)</f>
        <v>0</v>
      </c>
      <c r="K402" s="226"/>
      <c r="L402" s="130"/>
      <c r="M402" s="130">
        <f>IF(IN[[#This Row],[Sim_]]=IN[[#This Row],[Sim Var ref]],1,0)</f>
        <v>1</v>
      </c>
      <c r="N402" s="8"/>
      <c r="O402" s="8"/>
      <c r="P402" s="105"/>
      <c r="Q402" s="137">
        <f>IF(IN[[#This Row],[Sim_]]=IN[[#This Row],[Direkt alt]],1,0)</f>
        <v>1</v>
      </c>
      <c r="R402" s="10">
        <v>1</v>
      </c>
      <c r="S402" s="10">
        <f>IF(IN[[#This Row],[Sim_]]=IN[[#This Row],[Buffer]],1,0)</f>
        <v>0</v>
      </c>
      <c r="T402" s="11"/>
      <c r="U402" s="145"/>
      <c r="V402" s="174"/>
      <c r="W402" s="174"/>
      <c r="X402" s="174">
        <v>0</v>
      </c>
      <c r="Y402" s="174"/>
      <c r="Z402" s="174">
        <v>0</v>
      </c>
      <c r="AA402" s="174"/>
      <c r="AB402" s="174">
        <v>1</v>
      </c>
      <c r="AC402" s="106">
        <v>0.5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25">
      <c r="A403" s="266" t="s">
        <v>127</v>
      </c>
      <c r="B403" s="29" t="s">
        <v>497</v>
      </c>
      <c r="C403" s="16" t="s">
        <v>489</v>
      </c>
      <c r="D403" s="16"/>
      <c r="E403" s="17" t="s">
        <v>78</v>
      </c>
      <c r="F403" s="18"/>
      <c r="G403" s="134" t="str">
        <f ca="1">_xlfn.FORMULATEXT(IN[[#This Row],[STAGE]])</f>
        <v>=1-I396</v>
      </c>
      <c r="H403" s="20">
        <v>0</v>
      </c>
      <c r="I403" s="104">
        <f t="shared" ref="I403:I408" si="15">1-I396</f>
        <v>1</v>
      </c>
      <c r="J403" s="135">
        <f>IF(IN[[#This Row],[Sim_]]=IN[[#This Row],[STAGE]],1,0)</f>
        <v>0</v>
      </c>
      <c r="K403" s="226"/>
      <c r="L403" s="130"/>
      <c r="M403" s="130">
        <f>IF(IN[[#This Row],[Sim_]]=IN[[#This Row],[Sim Var ref]],1,0)</f>
        <v>1</v>
      </c>
      <c r="N403" s="8"/>
      <c r="O403" s="8"/>
      <c r="P403" s="105"/>
      <c r="Q403" s="137">
        <f>IF(IN[[#This Row],[Sim_]]=IN[[#This Row],[Direkt alt]],1,0)</f>
        <v>1</v>
      </c>
      <c r="R403" s="10">
        <v>0</v>
      </c>
      <c r="S403" s="10">
        <f>IF(IN[[#This Row],[Sim_]]=IN[[#This Row],[Buffer]],1,0)</f>
        <v>1</v>
      </c>
      <c r="T403" s="11"/>
      <c r="U403" s="145"/>
      <c r="V403" s="174"/>
      <c r="W403" s="174"/>
      <c r="X403" s="174">
        <v>0</v>
      </c>
      <c r="Y403" s="174"/>
      <c r="Z403" s="174">
        <v>0</v>
      </c>
      <c r="AA403" s="174"/>
      <c r="AB403" s="174">
        <v>0</v>
      </c>
      <c r="AC403" s="106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s="266" t="s">
        <v>127</v>
      </c>
      <c r="B404" s="29" t="s">
        <v>498</v>
      </c>
      <c r="C404" s="16" t="s">
        <v>489</v>
      </c>
      <c r="D404" s="16"/>
      <c r="E404" s="17" t="s">
        <v>78</v>
      </c>
      <c r="F404" s="18"/>
      <c r="G404" s="134" t="str">
        <f ca="1">_xlfn.FORMULATEXT(IN[[#This Row],[STAGE]])</f>
        <v>=1-I397</v>
      </c>
      <c r="H404" s="20">
        <v>0</v>
      </c>
      <c r="I404" s="104">
        <f t="shared" si="15"/>
        <v>1</v>
      </c>
      <c r="J404" s="135">
        <f>IF(IN[[#This Row],[Sim_]]=IN[[#This Row],[STAGE]],1,0)</f>
        <v>0</v>
      </c>
      <c r="K404" s="226"/>
      <c r="L404" s="130"/>
      <c r="M404" s="130">
        <f>IF(IN[[#This Row],[Sim_]]=IN[[#This Row],[Sim Var ref]],1,0)</f>
        <v>1</v>
      </c>
      <c r="N404" s="8"/>
      <c r="O404" s="8"/>
      <c r="P404" s="105"/>
      <c r="Q404" s="137">
        <f>IF(IN[[#This Row],[Sim_]]=IN[[#This Row],[Direkt alt]],1,0)</f>
        <v>1</v>
      </c>
      <c r="R404" s="10">
        <v>0</v>
      </c>
      <c r="S404" s="10">
        <f>IF(IN[[#This Row],[Sim_]]=IN[[#This Row],[Buffer]],1,0)</f>
        <v>1</v>
      </c>
      <c r="T404" s="11"/>
      <c r="U404" s="145"/>
      <c r="V404" s="174"/>
      <c r="W404" s="174"/>
      <c r="X404" s="174">
        <v>1</v>
      </c>
      <c r="Y404" s="174"/>
      <c r="Z404" s="174">
        <v>1</v>
      </c>
      <c r="AA404" s="174"/>
      <c r="AB404" s="174">
        <v>0</v>
      </c>
      <c r="AC404" s="106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s="266" t="s">
        <v>127</v>
      </c>
      <c r="B405" s="29" t="s">
        <v>499</v>
      </c>
      <c r="C405" s="16" t="s">
        <v>489</v>
      </c>
      <c r="D405" s="16"/>
      <c r="E405" s="17" t="s">
        <v>78</v>
      </c>
      <c r="F405" s="18"/>
      <c r="G405" s="134" t="str">
        <f ca="1">_xlfn.FORMULATEXT(IN[[#This Row],[STAGE]])</f>
        <v>=1-I398</v>
      </c>
      <c r="H405" s="20">
        <v>0</v>
      </c>
      <c r="I405" s="104">
        <f t="shared" si="15"/>
        <v>1</v>
      </c>
      <c r="J405" s="135">
        <f>IF(IN[[#This Row],[Sim_]]=IN[[#This Row],[STAGE]],1,0)</f>
        <v>0</v>
      </c>
      <c r="K405" s="226"/>
      <c r="L405" s="130"/>
      <c r="M405" s="130">
        <f>IF(IN[[#This Row],[Sim_]]=IN[[#This Row],[Sim Var ref]],1,0)</f>
        <v>1</v>
      </c>
      <c r="N405" s="8"/>
      <c r="O405" s="8"/>
      <c r="P405" s="105"/>
      <c r="Q405" s="137">
        <f>IF(IN[[#This Row],[Sim_]]=IN[[#This Row],[Direkt alt]],1,0)</f>
        <v>1</v>
      </c>
      <c r="R405" s="10">
        <v>0</v>
      </c>
      <c r="S405" s="10">
        <f>IF(IN[[#This Row],[Sim_]]=IN[[#This Row],[Buffer]],1,0)</f>
        <v>1</v>
      </c>
      <c r="T405" s="11"/>
      <c r="U405" s="145"/>
      <c r="V405" s="174"/>
      <c r="W405" s="174"/>
      <c r="X405" s="174">
        <v>1</v>
      </c>
      <c r="Y405" s="174"/>
      <c r="Z405" s="174">
        <v>1</v>
      </c>
      <c r="AA405" s="174"/>
      <c r="AB405" s="174">
        <v>0</v>
      </c>
      <c r="AC405" s="106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s="266" t="s">
        <v>127</v>
      </c>
      <c r="B406" s="29" t="s">
        <v>500</v>
      </c>
      <c r="C406" s="16" t="s">
        <v>489</v>
      </c>
      <c r="D406" s="16"/>
      <c r="E406" s="17" t="s">
        <v>78</v>
      </c>
      <c r="F406" s="18"/>
      <c r="G406" s="134" t="str">
        <f ca="1">_xlfn.FORMULATEXT(IN[[#This Row],[STAGE]])</f>
        <v>=1-I399</v>
      </c>
      <c r="H406" s="20">
        <v>0</v>
      </c>
      <c r="I406" s="104">
        <f t="shared" si="15"/>
        <v>1</v>
      </c>
      <c r="J406" s="135">
        <f>IF(IN[[#This Row],[Sim_]]=IN[[#This Row],[STAGE]],1,0)</f>
        <v>0</v>
      </c>
      <c r="K406" s="226"/>
      <c r="L406" s="130"/>
      <c r="M406" s="130">
        <f>IF(IN[[#This Row],[Sim_]]=IN[[#This Row],[Sim Var ref]],1,0)</f>
        <v>1</v>
      </c>
      <c r="N406" s="8"/>
      <c r="O406" s="8"/>
      <c r="P406" s="105"/>
      <c r="Q406" s="137">
        <f>IF(IN[[#This Row],[Sim_]]=IN[[#This Row],[Direkt alt]],1,0)</f>
        <v>1</v>
      </c>
      <c r="R406" s="10">
        <v>0</v>
      </c>
      <c r="S406" s="10">
        <f>IF(IN[[#This Row],[Sim_]]=IN[[#This Row],[Buffer]],1,0)</f>
        <v>1</v>
      </c>
      <c r="T406" s="11"/>
      <c r="U406" s="145"/>
      <c r="V406" s="174"/>
      <c r="W406" s="174"/>
      <c r="X406" s="174">
        <v>1</v>
      </c>
      <c r="Y406" s="174"/>
      <c r="Z406" s="174">
        <v>1</v>
      </c>
      <c r="AA406" s="174"/>
      <c r="AB406" s="174">
        <v>0</v>
      </c>
      <c r="AC406" s="1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s="266" t="s">
        <v>127</v>
      </c>
      <c r="B407" s="29" t="s">
        <v>501</v>
      </c>
      <c r="C407" s="16" t="s">
        <v>489</v>
      </c>
      <c r="D407" s="16"/>
      <c r="E407" s="17" t="s">
        <v>78</v>
      </c>
      <c r="F407" s="18"/>
      <c r="G407" s="134" t="str">
        <f ca="1">_xlfn.FORMULATEXT(IN[[#This Row],[STAGE]])</f>
        <v>=1-I400</v>
      </c>
      <c r="H407" s="20">
        <v>0</v>
      </c>
      <c r="I407" s="104">
        <f t="shared" si="15"/>
        <v>1</v>
      </c>
      <c r="J407" s="135">
        <f>IF(IN[[#This Row],[Sim_]]=IN[[#This Row],[STAGE]],1,0)</f>
        <v>0</v>
      </c>
      <c r="K407" s="226"/>
      <c r="L407" s="130"/>
      <c r="M407" s="130">
        <f>IF(IN[[#This Row],[Sim_]]=IN[[#This Row],[Sim Var ref]],1,0)</f>
        <v>1</v>
      </c>
      <c r="N407" s="8"/>
      <c r="O407" s="8"/>
      <c r="P407" s="105"/>
      <c r="Q407" s="137">
        <f>IF(IN[[#This Row],[Sim_]]=IN[[#This Row],[Direkt alt]],1,0)</f>
        <v>1</v>
      </c>
      <c r="R407" s="10">
        <v>0</v>
      </c>
      <c r="S407" s="10">
        <f>IF(IN[[#This Row],[Sim_]]=IN[[#This Row],[Buffer]],1,0)</f>
        <v>1</v>
      </c>
      <c r="T407" s="11"/>
      <c r="U407" s="145"/>
      <c r="V407" s="174"/>
      <c r="W407" s="174"/>
      <c r="X407" s="174">
        <v>1</v>
      </c>
      <c r="Y407" s="174"/>
      <c r="Z407" s="174">
        <v>1</v>
      </c>
      <c r="AA407" s="174"/>
      <c r="AB407" s="174">
        <v>0</v>
      </c>
      <c r="AC407" s="106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s="266" t="s">
        <v>127</v>
      </c>
      <c r="B408" s="15" t="s">
        <v>502</v>
      </c>
      <c r="C408" s="16" t="s">
        <v>489</v>
      </c>
      <c r="D408" s="16"/>
      <c r="E408" s="17" t="s">
        <v>78</v>
      </c>
      <c r="F408" s="18"/>
      <c r="G408" s="134" t="str">
        <f ca="1">_xlfn.FORMULATEXT(IN[[#This Row],[STAGE]])</f>
        <v>=1-I401</v>
      </c>
      <c r="H408" s="20">
        <v>0</v>
      </c>
      <c r="I408" s="104">
        <f t="shared" si="15"/>
        <v>1</v>
      </c>
      <c r="J408" s="135">
        <f>IF(IN[[#This Row],[Sim_]]=IN[[#This Row],[STAGE]],1,0)</f>
        <v>0</v>
      </c>
      <c r="K408" s="226"/>
      <c r="L408" s="130"/>
      <c r="M408" s="130">
        <f>IF(IN[[#This Row],[Sim_]]=IN[[#This Row],[Sim Var ref]],1,0)</f>
        <v>1</v>
      </c>
      <c r="N408" s="8"/>
      <c r="O408" s="8"/>
      <c r="P408" s="105"/>
      <c r="Q408" s="137">
        <f>IF(IN[[#This Row],[Sim_]]=IN[[#This Row],[Direkt alt]],1,0)</f>
        <v>1</v>
      </c>
      <c r="R408" s="10">
        <v>0</v>
      </c>
      <c r="S408" s="10">
        <f>IF(IN[[#This Row],[Sim_]]=IN[[#This Row],[Buffer]],1,0)</f>
        <v>1</v>
      </c>
      <c r="T408" s="11"/>
      <c r="U408" s="145"/>
      <c r="V408" s="174"/>
      <c r="W408" s="174"/>
      <c r="X408" s="174">
        <v>1</v>
      </c>
      <c r="Y408" s="174"/>
      <c r="Z408" s="174">
        <v>1</v>
      </c>
      <c r="AA408" s="174"/>
      <c r="AB408" s="174">
        <v>0</v>
      </c>
      <c r="AC408" s="106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s="266" t="s">
        <v>127</v>
      </c>
      <c r="B409" s="15" t="s">
        <v>503</v>
      </c>
      <c r="C409" s="16" t="s">
        <v>38</v>
      </c>
      <c r="D409" s="16"/>
      <c r="E409" s="17" t="s">
        <v>78</v>
      </c>
      <c r="F409" s="18" t="s">
        <v>504</v>
      </c>
      <c r="G409" s="134" t="str">
        <f ca="1">_xlfn.FORMULATEXT(IN[[#This Row],[STAGE]])</f>
        <v>=NFA_total-NFA_mechvent</v>
      </c>
      <c r="H409" s="20">
        <v>0</v>
      </c>
      <c r="I409" s="104">
        <f>NFA_total-NFA_mechvent</f>
        <v>0</v>
      </c>
      <c r="J409" s="135">
        <f>IF(IN[[#This Row],[Sim_]]=IN[[#This Row],[STAGE]],1,0)</f>
        <v>1</v>
      </c>
      <c r="K409" s="131"/>
      <c r="L409" s="130"/>
      <c r="M409" s="130">
        <f>IF(IN[[#This Row],[Sim_]]=IN[[#This Row],[Sim Var ref]],1,0)</f>
        <v>1</v>
      </c>
      <c r="N409" s="8"/>
      <c r="O409" s="8">
        <v>316</v>
      </c>
      <c r="P409" s="105"/>
      <c r="Q409" s="137">
        <f>IF(IN[[#This Row],[Sim_]]=IN[[#This Row],[Direkt alt]],1,0)</f>
        <v>1</v>
      </c>
      <c r="R409" s="10">
        <v>130784</v>
      </c>
      <c r="S409" s="10">
        <f>IF(IN[[#This Row],[Sim_]]=IN[[#This Row],[Buffer]],1,0)</f>
        <v>0</v>
      </c>
      <c r="T409" s="11"/>
      <c r="U409" s="104">
        <f>NFA_total-NFA_mechvent</f>
        <v>0</v>
      </c>
      <c r="V409" s="131"/>
      <c r="W409" s="131"/>
      <c r="X409" s="131">
        <v>0</v>
      </c>
      <c r="Y409" s="11"/>
      <c r="Z409" s="174">
        <v>0</v>
      </c>
      <c r="AA409" s="174">
        <v>0</v>
      </c>
      <c r="AB409" s="174">
        <v>14028.96</v>
      </c>
      <c r="AC409" s="106">
        <v>1920</v>
      </c>
      <c r="AD409">
        <v>0</v>
      </c>
      <c r="AE409">
        <v>130784</v>
      </c>
      <c r="AF409">
        <v>130784</v>
      </c>
      <c r="AG409">
        <v>130784</v>
      </c>
      <c r="AH409">
        <v>130784</v>
      </c>
      <c r="AI409">
        <v>14028.96</v>
      </c>
      <c r="AJ409">
        <v>14028.96</v>
      </c>
    </row>
    <row r="410" spans="1:36" x14ac:dyDescent="0.25">
      <c r="A410" s="266" t="s">
        <v>127</v>
      </c>
      <c r="B410" s="15" t="s">
        <v>505</v>
      </c>
      <c r="C410" s="16" t="s">
        <v>376</v>
      </c>
      <c r="D410" s="16"/>
      <c r="E410" s="17" t="s">
        <v>78</v>
      </c>
      <c r="F410" s="18" t="s">
        <v>506</v>
      </c>
      <c r="G410" s="134" t="str">
        <f ca="1">_xlfn.FORMULATEXT(IN[[#This Row],[STAGE]])</f>
        <v>=NFV_total-I412</v>
      </c>
      <c r="H410" s="20">
        <v>0</v>
      </c>
      <c r="I410" s="104">
        <f>NFV_total-I412</f>
        <v>0</v>
      </c>
      <c r="J410" s="135">
        <f>IF(IN[[#This Row],[Sim_]]=IN[[#This Row],[STAGE]],1,0)</f>
        <v>1</v>
      </c>
      <c r="K410" s="131"/>
      <c r="L410" s="130"/>
      <c r="M410" s="130">
        <f>IF(IN[[#This Row],[Sim_]]=IN[[#This Row],[Sim Var ref]],1,0)</f>
        <v>1</v>
      </c>
      <c r="N410" s="8"/>
      <c r="O410" s="8">
        <v>317</v>
      </c>
      <c r="P410" s="105"/>
      <c r="Q410" s="137">
        <f>IF(IN[[#This Row],[Sim_]]=IN[[#This Row],[Direkt alt]],1,0)</f>
        <v>1</v>
      </c>
      <c r="R410" s="10">
        <v>326960</v>
      </c>
      <c r="S410" s="10">
        <f>IF(IN[[#This Row],[Sim_]]=IN[[#This Row],[Buffer]],1,0)</f>
        <v>0</v>
      </c>
      <c r="T410" s="11"/>
      <c r="U410" s="145"/>
      <c r="V410" s="131"/>
      <c r="W410" s="131"/>
      <c r="X410" s="131">
        <v>0</v>
      </c>
      <c r="Y410" s="11"/>
      <c r="Z410" s="174">
        <v>0</v>
      </c>
      <c r="AA410" s="174"/>
      <c r="AB410" s="174">
        <v>36475.295999999988</v>
      </c>
      <c r="AC410" s="106">
        <v>4800</v>
      </c>
      <c r="AD410">
        <v>0</v>
      </c>
      <c r="AE410">
        <v>326960</v>
      </c>
      <c r="AF410">
        <v>326960</v>
      </c>
      <c r="AG410">
        <v>326960</v>
      </c>
      <c r="AH410">
        <v>418508.80000000005</v>
      </c>
      <c r="AI410">
        <v>36475.295999999988</v>
      </c>
      <c r="AJ410">
        <v>36475.295999999988</v>
      </c>
    </row>
    <row r="411" spans="1:36" x14ac:dyDescent="0.25">
      <c r="A411" s="266" t="s">
        <v>127</v>
      </c>
      <c r="B411" s="15" t="s">
        <v>507</v>
      </c>
      <c r="C411" s="16" t="s">
        <v>38</v>
      </c>
      <c r="D411" s="16"/>
      <c r="E411" s="17" t="s">
        <v>78</v>
      </c>
      <c r="F411" s="18" t="s">
        <v>508</v>
      </c>
      <c r="G411" s="134" t="str">
        <f ca="1">_xlfn.FORMULATEXT(IN[[#This Row],[STAGE]])</f>
        <v>=SUMMENPRODUKT(I$395:I$401;I243:I249)</v>
      </c>
      <c r="H411" s="20">
        <v>0</v>
      </c>
      <c r="I411" s="104">
        <f>SUMPRODUCT(I$395:I$401,I243:I249)</f>
        <v>0</v>
      </c>
      <c r="J411" s="135">
        <f>IF(IN[[#This Row],[Sim_]]=IN[[#This Row],[STAGE]],1,0)</f>
        <v>1</v>
      </c>
      <c r="K411" s="267"/>
      <c r="L411" s="130"/>
      <c r="M411" s="130">
        <f>IF(IN[[#This Row],[Sim_]]=IN[[#This Row],[Sim Var ref]],1,0)</f>
        <v>1</v>
      </c>
      <c r="N411" s="8"/>
      <c r="O411" s="8">
        <v>318</v>
      </c>
      <c r="P411" s="105"/>
      <c r="Q411" s="137">
        <f>IF(IN[[#This Row],[Sim_]]=IN[[#This Row],[Direkt alt]],1,0)</f>
        <v>1</v>
      </c>
      <c r="R411" s="10">
        <v>13609.6</v>
      </c>
      <c r="S411" s="10">
        <f>IF(IN[[#This Row],[Sim_]]=IN[[#This Row],[Buffer]],1,0)</f>
        <v>0</v>
      </c>
      <c r="T411" s="11"/>
      <c r="U411" s="104" t="e">
        <f>SUMPRODUCT(U395:U401,U243:U249)</f>
        <v>#REF!</v>
      </c>
      <c r="V411" s="131"/>
      <c r="W411" s="131"/>
      <c r="X411" s="131">
        <v>7680</v>
      </c>
      <c r="Y411" s="11"/>
      <c r="Z411" s="174">
        <v>7680</v>
      </c>
      <c r="AA411" s="174">
        <v>26804.799999999999</v>
      </c>
      <c r="AB411" s="174">
        <v>12775.84</v>
      </c>
      <c r="AC411" s="106">
        <v>5760</v>
      </c>
      <c r="AD411">
        <v>144393.60000000001</v>
      </c>
      <c r="AE411">
        <v>13609.6</v>
      </c>
      <c r="AF411">
        <v>13609.6</v>
      </c>
      <c r="AG411">
        <v>13609.6</v>
      </c>
      <c r="AH411">
        <v>13609.6</v>
      </c>
      <c r="AI411">
        <v>12775.84</v>
      </c>
      <c r="AJ411">
        <v>12775.84</v>
      </c>
    </row>
    <row r="412" spans="1:36" x14ac:dyDescent="0.25">
      <c r="A412" s="266" t="s">
        <v>127</v>
      </c>
      <c r="B412" s="15" t="s">
        <v>509</v>
      </c>
      <c r="C412" s="16" t="s">
        <v>376</v>
      </c>
      <c r="D412" s="16"/>
      <c r="E412" s="17" t="s">
        <v>78</v>
      </c>
      <c r="F412" s="18" t="s">
        <v>510</v>
      </c>
      <c r="G412" s="134" t="str">
        <f ca="1">_xlfn.FORMULATEXT(IN[[#This Row],[STAGE]])</f>
        <v>=SUMMENPRODUKT(I$395:I$401;I243:I249;I269:I275)</v>
      </c>
      <c r="H412" s="20">
        <v>0</v>
      </c>
      <c r="I412" s="104">
        <f>SUMPRODUCT(I$395:I$401,I243:I249,I269:I275)</f>
        <v>0</v>
      </c>
      <c r="J412" s="135">
        <f>IF(IN[[#This Row],[Sim_]]=IN[[#This Row],[STAGE]],1,0)</f>
        <v>1</v>
      </c>
      <c r="K412" s="268"/>
      <c r="L412" s="130"/>
      <c r="M412" s="130">
        <f>IF(IN[[#This Row],[Sim_]]=IN[[#This Row],[Sim Var ref]],1,0)</f>
        <v>1</v>
      </c>
      <c r="N412" s="8"/>
      <c r="O412" s="8">
        <v>319</v>
      </c>
      <c r="P412" s="105"/>
      <c r="Q412" s="137">
        <f>IF(IN[[#This Row],[Sim_]]=IN[[#This Row],[Direkt alt]],1,0)</f>
        <v>1</v>
      </c>
      <c r="R412" s="10">
        <v>34024</v>
      </c>
      <c r="S412" s="10">
        <f>IF(IN[[#This Row],[Sim_]]=IN[[#This Row],[Buffer]],1,0)</f>
        <v>0</v>
      </c>
      <c r="T412" s="11"/>
      <c r="U412" s="145"/>
      <c r="V412" s="131"/>
      <c r="W412" s="131"/>
      <c r="X412" s="131">
        <v>19200</v>
      </c>
      <c r="Y412" s="11"/>
      <c r="Z412" s="174">
        <v>19200</v>
      </c>
      <c r="AA412" s="174"/>
      <c r="AB412" s="174">
        <v>33217.184000000008</v>
      </c>
      <c r="AC412" s="106">
        <v>14400</v>
      </c>
      <c r="AD412">
        <v>360984</v>
      </c>
      <c r="AE412">
        <v>34024</v>
      </c>
      <c r="AF412">
        <v>34024</v>
      </c>
      <c r="AG412">
        <v>34024</v>
      </c>
      <c r="AH412">
        <v>47633.599999999999</v>
      </c>
      <c r="AI412">
        <v>33217.184000000008</v>
      </c>
      <c r="AJ412">
        <v>33217.184000000008</v>
      </c>
    </row>
    <row r="413" spans="1:36" x14ac:dyDescent="0.25">
      <c r="A413" s="266" t="s">
        <v>127</v>
      </c>
      <c r="B413" s="269" t="s">
        <v>511</v>
      </c>
      <c r="C413" s="230" t="s">
        <v>512</v>
      </c>
      <c r="D413" s="230"/>
      <c r="E413" s="270" t="s">
        <v>262</v>
      </c>
      <c r="F413" s="18"/>
      <c r="G413" s="134" t="str">
        <f ca="1">_xlfn.FORMULATEXT(IN[[#This Row],[STAGE]])</f>
        <v>=[@Buffer]</v>
      </c>
      <c r="H413" s="20">
        <v>0</v>
      </c>
      <c r="I413" s="104">
        <f>IN[[#This Row],[Buffer]]</f>
        <v>0</v>
      </c>
      <c r="J413" s="135">
        <f>IF(IN[[#This Row],[Sim_]]=IN[[#This Row],[STAGE]],1,0)</f>
        <v>1</v>
      </c>
      <c r="K413" s="257">
        <v>0</v>
      </c>
      <c r="L413" s="130"/>
      <c r="M413" s="130">
        <f>IF(IN[[#This Row],[Sim_]]=IN[[#This Row],[Sim Var ref]],1,0)</f>
        <v>1</v>
      </c>
      <c r="N413" s="8"/>
      <c r="O413" s="8">
        <v>320</v>
      </c>
      <c r="P413" s="105"/>
      <c r="Q413" s="137">
        <f>IF(IN[[#This Row],[Sim_]]=IN[[#This Row],[Direkt alt]],1,0)</f>
        <v>1</v>
      </c>
      <c r="R413" s="10">
        <v>0</v>
      </c>
      <c r="S413" s="10">
        <f>IF(IN[[#This Row],[Sim_]]=IN[[#This Row],[Buffer]],1,0)</f>
        <v>1</v>
      </c>
      <c r="T413" s="11"/>
      <c r="U413" s="104">
        <f>IN[[#This Row],[Buffer]]</f>
        <v>0</v>
      </c>
      <c r="V413" s="271">
        <v>0</v>
      </c>
      <c r="W413" s="271">
        <v>0</v>
      </c>
      <c r="X413" s="271">
        <v>0</v>
      </c>
      <c r="Y413" s="11"/>
      <c r="Z413" s="271">
        <v>0</v>
      </c>
      <c r="AA413" s="271">
        <v>1</v>
      </c>
      <c r="AB413" s="271">
        <v>0</v>
      </c>
      <c r="AC413" s="106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s="266" t="s">
        <v>127</v>
      </c>
      <c r="B414" s="29" t="s">
        <v>513</v>
      </c>
      <c r="C414" s="16"/>
      <c r="D414" s="16"/>
      <c r="E414" s="17" t="s">
        <v>262</v>
      </c>
      <c r="F414" s="18"/>
      <c r="G414" s="134" t="str">
        <f ca="1">_xlfn.FORMULATEXT(IN[[#This Row],[STAGE]])</f>
        <v>='[ka_PEQ_Nachweistool.xlsb]💨L'!B54</v>
      </c>
      <c r="H414" s="20">
        <v>2</v>
      </c>
      <c r="I414" s="104">
        <f>'[1]💨L'!B54</f>
        <v>0</v>
      </c>
      <c r="J414" s="135">
        <f>IF(IN[[#This Row],[Sim_]]=IN[[#This Row],[STAGE]],1,0)</f>
        <v>0</v>
      </c>
      <c r="K414" s="257" t="s">
        <v>514</v>
      </c>
      <c r="L414" s="130"/>
      <c r="M414" s="130">
        <f>IF(IN[[#This Row],[Sim_]]=IN[[#This Row],[Sim Var ref]],1,0)</f>
        <v>0</v>
      </c>
      <c r="N414" s="8"/>
      <c r="O414" s="8">
        <v>321</v>
      </c>
      <c r="P414" s="105"/>
      <c r="Q414" s="137">
        <f>IF(IN[[#This Row],[Sim_]]=IN[[#This Row],[Direkt alt]],1,0)</f>
        <v>0</v>
      </c>
      <c r="R414" s="10" t="s">
        <v>515</v>
      </c>
      <c r="S414" s="10">
        <f>IF(IN[[#This Row],[Sim_]]=IN[[#This Row],[Buffer]],1,0)</f>
        <v>0</v>
      </c>
      <c r="T414" s="11"/>
      <c r="U414" s="104" t="e">
        <f>'[1]💨L'!#REF!</f>
        <v>#REF!</v>
      </c>
      <c r="V414" s="271" t="s">
        <v>514</v>
      </c>
      <c r="W414" s="271" t="s">
        <v>514</v>
      </c>
      <c r="X414" s="271" t="s">
        <v>515</v>
      </c>
      <c r="Y414" s="272"/>
      <c r="Z414" s="271" t="s">
        <v>515</v>
      </c>
      <c r="AA414" s="273" t="s">
        <v>515</v>
      </c>
      <c r="AB414" s="273" t="s">
        <v>515</v>
      </c>
      <c r="AC414" s="106" t="s">
        <v>515</v>
      </c>
      <c r="AD414" t="s">
        <v>514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</row>
    <row r="415" spans="1:36" x14ac:dyDescent="0.25">
      <c r="A415" s="266" t="s">
        <v>127</v>
      </c>
      <c r="B415" s="29" t="s">
        <v>516</v>
      </c>
      <c r="C415" s="16"/>
      <c r="D415" s="16"/>
      <c r="E415" s="17" t="s">
        <v>262</v>
      </c>
      <c r="F415" s="18"/>
      <c r="G415" s="134" t="str">
        <f ca="1">_xlfn.FORMULATEXT(IN[[#This Row],[STAGE]])</f>
        <v>='[ka_PEQ_Nachweistool.xlsb]💨L'!B55</v>
      </c>
      <c r="H415" s="20">
        <v>2</v>
      </c>
      <c r="I415" s="104">
        <f>'[1]💨L'!B55</f>
        <v>0</v>
      </c>
      <c r="J415" s="135">
        <f>IF(IN[[#This Row],[Sim_]]=IN[[#This Row],[STAGE]],1,0)</f>
        <v>0</v>
      </c>
      <c r="K415" s="257" t="s">
        <v>514</v>
      </c>
      <c r="L415" s="130"/>
      <c r="M415" s="130">
        <f>IF(IN[[#This Row],[Sim_]]=IN[[#This Row],[Sim Var ref]],1,0)</f>
        <v>0</v>
      </c>
      <c r="N415" s="8"/>
      <c r="O415" s="8">
        <v>322</v>
      </c>
      <c r="P415" s="105"/>
      <c r="Q415" s="137">
        <f>IF(IN[[#This Row],[Sim_]]=IN[[#This Row],[Direkt alt]],1,0)</f>
        <v>0</v>
      </c>
      <c r="R415" s="10" t="s">
        <v>514</v>
      </c>
      <c r="S415" s="10">
        <f>IF(IN[[#This Row],[Sim_]]=IN[[#This Row],[Buffer]],1,0)</f>
        <v>1</v>
      </c>
      <c r="T415" s="11"/>
      <c r="U415" s="104" t="e">
        <f>'[1]💨L'!#REF!</f>
        <v>#REF!</v>
      </c>
      <c r="V415" s="271" t="s">
        <v>514</v>
      </c>
      <c r="W415" s="271" t="s">
        <v>514</v>
      </c>
      <c r="X415" s="271" t="s">
        <v>515</v>
      </c>
      <c r="Y415" s="272"/>
      <c r="Z415" s="271" t="s">
        <v>515</v>
      </c>
      <c r="AA415" s="273" t="s">
        <v>515</v>
      </c>
      <c r="AB415" s="273" t="s">
        <v>514</v>
      </c>
      <c r="AC415" s="106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</row>
    <row r="416" spans="1:36" x14ac:dyDescent="0.25">
      <c r="A416" s="266" t="s">
        <v>127</v>
      </c>
      <c r="B416" s="29" t="s">
        <v>517</v>
      </c>
      <c r="C416" s="16"/>
      <c r="D416" s="16"/>
      <c r="E416" s="17" t="s">
        <v>262</v>
      </c>
      <c r="F416" s="18"/>
      <c r="G416" s="134" t="str">
        <f ca="1">_xlfn.FORMULATEXT(IN[[#This Row],[STAGE]])</f>
        <v>='[ka_PEQ_Nachweistool.xlsb]💨L'!B57</v>
      </c>
      <c r="H416" s="20">
        <v>2</v>
      </c>
      <c r="I416" s="104">
        <f>'[1]💨L'!B57</f>
        <v>0</v>
      </c>
      <c r="J416" s="135">
        <f>IF(IN[[#This Row],[Sim_]]=IN[[#This Row],[STAGE]],1,0)</f>
        <v>0</v>
      </c>
      <c r="K416" s="257" t="s">
        <v>514</v>
      </c>
      <c r="L416" s="130"/>
      <c r="M416" s="130">
        <f>IF(IN[[#This Row],[Sim_]]=IN[[#This Row],[Sim Var ref]],1,0)</f>
        <v>0</v>
      </c>
      <c r="N416" s="8"/>
      <c r="O416" s="8">
        <v>323</v>
      </c>
      <c r="P416" s="105"/>
      <c r="Q416" s="137">
        <f>IF(IN[[#This Row],[Sim_]]=IN[[#This Row],[Direkt alt]],1,0)</f>
        <v>0</v>
      </c>
      <c r="R416" s="10" t="s">
        <v>514</v>
      </c>
      <c r="S416" s="10">
        <f>IF(IN[[#This Row],[Sim_]]=IN[[#This Row],[Buffer]],1,0)</f>
        <v>1</v>
      </c>
      <c r="T416" s="11"/>
      <c r="U416" s="104" t="e">
        <f>'[1]💨L'!#REF!</f>
        <v>#REF!</v>
      </c>
      <c r="V416" s="271" t="s">
        <v>514</v>
      </c>
      <c r="W416" s="271" t="s">
        <v>514</v>
      </c>
      <c r="X416" s="271" t="s">
        <v>514</v>
      </c>
      <c r="Y416" s="272"/>
      <c r="Z416" s="271" t="s">
        <v>514</v>
      </c>
      <c r="AA416" s="273" t="s">
        <v>515</v>
      </c>
      <c r="AB416" s="273" t="s">
        <v>514</v>
      </c>
      <c r="AC416" s="10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</row>
    <row r="417" spans="1:36" x14ac:dyDescent="0.25">
      <c r="A417" s="266" t="s">
        <v>127</v>
      </c>
      <c r="B417" s="29" t="s">
        <v>518</v>
      </c>
      <c r="C417" s="16"/>
      <c r="D417" s="16"/>
      <c r="E417" s="17" t="s">
        <v>262</v>
      </c>
      <c r="F417" s="18"/>
      <c r="G417" s="134" t="str">
        <f ca="1">_xlfn.FORMULATEXT(IN[[#This Row],[STAGE]])</f>
        <v>='[ka_PEQ_Nachweistool.xlsb]💨L'!B56</v>
      </c>
      <c r="H417" s="20">
        <v>2</v>
      </c>
      <c r="I417" s="104">
        <f>'[1]💨L'!B56</f>
        <v>0</v>
      </c>
      <c r="J417" s="135">
        <f>IF(IN[[#This Row],[Sim_]]=IN[[#This Row],[STAGE]],1,0)</f>
        <v>0</v>
      </c>
      <c r="K417" s="257" t="s">
        <v>514</v>
      </c>
      <c r="L417" s="130"/>
      <c r="M417" s="130">
        <f>IF(IN[[#This Row],[Sim_]]=IN[[#This Row],[Sim Var ref]],1,0)</f>
        <v>0</v>
      </c>
      <c r="N417" s="8"/>
      <c r="O417" s="8">
        <v>324</v>
      </c>
      <c r="P417" s="105"/>
      <c r="Q417" s="137">
        <f>IF(IN[[#This Row],[Sim_]]=IN[[#This Row],[Direkt alt]],1,0)</f>
        <v>0</v>
      </c>
      <c r="R417" s="10" t="s">
        <v>514</v>
      </c>
      <c r="S417" s="10">
        <f>IF(IN[[#This Row],[Sim_]]=IN[[#This Row],[Buffer]],1,0)</f>
        <v>1</v>
      </c>
      <c r="T417" s="11"/>
      <c r="U417" s="104" t="e">
        <f>'[1]💨L'!#REF!</f>
        <v>#REF!</v>
      </c>
      <c r="V417" s="271" t="s">
        <v>514</v>
      </c>
      <c r="W417" s="271" t="s">
        <v>514</v>
      </c>
      <c r="X417" s="271" t="s">
        <v>514</v>
      </c>
      <c r="Y417" s="272"/>
      <c r="Z417" s="271" t="s">
        <v>514</v>
      </c>
      <c r="AA417" s="273" t="s">
        <v>515</v>
      </c>
      <c r="AB417" s="273" t="s">
        <v>514</v>
      </c>
      <c r="AC417" s="106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</row>
    <row r="418" spans="1:36" x14ac:dyDescent="0.25">
      <c r="A418" s="266" t="s">
        <v>127</v>
      </c>
      <c r="B418" s="29" t="s">
        <v>519</v>
      </c>
      <c r="C418" s="37"/>
      <c r="D418" s="37"/>
      <c r="E418" s="17" t="s">
        <v>262</v>
      </c>
      <c r="F418" s="274"/>
      <c r="G418" s="134" t="str">
        <f ca="1">_xlfn.FORMULATEXT(IN[[#This Row],[STAGE]])</f>
        <v>='[ka_PEQ_Nachweistool.xlsb]💨L'!B58</v>
      </c>
      <c r="H418" s="6">
        <v>2</v>
      </c>
      <c r="I418">
        <f>'[1]💨L'!B58</f>
        <v>0</v>
      </c>
      <c r="K418" s="275" t="s">
        <v>514</v>
      </c>
      <c r="N418" s="276"/>
      <c r="O418" s="8">
        <v>325</v>
      </c>
      <c r="P418" s="277"/>
      <c r="Q418" s="130"/>
      <c r="R418" s="131" t="s">
        <v>514</v>
      </c>
      <c r="S418" s="130"/>
      <c r="T418" s="130"/>
      <c r="U418" t="e">
        <f>'[1]💨L'!#REF!</f>
        <v>#REF!</v>
      </c>
      <c r="V418" s="272" t="s">
        <v>514</v>
      </c>
      <c r="W418" s="272" t="s">
        <v>514</v>
      </c>
      <c r="X418" s="272" t="s">
        <v>514</v>
      </c>
      <c r="Y418" s="278"/>
      <c r="Z418" s="278" t="s">
        <v>514</v>
      </c>
      <c r="AA418" s="273" t="s">
        <v>515</v>
      </c>
      <c r="AB418" s="273" t="s">
        <v>514</v>
      </c>
      <c r="AC418" t="s">
        <v>514</v>
      </c>
      <c r="AD418" t="s">
        <v>514</v>
      </c>
      <c r="AE418" t="s">
        <v>514</v>
      </c>
      <c r="AF418" t="s">
        <v>514</v>
      </c>
      <c r="AG418" t="s">
        <v>514</v>
      </c>
      <c r="AH418" t="s">
        <v>514</v>
      </c>
      <c r="AI418" t="s">
        <v>514</v>
      </c>
      <c r="AJ418" t="s">
        <v>514</v>
      </c>
    </row>
    <row r="419" spans="1:36" x14ac:dyDescent="0.25">
      <c r="A419" s="266" t="s">
        <v>127</v>
      </c>
      <c r="B419" s="29" t="s">
        <v>520</v>
      </c>
      <c r="C419" s="37"/>
      <c r="D419" s="37"/>
      <c r="E419" s="17" t="s">
        <v>262</v>
      </c>
      <c r="F419" s="274"/>
      <c r="G419" s="134" t="str">
        <f ca="1">_xlfn.FORMULATEXT(IN[[#This Row],[STAGE]])</f>
        <v>='[ka_PEQ_Nachweistool.xlsb]💨L'!B59</v>
      </c>
      <c r="H419" s="6">
        <v>2</v>
      </c>
      <c r="I419">
        <f>'[1]💨L'!B59</f>
        <v>0</v>
      </c>
      <c r="K419" s="275" t="s">
        <v>514</v>
      </c>
      <c r="N419" s="276"/>
      <c r="O419" s="8">
        <v>326</v>
      </c>
      <c r="P419" s="277"/>
      <c r="Q419" s="130"/>
      <c r="R419" s="131" t="s">
        <v>514</v>
      </c>
      <c r="S419" s="130"/>
      <c r="T419" s="130"/>
      <c r="U419" t="e">
        <f>'[1]💨L'!#REF!</f>
        <v>#REF!</v>
      </c>
      <c r="V419" s="272" t="s">
        <v>514</v>
      </c>
      <c r="W419" s="272" t="s">
        <v>514</v>
      </c>
      <c r="X419" s="272" t="s">
        <v>514</v>
      </c>
      <c r="Y419" s="278"/>
      <c r="Z419" s="278" t="s">
        <v>514</v>
      </c>
      <c r="AA419" s="273" t="s">
        <v>515</v>
      </c>
      <c r="AB419" s="273" t="s">
        <v>514</v>
      </c>
      <c r="AC419" t="s">
        <v>514</v>
      </c>
      <c r="AD419" t="s">
        <v>514</v>
      </c>
      <c r="AE419" t="s">
        <v>514</v>
      </c>
      <c r="AF419" t="s">
        <v>514</v>
      </c>
      <c r="AG419" t="s">
        <v>514</v>
      </c>
      <c r="AH419" t="s">
        <v>514</v>
      </c>
      <c r="AI419" t="s">
        <v>514</v>
      </c>
      <c r="AJ419" t="s">
        <v>514</v>
      </c>
    </row>
    <row r="420" spans="1:36" x14ac:dyDescent="0.25">
      <c r="A420" s="266" t="s">
        <v>127</v>
      </c>
      <c r="B420" s="15" t="s">
        <v>521</v>
      </c>
      <c r="C420" s="37"/>
      <c r="D420" s="37"/>
      <c r="E420" s="17" t="s">
        <v>262</v>
      </c>
      <c r="F420" s="274"/>
      <c r="G420" s="134" t="str">
        <f ca="1">_xlfn.FORMULATEXT(IN[[#This Row],[STAGE]])</f>
        <v>='[ka_PEQ_Nachweistool.xlsb]💨L'!B60</v>
      </c>
      <c r="H420" s="6">
        <v>2</v>
      </c>
      <c r="I420">
        <f>'[1]💨L'!B60</f>
        <v>0</v>
      </c>
      <c r="K420" s="275" t="s">
        <v>514</v>
      </c>
      <c r="N420" s="276"/>
      <c r="O420" s="8">
        <v>327</v>
      </c>
      <c r="P420" s="277"/>
      <c r="Q420" s="130"/>
      <c r="R420" s="131" t="s">
        <v>514</v>
      </c>
      <c r="S420" s="130"/>
      <c r="T420" s="130"/>
      <c r="U420" t="e">
        <f>'[1]💨L'!#REF!</f>
        <v>#REF!</v>
      </c>
      <c r="V420" s="272" t="s">
        <v>514</v>
      </c>
      <c r="W420" s="272" t="s">
        <v>514</v>
      </c>
      <c r="X420" s="272" t="s">
        <v>514</v>
      </c>
      <c r="Y420" s="278"/>
      <c r="Z420" s="278" t="s">
        <v>514</v>
      </c>
      <c r="AA420" s="273" t="s">
        <v>515</v>
      </c>
      <c r="AB420" s="273" t="s">
        <v>514</v>
      </c>
      <c r="AC420" t="s">
        <v>514</v>
      </c>
      <c r="AD420" t="s">
        <v>514</v>
      </c>
      <c r="AE420" t="s">
        <v>514</v>
      </c>
      <c r="AF420" t="s">
        <v>514</v>
      </c>
      <c r="AG420" t="s">
        <v>514</v>
      </c>
      <c r="AH420" t="s">
        <v>514</v>
      </c>
      <c r="AI420" t="s">
        <v>514</v>
      </c>
      <c r="AJ420" t="s">
        <v>514</v>
      </c>
    </row>
    <row r="421" spans="1:36" x14ac:dyDescent="0.25">
      <c r="A421" s="266" t="s">
        <v>127</v>
      </c>
      <c r="B421" s="15" t="s">
        <v>522</v>
      </c>
      <c r="C421" s="16" t="s">
        <v>523</v>
      </c>
      <c r="D421" s="16"/>
      <c r="E421" s="17" t="s">
        <v>78</v>
      </c>
      <c r="F421" s="18" t="s">
        <v>524</v>
      </c>
      <c r="G421" s="134" t="str">
        <f ca="1">_xlfn.FORMULATEXT(IN[[#This Row],[STAGE]])</f>
        <v>=SUMMENPRODUKT(I402:I408;I269:I275;I243:I249;SVERWEIS(I414:I420;'[ka_PEQ_Nachweistool.xlsb]💨L'!I54:J56;2;FALSCH))</v>
      </c>
      <c r="H421" s="20">
        <v>0</v>
      </c>
      <c r="I421" s="104" t="e" cm="1">
        <f t="array" ref="I421">SUMPRODUCT(I402:I408,I269:I275,I243:I249,VLOOKUP(I414:I420,'[1]💨L'!I54:J56,2,FALSE))</f>
        <v>#N/A</v>
      </c>
      <c r="J421" s="135" t="e">
        <f>IF(IN[[#This Row],[Sim_]]=IN[[#This Row],[STAGE]],1,0)</f>
        <v>#N/A</v>
      </c>
      <c r="K421" s="279"/>
      <c r="L421" s="130"/>
      <c r="M421" s="130">
        <f>IF(IN[[#This Row],[Sim_]]=IN[[#This Row],[Sim Var ref]],1,0)</f>
        <v>1</v>
      </c>
      <c r="N421" s="8"/>
      <c r="O421" s="8">
        <v>328</v>
      </c>
      <c r="P421" s="280"/>
      <c r="Q421" s="137">
        <f>IF(IN[[#This Row],[Sim_]]=IN[[#This Row],[Direkt alt]],1,0)</f>
        <v>1</v>
      </c>
      <c r="R421" s="10">
        <v>653920</v>
      </c>
      <c r="S421" s="10">
        <f>IF(IN[[#This Row],[Sim_]]=IN[[#This Row],[Buffer]],1,0)</f>
        <v>0</v>
      </c>
      <c r="T421" s="11"/>
      <c r="U421" s="104" t="e" cm="1">
        <f t="array" ref="U421">SUMPRODUCT(U395:U401,U269:U275,U243:U249,VLOOKUP(U414:U420,'[1]💨L'!R54:S56,2,FALSE))</f>
        <v>#REF!</v>
      </c>
      <c r="V421" s="281"/>
      <c r="X421">
        <v>0</v>
      </c>
      <c r="Y421" s="11"/>
      <c r="Z421" s="177">
        <v>0</v>
      </c>
      <c r="AA421" s="130"/>
      <c r="AB421" s="130">
        <v>72950.592000000004</v>
      </c>
      <c r="AC421" s="106">
        <v>9600</v>
      </c>
      <c r="AD421">
        <v>0</v>
      </c>
      <c r="AE421">
        <v>653920</v>
      </c>
      <c r="AF421">
        <v>653920</v>
      </c>
      <c r="AG421">
        <v>653920</v>
      </c>
      <c r="AH421">
        <v>837017.60000000009</v>
      </c>
      <c r="AI421">
        <v>72950.592000000004</v>
      </c>
      <c r="AJ421">
        <v>72950.592000000004</v>
      </c>
    </row>
    <row r="422" spans="1:36" x14ac:dyDescent="0.25">
      <c r="A422" s="266" t="s">
        <v>127</v>
      </c>
      <c r="B422" s="29" t="s">
        <v>525</v>
      </c>
      <c r="C422" s="16" t="s">
        <v>484</v>
      </c>
      <c r="D422" s="16" t="s">
        <v>526</v>
      </c>
      <c r="E422" s="17" t="s">
        <v>285</v>
      </c>
      <c r="F422" s="18"/>
      <c r="G422" s="134" t="str">
        <f ca="1">_xlfn.FORMULATEXT(IN[[#This Row],[STAGE]])</f>
        <v>='[ka_PEQ_Nachweistool.xlsb]💨L'!B8</v>
      </c>
      <c r="H422" s="20">
        <v>2</v>
      </c>
      <c r="I422" s="104">
        <f>'[1]💨L'!B8</f>
        <v>0</v>
      </c>
      <c r="J422" s="135">
        <f>IF(IN[[#This Row],[Sim_]]=IN[[#This Row],[STAGE]],1,0)</f>
        <v>0</v>
      </c>
      <c r="K422" s="210">
        <f>[1]!Nutzung_Wohnen[[#Totals],[Bedarf Luftwechsel]]*INDEX(input_nutz_LW_Anlage_Wohnen,K193)</f>
        <v>0.40000000000005964</v>
      </c>
      <c r="L422" s="130"/>
      <c r="M422" s="130">
        <f>IF(IN[[#This Row],[Sim_]]=IN[[#This Row],[Sim Var ref]],1,0)</f>
        <v>0</v>
      </c>
      <c r="N422" s="8"/>
      <c r="O422" s="8">
        <v>329</v>
      </c>
      <c r="P422" s="105"/>
      <c r="Q422" s="137">
        <f>IF(IN[[#This Row],[Sim_]]=IN[[#This Row],[Direkt alt]],1,0)</f>
        <v>0</v>
      </c>
      <c r="R422" s="10">
        <v>0.40000000000005964</v>
      </c>
      <c r="S422" s="10">
        <f>IF(IN[[#This Row],[Sim_]]=IN[[#This Row],[Buffer]],1,0)</f>
        <v>1</v>
      </c>
      <c r="T422" s="11"/>
      <c r="U422" s="104" t="e">
        <f>'[1]💨L'!#REF!</f>
        <v>#REF!</v>
      </c>
      <c r="V422" s="131">
        <f>[1]!Nutzung_Wohnen[[#Totals],[Bedarf Luftwechsel]]*INDEX(input_nutz_LW_Anlage_Wohnen,V193)</f>
        <v>0.40000000000005964</v>
      </c>
      <c r="W422" s="131">
        <f>[1]!Nutzung_Wohnen[[#Totals],[Bedarf Luftwechsel]]*INDEX(input_nutz_LW_Anlage_Wohnen,W193)</f>
        <v>6.0000000000008942E-2</v>
      </c>
      <c r="X422" s="131">
        <v>0.40000000000005964</v>
      </c>
      <c r="Y422" s="11"/>
      <c r="Z422" s="174">
        <v>0.40000000000005964</v>
      </c>
      <c r="AA422" s="174">
        <v>0.40000000000005964</v>
      </c>
      <c r="AB422" s="174">
        <v>0.40000000000005964</v>
      </c>
      <c r="AC422" s="106">
        <v>0.40000000000005964</v>
      </c>
      <c r="AD422">
        <v>0.40000000000005964</v>
      </c>
      <c r="AE422">
        <v>0.40000000000005964</v>
      </c>
      <c r="AF422">
        <v>0.40000000000005964</v>
      </c>
      <c r="AG422">
        <v>0.40000000000005964</v>
      </c>
      <c r="AH422">
        <v>0.40000000000005964</v>
      </c>
      <c r="AI422">
        <v>0.40000000000005964</v>
      </c>
      <c r="AJ422">
        <v>0.40000000000005964</v>
      </c>
    </row>
    <row r="423" spans="1:36" x14ac:dyDescent="0.25">
      <c r="A423" s="266" t="s">
        <v>127</v>
      </c>
      <c r="B423" s="29" t="s">
        <v>527</v>
      </c>
      <c r="C423" s="16" t="s">
        <v>484</v>
      </c>
      <c r="D423" s="16" t="s">
        <v>526</v>
      </c>
      <c r="E423" s="17" t="s">
        <v>285</v>
      </c>
      <c r="F423" s="18"/>
      <c r="G423" s="134" t="str">
        <f ca="1">_xlfn.FORMULATEXT(IN[[#This Row],[STAGE]])</f>
        <v>='[ka_PEQ_Nachweistool.xlsb]💨L'!B9</v>
      </c>
      <c r="H423" s="20">
        <v>2</v>
      </c>
      <c r="I423" s="104">
        <f>'[1]💨L'!B9</f>
        <v>0</v>
      </c>
      <c r="J423" s="135">
        <f>IF(IN[[#This Row],[Sim_]]=IN[[#This Row],[STAGE]],1,0)</f>
        <v>0</v>
      </c>
      <c r="K423" s="210">
        <f>[1]!Nutzung_Büro[[#Totals],[Bedarf Luftwechsel]]*INDEX(input_nutz_LW_Anlage_Buero,K193)</f>
        <v>0.30000000000000004</v>
      </c>
      <c r="L423" s="130"/>
      <c r="M423" s="130">
        <f>IF(IN[[#This Row],[Sim_]]=IN[[#This Row],[Sim Var ref]],1,0)</f>
        <v>0</v>
      </c>
      <c r="N423" s="8"/>
      <c r="O423" s="8">
        <v>330</v>
      </c>
      <c r="P423" s="105"/>
      <c r="Q423" s="137">
        <f>IF(IN[[#This Row],[Sim_]]=IN[[#This Row],[Direkt alt]],1,0)</f>
        <v>0</v>
      </c>
      <c r="R423" s="10">
        <v>1.5</v>
      </c>
      <c r="S423" s="10">
        <f>IF(IN[[#This Row],[Sim_]]=IN[[#This Row],[Buffer]],1,0)</f>
        <v>0</v>
      </c>
      <c r="T423" s="11"/>
      <c r="U423" s="104" t="e">
        <f>'[1]💨L'!#REF!</f>
        <v>#REF!</v>
      </c>
      <c r="V423" s="131">
        <f>[1]!Nutzung_Büro[[#Totals],[Bedarf Luftwechsel]]*INDEX(input_nutz_LW_Anlage_Buero,V193)</f>
        <v>0.30000000000000004</v>
      </c>
      <c r="W423" s="131">
        <f>[1]!Nutzung_Büro[[#Totals],[Bedarf Luftwechsel]]*INDEX(input_nutz_LW_Anlage_Buero,W193)</f>
        <v>0.30000000000000004</v>
      </c>
      <c r="X423" s="131">
        <v>1.5</v>
      </c>
      <c r="Y423" s="11"/>
      <c r="Z423" s="174">
        <v>1.5</v>
      </c>
      <c r="AA423" s="174">
        <v>0.30000000000000004</v>
      </c>
      <c r="AB423" s="174">
        <v>0.30000000000000004</v>
      </c>
      <c r="AC423" s="106">
        <v>1.5</v>
      </c>
      <c r="AD423">
        <v>1.5</v>
      </c>
      <c r="AE423">
        <v>1.5</v>
      </c>
      <c r="AF423">
        <v>1.5</v>
      </c>
      <c r="AG423">
        <v>1.5</v>
      </c>
      <c r="AH423">
        <v>1.5</v>
      </c>
      <c r="AI423">
        <v>0.30000000000000004</v>
      </c>
      <c r="AJ423">
        <v>0.30000000000000004</v>
      </c>
    </row>
    <row r="424" spans="1:36" x14ac:dyDescent="0.25">
      <c r="A424" s="266" t="s">
        <v>127</v>
      </c>
      <c r="B424" s="29" t="s">
        <v>528</v>
      </c>
      <c r="C424" s="16" t="s">
        <v>484</v>
      </c>
      <c r="D424" s="16" t="s">
        <v>526</v>
      </c>
      <c r="E424" s="17" t="s">
        <v>285</v>
      </c>
      <c r="F424" s="18"/>
      <c r="G424" s="134" t="str">
        <f ca="1">_xlfn.FORMULATEXT(IN[[#This Row],[STAGE]])</f>
        <v>='[ka_PEQ_Nachweistool.xlsb]💨L'!B11</v>
      </c>
      <c r="H424" s="20">
        <v>2</v>
      </c>
      <c r="I424" s="104">
        <f>'[1]💨L'!B11</f>
        <v>0</v>
      </c>
      <c r="J424" s="135">
        <f>IF(IN[[#This Row],[Sim_]]=IN[[#This Row],[STAGE]],1,0)</f>
        <v>0</v>
      </c>
      <c r="K424" s="210">
        <f>[1]!Nutzung_Schule[[#Totals],[Bedarf Luftwechsel]]*INDEX(input_nutz_LW_Anlage_Schule,K$193)</f>
        <v>0.95894909700006004</v>
      </c>
      <c r="L424" s="130"/>
      <c r="M424" s="130">
        <f>IF(IN[[#This Row],[Sim_]]=IN[[#This Row],[Sim Var ref]],1,0)</f>
        <v>0</v>
      </c>
      <c r="N424" s="8"/>
      <c r="O424" s="8">
        <v>331</v>
      </c>
      <c r="P424" s="105"/>
      <c r="Q424" s="137">
        <f>IF(IN[[#This Row],[Sim_]]=IN[[#This Row],[Direkt alt]],1,0)</f>
        <v>0</v>
      </c>
      <c r="R424" s="10">
        <v>0.95894909700006004</v>
      </c>
      <c r="S424" s="10">
        <f>IF(IN[[#This Row],[Sim_]]=IN[[#This Row],[Buffer]],1,0)</f>
        <v>1</v>
      </c>
      <c r="T424" s="11"/>
      <c r="U424" s="104" t="e">
        <f>'[1]💨L'!#REF!</f>
        <v>#REF!</v>
      </c>
      <c r="V424" s="131">
        <f>[1]!Nutzung_Schule[[#Totals],[Bedarf Luftwechsel]]*INDEX(input_nutz_LW_Anlage_Schule,V$193)</f>
        <v>0.95894909700006004</v>
      </c>
      <c r="W424" s="131">
        <f>[1]!Nutzung_Schule[[#Totals],[Bedarf Luftwechsel]]*INDEX(input_nutz_LW_Anlage_Schule,W$193)</f>
        <v>0.19178981940001202</v>
      </c>
      <c r="X424" s="131">
        <v>0.95894909700006004</v>
      </c>
      <c r="Y424" s="11"/>
      <c r="Z424" s="174">
        <v>0.95894909700006004</v>
      </c>
      <c r="AA424" s="174">
        <v>0.95894909700006004</v>
      </c>
      <c r="AB424" s="174">
        <v>0.95894909700006004</v>
      </c>
      <c r="AC424" s="106">
        <v>0.95894909700006004</v>
      </c>
      <c r="AD424">
        <v>0.95894909700006004</v>
      </c>
      <c r="AE424">
        <v>0.95894909700006004</v>
      </c>
      <c r="AF424">
        <v>0.95894909700006004</v>
      </c>
      <c r="AG424">
        <v>0.95894909700006004</v>
      </c>
      <c r="AH424">
        <v>0.95894909700006004</v>
      </c>
      <c r="AI424">
        <v>0.95894909700006004</v>
      </c>
      <c r="AJ424">
        <v>0.95894909700006004</v>
      </c>
    </row>
    <row r="425" spans="1:36" x14ac:dyDescent="0.25">
      <c r="A425" s="266" t="s">
        <v>127</v>
      </c>
      <c r="B425" s="29" t="s">
        <v>529</v>
      </c>
      <c r="C425" s="16" t="s">
        <v>484</v>
      </c>
      <c r="D425" s="16" t="s">
        <v>526</v>
      </c>
      <c r="E425" s="17" t="s">
        <v>285</v>
      </c>
      <c r="F425" s="18"/>
      <c r="G425" s="134" t="str">
        <f ca="1">_xlfn.FORMULATEXT(IN[[#This Row],[STAGE]])</f>
        <v>='[ka_PEQ_Nachweistool.xlsb]💨L'!B10</v>
      </c>
      <c r="H425" s="20">
        <v>2</v>
      </c>
      <c r="I425" s="104">
        <f>'[1]💨L'!B10</f>
        <v>0</v>
      </c>
      <c r="J425" s="135">
        <f>IF(IN[[#This Row],[Sim_]]=IN[[#This Row],[STAGE]],1,0)</f>
        <v>0</v>
      </c>
      <c r="K425" s="210">
        <f>[1]!Nutzung_KIGA[[#Totals],[Bedarf Luftwechsel]]*INDEX(input_nutz_LW_Anlage_KIGA,K$193)</f>
        <v>0.95894909700006004</v>
      </c>
      <c r="L425" s="130"/>
      <c r="M425" s="130">
        <f>IF(IN[[#This Row],[Sim_]]=IN[[#This Row],[Sim Var ref]],1,0)</f>
        <v>0</v>
      </c>
      <c r="N425" s="8"/>
      <c r="O425" s="8">
        <v>332</v>
      </c>
      <c r="P425" s="105"/>
      <c r="Q425" s="137">
        <f>IF(IN[[#This Row],[Sim_]]=IN[[#This Row],[Direkt alt]],1,0)</f>
        <v>0</v>
      </c>
      <c r="R425" s="10">
        <v>0.95894909700006004</v>
      </c>
      <c r="S425" s="10">
        <f>IF(IN[[#This Row],[Sim_]]=IN[[#This Row],[Buffer]],1,0)</f>
        <v>1</v>
      </c>
      <c r="T425" s="11"/>
      <c r="U425" s="104" t="e">
        <f>'[1]💨L'!#REF!</f>
        <v>#REF!</v>
      </c>
      <c r="V425" s="131">
        <f>[1]!Nutzung_KIGA[[#Totals],[Bedarf Luftwechsel]]*INDEX(input_nutz_LW_Anlage_KIGA,V$193)</f>
        <v>0.95894909700006004</v>
      </c>
      <c r="W425" s="131">
        <f>[1]!Nutzung_KIGA[[#Totals],[Bedarf Luftwechsel]]*INDEX(input_nutz_LW_Anlage_KIGA,W$193)</f>
        <v>0.19178981940001202</v>
      </c>
      <c r="X425" s="131">
        <v>0.95894909700006004</v>
      </c>
      <c r="Y425" s="11"/>
      <c r="Z425" s="174">
        <v>0.95894909700006004</v>
      </c>
      <c r="AA425" s="174">
        <v>0.95894909700006004</v>
      </c>
      <c r="AB425" s="174">
        <v>0.95894909700006004</v>
      </c>
      <c r="AC425" s="106">
        <v>0.95894909700006004</v>
      </c>
      <c r="AD425">
        <v>0.95894909700006004</v>
      </c>
      <c r="AE425">
        <v>0.95894909700006004</v>
      </c>
      <c r="AF425">
        <v>0.95894909700006004</v>
      </c>
      <c r="AG425">
        <v>0.95894909700006004</v>
      </c>
      <c r="AH425">
        <v>0.95894909700006004</v>
      </c>
      <c r="AI425">
        <v>0.95894909700006004</v>
      </c>
      <c r="AJ425">
        <v>0.95894909700006004</v>
      </c>
    </row>
    <row r="426" spans="1:36" x14ac:dyDescent="0.25">
      <c r="A426" s="266" t="s">
        <v>127</v>
      </c>
      <c r="B426" s="29" t="s">
        <v>530</v>
      </c>
      <c r="C426" s="16" t="s">
        <v>484</v>
      </c>
      <c r="D426" s="16" t="s">
        <v>526</v>
      </c>
      <c r="E426" s="17" t="s">
        <v>285</v>
      </c>
      <c r="F426" s="18"/>
      <c r="G426" s="134" t="str">
        <f ca="1">_xlfn.FORMULATEXT(IN[[#This Row],[STAGE]])</f>
        <v>='[ka_PEQ_Nachweistool.xlsb]💨L'!B12</v>
      </c>
      <c r="H426" s="20">
        <v>2</v>
      </c>
      <c r="I426" s="104">
        <f>'[1]💨L'!B12</f>
        <v>0</v>
      </c>
      <c r="J426" s="135">
        <f>IF(IN[[#This Row],[Sim_]]=IN[[#This Row],[STAGE]],1,0)</f>
        <v>0</v>
      </c>
      <c r="K426" s="210">
        <f>[1]!Nutzung_Handel_Food[[#Totals],[Bedarf Luftwechsel]]*INDEX(input_nutz_LW_Anlage_Handel_Food,K$193)</f>
        <v>0.44999999999999996</v>
      </c>
      <c r="L426" s="130"/>
      <c r="M426" s="130">
        <f>IF(IN[[#This Row],[Sim_]]=IN[[#This Row],[Sim Var ref]],1,0)</f>
        <v>0</v>
      </c>
      <c r="N426" s="8"/>
      <c r="O426" s="8">
        <v>333</v>
      </c>
      <c r="P426" s="105"/>
      <c r="Q426" s="137">
        <f>IF(IN[[#This Row],[Sim_]]=IN[[#This Row],[Direkt alt]],1,0)</f>
        <v>0</v>
      </c>
      <c r="R426" s="10">
        <v>1.5</v>
      </c>
      <c r="S426" s="10">
        <f>IF(IN[[#This Row],[Sim_]]=IN[[#This Row],[Buffer]],1,0)</f>
        <v>0</v>
      </c>
      <c r="T426" s="11"/>
      <c r="U426" s="104" t="e">
        <f>'[1]💨L'!#REF!</f>
        <v>#REF!</v>
      </c>
      <c r="V426" s="131">
        <f>[1]!Nutzung_Handel_Food[[#Totals],[Bedarf Luftwechsel]]*INDEX(input_nutz_LW_Anlage_Handel_Food,V$193)</f>
        <v>0.44999999999999996</v>
      </c>
      <c r="W426" s="131">
        <f>[1]!Nutzung_Handel_Food[[#Totals],[Bedarf Luftwechsel]]*INDEX(input_nutz_LW_Anlage_Handel_Food,W$193)</f>
        <v>0.30000000000000004</v>
      </c>
      <c r="X426" s="131">
        <v>1.5</v>
      </c>
      <c r="Y426" s="11"/>
      <c r="Z426" s="174">
        <v>1.5</v>
      </c>
      <c r="AA426" s="174">
        <v>0.44999999999999996</v>
      </c>
      <c r="AB426" s="174">
        <v>0.44999999999999996</v>
      </c>
      <c r="AC426" s="106">
        <v>1.5</v>
      </c>
      <c r="AD426">
        <v>1.5</v>
      </c>
      <c r="AE426">
        <v>1.5</v>
      </c>
      <c r="AF426">
        <v>1.5</v>
      </c>
      <c r="AG426">
        <v>1.5</v>
      </c>
      <c r="AH426">
        <v>1.5</v>
      </c>
      <c r="AI426">
        <v>0.44999999999999996</v>
      </c>
      <c r="AJ426">
        <v>0.44999999999999996</v>
      </c>
    </row>
    <row r="427" spans="1:36" x14ac:dyDescent="0.25">
      <c r="A427" s="266" t="s">
        <v>127</v>
      </c>
      <c r="B427" s="29" t="s">
        <v>531</v>
      </c>
      <c r="C427" s="16" t="s">
        <v>484</v>
      </c>
      <c r="D427" s="16" t="s">
        <v>526</v>
      </c>
      <c r="E427" s="17" t="s">
        <v>285</v>
      </c>
      <c r="F427" s="18"/>
      <c r="G427" s="134" t="str">
        <f ca="1">_xlfn.FORMULATEXT(IN[[#This Row],[STAGE]])</f>
        <v>='[ka_PEQ_Nachweistool.xlsb]💨L'!B13</v>
      </c>
      <c r="H427" s="20">
        <v>2</v>
      </c>
      <c r="I427" s="104">
        <f>'[1]💨L'!B13</f>
        <v>0</v>
      </c>
      <c r="J427" s="135">
        <f>IF(IN[[#This Row],[Sim_]]=IN[[#This Row],[STAGE]],1,0)</f>
        <v>0</v>
      </c>
      <c r="K427" s="210">
        <f>[1]!Nutzung_Handel_NonFood[[#Totals],[Bedarf Luftwechsel]]*INDEX(input_nutz_LW_Anlage_Handel_NonFood,K$193)</f>
        <v>0.44999999999999996</v>
      </c>
      <c r="L427" s="130"/>
      <c r="M427" s="130">
        <f>IF(IN[[#This Row],[Sim_]]=IN[[#This Row],[Sim Var ref]],1,0)</f>
        <v>0</v>
      </c>
      <c r="N427" s="8"/>
      <c r="O427" s="8">
        <v>334</v>
      </c>
      <c r="P427" s="105"/>
      <c r="Q427" s="137">
        <f>IF(IN[[#This Row],[Sim_]]=IN[[#This Row],[Direkt alt]],1,0)</f>
        <v>0</v>
      </c>
      <c r="R427" s="10">
        <v>1.5</v>
      </c>
      <c r="S427" s="10">
        <f>IF(IN[[#This Row],[Sim_]]=IN[[#This Row],[Buffer]],1,0)</f>
        <v>0</v>
      </c>
      <c r="T427" s="11"/>
      <c r="U427" s="104" t="e">
        <f>'[1]💨L'!#REF!</f>
        <v>#REF!</v>
      </c>
      <c r="V427" s="131">
        <f>[1]!Nutzung_Handel_NonFood[[#Totals],[Bedarf Luftwechsel]]*INDEX(input_nutz_LW_Anlage_Handel_NonFood,V$193)</f>
        <v>0.44999999999999996</v>
      </c>
      <c r="W427" s="131">
        <f>[1]!Nutzung_Handel_NonFood[[#Totals],[Bedarf Luftwechsel]]*INDEX(input_nutz_LW_Anlage_Handel_NonFood,W$193)</f>
        <v>0.30000000000000004</v>
      </c>
      <c r="X427" s="131">
        <v>1.5</v>
      </c>
      <c r="Y427" s="11"/>
      <c r="Z427" s="174">
        <v>1.5</v>
      </c>
      <c r="AA427" s="174">
        <v>0.44999999999999996</v>
      </c>
      <c r="AB427" s="174">
        <v>0.44999999999999996</v>
      </c>
      <c r="AC427" s="106">
        <v>1.5</v>
      </c>
      <c r="AD427">
        <v>1.5</v>
      </c>
      <c r="AE427">
        <v>1.5</v>
      </c>
      <c r="AF427">
        <v>1.5</v>
      </c>
      <c r="AG427">
        <v>1.5</v>
      </c>
      <c r="AH427">
        <v>1.5</v>
      </c>
      <c r="AI427">
        <v>0.44999999999999996</v>
      </c>
      <c r="AJ427">
        <v>0.44999999999999996</v>
      </c>
    </row>
    <row r="428" spans="1:36" x14ac:dyDescent="0.25">
      <c r="A428" s="266" t="s">
        <v>127</v>
      </c>
      <c r="B428" s="15" t="s">
        <v>532</v>
      </c>
      <c r="C428" s="16" t="s">
        <v>484</v>
      </c>
      <c r="D428" s="16" t="s">
        <v>526</v>
      </c>
      <c r="E428" s="17" t="s">
        <v>262</v>
      </c>
      <c r="F428" s="18"/>
      <c r="G428" s="134" t="str">
        <f ca="1">_xlfn.FORMULATEXT(IN[[#This Row],[STAGE]])</f>
        <v>='[ka_PEQ_Nachweistool.xlsb]💨L'!B14</v>
      </c>
      <c r="H428" s="20">
        <v>2</v>
      </c>
      <c r="I428" s="104">
        <f>'[1]💨L'!B14</f>
        <v>0</v>
      </c>
      <c r="J428" s="135">
        <f>IF(IN[[#This Row],[Sim_]]=IN[[#This Row],[STAGE]],1,0)</f>
        <v>1</v>
      </c>
      <c r="K428" s="210">
        <v>0</v>
      </c>
      <c r="L428" s="130"/>
      <c r="M428" s="130">
        <f>IF(IN[[#This Row],[Sim_]]=IN[[#This Row],[Sim Var ref]],1,0)</f>
        <v>1</v>
      </c>
      <c r="N428" s="8"/>
      <c r="O428" s="8">
        <v>335</v>
      </c>
      <c r="P428" s="105"/>
      <c r="Q428" s="137">
        <f>IF(IN[[#This Row],[Sim_]]=IN[[#This Row],[Direkt alt]],1,0)</f>
        <v>1</v>
      </c>
      <c r="R428" s="10">
        <v>0</v>
      </c>
      <c r="S428" s="10">
        <f>IF(IN[[#This Row],[Sim_]]=IN[[#This Row],[Buffer]],1,0)</f>
        <v>1</v>
      </c>
      <c r="T428" s="11"/>
      <c r="U428" s="104" t="e">
        <f>'[1]💨L'!#REF!</f>
        <v>#REF!</v>
      </c>
      <c r="V428" s="131">
        <v>0</v>
      </c>
      <c r="W428" s="131">
        <v>0</v>
      </c>
      <c r="X428" s="131">
        <v>0</v>
      </c>
      <c r="Y428" s="11"/>
      <c r="Z428" s="174">
        <v>0</v>
      </c>
      <c r="AA428" s="174">
        <v>0</v>
      </c>
      <c r="AB428" s="174">
        <v>0</v>
      </c>
      <c r="AC428" s="106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s="266" t="s">
        <v>127</v>
      </c>
      <c r="B429" s="29" t="s">
        <v>533</v>
      </c>
      <c r="C429" s="16"/>
      <c r="D429" s="16"/>
      <c r="E429" s="17" t="s">
        <v>78</v>
      </c>
      <c r="F429" s="18" t="s">
        <v>534</v>
      </c>
      <c r="G429" s="134" t="str">
        <f ca="1">_xlfn.FORMULATEXT(IN[[#This Row],[STAGE]])</f>
        <v>=I422/MAX(ka_PEQ_Nachweistool.xlsb!Nutzung_Wohnen[Bedarf Luftwechsel])</v>
      </c>
      <c r="H429" s="20">
        <v>0</v>
      </c>
      <c r="I429" s="104">
        <f>I422/MAX([1]!Nutzung_Wohnen[Bedarf Luftwechsel])</f>
        <v>0</v>
      </c>
      <c r="J429" s="135">
        <f>IF(IN[[#This Row],[Sim_]]=IN[[#This Row],[STAGE]],1,0)</f>
        <v>1</v>
      </c>
      <c r="K429" s="267"/>
      <c r="L429" s="130"/>
      <c r="M429" s="130">
        <f>IF(IN[[#This Row],[Sim_]]=IN[[#This Row],[Sim Var ref]],1,0)</f>
        <v>1</v>
      </c>
      <c r="N429" s="8"/>
      <c r="O429" s="8">
        <v>336</v>
      </c>
      <c r="P429" s="105"/>
      <c r="Q429" s="137">
        <f>IF(IN[[#This Row],[Sim_]]=IN[[#This Row],[Direkt alt]],1,0)</f>
        <v>1</v>
      </c>
      <c r="R429" s="10">
        <v>1.000000000000149</v>
      </c>
      <c r="S429" s="10">
        <f>IF(IN[[#This Row],[Sim_]]=IN[[#This Row],[Buffer]],1,0)</f>
        <v>0</v>
      </c>
      <c r="T429" s="11"/>
      <c r="U429" s="104" t="e">
        <f>U422/MAX([1]!Nutzung_Wohnen[Bedarf Luftwechsel])</f>
        <v>#REF!</v>
      </c>
      <c r="V429" s="131"/>
      <c r="W429" s="131"/>
      <c r="X429" s="131">
        <v>1.000000000000149</v>
      </c>
      <c r="Y429" s="11"/>
      <c r="Z429" s="174">
        <v>1.000000000000149</v>
      </c>
      <c r="AA429" s="174"/>
      <c r="AB429" s="174">
        <v>1.000000000000149</v>
      </c>
      <c r="AC429" s="106">
        <v>1.000000000000149</v>
      </c>
      <c r="AD429">
        <v>1.000000000000149</v>
      </c>
      <c r="AE429">
        <v>1.000000000000149</v>
      </c>
      <c r="AF429">
        <v>1.000000000000149</v>
      </c>
      <c r="AG429">
        <v>1.000000000000149</v>
      </c>
      <c r="AH429">
        <v>1.000000000000149</v>
      </c>
      <c r="AI429">
        <v>1.000000000000149</v>
      </c>
      <c r="AJ429">
        <v>1.000000000000149</v>
      </c>
    </row>
    <row r="430" spans="1:36" x14ac:dyDescent="0.25">
      <c r="A430" s="266" t="s">
        <v>127</v>
      </c>
      <c r="B430" s="29" t="s">
        <v>535</v>
      </c>
      <c r="C430" s="16"/>
      <c r="D430" s="16"/>
      <c r="E430" s="17" t="s">
        <v>78</v>
      </c>
      <c r="F430" s="18" t="s">
        <v>536</v>
      </c>
      <c r="G430" s="134" t="str">
        <f ca="1">_xlfn.FORMULATEXT(IN[[#This Row],[STAGE]])</f>
        <v>=I423/MAX(ka_PEQ_Nachweistool.xlsb!Nutzung_Büro[Bedarf Luftwechsel])</v>
      </c>
      <c r="H430" s="20">
        <v>0</v>
      </c>
      <c r="I430" s="104">
        <f>I423/MAX([1]!Nutzung_Büro[Bedarf Luftwechsel])</f>
        <v>0</v>
      </c>
      <c r="J430" s="135">
        <f>IF(IN[[#This Row],[Sim_]]=IN[[#This Row],[STAGE]],1,0)</f>
        <v>1</v>
      </c>
      <c r="K430" s="267"/>
      <c r="L430" s="130"/>
      <c r="M430" s="130">
        <f>IF(IN[[#This Row],[Sim_]]=IN[[#This Row],[Sim Var ref]],1,0)</f>
        <v>1</v>
      </c>
      <c r="N430" s="8"/>
      <c r="O430" s="8">
        <v>337</v>
      </c>
      <c r="P430" s="105"/>
      <c r="Q430" s="137">
        <f>IF(IN[[#This Row],[Sim_]]=IN[[#This Row],[Direkt alt]],1,0)</f>
        <v>1</v>
      </c>
      <c r="R430" s="10">
        <v>1</v>
      </c>
      <c r="S430" s="10">
        <f>IF(IN[[#This Row],[Sim_]]=IN[[#This Row],[Buffer]],1,0)</f>
        <v>0</v>
      </c>
      <c r="T430" s="11"/>
      <c r="U430" s="104" t="e">
        <f>U423/MAX([1]!Nutzung_Büro[Bedarf Luftwechsel])</f>
        <v>#REF!</v>
      </c>
      <c r="V430" s="131"/>
      <c r="W430" s="131"/>
      <c r="X430" s="131">
        <v>1</v>
      </c>
      <c r="Y430" s="11"/>
      <c r="Z430" s="174">
        <v>1</v>
      </c>
      <c r="AA430" s="174"/>
      <c r="AB430" s="174">
        <v>0.20000000000000004</v>
      </c>
      <c r="AC430" s="106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0.20000000000000004</v>
      </c>
      <c r="AJ430">
        <v>0.20000000000000004</v>
      </c>
    </row>
    <row r="431" spans="1:36" x14ac:dyDescent="0.25">
      <c r="A431" s="266" t="s">
        <v>127</v>
      </c>
      <c r="B431" s="29" t="s">
        <v>537</v>
      </c>
      <c r="C431" s="16"/>
      <c r="D431" s="16"/>
      <c r="E431" s="17" t="s">
        <v>78</v>
      </c>
      <c r="F431" s="18" t="s">
        <v>538</v>
      </c>
      <c r="G431" s="134" t="str">
        <f ca="1">_xlfn.FORMULATEXT(IN[[#This Row],[STAGE]])</f>
        <v>=I424/MAX(ka_PEQ_Nachweistool.xlsb!Nutzung_Schule[Bedarf Luftwechsel])</v>
      </c>
      <c r="H431" s="20">
        <v>0</v>
      </c>
      <c r="I431" s="104">
        <f>I424/MAX([1]!Nutzung_Schule[Bedarf Luftwechsel])</f>
        <v>0</v>
      </c>
      <c r="J431" s="135">
        <f>IF(IN[[#This Row],[Sim_]]=IN[[#This Row],[STAGE]],1,0)</f>
        <v>1</v>
      </c>
      <c r="K431" s="267"/>
      <c r="L431" s="130"/>
      <c r="M431" s="130">
        <f>IF(IN[[#This Row],[Sim_]]=IN[[#This Row],[Sim Var ref]],1,0)</f>
        <v>1</v>
      </c>
      <c r="N431" s="8"/>
      <c r="O431" s="8">
        <v>338</v>
      </c>
      <c r="P431" s="105"/>
      <c r="Q431" s="137">
        <f>IF(IN[[#This Row],[Sim_]]=IN[[#This Row],[Direkt alt]],1,0)</f>
        <v>1</v>
      </c>
      <c r="R431" s="10">
        <v>1.0000000000000628</v>
      </c>
      <c r="S431" s="10">
        <f>IF(IN[[#This Row],[Sim_]]=IN[[#This Row],[Buffer]],1,0)</f>
        <v>0</v>
      </c>
      <c r="T431" s="11"/>
      <c r="U431" s="104" t="e">
        <f>U424/MAX([1]!Nutzung_Schule[Bedarf Luftwechsel])</f>
        <v>#REF!</v>
      </c>
      <c r="V431" s="131"/>
      <c r="W431" s="131"/>
      <c r="X431" s="131">
        <v>1.0000000000000628</v>
      </c>
      <c r="Y431" s="11"/>
      <c r="Z431" s="174">
        <v>1.0000000000000628</v>
      </c>
      <c r="AA431" s="174"/>
      <c r="AB431" s="174">
        <v>1.0000000000000628</v>
      </c>
      <c r="AC431" s="106">
        <v>1.0000000000000628</v>
      </c>
      <c r="AD431">
        <v>1.0000000000000628</v>
      </c>
      <c r="AE431">
        <v>1.0000000000000628</v>
      </c>
      <c r="AF431">
        <v>1.0000000000000628</v>
      </c>
      <c r="AG431">
        <v>1.0000000000000628</v>
      </c>
      <c r="AH431">
        <v>1.0000000000000628</v>
      </c>
      <c r="AI431">
        <v>1.0000000000000628</v>
      </c>
      <c r="AJ431">
        <v>1.0000000000000628</v>
      </c>
    </row>
    <row r="432" spans="1:36" x14ac:dyDescent="0.25">
      <c r="A432" s="266" t="s">
        <v>127</v>
      </c>
      <c r="B432" s="29" t="s">
        <v>539</v>
      </c>
      <c r="C432" s="16"/>
      <c r="D432" s="16"/>
      <c r="E432" s="17" t="s">
        <v>78</v>
      </c>
      <c r="F432" s="18" t="s">
        <v>540</v>
      </c>
      <c r="G432" s="134" t="str">
        <f ca="1">_xlfn.FORMULATEXT(IN[[#This Row],[STAGE]])</f>
        <v>=I425/MAX(ka_PEQ_Nachweistool.xlsb!Nutzung_KIGA[Bedarf Luftwechsel])</v>
      </c>
      <c r="H432" s="20">
        <v>0</v>
      </c>
      <c r="I432" s="104">
        <f>I425/MAX([1]!Nutzung_KIGA[Bedarf Luftwechsel])</f>
        <v>0</v>
      </c>
      <c r="J432" s="135">
        <f>IF(IN[[#This Row],[Sim_]]=IN[[#This Row],[STAGE]],1,0)</f>
        <v>1</v>
      </c>
      <c r="K432" s="267"/>
      <c r="L432" s="130"/>
      <c r="M432" s="130">
        <f>IF(IN[[#This Row],[Sim_]]=IN[[#This Row],[Sim Var ref]],1,0)</f>
        <v>1</v>
      </c>
      <c r="N432" s="8"/>
      <c r="O432" s="8">
        <v>339</v>
      </c>
      <c r="P432" s="105"/>
      <c r="Q432" s="137">
        <f>IF(IN[[#This Row],[Sim_]]=IN[[#This Row],[Direkt alt]],1,0)</f>
        <v>1</v>
      </c>
      <c r="R432" s="10">
        <v>1.0000000000000628</v>
      </c>
      <c r="S432" s="10">
        <f>IF(IN[[#This Row],[Sim_]]=IN[[#This Row],[Buffer]],1,0)</f>
        <v>0</v>
      </c>
      <c r="T432" s="11"/>
      <c r="U432" s="104" t="e">
        <f>U425/MAX([1]!Nutzung_KIGA[Bedarf Luftwechsel])</f>
        <v>#REF!</v>
      </c>
      <c r="V432" s="131"/>
      <c r="W432" s="131"/>
      <c r="X432" s="131">
        <v>1.0000000000000628</v>
      </c>
      <c r="Y432" s="11"/>
      <c r="Z432" s="174">
        <v>1.0000000000000628</v>
      </c>
      <c r="AA432" s="174"/>
      <c r="AB432" s="174">
        <v>1.0000000000000628</v>
      </c>
      <c r="AC432" s="106">
        <v>1.0000000000000628</v>
      </c>
      <c r="AD432">
        <v>1.0000000000000628</v>
      </c>
      <c r="AE432">
        <v>1.0000000000000628</v>
      </c>
      <c r="AF432">
        <v>1.0000000000000628</v>
      </c>
      <c r="AG432">
        <v>1.0000000000000628</v>
      </c>
      <c r="AH432">
        <v>1.0000000000000628</v>
      </c>
      <c r="AI432">
        <v>1.0000000000000628</v>
      </c>
      <c r="AJ432">
        <v>1.0000000000000628</v>
      </c>
    </row>
    <row r="433" spans="1:36" x14ac:dyDescent="0.25">
      <c r="A433" s="266" t="s">
        <v>127</v>
      </c>
      <c r="B433" s="29" t="s">
        <v>541</v>
      </c>
      <c r="C433" s="16"/>
      <c r="D433" s="16"/>
      <c r="E433" s="17" t="s">
        <v>78</v>
      </c>
      <c r="F433" s="18" t="s">
        <v>542</v>
      </c>
      <c r="G433" s="134" t="str">
        <f ca="1">_xlfn.FORMULATEXT(IN[[#This Row],[STAGE]])</f>
        <v>=I426/MAX(ka_PEQ_Nachweistool.xlsb!Nutzung_Handel_Food[Bedarf Luftwechsel])</v>
      </c>
      <c r="H433" s="20">
        <v>0</v>
      </c>
      <c r="I433" s="104">
        <f>I426/MAX([1]!Nutzung_Handel_Food[Bedarf Luftwechsel])</f>
        <v>0</v>
      </c>
      <c r="J433" s="135">
        <f>IF(IN[[#This Row],[Sim_]]=IN[[#This Row],[STAGE]],1,0)</f>
        <v>1</v>
      </c>
      <c r="K433" s="267"/>
      <c r="L433" s="130"/>
      <c r="M433" s="130">
        <f>IF(IN[[#This Row],[Sim_]]=IN[[#This Row],[Sim Var ref]],1,0)</f>
        <v>1</v>
      </c>
      <c r="N433" s="8"/>
      <c r="O433" s="8">
        <v>340</v>
      </c>
      <c r="P433" s="105"/>
      <c r="Q433" s="137">
        <f>IF(IN[[#This Row],[Sim_]]=IN[[#This Row],[Direkt alt]],1,0)</f>
        <v>1</v>
      </c>
      <c r="R433" s="10">
        <v>1</v>
      </c>
      <c r="S433" s="10">
        <f>IF(IN[[#This Row],[Sim_]]=IN[[#This Row],[Buffer]],1,0)</f>
        <v>0</v>
      </c>
      <c r="T433" s="11"/>
      <c r="U433" s="104" t="e">
        <f>U426/MAX([1]!Nutzung_Handel_Food[Bedarf Luftwechsel])</f>
        <v>#REF!</v>
      </c>
      <c r="V433" s="131"/>
      <c r="W433" s="131"/>
      <c r="X433" s="131">
        <v>1</v>
      </c>
      <c r="Y433" s="11"/>
      <c r="Z433" s="174">
        <v>1</v>
      </c>
      <c r="AA433" s="174"/>
      <c r="AB433" s="174">
        <v>0.3</v>
      </c>
      <c r="AC433" s="106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0.3</v>
      </c>
      <c r="AJ433">
        <v>0.3</v>
      </c>
    </row>
    <row r="434" spans="1:36" x14ac:dyDescent="0.25">
      <c r="A434" s="266" t="s">
        <v>127</v>
      </c>
      <c r="B434" s="29" t="s">
        <v>543</v>
      </c>
      <c r="C434" s="16"/>
      <c r="D434" s="16"/>
      <c r="E434" s="17" t="s">
        <v>78</v>
      </c>
      <c r="F434" s="18" t="s">
        <v>544</v>
      </c>
      <c r="G434" s="134" t="str">
        <f ca="1">_xlfn.FORMULATEXT(IN[[#This Row],[STAGE]])</f>
        <v>=I427/MAX(ka_PEQ_Nachweistool.xlsb!Nutzung_Handel_NonFood[Bedarf Luftwechsel])</v>
      </c>
      <c r="H434" s="20">
        <v>0</v>
      </c>
      <c r="I434" s="104">
        <f>I427/MAX([1]!Nutzung_Handel_NonFood[Bedarf Luftwechsel])</f>
        <v>0</v>
      </c>
      <c r="J434" s="135">
        <f>IF(IN[[#This Row],[Sim_]]=IN[[#This Row],[STAGE]],1,0)</f>
        <v>1</v>
      </c>
      <c r="K434" s="267"/>
      <c r="L434" s="130"/>
      <c r="M434" s="130">
        <f>IF(IN[[#This Row],[Sim_]]=IN[[#This Row],[Sim Var ref]],1,0)</f>
        <v>1</v>
      </c>
      <c r="N434" s="8"/>
      <c r="O434" s="8">
        <v>341</v>
      </c>
      <c r="P434" s="105"/>
      <c r="Q434" s="137">
        <f>IF(IN[[#This Row],[Sim_]]=IN[[#This Row],[Direkt alt]],1,0)</f>
        <v>1</v>
      </c>
      <c r="R434" s="10">
        <v>1</v>
      </c>
      <c r="S434" s="10">
        <f>IF(IN[[#This Row],[Sim_]]=IN[[#This Row],[Buffer]],1,0)</f>
        <v>0</v>
      </c>
      <c r="T434" s="11"/>
      <c r="U434" s="104" t="e">
        <f>U427/MAX([1]!Nutzung_Handel_NonFood[Bedarf Luftwechsel])</f>
        <v>#REF!</v>
      </c>
      <c r="V434" s="131"/>
      <c r="W434" s="131"/>
      <c r="X434" s="131">
        <v>1</v>
      </c>
      <c r="Y434" s="11"/>
      <c r="Z434" s="174">
        <v>1</v>
      </c>
      <c r="AA434" s="174"/>
      <c r="AB434" s="174">
        <v>0.3</v>
      </c>
      <c r="AC434" s="106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0.3</v>
      </c>
      <c r="AJ434">
        <v>0.3</v>
      </c>
    </row>
    <row r="435" spans="1:36" x14ac:dyDescent="0.25">
      <c r="A435" s="266" t="s">
        <v>127</v>
      </c>
      <c r="B435" s="15" t="s">
        <v>545</v>
      </c>
      <c r="C435" s="16"/>
      <c r="D435" s="16"/>
      <c r="E435" s="17" t="s">
        <v>78</v>
      </c>
      <c r="F435" s="18" t="s">
        <v>546</v>
      </c>
      <c r="G435" s="134" t="e">
        <f ca="1">_xlfn.FORMULATEXT(IN[[#This Row],[STAGE]])</f>
        <v>#N/A</v>
      </c>
      <c r="H435" s="20">
        <v>0</v>
      </c>
      <c r="I435" s="104"/>
      <c r="J435" s="135">
        <f>IF(IN[[#This Row],[Sim_]]=IN[[#This Row],[STAGE]],1,0)</f>
        <v>1</v>
      </c>
      <c r="K435" s="131"/>
      <c r="L435" s="130"/>
      <c r="M435" s="130">
        <f>IF(IN[[#This Row],[Sim_]]=IN[[#This Row],[Sim Var ref]],1,0)</f>
        <v>1</v>
      </c>
      <c r="N435" s="8"/>
      <c r="O435" s="8">
        <v>342</v>
      </c>
      <c r="P435" s="105"/>
      <c r="Q435" s="137">
        <f>IF(IN[[#This Row],[Sim_]]=IN[[#This Row],[Direkt alt]],1,0)</f>
        <v>1</v>
      </c>
      <c r="R435" s="10"/>
      <c r="S435" s="10">
        <f>IF(IN[[#This Row],[Sim_]]=IN[[#This Row],[Buffer]],1,0)</f>
        <v>1</v>
      </c>
      <c r="T435" s="11"/>
      <c r="U435" s="104"/>
      <c r="V435" s="131"/>
      <c r="W435" s="131"/>
      <c r="X435" s="131"/>
      <c r="Y435" s="11"/>
      <c r="Z435" s="174"/>
      <c r="AA435" s="174"/>
      <c r="AB435" s="174"/>
      <c r="AC435" s="106"/>
    </row>
    <row r="436" spans="1:36" x14ac:dyDescent="0.25">
      <c r="A436" s="266" t="s">
        <v>127</v>
      </c>
      <c r="B436" s="29" t="s">
        <v>547</v>
      </c>
      <c r="C436" s="16" t="s">
        <v>489</v>
      </c>
      <c r="D436" s="16"/>
      <c r="E436" s="17" t="s">
        <v>285</v>
      </c>
      <c r="F436" s="18" t="s">
        <v>548</v>
      </c>
      <c r="G436" s="134" t="str">
        <f ca="1">_xlfn.FORMULATEXT(IN[[#This Row],[STAGE]])</f>
        <v>='[ka_PEQ_Nachweistool.xlsb]💨L'!B41</v>
      </c>
      <c r="H436" s="20">
        <v>2</v>
      </c>
      <c r="I436" s="104">
        <f>'[1]💨L'!B41</f>
        <v>0</v>
      </c>
      <c r="J436" s="135">
        <f>IF(IN[[#This Row],[Sim_]]=IN[[#This Row],[STAGE]],1,0)</f>
        <v>0</v>
      </c>
      <c r="K436" s="210">
        <f>K192</f>
        <v>1</v>
      </c>
      <c r="L436" s="130"/>
      <c r="M436" s="130">
        <f>IF(IN[[#This Row],[Sim_]]=IN[[#This Row],[Sim Var ref]],1,0)</f>
        <v>0</v>
      </c>
      <c r="N436" s="8"/>
      <c r="O436" s="8">
        <v>343</v>
      </c>
      <c r="P436" s="105"/>
      <c r="Q436" s="137">
        <f>IF(IN[[#This Row],[Sim_]]=IN[[#This Row],[Direkt alt]],1,0)</f>
        <v>0</v>
      </c>
      <c r="R436" s="10">
        <v>1</v>
      </c>
      <c r="S436" s="10">
        <f>IF(IN[[#This Row],[Sim_]]=IN[[#This Row],[Buffer]],1,0)</f>
        <v>1</v>
      </c>
      <c r="T436" s="11"/>
      <c r="U436" s="104" t="e">
        <f>'[1]💨L'!#REF!</f>
        <v>#REF!</v>
      </c>
      <c r="V436" s="131"/>
      <c r="W436" s="131"/>
      <c r="X436" s="131">
        <v>1</v>
      </c>
      <c r="Y436" s="11"/>
      <c r="Z436" s="174">
        <v>1</v>
      </c>
      <c r="AA436" s="174"/>
      <c r="AB436" s="174">
        <v>1</v>
      </c>
      <c r="AC436" s="10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25">
      <c r="A437" s="266" t="s">
        <v>127</v>
      </c>
      <c r="B437" s="29" t="s">
        <v>549</v>
      </c>
      <c r="C437" s="16" t="s">
        <v>489</v>
      </c>
      <c r="D437" s="16"/>
      <c r="E437" s="17" t="s">
        <v>285</v>
      </c>
      <c r="F437" s="18" t="s">
        <v>550</v>
      </c>
      <c r="G437" s="134" t="str">
        <f ca="1">_xlfn.FORMULATEXT(IN[[#This Row],[STAGE]])</f>
        <v>='[ka_PEQ_Nachweistool.xlsb]💨L'!B42</v>
      </c>
      <c r="H437" s="20">
        <v>2</v>
      </c>
      <c r="I437" s="104">
        <f>'[1]💨L'!B42</f>
        <v>0</v>
      </c>
      <c r="J437" s="135">
        <f>IF(IN[[#This Row],[Sim_]]=IN[[#This Row],[STAGE]],1,0)</f>
        <v>0</v>
      </c>
      <c r="K437" s="210">
        <f>K192</f>
        <v>1</v>
      </c>
      <c r="L437" s="130"/>
      <c r="M437" s="130">
        <f>IF(IN[[#This Row],[Sim_]]=IN[[#This Row],[Sim Var ref]],1,0)</f>
        <v>0</v>
      </c>
      <c r="N437" s="8"/>
      <c r="O437" s="8">
        <v>344</v>
      </c>
      <c r="P437" s="105"/>
      <c r="Q437" s="137">
        <f>IF(IN[[#This Row],[Sim_]]=IN[[#This Row],[Direkt alt]],1,0)</f>
        <v>0</v>
      </c>
      <c r="R437" s="10">
        <v>0.5</v>
      </c>
      <c r="S437" s="10">
        <f>IF(IN[[#This Row],[Sim_]]=IN[[#This Row],[Buffer]],1,0)</f>
        <v>0</v>
      </c>
      <c r="T437" s="11"/>
      <c r="U437" s="104" t="e">
        <f>'[1]💨L'!#REF!</f>
        <v>#REF!</v>
      </c>
      <c r="V437" s="131"/>
      <c r="W437" s="131"/>
      <c r="X437" s="131">
        <v>1</v>
      </c>
      <c r="Y437" s="11"/>
      <c r="Z437" s="174">
        <v>1</v>
      </c>
      <c r="AA437" s="174"/>
      <c r="AB437" s="174">
        <v>1</v>
      </c>
      <c r="AC437" s="106">
        <v>1</v>
      </c>
      <c r="AD437">
        <v>1</v>
      </c>
      <c r="AE437">
        <v>0.5</v>
      </c>
      <c r="AF437">
        <v>0.5</v>
      </c>
      <c r="AG437">
        <v>0.5</v>
      </c>
      <c r="AH437">
        <v>0.5</v>
      </c>
      <c r="AI437">
        <v>1</v>
      </c>
      <c r="AJ437">
        <v>1</v>
      </c>
    </row>
    <row r="438" spans="1:36" x14ac:dyDescent="0.25">
      <c r="A438" s="266" t="s">
        <v>127</v>
      </c>
      <c r="B438" s="29" t="s">
        <v>551</v>
      </c>
      <c r="C438" s="16" t="s">
        <v>489</v>
      </c>
      <c r="D438" s="16"/>
      <c r="E438" s="17" t="s">
        <v>285</v>
      </c>
      <c r="F438" s="18" t="s">
        <v>552</v>
      </c>
      <c r="G438" s="134" t="str">
        <f ca="1">_xlfn.FORMULATEXT(IN[[#This Row],[STAGE]])</f>
        <v>='[ka_PEQ_Nachweistool.xlsb]💨L'!B43</v>
      </c>
      <c r="H438" s="20">
        <v>2</v>
      </c>
      <c r="I438" s="104">
        <f>'[1]💨L'!B43</f>
        <v>0</v>
      </c>
      <c r="J438" s="135">
        <f>IF(IN[[#This Row],[Sim_]]=IN[[#This Row],[STAGE]],1,0)</f>
        <v>0</v>
      </c>
      <c r="K438" s="210">
        <f>K192</f>
        <v>1</v>
      </c>
      <c r="L438" s="130"/>
      <c r="M438" s="130">
        <f>IF(IN[[#This Row],[Sim_]]=IN[[#This Row],[Sim Var ref]],1,0)</f>
        <v>0</v>
      </c>
      <c r="N438" s="8"/>
      <c r="O438" s="8">
        <v>345</v>
      </c>
      <c r="P438" s="105"/>
      <c r="Q438" s="137">
        <f>IF(IN[[#This Row],[Sim_]]=IN[[#This Row],[Direkt alt]],1,0)</f>
        <v>0</v>
      </c>
      <c r="R438" s="10">
        <v>1</v>
      </c>
      <c r="S438" s="10">
        <f>IF(IN[[#This Row],[Sim_]]=IN[[#This Row],[Buffer]],1,0)</f>
        <v>1</v>
      </c>
      <c r="T438" s="11"/>
      <c r="U438" s="104" t="e">
        <f>'[1]💨L'!#REF!</f>
        <v>#REF!</v>
      </c>
      <c r="V438" s="131"/>
      <c r="W438" s="131"/>
      <c r="X438" s="131">
        <v>1</v>
      </c>
      <c r="Y438" s="11"/>
      <c r="Z438" s="174">
        <v>1</v>
      </c>
      <c r="AA438" s="174"/>
      <c r="AB438" s="174">
        <v>1</v>
      </c>
      <c r="AC438" s="106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25">
      <c r="A439" s="266" t="s">
        <v>127</v>
      </c>
      <c r="B439" s="29" t="s">
        <v>553</v>
      </c>
      <c r="C439" s="16" t="s">
        <v>489</v>
      </c>
      <c r="D439" s="16"/>
      <c r="E439" s="17" t="s">
        <v>285</v>
      </c>
      <c r="F439" s="18" t="s">
        <v>554</v>
      </c>
      <c r="G439" s="134" t="str">
        <f ca="1">_xlfn.FORMULATEXT(IN[[#This Row],[STAGE]])</f>
        <v>='[ka_PEQ_Nachweistool.xlsb]💨L'!B44</v>
      </c>
      <c r="H439" s="20">
        <v>2</v>
      </c>
      <c r="I439" s="104">
        <f>'[1]💨L'!B44</f>
        <v>0</v>
      </c>
      <c r="J439" s="135">
        <f>IF(IN[[#This Row],[Sim_]]=IN[[#This Row],[STAGE]],1,0)</f>
        <v>0</v>
      </c>
      <c r="K439" s="210">
        <f>K192</f>
        <v>1</v>
      </c>
      <c r="L439" s="130"/>
      <c r="M439" s="130">
        <f>IF(IN[[#This Row],[Sim_]]=IN[[#This Row],[Sim Var ref]],1,0)</f>
        <v>0</v>
      </c>
      <c r="N439" s="8"/>
      <c r="O439" s="8">
        <v>346</v>
      </c>
      <c r="P439" s="105"/>
      <c r="Q439" s="137">
        <f>IF(IN[[#This Row],[Sim_]]=IN[[#This Row],[Direkt alt]],1,0)</f>
        <v>0</v>
      </c>
      <c r="R439" s="10">
        <v>1</v>
      </c>
      <c r="S439" s="10">
        <f>IF(IN[[#This Row],[Sim_]]=IN[[#This Row],[Buffer]],1,0)</f>
        <v>1</v>
      </c>
      <c r="T439" s="11"/>
      <c r="U439" s="104" t="e">
        <f>'[1]💨L'!#REF!</f>
        <v>#REF!</v>
      </c>
      <c r="V439" s="131"/>
      <c r="W439" s="131"/>
      <c r="X439" s="131">
        <v>1</v>
      </c>
      <c r="Y439" s="11"/>
      <c r="Z439" s="174">
        <v>1</v>
      </c>
      <c r="AA439" s="174"/>
      <c r="AB439" s="174">
        <v>1</v>
      </c>
      <c r="AC439" s="106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25">
      <c r="A440" s="266" t="s">
        <v>127</v>
      </c>
      <c r="B440" s="29" t="s">
        <v>555</v>
      </c>
      <c r="C440" s="16" t="s">
        <v>489</v>
      </c>
      <c r="D440" s="16"/>
      <c r="E440" s="17" t="s">
        <v>285</v>
      </c>
      <c r="F440" s="18" t="s">
        <v>556</v>
      </c>
      <c r="G440" s="134" t="str">
        <f ca="1">_xlfn.FORMULATEXT(IN[[#This Row],[STAGE]])</f>
        <v>='[ka_PEQ_Nachweistool.xlsb]💨L'!B45</v>
      </c>
      <c r="H440" s="20">
        <v>2</v>
      </c>
      <c r="I440" s="104">
        <f>'[1]💨L'!B45</f>
        <v>0</v>
      </c>
      <c r="J440" s="135">
        <f>IF(IN[[#This Row],[Sim_]]=IN[[#This Row],[STAGE]],1,0)</f>
        <v>0</v>
      </c>
      <c r="K440" s="210">
        <f>K192</f>
        <v>1</v>
      </c>
      <c r="L440" s="130"/>
      <c r="M440" s="130">
        <f>IF(IN[[#This Row],[Sim_]]=IN[[#This Row],[Sim Var ref]],1,0)</f>
        <v>0</v>
      </c>
      <c r="N440" s="8"/>
      <c r="O440" s="8">
        <v>347</v>
      </c>
      <c r="P440" s="105"/>
      <c r="Q440" s="137">
        <f>IF(IN[[#This Row],[Sim_]]=IN[[#This Row],[Direkt alt]],1,0)</f>
        <v>0</v>
      </c>
      <c r="R440" s="10">
        <v>1</v>
      </c>
      <c r="S440" s="10">
        <f>IF(IN[[#This Row],[Sim_]]=IN[[#This Row],[Buffer]],1,0)</f>
        <v>1</v>
      </c>
      <c r="T440" s="11"/>
      <c r="U440" s="104" t="e">
        <f>'[1]💨L'!#REF!</f>
        <v>#REF!</v>
      </c>
      <c r="V440" s="131"/>
      <c r="W440" s="131"/>
      <c r="X440" s="131">
        <v>1</v>
      </c>
      <c r="Y440" s="11"/>
      <c r="Z440" s="174">
        <v>1</v>
      </c>
      <c r="AA440" s="174"/>
      <c r="AB440" s="174">
        <v>1</v>
      </c>
      <c r="AC440" s="106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25">
      <c r="A441" s="266" t="s">
        <v>127</v>
      </c>
      <c r="B441" s="29" t="s">
        <v>557</v>
      </c>
      <c r="C441" s="16" t="s">
        <v>489</v>
      </c>
      <c r="D441" s="16"/>
      <c r="E441" s="17" t="s">
        <v>285</v>
      </c>
      <c r="F441" s="18" t="s">
        <v>558</v>
      </c>
      <c r="G441" s="134" t="str">
        <f ca="1">_xlfn.FORMULATEXT(IN[[#This Row],[STAGE]])</f>
        <v>='[ka_PEQ_Nachweistool.xlsb]💨L'!B46</v>
      </c>
      <c r="H441" s="20">
        <v>2</v>
      </c>
      <c r="I441" s="104">
        <f>'[1]💨L'!B46</f>
        <v>0</v>
      </c>
      <c r="J441" s="135">
        <f>IF(IN[[#This Row],[Sim_]]=IN[[#This Row],[STAGE]],1,0)</f>
        <v>0</v>
      </c>
      <c r="K441" s="210">
        <f>K192</f>
        <v>1</v>
      </c>
      <c r="L441" s="130"/>
      <c r="M441" s="130">
        <f>IF(IN[[#This Row],[Sim_]]=IN[[#This Row],[Sim Var ref]],1,0)</f>
        <v>0</v>
      </c>
      <c r="N441" s="8"/>
      <c r="O441" s="8">
        <v>348</v>
      </c>
      <c r="P441" s="105"/>
      <c r="Q441" s="137">
        <f>IF(IN[[#This Row],[Sim_]]=IN[[#This Row],[Direkt alt]],1,0)</f>
        <v>0</v>
      </c>
      <c r="R441" s="10">
        <v>1</v>
      </c>
      <c r="S441" s="10">
        <f>IF(IN[[#This Row],[Sim_]]=IN[[#This Row],[Buffer]],1,0)</f>
        <v>1</v>
      </c>
      <c r="T441" s="11"/>
      <c r="U441" s="104" t="e">
        <f>'[1]💨L'!#REF!</f>
        <v>#REF!</v>
      </c>
      <c r="V441" s="131"/>
      <c r="W441" s="131"/>
      <c r="X441" s="131">
        <v>1</v>
      </c>
      <c r="Y441" s="11"/>
      <c r="Z441" s="174">
        <v>1</v>
      </c>
      <c r="AA441" s="174"/>
      <c r="AB441" s="174">
        <v>1</v>
      </c>
      <c r="AC441" s="106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25">
      <c r="A442" s="266" t="s">
        <v>127</v>
      </c>
      <c r="B442" s="15" t="s">
        <v>559</v>
      </c>
      <c r="C442" s="16" t="s">
        <v>489</v>
      </c>
      <c r="D442" s="16"/>
      <c r="E442" s="17" t="s">
        <v>285</v>
      </c>
      <c r="F442" s="18" t="s">
        <v>560</v>
      </c>
      <c r="G442" s="134" t="str">
        <f ca="1">_xlfn.FORMULATEXT(IN[[#This Row],[STAGE]])</f>
        <v>='[ka_PEQ_Nachweistool.xlsb]💨L'!B47</v>
      </c>
      <c r="H442" s="20">
        <v>2</v>
      </c>
      <c r="I442" s="104">
        <f>'[1]💨L'!B47</f>
        <v>0</v>
      </c>
      <c r="J442" s="135">
        <f>IF(IN[[#This Row],[Sim_]]=IN[[#This Row],[STAGE]],1,0)</f>
        <v>0</v>
      </c>
      <c r="K442" s="210">
        <f>K192</f>
        <v>1</v>
      </c>
      <c r="L442" s="130"/>
      <c r="M442" s="130">
        <f>IF(IN[[#This Row],[Sim_]]=IN[[#This Row],[Sim Var ref]],1,0)</f>
        <v>0</v>
      </c>
      <c r="N442" s="8"/>
      <c r="O442" s="8">
        <v>349</v>
      </c>
      <c r="P442" s="105"/>
      <c r="Q442" s="137">
        <f>IF(IN[[#This Row],[Sim_]]=IN[[#This Row],[Direkt alt]],1,0)</f>
        <v>0</v>
      </c>
      <c r="R442" s="10">
        <v>1</v>
      </c>
      <c r="S442" s="10">
        <f>IF(IN[[#This Row],[Sim_]]=IN[[#This Row],[Buffer]],1,0)</f>
        <v>1</v>
      </c>
      <c r="T442" s="11"/>
      <c r="U442" s="104" t="e">
        <f>'[1]💨L'!#REF!</f>
        <v>#REF!</v>
      </c>
      <c r="V442" s="131"/>
      <c r="W442" s="131"/>
      <c r="X442" s="131">
        <v>1</v>
      </c>
      <c r="Y442" s="11"/>
      <c r="Z442" s="174">
        <v>1</v>
      </c>
      <c r="AA442" s="174"/>
      <c r="AB442" s="174">
        <v>1</v>
      </c>
      <c r="AC442" s="106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25">
      <c r="A443" s="282" t="s">
        <v>127</v>
      </c>
      <c r="B443" s="209" t="s">
        <v>561</v>
      </c>
      <c r="C443" s="16"/>
      <c r="D443" s="16" t="s">
        <v>526</v>
      </c>
      <c r="E443" s="17" t="s">
        <v>285</v>
      </c>
      <c r="F443" s="18"/>
      <c r="G443" s="283" t="str">
        <f ca="1">_xlfn.FORMULATEXT(IN[[#This Row],[STAGE]])</f>
        <v>='[ka_PEQ_Nachweistool.xlsb]💨L'!B30</v>
      </c>
      <c r="H443" s="20">
        <v>2</v>
      </c>
      <c r="I443" s="284">
        <f>'[1]💨L'!B30</f>
        <v>0</v>
      </c>
      <c r="J443" s="285">
        <f>IF(IN[[#This Row],[Sim_]]=IN[[#This Row],[STAGE]],1,0)</f>
        <v>1</v>
      </c>
      <c r="K443" s="210">
        <f t="shared" ref="K443:K449" si="16">K$81</f>
        <v>0</v>
      </c>
      <c r="L443" s="286"/>
      <c r="M443" s="286">
        <f>IF(IN[[#This Row],[Sim_]]=IN[[#This Row],[Sim Var ref]],1,0)</f>
        <v>1</v>
      </c>
      <c r="N443" s="287"/>
      <c r="O443" s="8">
        <v>350</v>
      </c>
      <c r="P443" s="288"/>
      <c r="Q443" s="289">
        <f>IF(IN[[#This Row],[Sim_]]=IN[[#This Row],[Direkt alt]],1,0)</f>
        <v>1</v>
      </c>
      <c r="R443" s="290">
        <v>0</v>
      </c>
      <c r="S443" s="290">
        <f>IF(IN[[#This Row],[Sim_]]=IN[[#This Row],[Buffer]],1,0)</f>
        <v>1</v>
      </c>
      <c r="T443" s="291"/>
      <c r="U443" s="284" t="e">
        <f>'[1]💨L'!#REF!</f>
        <v>#REF!</v>
      </c>
      <c r="V443" s="292">
        <f t="shared" ref="V443:W448" si="17">V$81</f>
        <v>0</v>
      </c>
      <c r="W443" s="292">
        <f t="shared" si="17"/>
        <v>0</v>
      </c>
      <c r="X443" s="292">
        <v>0.8</v>
      </c>
      <c r="Y443" s="291"/>
      <c r="Z443" s="293">
        <v>0.8</v>
      </c>
      <c r="AA443" s="293">
        <v>0</v>
      </c>
      <c r="AB443" s="293">
        <v>0</v>
      </c>
      <c r="AC443" s="294">
        <v>0.8</v>
      </c>
      <c r="AD443" s="15">
        <v>0</v>
      </c>
      <c r="AE443" s="15">
        <v>0</v>
      </c>
      <c r="AF443" s="15">
        <v>0</v>
      </c>
      <c r="AG443" s="15">
        <v>0</v>
      </c>
      <c r="AH443" s="15">
        <v>0</v>
      </c>
      <c r="AI443" s="15">
        <v>0</v>
      </c>
      <c r="AJ443" s="15">
        <v>0</v>
      </c>
    </row>
    <row r="444" spans="1:36" x14ac:dyDescent="0.25">
      <c r="A444" s="282" t="s">
        <v>127</v>
      </c>
      <c r="B444" s="209" t="s">
        <v>562</v>
      </c>
      <c r="C444" s="16"/>
      <c r="D444" s="16" t="s">
        <v>526</v>
      </c>
      <c r="E444" s="17" t="s">
        <v>285</v>
      </c>
      <c r="F444" s="18"/>
      <c r="G444" s="283" t="str">
        <f ca="1">_xlfn.FORMULATEXT(IN[[#This Row],[STAGE]])</f>
        <v>='[ka_PEQ_Nachweistool.xlsb]💨L'!B31</v>
      </c>
      <c r="H444" s="20">
        <v>2</v>
      </c>
      <c r="I444" s="284">
        <f>'[1]💨L'!B31</f>
        <v>0</v>
      </c>
      <c r="J444" s="285">
        <f>IF(IN[[#This Row],[Sim_]]=IN[[#This Row],[STAGE]],1,0)</f>
        <v>1</v>
      </c>
      <c r="K444" s="210">
        <f t="shared" si="16"/>
        <v>0</v>
      </c>
      <c r="L444" s="286"/>
      <c r="M444" s="286">
        <f>IF(IN[[#This Row],[Sim_]]=IN[[#This Row],[Sim Var ref]],1,0)</f>
        <v>1</v>
      </c>
      <c r="N444" s="287"/>
      <c r="O444" s="8">
        <v>351</v>
      </c>
      <c r="P444" s="288"/>
      <c r="Q444" s="289">
        <f>IF(IN[[#This Row],[Sim_]]=IN[[#This Row],[Direkt alt]],1,0)</f>
        <v>1</v>
      </c>
      <c r="R444" s="290">
        <v>0</v>
      </c>
      <c r="S444" s="290">
        <f>IF(IN[[#This Row],[Sim_]]=IN[[#This Row],[Buffer]],1,0)</f>
        <v>1</v>
      </c>
      <c r="T444" s="291"/>
      <c r="U444" s="284" t="e">
        <f>'[1]💨L'!#REF!</f>
        <v>#REF!</v>
      </c>
      <c r="V444" s="292">
        <f t="shared" si="17"/>
        <v>0</v>
      </c>
      <c r="W444" s="292">
        <f t="shared" si="17"/>
        <v>0</v>
      </c>
      <c r="X444" s="292">
        <v>0.8</v>
      </c>
      <c r="Y444" s="291"/>
      <c r="Z444" s="293">
        <v>0.8</v>
      </c>
      <c r="AA444" s="293">
        <v>0</v>
      </c>
      <c r="AB444" s="293">
        <v>0.8</v>
      </c>
      <c r="AC444" s="294">
        <v>0.8</v>
      </c>
      <c r="AD444" s="15">
        <v>0</v>
      </c>
      <c r="AE444" s="15">
        <v>0</v>
      </c>
      <c r="AF444" s="15">
        <v>0</v>
      </c>
      <c r="AG444" s="15">
        <v>0</v>
      </c>
      <c r="AH444" s="15">
        <v>0.8</v>
      </c>
      <c r="AI444" s="15">
        <v>0.8</v>
      </c>
      <c r="AJ444" s="15">
        <v>0.8</v>
      </c>
    </row>
    <row r="445" spans="1:36" x14ac:dyDescent="0.25">
      <c r="A445" s="282" t="s">
        <v>127</v>
      </c>
      <c r="B445" s="209" t="s">
        <v>563</v>
      </c>
      <c r="C445" s="16"/>
      <c r="D445" s="16" t="s">
        <v>526</v>
      </c>
      <c r="E445" s="17" t="s">
        <v>285</v>
      </c>
      <c r="F445" s="18"/>
      <c r="G445" s="283" t="str">
        <f ca="1">_xlfn.FORMULATEXT(IN[[#This Row],[STAGE]])</f>
        <v>='[ka_PEQ_Nachweistool.xlsb]💨L'!B33</v>
      </c>
      <c r="H445" s="20">
        <v>2</v>
      </c>
      <c r="I445" s="284">
        <f>'[1]💨L'!B33</f>
        <v>0</v>
      </c>
      <c r="J445" s="285">
        <f>IF(IN[[#This Row],[Sim_]]=IN[[#This Row],[STAGE]],1,0)</f>
        <v>1</v>
      </c>
      <c r="K445" s="210">
        <f t="shared" si="16"/>
        <v>0</v>
      </c>
      <c r="L445" s="286"/>
      <c r="M445" s="286">
        <f>IF(IN[[#This Row],[Sim_]]=IN[[#This Row],[Sim Var ref]],1,0)</f>
        <v>1</v>
      </c>
      <c r="N445" s="287"/>
      <c r="O445" s="8">
        <v>352</v>
      </c>
      <c r="P445" s="288"/>
      <c r="Q445" s="289">
        <f>IF(IN[[#This Row],[Sim_]]=IN[[#This Row],[Direkt alt]],1,0)</f>
        <v>1</v>
      </c>
      <c r="R445" s="290">
        <v>0</v>
      </c>
      <c r="S445" s="290">
        <f>IF(IN[[#This Row],[Sim_]]=IN[[#This Row],[Buffer]],1,0)</f>
        <v>1</v>
      </c>
      <c r="T445" s="291"/>
      <c r="U445" s="284" t="e">
        <f>'[1]💨L'!#REF!</f>
        <v>#REF!</v>
      </c>
      <c r="V445" s="292">
        <f t="shared" si="17"/>
        <v>0</v>
      </c>
      <c r="W445" s="292">
        <f t="shared" si="17"/>
        <v>0</v>
      </c>
      <c r="X445" s="292">
        <v>0</v>
      </c>
      <c r="Y445" s="291"/>
      <c r="Z445" s="293">
        <v>0</v>
      </c>
      <c r="AA445" s="293">
        <v>0</v>
      </c>
      <c r="AB445" s="293">
        <v>0</v>
      </c>
      <c r="AC445" s="294">
        <v>0</v>
      </c>
      <c r="AD445" s="15">
        <v>0</v>
      </c>
      <c r="AE445" s="15">
        <v>0</v>
      </c>
      <c r="AF445" s="15">
        <v>0</v>
      </c>
      <c r="AG445" s="15">
        <v>0</v>
      </c>
      <c r="AH445" s="15">
        <v>0</v>
      </c>
      <c r="AI445" s="15">
        <v>0</v>
      </c>
      <c r="AJ445" s="15">
        <v>0</v>
      </c>
    </row>
    <row r="446" spans="1:36" x14ac:dyDescent="0.25">
      <c r="A446" s="282" t="s">
        <v>127</v>
      </c>
      <c r="B446" s="209" t="s">
        <v>564</v>
      </c>
      <c r="C446" s="16"/>
      <c r="D446" s="16" t="s">
        <v>526</v>
      </c>
      <c r="E446" s="17" t="s">
        <v>285</v>
      </c>
      <c r="F446" s="18"/>
      <c r="G446" s="283" t="str">
        <f ca="1">_xlfn.FORMULATEXT(IN[[#This Row],[STAGE]])</f>
        <v>='[ka_PEQ_Nachweistool.xlsb]💨L'!B32</v>
      </c>
      <c r="H446" s="20">
        <v>2</v>
      </c>
      <c r="I446" s="284">
        <f>'[1]💨L'!B32</f>
        <v>0</v>
      </c>
      <c r="J446" s="285">
        <f>IF(IN[[#This Row],[Sim_]]=IN[[#This Row],[STAGE]],1,0)</f>
        <v>1</v>
      </c>
      <c r="K446" s="210">
        <f t="shared" si="16"/>
        <v>0</v>
      </c>
      <c r="L446" s="286"/>
      <c r="M446" s="286">
        <f>IF(IN[[#This Row],[Sim_]]=IN[[#This Row],[Sim Var ref]],1,0)</f>
        <v>1</v>
      </c>
      <c r="N446" s="287"/>
      <c r="O446" s="8">
        <v>353</v>
      </c>
      <c r="P446" s="288"/>
      <c r="Q446" s="289">
        <f>IF(IN[[#This Row],[Sim_]]=IN[[#This Row],[Direkt alt]],1,0)</f>
        <v>1</v>
      </c>
      <c r="R446" s="290">
        <v>0</v>
      </c>
      <c r="S446" s="290">
        <f>IF(IN[[#This Row],[Sim_]]=IN[[#This Row],[Buffer]],1,0)</f>
        <v>1</v>
      </c>
      <c r="T446" s="291"/>
      <c r="U446" s="284" t="e">
        <f>'[1]💨L'!#REF!</f>
        <v>#REF!</v>
      </c>
      <c r="V446" s="292">
        <f t="shared" si="17"/>
        <v>0</v>
      </c>
      <c r="W446" s="292">
        <f t="shared" si="17"/>
        <v>0</v>
      </c>
      <c r="X446" s="292">
        <v>0</v>
      </c>
      <c r="Y446" s="291"/>
      <c r="Z446" s="293">
        <v>0</v>
      </c>
      <c r="AA446" s="293">
        <v>0</v>
      </c>
      <c r="AB446" s="293">
        <v>0</v>
      </c>
      <c r="AC446" s="294">
        <v>0</v>
      </c>
      <c r="AD446" s="15">
        <v>0</v>
      </c>
      <c r="AE446" s="15">
        <v>0</v>
      </c>
      <c r="AF446" s="15">
        <v>0</v>
      </c>
      <c r="AG446" s="15">
        <v>0</v>
      </c>
      <c r="AH446" s="15">
        <v>0</v>
      </c>
      <c r="AI446" s="15">
        <v>0</v>
      </c>
      <c r="AJ446" s="15">
        <v>0</v>
      </c>
    </row>
    <row r="447" spans="1:36" x14ac:dyDescent="0.25">
      <c r="A447" s="282" t="s">
        <v>127</v>
      </c>
      <c r="B447" s="209" t="s">
        <v>565</v>
      </c>
      <c r="C447" s="16"/>
      <c r="D447" s="16" t="s">
        <v>526</v>
      </c>
      <c r="E447" s="17" t="s">
        <v>285</v>
      </c>
      <c r="F447" s="18"/>
      <c r="G447" s="283" t="str">
        <f ca="1">_xlfn.FORMULATEXT(IN[[#This Row],[STAGE]])</f>
        <v>='[ka_PEQ_Nachweistool.xlsb]💨L'!B34</v>
      </c>
      <c r="H447" s="20">
        <v>2</v>
      </c>
      <c r="I447" s="284">
        <f>'[1]💨L'!B34</f>
        <v>0</v>
      </c>
      <c r="J447" s="285">
        <f>IF(IN[[#This Row],[Sim_]]=IN[[#This Row],[STAGE]],1,0)</f>
        <v>1</v>
      </c>
      <c r="K447" s="210">
        <f t="shared" si="16"/>
        <v>0</v>
      </c>
      <c r="L447" s="286"/>
      <c r="M447" s="286">
        <f>IF(IN[[#This Row],[Sim_]]=IN[[#This Row],[Sim Var ref]],1,0)</f>
        <v>1</v>
      </c>
      <c r="N447" s="287"/>
      <c r="O447" s="8">
        <v>354</v>
      </c>
      <c r="P447" s="288"/>
      <c r="Q447" s="289">
        <f>IF(IN[[#This Row],[Sim_]]=IN[[#This Row],[Direkt alt]],1,0)</f>
        <v>1</v>
      </c>
      <c r="R447" s="290">
        <v>0</v>
      </c>
      <c r="S447" s="290">
        <f>IF(IN[[#This Row],[Sim_]]=IN[[#This Row],[Buffer]],1,0)</f>
        <v>1</v>
      </c>
      <c r="T447" s="291"/>
      <c r="U447" s="284" t="e">
        <f>'[1]💨L'!#REF!</f>
        <v>#REF!</v>
      </c>
      <c r="V447" s="292">
        <f t="shared" si="17"/>
        <v>0</v>
      </c>
      <c r="W447" s="292">
        <f t="shared" si="17"/>
        <v>0</v>
      </c>
      <c r="X447" s="292">
        <v>0</v>
      </c>
      <c r="Y447" s="291"/>
      <c r="Z447" s="293">
        <v>0</v>
      </c>
      <c r="AA447" s="293">
        <v>0</v>
      </c>
      <c r="AB447" s="293">
        <v>0</v>
      </c>
      <c r="AC447" s="294">
        <v>0</v>
      </c>
      <c r="AD447" s="15">
        <v>0</v>
      </c>
      <c r="AE447" s="15">
        <v>0</v>
      </c>
      <c r="AF447" s="15">
        <v>0</v>
      </c>
      <c r="AG447" s="15">
        <v>0</v>
      </c>
      <c r="AH447" s="15">
        <v>0</v>
      </c>
      <c r="AI447" s="15">
        <v>0</v>
      </c>
      <c r="AJ447" s="15">
        <v>0</v>
      </c>
    </row>
    <row r="448" spans="1:36" x14ac:dyDescent="0.25">
      <c r="A448" s="266" t="s">
        <v>127</v>
      </c>
      <c r="B448" s="29" t="s">
        <v>566</v>
      </c>
      <c r="C448" s="16"/>
      <c r="D448" s="16" t="s">
        <v>526</v>
      </c>
      <c r="E448" s="17" t="s">
        <v>285</v>
      </c>
      <c r="F448" s="18"/>
      <c r="G448" s="134" t="str">
        <f ca="1">_xlfn.FORMULATEXT(IN[[#This Row],[STAGE]])</f>
        <v>='[ka_PEQ_Nachweistool.xlsb]💨L'!B35</v>
      </c>
      <c r="H448" s="20">
        <v>2</v>
      </c>
      <c r="I448" s="104">
        <f>'[1]💨L'!B35</f>
        <v>0</v>
      </c>
      <c r="J448" s="135">
        <f>IF(IN[[#This Row],[Sim_]]=IN[[#This Row],[STAGE]],1,0)</f>
        <v>1</v>
      </c>
      <c r="K448" s="210">
        <f t="shared" si="16"/>
        <v>0</v>
      </c>
      <c r="L448" s="130"/>
      <c r="M448" s="130">
        <f>IF(IN[[#This Row],[Sim_]]=IN[[#This Row],[Sim Var ref]],1,0)</f>
        <v>1</v>
      </c>
      <c r="N448" s="8"/>
      <c r="O448" s="8">
        <v>355</v>
      </c>
      <c r="P448" s="105"/>
      <c r="Q448" s="137">
        <f>IF(IN[[#This Row],[Sim_]]=IN[[#This Row],[Direkt alt]],1,0)</f>
        <v>1</v>
      </c>
      <c r="R448" s="10">
        <v>0</v>
      </c>
      <c r="S448" s="10">
        <f>IF(IN[[#This Row],[Sim_]]=IN[[#This Row],[Buffer]],1,0)</f>
        <v>1</v>
      </c>
      <c r="T448" s="11"/>
      <c r="U448" s="104" t="e">
        <f>'[1]💨L'!#REF!</f>
        <v>#REF!</v>
      </c>
      <c r="V448" s="131">
        <f t="shared" si="17"/>
        <v>0</v>
      </c>
      <c r="W448" s="131">
        <f t="shared" si="17"/>
        <v>0</v>
      </c>
      <c r="X448" s="131">
        <v>0</v>
      </c>
      <c r="Y448" s="11"/>
      <c r="Z448" s="174">
        <v>0</v>
      </c>
      <c r="AA448" s="174">
        <v>0</v>
      </c>
      <c r="AB448" s="174">
        <v>0</v>
      </c>
      <c r="AC448" s="106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s="266" t="s">
        <v>127</v>
      </c>
      <c r="B449" s="15" t="s">
        <v>567</v>
      </c>
      <c r="C449" s="16"/>
      <c r="D449" s="16" t="s">
        <v>526</v>
      </c>
      <c r="E449" s="17" t="s">
        <v>285</v>
      </c>
      <c r="F449" s="18"/>
      <c r="G449" s="134" t="str">
        <f ca="1">_xlfn.FORMULATEXT(IN[[#This Row],[STAGE]])</f>
        <v>='[ka_PEQ_Nachweistool.xlsb]💨L'!B36</v>
      </c>
      <c r="H449" s="20">
        <v>2</v>
      </c>
      <c r="I449" s="104">
        <f>'[1]💨L'!B36</f>
        <v>0</v>
      </c>
      <c r="J449" s="135">
        <f>IF(IN[[#This Row],[Sim_]]=IN[[#This Row],[STAGE]],1,0)</f>
        <v>1</v>
      </c>
      <c r="K449" s="210">
        <f t="shared" si="16"/>
        <v>0</v>
      </c>
      <c r="L449" s="130"/>
      <c r="M449" s="130">
        <f>IF(IN[[#This Row],[Sim_]]=IN[[#This Row],[Sim Var ref]],1,0)</f>
        <v>1</v>
      </c>
      <c r="N449" s="8"/>
      <c r="O449" s="8">
        <v>356</v>
      </c>
      <c r="P449" s="105"/>
      <c r="Q449" s="137">
        <f>IF(IN[[#This Row],[Sim_]]=IN[[#This Row],[Direkt alt]],1,0)</f>
        <v>1</v>
      </c>
      <c r="R449" s="10">
        <v>0</v>
      </c>
      <c r="S449" s="10">
        <f>IF(IN[[#This Row],[Sim_]]=IN[[#This Row],[Buffer]],1,0)</f>
        <v>1</v>
      </c>
      <c r="T449" s="11"/>
      <c r="U449" s="104" t="e">
        <f>'[1]💨L'!#REF!</f>
        <v>#REF!</v>
      </c>
      <c r="V449" s="131">
        <v>0</v>
      </c>
      <c r="W449" s="131">
        <v>0</v>
      </c>
      <c r="X449" s="131">
        <v>0</v>
      </c>
      <c r="Y449" s="11"/>
      <c r="Z449" s="174">
        <v>0</v>
      </c>
      <c r="AA449" s="174">
        <v>0</v>
      </c>
      <c r="AB449" s="174">
        <v>0</v>
      </c>
      <c r="AC449" s="106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s="282" t="s">
        <v>127</v>
      </c>
      <c r="B450" s="209" t="s">
        <v>568</v>
      </c>
      <c r="C450" s="16"/>
      <c r="D450" s="16"/>
      <c r="E450" s="17" t="s">
        <v>285</v>
      </c>
      <c r="F450" s="18"/>
      <c r="G450" s="134" t="str">
        <f ca="1">_xlfn.FORMULATEXT(IN[[#This Row],[STAGE]])</f>
        <v>='[ka_PEQ_Nachweistool.xlsb]💨L'!D30</v>
      </c>
      <c r="H450" s="20">
        <v>2</v>
      </c>
      <c r="I450" s="104">
        <f>'[1]💨L'!D30</f>
        <v>0</v>
      </c>
      <c r="J450" s="135">
        <f>IF(IN[[#This Row],[Sim_]]=IN[[#This Row],[STAGE]],1,0)</f>
        <v>1</v>
      </c>
      <c r="K450" s="210">
        <f t="shared" ref="K450:K456" si="18">K$82</f>
        <v>0</v>
      </c>
      <c r="L450" s="130"/>
      <c r="M450" s="130">
        <f>IF(IN[[#This Row],[Sim_]]=IN[[#This Row],[Sim Var ref]],1,0)</f>
        <v>1</v>
      </c>
      <c r="N450" s="8"/>
      <c r="O450" s="8">
        <v>357</v>
      </c>
      <c r="P450" s="105"/>
      <c r="Q450" s="137">
        <f>IF(IN[[#This Row],[Sim_]]=IN[[#This Row],[Direkt alt]],1,0)</f>
        <v>1</v>
      </c>
      <c r="R450" s="10">
        <v>0.2</v>
      </c>
      <c r="S450" s="10">
        <f>IF(IN[[#This Row],[Sim_]]=IN[[#This Row],[Buffer]],1,0)</f>
        <v>0</v>
      </c>
      <c r="T450" s="11"/>
      <c r="U450" s="145"/>
      <c r="V450" s="131"/>
      <c r="W450" s="131"/>
      <c r="X450" s="131">
        <v>0.2</v>
      </c>
      <c r="Y450" s="11"/>
      <c r="Z450" s="174">
        <v>0.2</v>
      </c>
      <c r="AA450" s="174"/>
      <c r="AB450" s="174">
        <v>0</v>
      </c>
      <c r="AC450" s="106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</v>
      </c>
      <c r="AJ450">
        <v>0</v>
      </c>
    </row>
    <row r="451" spans="1:36" x14ac:dyDescent="0.25">
      <c r="A451" s="282" t="s">
        <v>127</v>
      </c>
      <c r="B451" s="209" t="s">
        <v>569</v>
      </c>
      <c r="C451" s="16"/>
      <c r="D451" s="16"/>
      <c r="E451" s="17" t="s">
        <v>285</v>
      </c>
      <c r="F451" s="18"/>
      <c r="G451" s="134" t="str">
        <f ca="1">_xlfn.FORMULATEXT(IN[[#This Row],[STAGE]])</f>
        <v>='[ka_PEQ_Nachweistool.xlsb]💨L'!D31</v>
      </c>
      <c r="H451" s="20">
        <v>2</v>
      </c>
      <c r="I451" s="104">
        <f>'[1]💨L'!D31</f>
        <v>0.8</v>
      </c>
      <c r="J451" s="135">
        <f>IF(IN[[#This Row],[Sim_]]=IN[[#This Row],[STAGE]],1,0)</f>
        <v>0</v>
      </c>
      <c r="K451" s="210">
        <f t="shared" si="18"/>
        <v>0</v>
      </c>
      <c r="L451" s="130"/>
      <c r="M451" s="130">
        <f>IF(IN[[#This Row],[Sim_]]=IN[[#This Row],[Sim Var ref]],1,0)</f>
        <v>1</v>
      </c>
      <c r="N451" s="8"/>
      <c r="O451" s="8">
        <v>358</v>
      </c>
      <c r="P451" s="105"/>
      <c r="Q451" s="137">
        <f>IF(IN[[#This Row],[Sim_]]=IN[[#This Row],[Direkt alt]],1,0)</f>
        <v>1</v>
      </c>
      <c r="R451" s="10">
        <v>0.2</v>
      </c>
      <c r="S451" s="10">
        <f>IF(IN[[#This Row],[Sim_]]=IN[[#This Row],[Buffer]],1,0)</f>
        <v>0</v>
      </c>
      <c r="T451" s="11"/>
      <c r="U451" s="145"/>
      <c r="V451" s="131"/>
      <c r="W451" s="131"/>
      <c r="X451" s="131">
        <v>0.2</v>
      </c>
      <c r="Y451" s="11"/>
      <c r="Z451" s="174">
        <v>0.2</v>
      </c>
      <c r="AA451" s="174"/>
      <c r="AB451" s="174">
        <v>0.8</v>
      </c>
      <c r="AC451" s="106">
        <v>0.2</v>
      </c>
      <c r="AD451">
        <v>0.2</v>
      </c>
      <c r="AE451">
        <v>0.2</v>
      </c>
      <c r="AF451">
        <v>0.2</v>
      </c>
      <c r="AG451">
        <v>0.2</v>
      </c>
      <c r="AH451">
        <v>0.2</v>
      </c>
      <c r="AI451">
        <v>0.8</v>
      </c>
      <c r="AJ451">
        <v>0.8</v>
      </c>
    </row>
    <row r="452" spans="1:36" x14ac:dyDescent="0.25">
      <c r="A452" s="282" t="s">
        <v>127</v>
      </c>
      <c r="B452" s="209" t="s">
        <v>570</v>
      </c>
      <c r="C452" s="16"/>
      <c r="D452" s="16"/>
      <c r="E452" s="17" t="s">
        <v>285</v>
      </c>
      <c r="F452" s="18"/>
      <c r="G452" s="134" t="str">
        <f ca="1">_xlfn.FORMULATEXT(IN[[#This Row],[STAGE]])</f>
        <v>='[ka_PEQ_Nachweistool.xlsb]💨L'!D32</v>
      </c>
      <c r="H452" s="20">
        <v>2</v>
      </c>
      <c r="I452" s="104">
        <f>'[1]💨L'!D32</f>
        <v>0</v>
      </c>
      <c r="J452" s="135">
        <f>IF(IN[[#This Row],[Sim_]]=IN[[#This Row],[STAGE]],1,0)</f>
        <v>1</v>
      </c>
      <c r="K452" s="210">
        <f t="shared" si="18"/>
        <v>0</v>
      </c>
      <c r="L452" s="130"/>
      <c r="M452" s="130">
        <f>IF(IN[[#This Row],[Sim_]]=IN[[#This Row],[Sim Var ref]],1,0)</f>
        <v>1</v>
      </c>
      <c r="N452" s="8"/>
      <c r="O452" s="8">
        <v>359</v>
      </c>
      <c r="P452" s="105"/>
      <c r="Q452" s="137">
        <f>IF(IN[[#This Row],[Sim_]]=IN[[#This Row],[Direkt alt]],1,0)</f>
        <v>1</v>
      </c>
      <c r="R452" s="10">
        <v>0</v>
      </c>
      <c r="S452" s="10">
        <f>IF(IN[[#This Row],[Sim_]]=IN[[#This Row],[Buffer]],1,0)</f>
        <v>1</v>
      </c>
      <c r="T452" s="11"/>
      <c r="U452" s="145"/>
      <c r="V452" s="131"/>
      <c r="W452" s="131"/>
      <c r="X452" s="131">
        <v>0</v>
      </c>
      <c r="Y452" s="11"/>
      <c r="Z452" s="174">
        <v>0</v>
      </c>
      <c r="AA452" s="174"/>
      <c r="AB452" s="174">
        <v>0</v>
      </c>
      <c r="AC452" s="106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s="282" t="s">
        <v>127</v>
      </c>
      <c r="B453" s="209" t="s">
        <v>571</v>
      </c>
      <c r="C453" s="16"/>
      <c r="D453" s="16"/>
      <c r="E453" s="17" t="s">
        <v>285</v>
      </c>
      <c r="F453" s="18"/>
      <c r="G453" s="134" t="str">
        <f ca="1">_xlfn.FORMULATEXT(IN[[#This Row],[STAGE]])</f>
        <v>='[ka_PEQ_Nachweistool.xlsb]💨L'!D33</v>
      </c>
      <c r="H453" s="20">
        <v>2</v>
      </c>
      <c r="I453" s="104">
        <f>'[1]💨L'!D33</f>
        <v>0</v>
      </c>
      <c r="J453" s="135">
        <f>IF(IN[[#This Row],[Sim_]]=IN[[#This Row],[STAGE]],1,0)</f>
        <v>1</v>
      </c>
      <c r="K453" s="210">
        <f t="shared" si="18"/>
        <v>0</v>
      </c>
      <c r="L453" s="130"/>
      <c r="M453" s="130">
        <f>IF(IN[[#This Row],[Sim_]]=IN[[#This Row],[Sim Var ref]],1,0)</f>
        <v>1</v>
      </c>
      <c r="N453" s="8"/>
      <c r="O453" s="8">
        <v>360</v>
      </c>
      <c r="P453" s="105"/>
      <c r="Q453" s="137">
        <f>IF(IN[[#This Row],[Sim_]]=IN[[#This Row],[Direkt alt]],1,0)</f>
        <v>1</v>
      </c>
      <c r="R453" s="10">
        <v>0</v>
      </c>
      <c r="S453" s="10">
        <f>IF(IN[[#This Row],[Sim_]]=IN[[#This Row],[Buffer]],1,0)</f>
        <v>1</v>
      </c>
      <c r="T453" s="11"/>
      <c r="U453" s="145"/>
      <c r="V453" s="131"/>
      <c r="W453" s="131"/>
      <c r="X453" s="131">
        <v>0</v>
      </c>
      <c r="Y453" s="11"/>
      <c r="Z453" s="174">
        <v>0</v>
      </c>
      <c r="AA453" s="174"/>
      <c r="AB453" s="174">
        <v>0</v>
      </c>
      <c r="AC453" s="106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s="282" t="s">
        <v>127</v>
      </c>
      <c r="B454" s="209" t="s">
        <v>572</v>
      </c>
      <c r="C454" s="16"/>
      <c r="D454" s="16"/>
      <c r="E454" s="17" t="s">
        <v>285</v>
      </c>
      <c r="F454" s="18"/>
      <c r="G454" s="134" t="str">
        <f ca="1">_xlfn.FORMULATEXT(IN[[#This Row],[STAGE]])</f>
        <v>='[ka_PEQ_Nachweistool.xlsb]💨L'!D34</v>
      </c>
      <c r="H454" s="20">
        <v>2</v>
      </c>
      <c r="I454" s="104">
        <f>'[1]💨L'!D34</f>
        <v>0</v>
      </c>
      <c r="J454" s="135">
        <f>IF(IN[[#This Row],[Sim_]]=IN[[#This Row],[STAGE]],1,0)</f>
        <v>1</v>
      </c>
      <c r="K454" s="210">
        <f t="shared" si="18"/>
        <v>0</v>
      </c>
      <c r="L454" s="130"/>
      <c r="M454" s="130">
        <f>IF(IN[[#This Row],[Sim_]]=IN[[#This Row],[Sim Var ref]],1,0)</f>
        <v>1</v>
      </c>
      <c r="N454" s="8"/>
      <c r="O454" s="8">
        <v>361</v>
      </c>
      <c r="P454" s="105"/>
      <c r="Q454" s="137">
        <f>IF(IN[[#This Row],[Sim_]]=IN[[#This Row],[Direkt alt]],1,0)</f>
        <v>1</v>
      </c>
      <c r="R454" s="10">
        <v>0</v>
      </c>
      <c r="S454" s="10">
        <f>IF(IN[[#This Row],[Sim_]]=IN[[#This Row],[Buffer]],1,0)</f>
        <v>1</v>
      </c>
      <c r="T454" s="11"/>
      <c r="U454" s="145"/>
      <c r="V454" s="131"/>
      <c r="W454" s="131"/>
      <c r="X454" s="131">
        <v>0</v>
      </c>
      <c r="Y454" s="11"/>
      <c r="Z454" s="174">
        <v>0</v>
      </c>
      <c r="AA454" s="174"/>
      <c r="AB454" s="174">
        <v>0</v>
      </c>
      <c r="AC454" s="106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s="266" t="s">
        <v>127</v>
      </c>
      <c r="B455" s="29" t="s">
        <v>573</v>
      </c>
      <c r="C455" s="16"/>
      <c r="D455" s="16"/>
      <c r="E455" s="17" t="s">
        <v>285</v>
      </c>
      <c r="F455" s="18"/>
      <c r="G455" s="134" t="str">
        <f ca="1">_xlfn.FORMULATEXT(IN[[#This Row],[STAGE]])</f>
        <v>='[ka_PEQ_Nachweistool.xlsb]💨L'!D35</v>
      </c>
      <c r="H455" s="20">
        <v>2</v>
      </c>
      <c r="I455" s="104">
        <f>'[1]💨L'!D35</f>
        <v>0</v>
      </c>
      <c r="J455" s="135">
        <f>IF(IN[[#This Row],[Sim_]]=IN[[#This Row],[STAGE]],1,0)</f>
        <v>1</v>
      </c>
      <c r="K455" s="210">
        <f t="shared" si="18"/>
        <v>0</v>
      </c>
      <c r="L455" s="130"/>
      <c r="M455" s="130">
        <f>IF(IN[[#This Row],[Sim_]]=IN[[#This Row],[Sim Var ref]],1,0)</f>
        <v>1</v>
      </c>
      <c r="N455" s="8"/>
      <c r="O455" s="8">
        <v>362</v>
      </c>
      <c r="P455" s="105"/>
      <c r="Q455" s="137">
        <f>IF(IN[[#This Row],[Sim_]]=IN[[#This Row],[Direkt alt]],1,0)</f>
        <v>1</v>
      </c>
      <c r="R455" s="10">
        <v>0</v>
      </c>
      <c r="S455" s="10">
        <f>IF(IN[[#This Row],[Sim_]]=IN[[#This Row],[Buffer]],1,0)</f>
        <v>1</v>
      </c>
      <c r="T455" s="11"/>
      <c r="U455" s="145"/>
      <c r="V455" s="131"/>
      <c r="W455" s="131"/>
      <c r="X455" s="131">
        <v>0</v>
      </c>
      <c r="Y455" s="11"/>
      <c r="Z455" s="174">
        <v>0</v>
      </c>
      <c r="AA455" s="174"/>
      <c r="AB455" s="174">
        <v>0</v>
      </c>
      <c r="AC455" s="106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s="266" t="s">
        <v>127</v>
      </c>
      <c r="B456" s="15" t="s">
        <v>574</v>
      </c>
      <c r="C456" s="16"/>
      <c r="D456" s="16"/>
      <c r="E456" s="17" t="s">
        <v>285</v>
      </c>
      <c r="F456" s="18"/>
      <c r="G456" s="134" t="str">
        <f ca="1">_xlfn.FORMULATEXT(IN[[#This Row],[STAGE]])</f>
        <v>='[ka_PEQ_Nachweistool.xlsb]💨L'!D36</v>
      </c>
      <c r="H456" s="20">
        <v>2</v>
      </c>
      <c r="I456" s="104">
        <f>'[1]💨L'!D36</f>
        <v>0</v>
      </c>
      <c r="J456" s="135">
        <f>IF(IN[[#This Row],[Sim_]]=IN[[#This Row],[STAGE]],1,0)</f>
        <v>1</v>
      </c>
      <c r="K456" s="210">
        <f t="shared" si="18"/>
        <v>0</v>
      </c>
      <c r="L456" s="130"/>
      <c r="M456" s="130">
        <f>IF(IN[[#This Row],[Sim_]]=IN[[#This Row],[Sim Var ref]],1,0)</f>
        <v>1</v>
      </c>
      <c r="N456" s="8"/>
      <c r="O456" s="8">
        <v>363</v>
      </c>
      <c r="P456" s="105"/>
      <c r="Q456" s="137">
        <f>IF(IN[[#This Row],[Sim_]]=IN[[#This Row],[Direkt alt]],1,0)</f>
        <v>1</v>
      </c>
      <c r="R456" s="10">
        <v>0</v>
      </c>
      <c r="S456" s="10">
        <f>IF(IN[[#This Row],[Sim_]]=IN[[#This Row],[Buffer]],1,0)</f>
        <v>1</v>
      </c>
      <c r="T456" s="11"/>
      <c r="U456" s="145"/>
      <c r="V456" s="131"/>
      <c r="W456" s="131"/>
      <c r="X456" s="131">
        <v>0</v>
      </c>
      <c r="Y456" s="11"/>
      <c r="Z456" s="174">
        <v>0</v>
      </c>
      <c r="AA456" s="174"/>
      <c r="AB456" s="174">
        <v>0</v>
      </c>
      <c r="AC456" s="10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s="282" t="s">
        <v>127</v>
      </c>
      <c r="B457" s="209" t="s">
        <v>575</v>
      </c>
      <c r="C457" s="16"/>
      <c r="D457" s="16"/>
      <c r="E457" s="17" t="s">
        <v>285</v>
      </c>
      <c r="F457" s="18"/>
      <c r="G457" s="134" t="str">
        <f ca="1">_xlfn.FORMULATEXT(IN[[#This Row],[STAGE]])</f>
        <v>='[ka_PEQ_Nachweistool.xlsb]💨L'!C30</v>
      </c>
      <c r="H457" s="20">
        <v>2</v>
      </c>
      <c r="I457" s="104" t="str">
        <f>'[1]💨L'!C30</f>
        <v>Wohnen</v>
      </c>
      <c r="J457" s="135">
        <f>IF(IN[[#This Row],[Sim_]]=IN[[#This Row],[STAGE]],1,0)</f>
        <v>0</v>
      </c>
      <c r="K457" s="210">
        <f t="shared" ref="K457:K463" si="19">K$83</f>
        <v>0.5</v>
      </c>
      <c r="L457" s="130"/>
      <c r="M457" s="130">
        <f>IF(IN[[#This Row],[Sim_]]=IN[[#This Row],[Sim Var ref]],1,0)</f>
        <v>0</v>
      </c>
      <c r="N457" s="8"/>
      <c r="O457" s="8">
        <v>364</v>
      </c>
      <c r="P457" s="105"/>
      <c r="Q457" s="137">
        <f>IF(IN[[#This Row],[Sim_]]=IN[[#This Row],[Direkt alt]],1,0)</f>
        <v>0</v>
      </c>
      <c r="R457" s="10">
        <v>0</v>
      </c>
      <c r="S457" s="10">
        <f>IF(IN[[#This Row],[Sim_]]=IN[[#This Row],[Buffer]],1,0)</f>
        <v>0</v>
      </c>
      <c r="T457" s="11"/>
      <c r="U457" s="145"/>
      <c r="V457" s="131"/>
      <c r="W457" s="131"/>
      <c r="X457" s="131">
        <v>0</v>
      </c>
      <c r="Y457" s="11"/>
      <c r="Z457" s="174">
        <v>0</v>
      </c>
      <c r="AA457" s="174"/>
      <c r="AB457" s="174">
        <v>0.5</v>
      </c>
      <c r="AC457" s="106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0.5</v>
      </c>
      <c r="AJ457">
        <v>0.5</v>
      </c>
    </row>
    <row r="458" spans="1:36" x14ac:dyDescent="0.25">
      <c r="A458" s="282" t="s">
        <v>127</v>
      </c>
      <c r="B458" s="209" t="s">
        <v>576</v>
      </c>
      <c r="C458" s="16"/>
      <c r="D458" s="16"/>
      <c r="E458" s="17" t="s">
        <v>285</v>
      </c>
      <c r="F458" s="18"/>
      <c r="G458" s="134" t="str">
        <f ca="1">_xlfn.FORMULATEXT(IN[[#This Row],[STAGE]])</f>
        <v>='[ka_PEQ_Nachweistool.xlsb]💨L'!C31</v>
      </c>
      <c r="H458" s="20">
        <v>2</v>
      </c>
      <c r="I458" s="104" t="str">
        <f>'[1]💨L'!C31</f>
        <v>Büro</v>
      </c>
      <c r="J458" s="135">
        <f>IF(IN[[#This Row],[Sim_]]=IN[[#This Row],[STAGE]],1,0)</f>
        <v>0</v>
      </c>
      <c r="K458" s="210">
        <f t="shared" si="19"/>
        <v>0.5</v>
      </c>
      <c r="L458" s="130"/>
      <c r="M458" s="130">
        <f>IF(IN[[#This Row],[Sim_]]=IN[[#This Row],[Sim Var ref]],1,0)</f>
        <v>0</v>
      </c>
      <c r="N458" s="8"/>
      <c r="O458" s="8">
        <v>365</v>
      </c>
      <c r="P458" s="105"/>
      <c r="Q458" s="137">
        <f>IF(IN[[#This Row],[Sim_]]=IN[[#This Row],[Direkt alt]],1,0)</f>
        <v>0</v>
      </c>
      <c r="R458" s="10">
        <v>0</v>
      </c>
      <c r="S458" s="10">
        <f>IF(IN[[#This Row],[Sim_]]=IN[[#This Row],[Buffer]],1,0)</f>
        <v>0</v>
      </c>
      <c r="T458" s="11"/>
      <c r="U458" s="145"/>
      <c r="V458" s="131"/>
      <c r="W458" s="131"/>
      <c r="X458" s="131">
        <v>0</v>
      </c>
      <c r="Y458" s="11"/>
      <c r="Z458" s="174">
        <v>0</v>
      </c>
      <c r="AA458" s="174"/>
      <c r="AB458" s="174">
        <v>0.5</v>
      </c>
      <c r="AC458" s="106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0.5</v>
      </c>
      <c r="AJ458">
        <v>0.5</v>
      </c>
    </row>
    <row r="459" spans="1:36" x14ac:dyDescent="0.25">
      <c r="A459" s="282" t="s">
        <v>127</v>
      </c>
      <c r="B459" s="209" t="s">
        <v>577</v>
      </c>
      <c r="C459" s="16"/>
      <c r="D459" s="16"/>
      <c r="E459" s="17" t="s">
        <v>285</v>
      </c>
      <c r="F459" s="18"/>
      <c r="G459" s="134" t="str">
        <f ca="1">_xlfn.FORMULATEXT(IN[[#This Row],[STAGE]])</f>
        <v>='[ka_PEQ_Nachweistool.xlsb]💨L'!C32</v>
      </c>
      <c r="H459" s="20">
        <v>2</v>
      </c>
      <c r="I459" s="104" t="str">
        <f>'[1]💨L'!C32</f>
        <v xml:space="preserve">Kindergarten und Primäre Bildundseinrichtung </v>
      </c>
      <c r="J459" s="135">
        <f>IF(IN[[#This Row],[Sim_]]=IN[[#This Row],[STAGE]],1,0)</f>
        <v>0</v>
      </c>
      <c r="K459" s="210">
        <f t="shared" si="19"/>
        <v>0.5</v>
      </c>
      <c r="L459" s="130"/>
      <c r="M459" s="130">
        <f>IF(IN[[#This Row],[Sim_]]=IN[[#This Row],[Sim Var ref]],1,0)</f>
        <v>0</v>
      </c>
      <c r="N459" s="8"/>
      <c r="O459" s="8">
        <v>366</v>
      </c>
      <c r="P459" s="105"/>
      <c r="Q459" s="137">
        <f>IF(IN[[#This Row],[Sim_]]=IN[[#This Row],[Direkt alt]],1,0)</f>
        <v>0</v>
      </c>
      <c r="R459" s="10">
        <v>0</v>
      </c>
      <c r="S459" s="10">
        <f>IF(IN[[#This Row],[Sim_]]=IN[[#This Row],[Buffer]],1,0)</f>
        <v>0</v>
      </c>
      <c r="T459" s="11"/>
      <c r="U459" s="145"/>
      <c r="V459" s="131"/>
      <c r="W459" s="131"/>
      <c r="X459" s="131">
        <v>0</v>
      </c>
      <c r="Y459" s="11"/>
      <c r="Z459" s="174">
        <v>0</v>
      </c>
      <c r="AA459" s="174"/>
      <c r="AB459" s="174">
        <v>0.5</v>
      </c>
      <c r="AC459" s="106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0.5</v>
      </c>
      <c r="AJ459">
        <v>0.5</v>
      </c>
    </row>
    <row r="460" spans="1:36" x14ac:dyDescent="0.25">
      <c r="A460" s="282" t="s">
        <v>127</v>
      </c>
      <c r="B460" s="209" t="s">
        <v>578</v>
      </c>
      <c r="C460" s="16"/>
      <c r="D460" s="16"/>
      <c r="E460" s="17" t="s">
        <v>285</v>
      </c>
      <c r="F460" s="18"/>
      <c r="G460" s="134" t="str">
        <f ca="1">_xlfn.FORMULATEXT(IN[[#This Row],[STAGE]])</f>
        <v>='[ka_PEQ_Nachweistool.xlsb]💨L'!C33</v>
      </c>
      <c r="H460" s="20">
        <v>2</v>
      </c>
      <c r="I460" s="104" t="str">
        <f>'[1]💨L'!C33</f>
        <v>Sekundäre Bildungseinrichtung oder Universität</v>
      </c>
      <c r="J460" s="135">
        <f>IF(IN[[#This Row],[Sim_]]=IN[[#This Row],[STAGE]],1,0)</f>
        <v>0</v>
      </c>
      <c r="K460" s="210">
        <f t="shared" si="19"/>
        <v>0.5</v>
      </c>
      <c r="L460" s="130"/>
      <c r="M460" s="130">
        <f>IF(IN[[#This Row],[Sim_]]=IN[[#This Row],[Sim Var ref]],1,0)</f>
        <v>0</v>
      </c>
      <c r="N460" s="8"/>
      <c r="O460" s="8">
        <v>367</v>
      </c>
      <c r="P460" s="105"/>
      <c r="Q460" s="137">
        <f>IF(IN[[#This Row],[Sim_]]=IN[[#This Row],[Direkt alt]],1,0)</f>
        <v>0</v>
      </c>
      <c r="R460" s="10">
        <v>0</v>
      </c>
      <c r="S460" s="10">
        <f>IF(IN[[#This Row],[Sim_]]=IN[[#This Row],[Buffer]],1,0)</f>
        <v>0</v>
      </c>
      <c r="T460" s="11"/>
      <c r="U460" s="145"/>
      <c r="V460" s="131"/>
      <c r="W460" s="131"/>
      <c r="X460" s="131">
        <v>0</v>
      </c>
      <c r="Y460" s="11"/>
      <c r="Z460" s="174">
        <v>0</v>
      </c>
      <c r="AA460" s="174"/>
      <c r="AB460" s="174">
        <v>0.5</v>
      </c>
      <c r="AC460" s="106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0.5</v>
      </c>
      <c r="AJ460">
        <v>0.5</v>
      </c>
    </row>
    <row r="461" spans="1:36" x14ac:dyDescent="0.25">
      <c r="A461" s="282" t="s">
        <v>127</v>
      </c>
      <c r="B461" s="209" t="s">
        <v>579</v>
      </c>
      <c r="C461" s="16"/>
      <c r="D461" s="16"/>
      <c r="E461" s="17" t="s">
        <v>285</v>
      </c>
      <c r="F461" s="18"/>
      <c r="G461" s="134" t="str">
        <f ca="1">_xlfn.FORMULATEXT(IN[[#This Row],[STAGE]])</f>
        <v>='[ka_PEQ_Nachweistool.xlsb]💨L'!C34</v>
      </c>
      <c r="H461" s="20">
        <v>2</v>
      </c>
      <c r="I461" s="104" t="str">
        <f>'[1]💨L'!C34</f>
        <v>Lebensmittelhandel</v>
      </c>
      <c r="J461" s="135">
        <f>IF(IN[[#This Row],[Sim_]]=IN[[#This Row],[STAGE]],1,0)</f>
        <v>0</v>
      </c>
      <c r="K461" s="210">
        <f t="shared" si="19"/>
        <v>0.5</v>
      </c>
      <c r="L461" s="130"/>
      <c r="M461" s="130">
        <f>IF(IN[[#This Row],[Sim_]]=IN[[#This Row],[Sim Var ref]],1,0)</f>
        <v>0</v>
      </c>
      <c r="N461" s="8"/>
      <c r="O461" s="8">
        <v>368</v>
      </c>
      <c r="P461" s="105"/>
      <c r="Q461" s="137">
        <f>IF(IN[[#This Row],[Sim_]]=IN[[#This Row],[Direkt alt]],1,0)</f>
        <v>0</v>
      </c>
      <c r="R461" s="10">
        <v>0</v>
      </c>
      <c r="S461" s="10">
        <f>IF(IN[[#This Row],[Sim_]]=IN[[#This Row],[Buffer]],1,0)</f>
        <v>0</v>
      </c>
      <c r="T461" s="11"/>
      <c r="U461" s="145"/>
      <c r="V461" s="131"/>
      <c r="W461" s="131"/>
      <c r="X461" s="131">
        <v>0</v>
      </c>
      <c r="Y461" s="11"/>
      <c r="Z461" s="174">
        <v>0</v>
      </c>
      <c r="AA461" s="174"/>
      <c r="AB461" s="174">
        <v>0.5</v>
      </c>
      <c r="AC461" s="106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0.5</v>
      </c>
      <c r="AJ461">
        <v>0.5</v>
      </c>
    </row>
    <row r="462" spans="1:36" x14ac:dyDescent="0.25">
      <c r="A462" s="266" t="s">
        <v>127</v>
      </c>
      <c r="B462" s="29" t="s">
        <v>580</v>
      </c>
      <c r="C462" s="16"/>
      <c r="D462" s="16"/>
      <c r="E462" s="17" t="s">
        <v>285</v>
      </c>
      <c r="F462" s="18"/>
      <c r="G462" s="134" t="str">
        <f ca="1">_xlfn.FORMULATEXT(IN[[#This Row],[STAGE]])</f>
        <v>='[ka_PEQ_Nachweistool.xlsb]💨L'!C35</v>
      </c>
      <c r="H462" s="20">
        <v>2</v>
      </c>
      <c r="I462" s="104" t="str">
        <f>'[1]💨L'!C35</f>
        <v>Handel</v>
      </c>
      <c r="J462" s="135">
        <f>IF(IN[[#This Row],[Sim_]]=IN[[#This Row],[STAGE]],1,0)</f>
        <v>0</v>
      </c>
      <c r="K462" s="210">
        <f t="shared" si="19"/>
        <v>0.5</v>
      </c>
      <c r="L462" s="130"/>
      <c r="M462" s="130">
        <f>IF(IN[[#This Row],[Sim_]]=IN[[#This Row],[Sim Var ref]],1,0)</f>
        <v>0</v>
      </c>
      <c r="N462" s="8"/>
      <c r="O462" s="8">
        <v>369</v>
      </c>
      <c r="P462" s="105"/>
      <c r="Q462" s="137">
        <f>IF(IN[[#This Row],[Sim_]]=IN[[#This Row],[Direkt alt]],1,0)</f>
        <v>0</v>
      </c>
      <c r="R462" s="10">
        <v>0</v>
      </c>
      <c r="S462" s="10">
        <f>IF(IN[[#This Row],[Sim_]]=IN[[#This Row],[Buffer]],1,0)</f>
        <v>0</v>
      </c>
      <c r="T462" s="11"/>
      <c r="U462" s="145"/>
      <c r="V462" s="131"/>
      <c r="W462" s="131"/>
      <c r="X462" s="131">
        <v>0</v>
      </c>
      <c r="Y462" s="11"/>
      <c r="Z462" s="174">
        <v>0</v>
      </c>
      <c r="AA462" s="174"/>
      <c r="AB462" s="174">
        <v>0.5</v>
      </c>
      <c r="AC462" s="106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0.5</v>
      </c>
      <c r="AJ462">
        <v>0.5</v>
      </c>
    </row>
    <row r="463" spans="1:36" x14ac:dyDescent="0.25">
      <c r="A463" s="266" t="s">
        <v>127</v>
      </c>
      <c r="B463" s="15" t="s">
        <v>581</v>
      </c>
      <c r="C463" s="16"/>
      <c r="D463" s="16"/>
      <c r="E463" s="17" t="s">
        <v>262</v>
      </c>
      <c r="F463" s="18"/>
      <c r="G463" s="134" t="str">
        <f ca="1">_xlfn.FORMULATEXT(IN[[#This Row],[STAGE]])</f>
        <v>='[ka_PEQ_Nachweistool.xlsb]💨L'!C36</v>
      </c>
      <c r="H463" s="20">
        <v>2</v>
      </c>
      <c r="I463" s="104" t="str">
        <f>'[1]💨L'!C36</f>
        <v>Sonstige Nutzungen</v>
      </c>
      <c r="J463" s="135">
        <f>IF(IN[[#This Row],[Sim_]]=IN[[#This Row],[STAGE]],1,0)</f>
        <v>0</v>
      </c>
      <c r="K463" s="210">
        <f t="shared" si="19"/>
        <v>0.5</v>
      </c>
      <c r="L463" s="130"/>
      <c r="M463" s="130">
        <f>IF(IN[[#This Row],[Sim_]]=IN[[#This Row],[Sim Var ref]],1,0)</f>
        <v>0</v>
      </c>
      <c r="N463" s="8"/>
      <c r="O463" s="8">
        <v>370</v>
      </c>
      <c r="P463" s="105"/>
      <c r="Q463" s="137">
        <f>IF(IN[[#This Row],[Sim_]]=IN[[#This Row],[Direkt alt]],1,0)</f>
        <v>0</v>
      </c>
      <c r="R463" s="10">
        <v>0</v>
      </c>
      <c r="S463" s="10">
        <f>IF(IN[[#This Row],[Sim_]]=IN[[#This Row],[Buffer]],1,0)</f>
        <v>0</v>
      </c>
      <c r="T463" s="11"/>
      <c r="U463" s="145"/>
      <c r="V463" s="131"/>
      <c r="W463" s="131"/>
      <c r="X463" s="131">
        <v>0</v>
      </c>
      <c r="Y463" s="11"/>
      <c r="Z463" s="174">
        <v>0</v>
      </c>
      <c r="AA463" s="174"/>
      <c r="AB463" s="174">
        <v>0.5</v>
      </c>
      <c r="AC463" s="106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0.5</v>
      </c>
      <c r="AJ463">
        <v>0.5</v>
      </c>
    </row>
    <row r="464" spans="1:36" x14ac:dyDescent="0.25">
      <c r="A464" s="266" t="s">
        <v>127</v>
      </c>
      <c r="B464" s="15" t="s">
        <v>582</v>
      </c>
      <c r="C464" s="16"/>
      <c r="D464" s="16" t="s">
        <v>583</v>
      </c>
      <c r="E464" s="17"/>
      <c r="F464" s="18"/>
      <c r="G464" s="134" t="str">
        <f ca="1">_xlfn.FORMULATEXT(IN[[#This Row],[STAGE]])</f>
        <v>=SUMMENPRODUKT(I269:I275;I243:I249;I402:I408)/NFV_total</v>
      </c>
      <c r="H464" s="20">
        <v>0</v>
      </c>
      <c r="I464" s="183" t="e">
        <f>SUMPRODUCT(I269:I275,I243:I249,I402:I408)/NFV_total</f>
        <v>#DIV/0!</v>
      </c>
      <c r="J464" s="135" t="e">
        <f>IF(IN[[#This Row],[Sim_]]=IN[[#This Row],[STAGE]],1,0)</f>
        <v>#DIV/0!</v>
      </c>
      <c r="K464" s="182"/>
      <c r="L464" s="130"/>
      <c r="M464" s="130">
        <f>IF(IN[[#This Row],[Sim_]]=IN[[#This Row],[Sim Var ref]],1,0)</f>
        <v>1</v>
      </c>
      <c r="N464" s="8"/>
      <c r="O464" s="8"/>
      <c r="P464" s="105"/>
      <c r="Q464" s="137">
        <f>IF(IN[[#This Row],[Sim_]]=IN[[#This Row],[Direkt alt]],1,0)</f>
        <v>1</v>
      </c>
      <c r="R464" s="10">
        <v>0.90574651508100079</v>
      </c>
      <c r="S464" s="10">
        <f>IF(IN[[#This Row],[Sim_]]=IN[[#This Row],[Buffer]],1,0)</f>
        <v>0</v>
      </c>
      <c r="T464" s="11"/>
      <c r="U464" s="145"/>
      <c r="V464" s="131"/>
      <c r="W464" s="131"/>
      <c r="X464" s="131">
        <v>0</v>
      </c>
      <c r="Y464" s="11"/>
      <c r="Z464" s="174">
        <v>0</v>
      </c>
      <c r="AA464" s="174"/>
      <c r="AB464" s="174"/>
      <c r="AC464" s="184">
        <v>0.25</v>
      </c>
      <c r="AD464">
        <v>0</v>
      </c>
      <c r="AE464">
        <v>0.90574651508100079</v>
      </c>
      <c r="AF464">
        <v>0.90574651508100079</v>
      </c>
      <c r="AG464">
        <v>0.90574651508100079</v>
      </c>
      <c r="AH464">
        <v>0.89781320042974</v>
      </c>
      <c r="AI464">
        <v>0.52337491792514779</v>
      </c>
      <c r="AJ464">
        <v>0.52337491792514779</v>
      </c>
    </row>
    <row r="465" spans="1:36" x14ac:dyDescent="0.25">
      <c r="A465" s="266" t="s">
        <v>127</v>
      </c>
      <c r="B465" t="s">
        <v>584</v>
      </c>
      <c r="C465" s="16"/>
      <c r="D465" s="16" t="s">
        <v>583</v>
      </c>
      <c r="E465" s="17"/>
      <c r="F465" s="18" t="s">
        <v>585</v>
      </c>
      <c r="G465" s="134" t="str">
        <f ca="1">_xlfn.FORMULATEXT(IN[[#This Row],[STAGE]])</f>
        <v>=WENNFEHLER(SUMMENPRODUKT(I243:I249;Cool_Passive_Shares;MTRANS(vent_window_shares);I269:I275)/NFV_total;0)</v>
      </c>
      <c r="H465" s="20">
        <v>0</v>
      </c>
      <c r="I465" s="295" cm="1">
        <f t="array" ref="I465">IFERROR(SUMPRODUCT(I243:I249,Cool_Passive_Shares,TRANSPOSE(vent_window_shares),I269:I275)/NFV_total,0)</f>
        <v>0</v>
      </c>
      <c r="J465" s="135">
        <f>IF(IN[[#This Row],[Sim_]]=IN[[#This Row],[STAGE]],1,0)</f>
        <v>1</v>
      </c>
      <c r="K465" s="131"/>
      <c r="L465" s="130"/>
      <c r="M465" s="130">
        <f>IF(IN[[#This Row],[Sim_]]=IN[[#This Row],[Sim Var ref]],1,0)</f>
        <v>1</v>
      </c>
      <c r="N465" s="8"/>
      <c r="O465" s="8"/>
      <c r="P465" s="105"/>
      <c r="Q465" s="137">
        <f>IF(IN[[#This Row],[Sim_]]=IN[[#This Row],[Direkt alt]],1,0)</f>
        <v>1</v>
      </c>
      <c r="R465" s="10">
        <v>0.90574651508100079</v>
      </c>
      <c r="S465" s="10">
        <f>IF(IN[[#This Row],[Sim_]]=IN[[#This Row],[Buffer]],1,0)</f>
        <v>0</v>
      </c>
      <c r="T465" s="11"/>
      <c r="U465" s="145"/>
      <c r="V465" s="131"/>
      <c r="W465" s="131"/>
      <c r="X465" s="131">
        <v>0</v>
      </c>
      <c r="Y465" s="11"/>
      <c r="Z465" s="174">
        <v>0</v>
      </c>
      <c r="AA465" s="174"/>
      <c r="AB465" s="174"/>
      <c r="AC465" s="296">
        <v>0.25</v>
      </c>
      <c r="AD465">
        <v>0</v>
      </c>
      <c r="AE465">
        <v>0.90574651508100079</v>
      </c>
      <c r="AF465">
        <v>0.90574651508100079</v>
      </c>
      <c r="AG465">
        <v>0.90574651508100079</v>
      </c>
      <c r="AH465">
        <v>0.89781320042974</v>
      </c>
      <c r="AI465">
        <v>0.52337491792514779</v>
      </c>
      <c r="AJ465">
        <v>0.52337491792514779</v>
      </c>
    </row>
    <row r="466" spans="1:36" x14ac:dyDescent="0.25">
      <c r="A466" s="266" t="s">
        <v>127</v>
      </c>
      <c r="B466" t="s">
        <v>586</v>
      </c>
      <c r="C466" s="16"/>
      <c r="D466" s="16" t="s">
        <v>583</v>
      </c>
      <c r="E466" s="17"/>
      <c r="F466" s="18" t="s">
        <v>587</v>
      </c>
      <c r="G466" s="134" t="str">
        <f ca="1">_xlfn.FORMULATEXT(IN[[#This Row],[STAGE]])</f>
        <v>=WENNFEHLER(SUMMENPRODUKT(I243:I249;COOL_active_shares;MTRANS(vent_window_shares);I269:I275)/NFV_total;0)</v>
      </c>
      <c r="H466" s="20">
        <v>0</v>
      </c>
      <c r="I466" s="297" cm="1">
        <f t="array" ref="I466">IFERROR(SUMPRODUCT(I243:I249,COOL_active_shares,TRANSPOSE(vent_window_shares),I269:I275)/NFV_total,0)</f>
        <v>0</v>
      </c>
      <c r="J466" s="135">
        <f>IF(IN[[#This Row],[Sim_]]=IN[[#This Row],[STAGE]],1,0)</f>
        <v>1</v>
      </c>
      <c r="K466" s="131"/>
      <c r="L466" s="130"/>
      <c r="M466" s="130">
        <f>IF(IN[[#This Row],[Sim_]]=IN[[#This Row],[Sim Var ref]],1,0)</f>
        <v>1</v>
      </c>
      <c r="N466" s="8"/>
      <c r="O466" s="8"/>
      <c r="P466" s="105"/>
      <c r="Q466" s="137">
        <f>IF(IN[[#This Row],[Sim_]]=IN[[#This Row],[Direkt alt]],1,0)</f>
        <v>1</v>
      </c>
      <c r="R466" s="10">
        <v>0</v>
      </c>
      <c r="S466" s="10">
        <f>IF(IN[[#This Row],[Sim_]]=IN[[#This Row],[Buffer]],1,0)</f>
        <v>1</v>
      </c>
      <c r="T466" s="11"/>
      <c r="U466" s="145"/>
      <c r="V466" s="131"/>
      <c r="W466" s="131"/>
      <c r="X466" s="131">
        <v>0</v>
      </c>
      <c r="Y466" s="11"/>
      <c r="Z466" s="174">
        <v>0</v>
      </c>
      <c r="AA466" s="174"/>
      <c r="AB466" s="174"/>
      <c r="AC466" s="298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s="266" t="s">
        <v>127</v>
      </c>
      <c r="B467" s="15" t="s">
        <v>588</v>
      </c>
      <c r="C467" s="16"/>
      <c r="D467" s="16" t="s">
        <v>583</v>
      </c>
      <c r="E467" s="17"/>
      <c r="F467" s="18"/>
      <c r="G467" s="134" t="str">
        <f ca="1">_xlfn.FORMULATEXT(IN[[#This Row],[STAGE]])</f>
        <v>=SUMMENPRODUKT(I269:I275;I243:I249;I395:I401)/NFV_total</v>
      </c>
      <c r="H467" s="20">
        <v>0</v>
      </c>
      <c r="I467" s="183" t="e">
        <f>SUMPRODUCT(I269:I275,I243:I249,I395:I401)/NFV_total</f>
        <v>#DIV/0!</v>
      </c>
      <c r="J467" s="135" t="e">
        <f>IF(IN[[#This Row],[Sim_]]=IN[[#This Row],[STAGE]],1,0)</f>
        <v>#DIV/0!</v>
      </c>
      <c r="K467" s="131"/>
      <c r="L467" s="130"/>
      <c r="M467" s="130">
        <f>IF(IN[[#This Row],[Sim_]]=IN[[#This Row],[Sim Var ref]],1,0)</f>
        <v>1</v>
      </c>
      <c r="N467" s="8"/>
      <c r="O467" s="8"/>
      <c r="P467" s="105"/>
      <c r="Q467" s="137">
        <f>IF(IN[[#This Row],[Sim_]]=IN[[#This Row],[Direkt alt]],1,0)</f>
        <v>1</v>
      </c>
      <c r="R467" s="10">
        <v>9.4253484918999181E-2</v>
      </c>
      <c r="S467" s="10">
        <f>IF(IN[[#This Row],[Sim_]]=IN[[#This Row],[Buffer]],1,0)</f>
        <v>0</v>
      </c>
      <c r="T467" s="11"/>
      <c r="U467" s="145"/>
      <c r="V467" s="131"/>
      <c r="W467" s="131"/>
      <c r="X467" s="131">
        <v>1</v>
      </c>
      <c r="Y467" s="11"/>
      <c r="Z467" s="174">
        <v>1</v>
      </c>
      <c r="AA467" s="174"/>
      <c r="AB467" s="174"/>
      <c r="AC467" s="184">
        <v>0.75</v>
      </c>
      <c r="AD467">
        <v>1</v>
      </c>
      <c r="AE467">
        <v>9.4253484918999181E-2</v>
      </c>
      <c r="AF467">
        <v>9.4253484918999181E-2</v>
      </c>
      <c r="AG467">
        <v>9.4253484918999181E-2</v>
      </c>
      <c r="AH467">
        <v>0.10218679957026007</v>
      </c>
      <c r="AI467">
        <v>0.47662508207485244</v>
      </c>
      <c r="AJ467">
        <v>0.47662508207485244</v>
      </c>
    </row>
    <row r="468" spans="1:36" x14ac:dyDescent="0.25">
      <c r="A468" s="266" t="s">
        <v>127</v>
      </c>
      <c r="B468" t="s">
        <v>589</v>
      </c>
      <c r="C468" s="16"/>
      <c r="D468" s="16" t="s">
        <v>583</v>
      </c>
      <c r="E468" s="17"/>
      <c r="F468" s="18" t="s">
        <v>590</v>
      </c>
      <c r="G468" s="134" t="str">
        <f ca="1">_xlfn.FORMULATEXT(IN[[#This Row],[STAGE]])</f>
        <v>=WENNFEHLER(SUMMENPRODUKT(I243:I249;Cool_Passive_Shares;MTRANS(vent_mech_shares);I269:I275)/NFV_total;0)</v>
      </c>
      <c r="H468" s="20">
        <v>0</v>
      </c>
      <c r="I468" s="183" cm="1">
        <f t="array" ref="I468">IFERROR(SUMPRODUCT(I243:I249,Cool_Passive_Shares,TRANSPOSE(vent_mech_shares),I269:I275)/NFV_total,0)</f>
        <v>0</v>
      </c>
      <c r="J468" s="135">
        <f>IF(IN[[#This Row],[Sim_]]=IN[[#This Row],[STAGE]],1,0)</f>
        <v>1</v>
      </c>
      <c r="K468" s="131"/>
      <c r="L468" s="130"/>
      <c r="M468" s="130">
        <f>IF(IN[[#This Row],[Sim_]]=IN[[#This Row],[Sim Var ref]],1,0)</f>
        <v>1</v>
      </c>
      <c r="N468" s="8"/>
      <c r="O468" s="8"/>
      <c r="P468" s="105"/>
      <c r="Q468" s="137">
        <f>IF(IN[[#This Row],[Sim_]]=IN[[#This Row],[Direkt alt]],1,0)</f>
        <v>1</v>
      </c>
      <c r="R468" s="10">
        <v>0</v>
      </c>
      <c r="S468" s="10">
        <f>IF(IN[[#This Row],[Sim_]]=IN[[#This Row],[Buffer]],1,0)</f>
        <v>1</v>
      </c>
      <c r="T468" s="11"/>
      <c r="U468" s="145"/>
      <c r="V468" s="131"/>
      <c r="W468" s="131"/>
      <c r="X468" s="131">
        <v>0.5</v>
      </c>
      <c r="Y468" s="11"/>
      <c r="Z468" s="174">
        <v>0.5</v>
      </c>
      <c r="AA468" s="174"/>
      <c r="AB468" s="174"/>
      <c r="AC468" s="184">
        <v>0.25</v>
      </c>
      <c r="AD468">
        <v>1</v>
      </c>
      <c r="AE468">
        <v>9.4253484918999181E-2</v>
      </c>
      <c r="AF468">
        <v>0</v>
      </c>
      <c r="AG468">
        <v>0</v>
      </c>
      <c r="AH468">
        <v>0</v>
      </c>
      <c r="AI468">
        <v>0.47662508207485244</v>
      </c>
      <c r="AJ468">
        <v>0.47662508207485244</v>
      </c>
    </row>
    <row r="469" spans="1:36" x14ac:dyDescent="0.25">
      <c r="A469" s="266" t="s">
        <v>127</v>
      </c>
      <c r="B469" t="s">
        <v>591</v>
      </c>
      <c r="C469" s="16"/>
      <c r="D469" s="16" t="s">
        <v>583</v>
      </c>
      <c r="E469" s="17"/>
      <c r="F469" s="18" t="s">
        <v>592</v>
      </c>
      <c r="G469" s="134" t="str">
        <f ca="1">_xlfn.FORMULATEXT(IN[[#This Row],[STAGE]])</f>
        <v>=WENNFEHLER(SUMMENPRODUKT(I243:I249;COOL_active_shares;MTRANS(vent_mech_shares);I269:I275)/NFV_total;0)</v>
      </c>
      <c r="H469" s="20">
        <v>0</v>
      </c>
      <c r="I469" s="183" cm="1">
        <f t="array" ref="I469">IFERROR(SUMPRODUCT(I243:I249,COOL_active_shares,TRANSPOSE(vent_mech_shares),I269:I275)/NFV_total,0)</f>
        <v>0</v>
      </c>
      <c r="J469" s="135">
        <f>IF(IN[[#This Row],[Sim_]]=IN[[#This Row],[STAGE]],1,0)</f>
        <v>1</v>
      </c>
      <c r="K469" s="131"/>
      <c r="L469" s="130"/>
      <c r="M469" s="130">
        <f>IF(IN[[#This Row],[Sim_]]=IN[[#This Row],[Sim Var ref]],1,0)</f>
        <v>1</v>
      </c>
      <c r="N469" s="8"/>
      <c r="O469" s="8"/>
      <c r="P469" s="105"/>
      <c r="Q469" s="137">
        <f>IF(IN[[#This Row],[Sim_]]=IN[[#This Row],[Direkt alt]],1,0)</f>
        <v>1</v>
      </c>
      <c r="R469" s="10">
        <v>9.4253484918999181E-2</v>
      </c>
      <c r="S469" s="10">
        <f>IF(IN[[#This Row],[Sim_]]=IN[[#This Row],[Buffer]],1,0)</f>
        <v>0</v>
      </c>
      <c r="T469" s="11"/>
      <c r="U469" s="145"/>
      <c r="V469" s="131"/>
      <c r="W469" s="131"/>
      <c r="X469" s="131">
        <v>0.5</v>
      </c>
      <c r="Y469" s="11"/>
      <c r="Z469" s="174">
        <v>0.5</v>
      </c>
      <c r="AA469" s="174"/>
      <c r="AB469" s="174"/>
      <c r="AC469" s="184">
        <v>0.5</v>
      </c>
      <c r="AD469">
        <v>0</v>
      </c>
      <c r="AE469">
        <v>0</v>
      </c>
      <c r="AF469">
        <v>9.4253484918999181E-2</v>
      </c>
      <c r="AG469">
        <v>9.4253484918999181E-2</v>
      </c>
      <c r="AH469">
        <v>0.10218679957026007</v>
      </c>
      <c r="AI469">
        <v>0</v>
      </c>
      <c r="AJ469">
        <v>0</v>
      </c>
    </row>
    <row r="470" spans="1:36" x14ac:dyDescent="0.25">
      <c r="A470" s="266" t="s">
        <v>127</v>
      </c>
      <c r="B470" s="15" t="s">
        <v>28</v>
      </c>
      <c r="C470" s="16"/>
      <c r="D470" s="16"/>
      <c r="E470" s="17"/>
      <c r="F470" s="18" t="s">
        <v>593</v>
      </c>
      <c r="G470" s="134" t="str">
        <f ca="1">_xlfn.FORMULATEXT(IN[[#This Row],[STAGE]])</f>
        <v>=100%=SUMME(Vent_share_window_uncooled;Vent_share_window_cooled;Vent_share_mech_uncooled;Vent_share_mech_cooled)</v>
      </c>
      <c r="H470" s="20">
        <v>0</v>
      </c>
      <c r="I470" s="299" t="b">
        <f>100%=SUM(Vent_share_window_uncooled,Vent_share_window_cooled,Vent_share_mech_uncooled,Vent_share_mech_cooled)</f>
        <v>0</v>
      </c>
      <c r="J470" s="135">
        <f>IF(IN[[#This Row],[Sim_]]=IN[[#This Row],[STAGE]],1,0)</f>
        <v>1</v>
      </c>
      <c r="K470" s="131"/>
      <c r="L470" s="130"/>
      <c r="M470" s="130">
        <f>IF(IN[[#This Row],[Sim_]]=IN[[#This Row],[Sim Var ref]],1,0)</f>
        <v>1</v>
      </c>
      <c r="N470" s="8"/>
      <c r="O470" s="8"/>
      <c r="P470" s="105"/>
      <c r="Q470" s="137">
        <f>IF(IN[[#This Row],[Sim_]]=IN[[#This Row],[Direkt alt]],1,0)</f>
        <v>1</v>
      </c>
      <c r="R470" s="10" t="b">
        <v>1</v>
      </c>
      <c r="S470" s="10">
        <f>IF(IN[[#This Row],[Sim_]]=IN[[#This Row],[Buffer]],1,0)</f>
        <v>0</v>
      </c>
      <c r="T470" s="11"/>
      <c r="U470" s="145"/>
      <c r="V470" s="131"/>
      <c r="W470" s="131"/>
      <c r="X470" s="131" t="b">
        <v>1</v>
      </c>
      <c r="Y470" s="11"/>
      <c r="Z470" s="174" t="b">
        <v>1</v>
      </c>
      <c r="AA470" s="174"/>
      <c r="AB470" s="174"/>
      <c r="AC470" s="300" t="b">
        <v>1</v>
      </c>
      <c r="AD470" t="b">
        <v>1</v>
      </c>
      <c r="AE470" t="b">
        <v>1</v>
      </c>
      <c r="AF470" t="b">
        <v>1</v>
      </c>
      <c r="AG470" t="b">
        <v>1</v>
      </c>
      <c r="AH470" t="b">
        <v>1</v>
      </c>
      <c r="AI470" t="b">
        <v>1</v>
      </c>
      <c r="AJ470" t="b">
        <v>1</v>
      </c>
    </row>
    <row r="471" spans="1:36" x14ac:dyDescent="0.25">
      <c r="A471" s="266"/>
      <c r="B471" s="15"/>
      <c r="C471" s="16"/>
      <c r="D471" s="16"/>
      <c r="E471" s="17"/>
      <c r="F471" s="18"/>
      <c r="G471" s="147"/>
      <c r="H471" s="20">
        <v>0</v>
      </c>
      <c r="I471" s="299">
        <f>IN[[#This Row],[Buffer]]</f>
        <v>0</v>
      </c>
      <c r="J471" s="135">
        <f>IF(IN[[#This Row],[Sim_]]=IN[[#This Row],[STAGE]],1,0)</f>
        <v>1</v>
      </c>
      <c r="K471" s="131"/>
      <c r="L471" s="130"/>
      <c r="M471" s="130">
        <f>IF(IN[[#This Row],[Sim_]]=IN[[#This Row],[Sim Var ref]],1,0)</f>
        <v>1</v>
      </c>
      <c r="N471" s="8"/>
      <c r="O471" s="8"/>
      <c r="P471" s="105"/>
      <c r="Q471" s="137">
        <f>IF(IN[[#This Row],[Sim_]]=IN[[#This Row],[Direkt alt]],1,0)</f>
        <v>1</v>
      </c>
      <c r="R471" s="10">
        <v>0</v>
      </c>
      <c r="S471" s="10">
        <f>IF(IN[[#This Row],[Sim_]]=IN[[#This Row],[Buffer]],1,0)</f>
        <v>1</v>
      </c>
      <c r="T471" s="11"/>
      <c r="U471" s="145"/>
      <c r="V471" s="131"/>
      <c r="W471" s="131"/>
      <c r="X471" s="131">
        <v>0</v>
      </c>
      <c r="Y471" s="11"/>
      <c r="Z471" s="174">
        <v>0</v>
      </c>
      <c r="AA471" s="174"/>
      <c r="AB471" s="174"/>
      <c r="AC471" s="300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s="266"/>
      <c r="B472" s="15"/>
      <c r="C472" s="16"/>
      <c r="D472" s="16"/>
      <c r="E472" s="17"/>
      <c r="F472" s="18"/>
      <c r="G472" s="147"/>
      <c r="H472" s="20">
        <v>0</v>
      </c>
      <c r="I472" s="299">
        <f>IN[[#This Row],[Buffer]]</f>
        <v>0</v>
      </c>
      <c r="J472" s="135">
        <f>IF(IN[[#This Row],[Sim_]]=IN[[#This Row],[STAGE]],1,0)</f>
        <v>1</v>
      </c>
      <c r="K472" s="131"/>
      <c r="L472" s="130"/>
      <c r="M472" s="130">
        <f>IF(IN[[#This Row],[Sim_]]=IN[[#This Row],[Sim Var ref]],1,0)</f>
        <v>1</v>
      </c>
      <c r="N472" s="8"/>
      <c r="O472" s="8"/>
      <c r="P472" s="105"/>
      <c r="Q472" s="137">
        <f>IF(IN[[#This Row],[Sim_]]=IN[[#This Row],[Direkt alt]],1,0)</f>
        <v>1</v>
      </c>
      <c r="R472" s="10">
        <v>0</v>
      </c>
      <c r="S472" s="10">
        <f>IF(IN[[#This Row],[Sim_]]=IN[[#This Row],[Buffer]],1,0)</f>
        <v>1</v>
      </c>
      <c r="T472" s="11"/>
      <c r="U472" s="145"/>
      <c r="V472" s="131"/>
      <c r="W472" s="131"/>
      <c r="X472" s="131">
        <v>0</v>
      </c>
      <c r="Y472" s="11"/>
      <c r="Z472" s="174">
        <v>0</v>
      </c>
      <c r="AA472" s="174"/>
      <c r="AB472" s="174"/>
      <c r="AC472" s="300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s="266"/>
      <c r="B473" s="15"/>
      <c r="C473" s="16"/>
      <c r="D473" s="16"/>
      <c r="E473" s="17"/>
      <c r="F473" s="18"/>
      <c r="G473" s="147"/>
      <c r="H473" s="20">
        <v>0</v>
      </c>
      <c r="I473" s="299">
        <f>IN[[#This Row],[Buffer]]</f>
        <v>0</v>
      </c>
      <c r="J473" s="135">
        <f>IF(IN[[#This Row],[Sim_]]=IN[[#This Row],[STAGE]],1,0)</f>
        <v>1</v>
      </c>
      <c r="K473" s="131"/>
      <c r="L473" s="130"/>
      <c r="M473" s="130">
        <f>IF(IN[[#This Row],[Sim_]]=IN[[#This Row],[Sim Var ref]],1,0)</f>
        <v>1</v>
      </c>
      <c r="N473" s="8"/>
      <c r="O473" s="8"/>
      <c r="P473" s="105"/>
      <c r="Q473" s="137">
        <f>IF(IN[[#This Row],[Sim_]]=IN[[#This Row],[Direkt alt]],1,0)</f>
        <v>1</v>
      </c>
      <c r="R473" s="10">
        <v>0</v>
      </c>
      <c r="S473" s="10">
        <f>IF(IN[[#This Row],[Sim_]]=IN[[#This Row],[Buffer]],1,0)</f>
        <v>1</v>
      </c>
      <c r="T473" s="11"/>
      <c r="U473" s="145"/>
      <c r="V473" s="131"/>
      <c r="W473" s="131"/>
      <c r="X473" s="131">
        <v>0</v>
      </c>
      <c r="Y473" s="11"/>
      <c r="Z473" s="174">
        <v>0</v>
      </c>
      <c r="AA473" s="174"/>
      <c r="AB473" s="174"/>
      <c r="AC473" s="300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s="266"/>
      <c r="B474" s="15"/>
      <c r="C474" s="16"/>
      <c r="D474" s="16"/>
      <c r="E474" s="17"/>
      <c r="F474" s="18"/>
      <c r="G474" s="147"/>
      <c r="H474" s="20">
        <v>0</v>
      </c>
      <c r="I474" s="299">
        <f>IN[[#This Row],[Buffer]]</f>
        <v>0</v>
      </c>
      <c r="J474" s="135">
        <f>IF(IN[[#This Row],[Sim_]]=IN[[#This Row],[STAGE]],1,0)</f>
        <v>1</v>
      </c>
      <c r="K474" s="131"/>
      <c r="L474" s="130"/>
      <c r="M474" s="130">
        <f>IF(IN[[#This Row],[Sim_]]=IN[[#This Row],[Sim Var ref]],1,0)</f>
        <v>1</v>
      </c>
      <c r="N474" s="8"/>
      <c r="O474" s="8"/>
      <c r="P474" s="105"/>
      <c r="Q474" s="137">
        <f>IF(IN[[#This Row],[Sim_]]=IN[[#This Row],[Direkt alt]],1,0)</f>
        <v>1</v>
      </c>
      <c r="R474" s="10">
        <v>0</v>
      </c>
      <c r="S474" s="10">
        <f>IF(IN[[#This Row],[Sim_]]=IN[[#This Row],[Buffer]],1,0)</f>
        <v>1</v>
      </c>
      <c r="T474" s="11"/>
      <c r="U474" s="145"/>
      <c r="V474" s="131"/>
      <c r="W474" s="131"/>
      <c r="X474" s="131">
        <v>0</v>
      </c>
      <c r="Y474" s="11"/>
      <c r="Z474" s="174">
        <v>0</v>
      </c>
      <c r="AA474" s="174"/>
      <c r="AB474" s="174"/>
      <c r="AC474" s="300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s="266"/>
      <c r="B475" s="15"/>
      <c r="C475" s="16"/>
      <c r="D475" s="16"/>
      <c r="E475" s="17"/>
      <c r="F475" s="18"/>
      <c r="G475" s="147"/>
      <c r="H475" s="20">
        <v>0</v>
      </c>
      <c r="I475" s="299">
        <f>IN[[#This Row],[Buffer]]</f>
        <v>0</v>
      </c>
      <c r="J475" s="135">
        <f>IF(IN[[#This Row],[Sim_]]=IN[[#This Row],[STAGE]],1,0)</f>
        <v>1</v>
      </c>
      <c r="K475" s="131"/>
      <c r="L475" s="130"/>
      <c r="M475" s="130">
        <f>IF(IN[[#This Row],[Sim_]]=IN[[#This Row],[Sim Var ref]],1,0)</f>
        <v>1</v>
      </c>
      <c r="N475" s="8"/>
      <c r="O475" s="8"/>
      <c r="P475" s="105"/>
      <c r="Q475" s="137">
        <f>IF(IN[[#This Row],[Sim_]]=IN[[#This Row],[Direkt alt]],1,0)</f>
        <v>1</v>
      </c>
      <c r="R475" s="10">
        <v>0</v>
      </c>
      <c r="S475" s="10">
        <f>IF(IN[[#This Row],[Sim_]]=IN[[#This Row],[Buffer]],1,0)</f>
        <v>1</v>
      </c>
      <c r="T475" s="11"/>
      <c r="U475" s="145"/>
      <c r="V475" s="131"/>
      <c r="W475" s="131"/>
      <c r="X475" s="131">
        <v>0</v>
      </c>
      <c r="Y475" s="11"/>
      <c r="Z475" s="174">
        <v>0</v>
      </c>
      <c r="AA475" s="174"/>
      <c r="AB475" s="174"/>
      <c r="AC475" s="300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s="266"/>
      <c r="B476" s="15"/>
      <c r="C476" s="16"/>
      <c r="D476" s="16"/>
      <c r="E476" s="17"/>
      <c r="F476" s="18"/>
      <c r="G476" s="147"/>
      <c r="H476" s="20">
        <v>0</v>
      </c>
      <c r="I476" s="299">
        <f>IN[[#This Row],[Buffer]]</f>
        <v>0</v>
      </c>
      <c r="J476" s="135">
        <f>IF(IN[[#This Row],[Sim_]]=IN[[#This Row],[STAGE]],1,0)</f>
        <v>1</v>
      </c>
      <c r="K476" s="131"/>
      <c r="L476" s="130"/>
      <c r="M476" s="130">
        <f>IF(IN[[#This Row],[Sim_]]=IN[[#This Row],[Sim Var ref]],1,0)</f>
        <v>1</v>
      </c>
      <c r="N476" s="8"/>
      <c r="O476" s="8"/>
      <c r="P476" s="105"/>
      <c r="Q476" s="137">
        <f>IF(IN[[#This Row],[Sim_]]=IN[[#This Row],[Direkt alt]],1,0)</f>
        <v>1</v>
      </c>
      <c r="R476" s="10">
        <v>0</v>
      </c>
      <c r="S476" s="10">
        <f>IF(IN[[#This Row],[Sim_]]=IN[[#This Row],[Buffer]],1,0)</f>
        <v>1</v>
      </c>
      <c r="T476" s="11"/>
      <c r="U476" s="145"/>
      <c r="V476" s="131"/>
      <c r="W476" s="131"/>
      <c r="X476" s="131">
        <v>0</v>
      </c>
      <c r="Y476" s="11"/>
      <c r="Z476" s="174">
        <v>0</v>
      </c>
      <c r="AA476" s="174"/>
      <c r="AB476" s="174"/>
      <c r="AC476" s="300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s="266"/>
      <c r="B477" s="15"/>
      <c r="C477" s="16"/>
      <c r="D477" s="16"/>
      <c r="E477" s="17"/>
      <c r="F477" s="18"/>
      <c r="G477" s="147"/>
      <c r="H477" s="20">
        <v>0</v>
      </c>
      <c r="I477" s="299">
        <f>IN[[#This Row],[Buffer]]</f>
        <v>0</v>
      </c>
      <c r="J477" s="135">
        <f>IF(IN[[#This Row],[Sim_]]=IN[[#This Row],[STAGE]],1,0)</f>
        <v>1</v>
      </c>
      <c r="K477" s="131"/>
      <c r="L477" s="130"/>
      <c r="M477" s="130">
        <f>IF(IN[[#This Row],[Sim_]]=IN[[#This Row],[Sim Var ref]],1,0)</f>
        <v>1</v>
      </c>
      <c r="N477" s="8"/>
      <c r="O477" s="8"/>
      <c r="P477" s="105"/>
      <c r="Q477" s="137">
        <f>IF(IN[[#This Row],[Sim_]]=IN[[#This Row],[Direkt alt]],1,0)</f>
        <v>1</v>
      </c>
      <c r="R477" s="10">
        <v>0</v>
      </c>
      <c r="S477" s="10">
        <f>IF(IN[[#This Row],[Sim_]]=IN[[#This Row],[Buffer]],1,0)</f>
        <v>1</v>
      </c>
      <c r="T477" s="11"/>
      <c r="U477" s="145"/>
      <c r="V477" s="131"/>
      <c r="W477" s="131"/>
      <c r="X477" s="131">
        <v>0</v>
      </c>
      <c r="Y477" s="11"/>
      <c r="Z477" s="174">
        <v>0</v>
      </c>
      <c r="AA477" s="174"/>
      <c r="AB477" s="174"/>
      <c r="AC477" s="300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s="266"/>
      <c r="B478" s="15"/>
      <c r="C478" s="16"/>
      <c r="D478" s="16"/>
      <c r="E478" s="17"/>
      <c r="F478" s="18"/>
      <c r="G478" s="147"/>
      <c r="H478" s="20">
        <v>0</v>
      </c>
      <c r="I478" s="299">
        <f>IN[[#This Row],[Buffer]]</f>
        <v>0</v>
      </c>
      <c r="J478" s="135">
        <f>IF(IN[[#This Row],[Sim_]]=IN[[#This Row],[STAGE]],1,0)</f>
        <v>1</v>
      </c>
      <c r="K478" s="131"/>
      <c r="L478" s="130"/>
      <c r="M478" s="130">
        <f>IF(IN[[#This Row],[Sim_]]=IN[[#This Row],[Sim Var ref]],1,0)</f>
        <v>1</v>
      </c>
      <c r="N478" s="8"/>
      <c r="O478" s="8"/>
      <c r="P478" s="105"/>
      <c r="Q478" s="137">
        <f>IF(IN[[#This Row],[Sim_]]=IN[[#This Row],[Direkt alt]],1,0)</f>
        <v>1</v>
      </c>
      <c r="R478" s="10">
        <v>0</v>
      </c>
      <c r="S478" s="10">
        <f>IF(IN[[#This Row],[Sim_]]=IN[[#This Row],[Buffer]],1,0)</f>
        <v>1</v>
      </c>
      <c r="T478" s="11"/>
      <c r="U478" s="145"/>
      <c r="V478" s="131"/>
      <c r="W478" s="131"/>
      <c r="X478" s="131">
        <v>0</v>
      </c>
      <c r="Y478" s="11"/>
      <c r="Z478" s="174">
        <v>0</v>
      </c>
      <c r="AA478" s="174"/>
      <c r="AB478" s="174"/>
      <c r="AC478" s="300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s="266"/>
      <c r="B479" s="15"/>
      <c r="C479" s="16"/>
      <c r="D479" s="16"/>
      <c r="E479" s="17"/>
      <c r="F479" s="18"/>
      <c r="G479" s="147"/>
      <c r="H479" s="20">
        <v>0</v>
      </c>
      <c r="I479" s="299">
        <f>IN[[#This Row],[Buffer]]</f>
        <v>0</v>
      </c>
      <c r="J479" s="135">
        <f>IF(IN[[#This Row],[Sim_]]=IN[[#This Row],[STAGE]],1,0)</f>
        <v>1</v>
      </c>
      <c r="K479" s="131"/>
      <c r="L479" s="130"/>
      <c r="M479" s="130">
        <f>IF(IN[[#This Row],[Sim_]]=IN[[#This Row],[Sim Var ref]],1,0)</f>
        <v>1</v>
      </c>
      <c r="N479" s="8"/>
      <c r="O479" s="8"/>
      <c r="P479" s="105"/>
      <c r="Q479" s="137">
        <f>IF(IN[[#This Row],[Sim_]]=IN[[#This Row],[Direkt alt]],1,0)</f>
        <v>1</v>
      </c>
      <c r="R479" s="10">
        <v>0</v>
      </c>
      <c r="S479" s="10">
        <f>IF(IN[[#This Row],[Sim_]]=IN[[#This Row],[Buffer]],1,0)</f>
        <v>1</v>
      </c>
      <c r="T479" s="11"/>
      <c r="U479" s="145"/>
      <c r="V479" s="131"/>
      <c r="W479" s="131"/>
      <c r="X479" s="131">
        <v>0</v>
      </c>
      <c r="Y479" s="11"/>
      <c r="Z479" s="174">
        <v>0</v>
      </c>
      <c r="AA479" s="174"/>
      <c r="AB479" s="174"/>
      <c r="AC479" s="300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s="266"/>
      <c r="B480" s="15"/>
      <c r="C480" s="16"/>
      <c r="D480" s="16"/>
      <c r="E480" s="17"/>
      <c r="F480" s="18"/>
      <c r="G480" s="147"/>
      <c r="H480" s="20">
        <v>0</v>
      </c>
      <c r="I480" s="299">
        <f>IN[[#This Row],[Buffer]]</f>
        <v>0</v>
      </c>
      <c r="J480" s="135">
        <f>IF(IN[[#This Row],[Sim_]]=IN[[#This Row],[STAGE]],1,0)</f>
        <v>1</v>
      </c>
      <c r="K480" s="131"/>
      <c r="L480" s="130"/>
      <c r="M480" s="130">
        <f>IF(IN[[#This Row],[Sim_]]=IN[[#This Row],[Sim Var ref]],1,0)</f>
        <v>1</v>
      </c>
      <c r="N480" s="8"/>
      <c r="O480" s="8"/>
      <c r="P480" s="105"/>
      <c r="Q480" s="137">
        <f>IF(IN[[#This Row],[Sim_]]=IN[[#This Row],[Direkt alt]],1,0)</f>
        <v>1</v>
      </c>
      <c r="R480" s="10">
        <v>0</v>
      </c>
      <c r="S480" s="10">
        <f>IF(IN[[#This Row],[Sim_]]=IN[[#This Row],[Buffer]],1,0)</f>
        <v>1</v>
      </c>
      <c r="T480" s="11"/>
      <c r="U480" s="145"/>
      <c r="V480" s="131"/>
      <c r="W480" s="131"/>
      <c r="X480" s="131">
        <v>0</v>
      </c>
      <c r="Y480" s="11"/>
      <c r="Z480" s="174">
        <v>0</v>
      </c>
      <c r="AA480" s="174"/>
      <c r="AB480" s="174"/>
      <c r="AC480" s="30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ht="26.25" x14ac:dyDescent="0.25">
      <c r="A481" s="301"/>
      <c r="B481" s="301"/>
      <c r="C481" s="302" t="e">
        <f>ROWS(#REF!)-1</f>
        <v>#REF!</v>
      </c>
      <c r="D481" s="302" t="s">
        <v>293</v>
      </c>
      <c r="E481" s="301"/>
      <c r="F481" s="303"/>
      <c r="G481" s="304"/>
      <c r="H481" s="305"/>
      <c r="I481" s="301"/>
      <c r="J481" s="301"/>
      <c r="K481" s="301"/>
      <c r="L481" s="301"/>
      <c r="M481" s="301"/>
      <c r="N481" s="301"/>
      <c r="O481" s="301"/>
      <c r="P481" s="301"/>
      <c r="Q481" s="301"/>
      <c r="R481" s="301"/>
      <c r="S481" s="301"/>
      <c r="T481" s="301"/>
      <c r="U481" s="301"/>
      <c r="V481" s="301"/>
      <c r="W481" s="301"/>
      <c r="X481" s="301"/>
      <c r="Y481" s="301"/>
      <c r="Z481" s="301"/>
      <c r="AA481" s="301"/>
      <c r="AB481" s="301"/>
      <c r="AC481" s="301"/>
    </row>
    <row r="482" spans="1:36" x14ac:dyDescent="0.25">
      <c r="A482" s="139" t="s">
        <v>220</v>
      </c>
      <c r="B482" s="306" t="s">
        <v>594</v>
      </c>
      <c r="C482" s="16" t="s">
        <v>595</v>
      </c>
      <c r="D482" s="307" t="s">
        <v>596</v>
      </c>
      <c r="E482" s="17" t="s">
        <v>285</v>
      </c>
      <c r="F482" s="18"/>
      <c r="G482" s="134" t="str">
        <f ca="1">_xlfn.FORMULATEXT(IN[[#This Row],[STAGE]])</f>
        <v>=[@Buffer]</v>
      </c>
      <c r="H482" s="20">
        <v>0</v>
      </c>
      <c r="I482" s="104">
        <f>IN[[#This Row],[Buffer]]</f>
        <v>56.931735467605122</v>
      </c>
      <c r="J482" s="135">
        <f>IF(IN[[#This Row],[Sim_]]=IN[[#This Row],[STAGE]],1,0)</f>
        <v>1</v>
      </c>
      <c r="K482" s="210">
        <f>INDEX(input_nutz_IW_S_Wohnen,K168)*'[1]⚙'!$B$7</f>
        <v>56.931735467605122</v>
      </c>
      <c r="L482" s="130"/>
      <c r="M482" s="130">
        <f>IF(IN[[#This Row],[Sim_]]=IN[[#This Row],[Sim Var ref]],1,0)</f>
        <v>0</v>
      </c>
      <c r="N482" s="8"/>
      <c r="O482" s="8">
        <v>371</v>
      </c>
      <c r="P482" s="105"/>
      <c r="Q482" s="137">
        <f>IF(IN[[#This Row],[Sim_]]=IN[[#This Row],[Direkt alt]],1,0)</f>
        <v>0</v>
      </c>
      <c r="R482" s="10">
        <v>56.931735467605122</v>
      </c>
      <c r="S482" s="10">
        <f>IF(IN[[#This Row],[Sim_]]=IN[[#This Row],[Buffer]],1,0)</f>
        <v>1</v>
      </c>
      <c r="T482" s="11" t="e">
        <f>'[1]⚙'!#REF!</f>
        <v>#REF!</v>
      </c>
      <c r="U482" s="104">
        <f>IN[[#This Row],[Buffer]]</f>
        <v>56.931735467605122</v>
      </c>
      <c r="V482" s="131">
        <f>INDEX(input_nutz_IW_S_Wohnen,V168)*'[1]⚙'!$B$7</f>
        <v>56.931735467605122</v>
      </c>
      <c r="W482" s="131">
        <f>INDEX(input_nutz_IW_S_Wohnen,W168)*'[1]⚙'!$B$7</f>
        <v>56.931735467605122</v>
      </c>
      <c r="X482" s="131">
        <v>56.931735467605122</v>
      </c>
      <c r="Y482" s="11">
        <f>'[1]⚙'!D7</f>
        <v>0</v>
      </c>
      <c r="Z482" s="174">
        <v>56.931735467605122</v>
      </c>
      <c r="AA482" s="174">
        <v>56.931735467605122</v>
      </c>
      <c r="AB482" s="174">
        <v>56.931735467605122</v>
      </c>
      <c r="AC482" s="106">
        <v>56.931735467605122</v>
      </c>
      <c r="AD482">
        <v>56.931735467605122</v>
      </c>
      <c r="AE482">
        <v>56.931735467605122</v>
      </c>
      <c r="AF482">
        <v>56.931735467605122</v>
      </c>
      <c r="AG482">
        <v>56.931735467605122</v>
      </c>
      <c r="AH482">
        <v>56.931735467605122</v>
      </c>
      <c r="AI482">
        <v>56.931735467605122</v>
      </c>
      <c r="AJ482">
        <v>56.931735467605122</v>
      </c>
    </row>
    <row r="483" spans="1:36" x14ac:dyDescent="0.25">
      <c r="A483" s="139" t="s">
        <v>220</v>
      </c>
      <c r="B483" s="306" t="s">
        <v>597</v>
      </c>
      <c r="C483" s="16" t="s">
        <v>595</v>
      </c>
      <c r="D483" s="307" t="s">
        <v>596</v>
      </c>
      <c r="E483" s="17" t="s">
        <v>285</v>
      </c>
      <c r="F483" s="18"/>
      <c r="G483" s="134" t="str">
        <f ca="1">_xlfn.FORMULATEXT(IN[[#This Row],[STAGE]])</f>
        <v>=[@Buffer]</v>
      </c>
      <c r="H483" s="20">
        <v>0</v>
      </c>
      <c r="I483" s="104">
        <f>IN[[#This Row],[Buffer]]</f>
        <v>28.465867733802561</v>
      </c>
      <c r="J483" s="135">
        <f>IF(IN[[#This Row],[Sim_]]=IN[[#This Row],[STAGE]],1,0)</f>
        <v>1</v>
      </c>
      <c r="K483" s="210">
        <f>INDEX(input_nutz_IW_W_Wohnen,K169)*'[1]⚙'!$B$8</f>
        <v>28.465867733802561</v>
      </c>
      <c r="L483" s="130"/>
      <c r="M483" s="130">
        <f>IF(IN[[#This Row],[Sim_]]=IN[[#This Row],[Sim Var ref]],1,0)</f>
        <v>0</v>
      </c>
      <c r="N483" s="8"/>
      <c r="O483" s="8">
        <v>372</v>
      </c>
      <c r="P483" s="105"/>
      <c r="Q483" s="137">
        <f>IF(IN[[#This Row],[Sim_]]=IN[[#This Row],[Direkt alt]],1,0)</f>
        <v>0</v>
      </c>
      <c r="R483" s="10">
        <v>28.465867733802561</v>
      </c>
      <c r="S483" s="10">
        <f>IF(IN[[#This Row],[Sim_]]=IN[[#This Row],[Buffer]],1,0)</f>
        <v>1</v>
      </c>
      <c r="T483" s="11" t="e">
        <f>'[1]⚙'!#REF!</f>
        <v>#REF!</v>
      </c>
      <c r="U483" s="104">
        <f>IN[[#This Row],[Buffer]]</f>
        <v>28.465867733802561</v>
      </c>
      <c r="V483" s="131">
        <f>INDEX(input_nutz_IW_W_Wohnen,V169)*'[1]⚙'!$B$8</f>
        <v>28.465867733802561</v>
      </c>
      <c r="W483" s="131">
        <f>INDEX(input_nutz_IW_W_Wohnen,W169)*'[1]⚙'!$B$8</f>
        <v>28.465867733802561</v>
      </c>
      <c r="X483" s="131">
        <v>28.465867733802561</v>
      </c>
      <c r="Y483" s="11">
        <f>'[1]⚙'!D8</f>
        <v>0</v>
      </c>
      <c r="Z483" s="174">
        <v>28.465867733802561</v>
      </c>
      <c r="AA483" s="174">
        <v>28.465867733802561</v>
      </c>
      <c r="AB483" s="174">
        <v>28.465867733802561</v>
      </c>
      <c r="AC483" s="106">
        <v>28.465867733802561</v>
      </c>
      <c r="AD483">
        <v>28.465867733802561</v>
      </c>
      <c r="AE483">
        <v>28.465867733802561</v>
      </c>
      <c r="AF483">
        <v>28.465867733802561</v>
      </c>
      <c r="AG483">
        <v>28.465867733802561</v>
      </c>
      <c r="AH483">
        <v>28.465867733802561</v>
      </c>
      <c r="AI483">
        <v>28.465867733802561</v>
      </c>
      <c r="AJ483">
        <v>28.465867733802561</v>
      </c>
    </row>
    <row r="484" spans="1:36" x14ac:dyDescent="0.25">
      <c r="A484" s="139" t="s">
        <v>220</v>
      </c>
      <c r="B484" s="306" t="s">
        <v>598</v>
      </c>
      <c r="C484" s="16" t="s">
        <v>595</v>
      </c>
      <c r="D484" s="307" t="s">
        <v>596</v>
      </c>
      <c r="E484" s="17" t="s">
        <v>285</v>
      </c>
      <c r="F484" s="18"/>
      <c r="G484" s="134" t="str">
        <f ca="1">_xlfn.FORMULATEXT(IN[[#This Row],[STAGE]])</f>
        <v>=[@Buffer]</v>
      </c>
      <c r="H484" s="20">
        <v>0</v>
      </c>
      <c r="I484" s="104">
        <f>IN[[#This Row],[Buffer]]</f>
        <v>75.337928683515102</v>
      </c>
      <c r="J484" s="135">
        <f>IF(IN[[#This Row],[Sim_]]=IN[[#This Row],[STAGE]],1,0)</f>
        <v>1</v>
      </c>
      <c r="K484" s="210">
        <f>INDEX(input_nutz_IW_S_Buero,K169)*'[1]⚙'!$B9</f>
        <v>75.337928683515102</v>
      </c>
      <c r="L484" s="130"/>
      <c r="M484" s="130">
        <f>IF(IN[[#This Row],[Sim_]]=IN[[#This Row],[Sim Var ref]],1,0)</f>
        <v>0</v>
      </c>
      <c r="N484" s="8"/>
      <c r="O484" s="8">
        <v>373</v>
      </c>
      <c r="P484" s="105"/>
      <c r="Q484" s="137">
        <f>IF(IN[[#This Row],[Sim_]]=IN[[#This Row],[Direkt alt]],1,0)</f>
        <v>0</v>
      </c>
      <c r="R484" s="10">
        <v>75.337928683515102</v>
      </c>
      <c r="S484" s="10">
        <f>IF(IN[[#This Row],[Sim_]]=IN[[#This Row],[Buffer]],1,0)</f>
        <v>1</v>
      </c>
      <c r="T484" s="11" t="e">
        <f>'[1]⚙'!#REF!</f>
        <v>#REF!</v>
      </c>
      <c r="U484" s="104">
        <f>IN[[#This Row],[Buffer]]</f>
        <v>75.337928683515102</v>
      </c>
      <c r="V484" s="131">
        <f>INDEX(input_nutz_IW_S_Buero,V169)*'[1]⚙'!$B9</f>
        <v>75.337928683515102</v>
      </c>
      <c r="W484" s="131">
        <f>INDEX(input_nutz_IW_S_Buero,W169)*'[1]⚙'!$B9</f>
        <v>75.337928683515102</v>
      </c>
      <c r="X484" s="131">
        <v>75.337928683515102</v>
      </c>
      <c r="Y484" s="11">
        <f>'[1]⚙'!D9</f>
        <v>0</v>
      </c>
      <c r="Z484" s="174">
        <v>75.337928683515102</v>
      </c>
      <c r="AA484" s="174">
        <v>75.337928683515102</v>
      </c>
      <c r="AB484" s="174">
        <v>75.337928683515102</v>
      </c>
      <c r="AC484" s="106">
        <v>75.337928683515102</v>
      </c>
      <c r="AD484">
        <v>75.337928683515102</v>
      </c>
      <c r="AE484">
        <v>75.337928683515102</v>
      </c>
      <c r="AF484">
        <v>75.337928683515102</v>
      </c>
      <c r="AG484">
        <v>75.337928683515102</v>
      </c>
      <c r="AH484">
        <v>75.337928683515102</v>
      </c>
      <c r="AI484">
        <v>75.337928683515102</v>
      </c>
      <c r="AJ484">
        <v>75.337928683515102</v>
      </c>
    </row>
    <row r="485" spans="1:36" x14ac:dyDescent="0.25">
      <c r="A485" s="139" t="s">
        <v>220</v>
      </c>
      <c r="B485" s="306" t="s">
        <v>599</v>
      </c>
      <c r="C485" s="16" t="s">
        <v>595</v>
      </c>
      <c r="D485" s="307" t="s">
        <v>596</v>
      </c>
      <c r="E485" s="17" t="s">
        <v>285</v>
      </c>
      <c r="F485" s="18"/>
      <c r="G485" s="134" t="str">
        <f ca="1">_xlfn.FORMULATEXT(IN[[#This Row],[STAGE]])</f>
        <v>=[@Buffer]</v>
      </c>
      <c r="H485" s="20">
        <v>0</v>
      </c>
      <c r="I485" s="104">
        <f>IN[[#This Row],[Buffer]]</f>
        <v>37.668964341757551</v>
      </c>
      <c r="J485" s="135">
        <f>IF(IN[[#This Row],[Sim_]]=IN[[#This Row],[STAGE]],1,0)</f>
        <v>1</v>
      </c>
      <c r="K485" s="210">
        <f>INDEX(input_nutz_IW_S_Buero,K169)*'[1]⚙'!$B10</f>
        <v>37.668964341757551</v>
      </c>
      <c r="L485" s="130"/>
      <c r="M485" s="130">
        <f>IF(IN[[#This Row],[Sim_]]=IN[[#This Row],[Sim Var ref]],1,0)</f>
        <v>0</v>
      </c>
      <c r="N485" s="8"/>
      <c r="O485" s="8">
        <v>374</v>
      </c>
      <c r="P485" s="105"/>
      <c r="Q485" s="137">
        <f>IF(IN[[#This Row],[Sim_]]=IN[[#This Row],[Direkt alt]],1,0)</f>
        <v>0</v>
      </c>
      <c r="R485" s="10">
        <v>37.668964341757551</v>
      </c>
      <c r="S485" s="10">
        <f>IF(IN[[#This Row],[Sim_]]=IN[[#This Row],[Buffer]],1,0)</f>
        <v>1</v>
      </c>
      <c r="T485" s="11" t="e">
        <f>'[1]⚙'!#REF!</f>
        <v>#REF!</v>
      </c>
      <c r="U485" s="104">
        <f>IN[[#This Row],[Buffer]]</f>
        <v>37.668964341757551</v>
      </c>
      <c r="V485" s="131">
        <f>INDEX(input_nutz_IW_S_Buero,V169)*'[1]⚙'!$B10</f>
        <v>37.668964341757551</v>
      </c>
      <c r="W485" s="131">
        <f>INDEX(input_nutz_IW_S_Buero,W169)*'[1]⚙'!$B10</f>
        <v>37.668964341757551</v>
      </c>
      <c r="X485" s="131">
        <v>37.668964341757551</v>
      </c>
      <c r="Y485" s="11">
        <f>'[1]⚙'!D10</f>
        <v>0</v>
      </c>
      <c r="Z485" s="174">
        <v>37.668964341757551</v>
      </c>
      <c r="AA485" s="174">
        <v>37.668964341757551</v>
      </c>
      <c r="AB485" s="174">
        <v>37.668964341757551</v>
      </c>
      <c r="AC485" s="106">
        <v>37.668964341757551</v>
      </c>
      <c r="AD485">
        <v>37.668964341757551</v>
      </c>
      <c r="AE485">
        <v>37.668964341757551</v>
      </c>
      <c r="AF485">
        <v>37.668964341757551</v>
      </c>
      <c r="AG485">
        <v>37.668964341757551</v>
      </c>
      <c r="AH485">
        <v>37.668964341757551</v>
      </c>
      <c r="AI485">
        <v>37.668964341757551</v>
      </c>
      <c r="AJ485">
        <v>37.668964341757551</v>
      </c>
    </row>
    <row r="486" spans="1:36" x14ac:dyDescent="0.25">
      <c r="A486" s="139" t="s">
        <v>220</v>
      </c>
      <c r="B486" s="306" t="s">
        <v>600</v>
      </c>
      <c r="C486" s="16" t="s">
        <v>595</v>
      </c>
      <c r="D486" s="307" t="s">
        <v>596</v>
      </c>
      <c r="E486" s="17" t="s">
        <v>285</v>
      </c>
      <c r="F486" s="18"/>
      <c r="G486" s="134" t="str">
        <f ca="1">_xlfn.FORMULATEXT(IN[[#This Row],[STAGE]])</f>
        <v>=[@Buffer]</v>
      </c>
      <c r="H486" s="20">
        <v>0</v>
      </c>
      <c r="I486" s="104">
        <f>IN[[#This Row],[Buffer]]</f>
        <v>106.54271012281082</v>
      </c>
      <c r="J486" s="135">
        <f>IF(IN[[#This Row],[Sim_]]=IN[[#This Row],[STAGE]],1,0)</f>
        <v>1</v>
      </c>
      <c r="K486" s="210">
        <f>INDEX(input_nutz_IW_W_Schule,K170)*'[1]⚙'!$B11</f>
        <v>106.54271012281082</v>
      </c>
      <c r="L486" s="130"/>
      <c r="M486" s="130">
        <f>IF(IN[[#This Row],[Sim_]]=IN[[#This Row],[Sim Var ref]],1,0)</f>
        <v>0</v>
      </c>
      <c r="N486" s="8"/>
      <c r="O486" s="8">
        <v>375</v>
      </c>
      <c r="P486" s="105"/>
      <c r="Q486" s="137">
        <f>IF(IN[[#This Row],[Sim_]]=IN[[#This Row],[Direkt alt]],1,0)</f>
        <v>0</v>
      </c>
      <c r="R486" s="10">
        <v>106.54271012281082</v>
      </c>
      <c r="S486" s="10">
        <f>IF(IN[[#This Row],[Sim_]]=IN[[#This Row],[Buffer]],1,0)</f>
        <v>1</v>
      </c>
      <c r="T486" s="11" t="e">
        <f>'[1]⚙'!#REF!</f>
        <v>#REF!</v>
      </c>
      <c r="U486" s="104">
        <f>IN[[#This Row],[Buffer]]</f>
        <v>106.54271012281082</v>
      </c>
      <c r="V486" s="131">
        <f>INDEX(input_nutz_IW_W_Schule,V170)*'[1]⚙'!$B11</f>
        <v>106.54271012281082</v>
      </c>
      <c r="W486" s="131">
        <f>INDEX(input_nutz_IW_W_Schule,W170)*'[1]⚙'!$B11</f>
        <v>106.54271012281082</v>
      </c>
      <c r="X486" s="131">
        <v>106.54271012281082</v>
      </c>
      <c r="Y486" s="11">
        <f>'[1]⚙'!D11</f>
        <v>0</v>
      </c>
      <c r="Z486" s="174">
        <v>106.54271012281082</v>
      </c>
      <c r="AA486" s="174">
        <v>106.54271012281082</v>
      </c>
      <c r="AB486" s="174">
        <v>106.54271012281082</v>
      </c>
      <c r="AC486" s="106">
        <v>106.54271012281082</v>
      </c>
      <c r="AD486">
        <v>106.54271012281082</v>
      </c>
      <c r="AE486">
        <v>106.54271012281082</v>
      </c>
      <c r="AF486">
        <v>106.54271012281082</v>
      </c>
      <c r="AG486">
        <v>106.54271012281082</v>
      </c>
      <c r="AH486">
        <v>106.54271012281082</v>
      </c>
      <c r="AI486">
        <v>106.54271012281082</v>
      </c>
      <c r="AJ486">
        <v>106.54271012281082</v>
      </c>
    </row>
    <row r="487" spans="1:36" x14ac:dyDescent="0.25">
      <c r="A487" s="139" t="s">
        <v>220</v>
      </c>
      <c r="B487" s="306" t="s">
        <v>601</v>
      </c>
      <c r="C487" s="16" t="s">
        <v>595</v>
      </c>
      <c r="D487" s="307" t="s">
        <v>596</v>
      </c>
      <c r="E487" s="17" t="s">
        <v>285</v>
      </c>
      <c r="F487" s="18"/>
      <c r="G487" s="134" t="str">
        <f ca="1">_xlfn.FORMULATEXT(IN[[#This Row],[STAGE]])</f>
        <v>=[@Buffer]</v>
      </c>
      <c r="H487" s="20">
        <v>0</v>
      </c>
      <c r="I487" s="104">
        <f>IN[[#This Row],[Buffer]]</f>
        <v>53.271355061405409</v>
      </c>
      <c r="J487" s="135">
        <f>IF(IN[[#This Row],[Sim_]]=IN[[#This Row],[STAGE]],1,0)</f>
        <v>1</v>
      </c>
      <c r="K487" s="210">
        <f>INDEX(input_nutz_IW_S_Schule,K170)*'[1]⚙'!$B12</f>
        <v>53.271355061405409</v>
      </c>
      <c r="L487" s="130"/>
      <c r="M487" s="130">
        <f>IF(IN[[#This Row],[Sim_]]=IN[[#This Row],[Sim Var ref]],1,0)</f>
        <v>0</v>
      </c>
      <c r="N487" s="8"/>
      <c r="O487" s="8">
        <v>376</v>
      </c>
      <c r="P487" s="105"/>
      <c r="Q487" s="137">
        <f>IF(IN[[#This Row],[Sim_]]=IN[[#This Row],[Direkt alt]],1,0)</f>
        <v>0</v>
      </c>
      <c r="R487" s="10">
        <v>53.271355061405409</v>
      </c>
      <c r="S487" s="10">
        <f>IF(IN[[#This Row],[Sim_]]=IN[[#This Row],[Buffer]],1,0)</f>
        <v>1</v>
      </c>
      <c r="T487" s="11" t="e">
        <f>'[1]⚙'!#REF!</f>
        <v>#REF!</v>
      </c>
      <c r="U487" s="104">
        <f>IN[[#This Row],[Buffer]]</f>
        <v>53.271355061405409</v>
      </c>
      <c r="V487" s="131">
        <f>INDEX(input_nutz_IW_S_Schule,V170)*'[1]⚙'!$B12</f>
        <v>53.271355061405409</v>
      </c>
      <c r="W487" s="131">
        <f>INDEX(input_nutz_IW_S_Schule,W170)*'[1]⚙'!$B12</f>
        <v>53.271355061405409</v>
      </c>
      <c r="X487" s="131">
        <v>53.271355061405409</v>
      </c>
      <c r="Y487" s="11">
        <f>'[1]⚙'!D12</f>
        <v>0</v>
      </c>
      <c r="Z487" s="174">
        <v>53.271355061405409</v>
      </c>
      <c r="AA487" s="174">
        <v>53.271355061405409</v>
      </c>
      <c r="AB487" s="174">
        <v>53.271355061405409</v>
      </c>
      <c r="AC487" s="106">
        <v>53.271355061405409</v>
      </c>
      <c r="AD487">
        <v>53.271355061405409</v>
      </c>
      <c r="AE487">
        <v>53.271355061405409</v>
      </c>
      <c r="AF487">
        <v>53.271355061405409</v>
      </c>
      <c r="AG487">
        <v>53.271355061405409</v>
      </c>
      <c r="AH487">
        <v>53.271355061405409</v>
      </c>
      <c r="AI487">
        <v>53.271355061405409</v>
      </c>
      <c r="AJ487">
        <v>53.271355061405409</v>
      </c>
    </row>
    <row r="488" spans="1:36" x14ac:dyDescent="0.25">
      <c r="A488" s="139" t="s">
        <v>220</v>
      </c>
      <c r="B488" s="306" t="s">
        <v>602</v>
      </c>
      <c r="C488" s="16" t="s">
        <v>595</v>
      </c>
      <c r="D488" s="307" t="s">
        <v>596</v>
      </c>
      <c r="E488" s="17" t="s">
        <v>285</v>
      </c>
      <c r="F488" s="18"/>
      <c r="G488" s="134" t="str">
        <f ca="1">_xlfn.FORMULATEXT(IN[[#This Row],[STAGE]])</f>
        <v>=[@Buffer]</v>
      </c>
      <c r="H488" s="20">
        <v>0</v>
      </c>
      <c r="I488" s="104">
        <f>IN[[#This Row],[Buffer]]</f>
        <v>53.99825258791175</v>
      </c>
      <c r="J488" s="135">
        <f>IF(IN[[#This Row],[Sim_]]=IN[[#This Row],[STAGE]],1,0)</f>
        <v>1</v>
      </c>
      <c r="K488" s="210">
        <f>INDEX(input_nutz_IW_W_KIGA,K171)*'[1]⚙'!$B13</f>
        <v>53.99825258791175</v>
      </c>
      <c r="L488" s="130"/>
      <c r="M488" s="130">
        <f>IF(IN[[#This Row],[Sim_]]=IN[[#This Row],[Sim Var ref]],1,0)</f>
        <v>0</v>
      </c>
      <c r="N488" s="8"/>
      <c r="O488" s="8">
        <v>377</v>
      </c>
      <c r="P488" s="105"/>
      <c r="Q488" s="137">
        <f>IF(IN[[#This Row],[Sim_]]=IN[[#This Row],[Direkt alt]],1,0)</f>
        <v>0</v>
      </c>
      <c r="R488" s="10">
        <v>53.99825258791175</v>
      </c>
      <c r="S488" s="10">
        <f>IF(IN[[#This Row],[Sim_]]=IN[[#This Row],[Buffer]],1,0)</f>
        <v>1</v>
      </c>
      <c r="T488" s="11" t="e">
        <f>'[1]⚙'!#REF!</f>
        <v>#REF!</v>
      </c>
      <c r="U488" s="104">
        <f>IN[[#This Row],[Buffer]]</f>
        <v>53.99825258791175</v>
      </c>
      <c r="V488" s="131">
        <f>INDEX(input_nutz_IW_W_KIGA,V171)*'[1]⚙'!$B13</f>
        <v>53.99825258791175</v>
      </c>
      <c r="W488" s="131">
        <f>INDEX(input_nutz_IW_W_KIGA,W171)*'[1]⚙'!$B13</f>
        <v>53.99825258791175</v>
      </c>
      <c r="X488" s="131">
        <v>53.99825258791175</v>
      </c>
      <c r="Y488" s="11">
        <f>'[1]⚙'!D13</f>
        <v>0</v>
      </c>
      <c r="Z488" s="174">
        <v>53.99825258791175</v>
      </c>
      <c r="AA488" s="174">
        <v>53.99825258791175</v>
      </c>
      <c r="AB488" s="174">
        <v>53.99825258791175</v>
      </c>
      <c r="AC488" s="106">
        <v>53.99825258791175</v>
      </c>
      <c r="AD488">
        <v>53.99825258791175</v>
      </c>
      <c r="AE488">
        <v>53.99825258791175</v>
      </c>
      <c r="AF488">
        <v>53.99825258791175</v>
      </c>
      <c r="AG488">
        <v>53.99825258791175</v>
      </c>
      <c r="AH488">
        <v>53.99825258791175</v>
      </c>
      <c r="AI488">
        <v>53.99825258791175</v>
      </c>
      <c r="AJ488">
        <v>53.99825258791175</v>
      </c>
    </row>
    <row r="489" spans="1:36" x14ac:dyDescent="0.25">
      <c r="A489" s="139" t="s">
        <v>220</v>
      </c>
      <c r="B489" s="306" t="s">
        <v>603</v>
      </c>
      <c r="C489" s="16" t="s">
        <v>595</v>
      </c>
      <c r="D489" s="307" t="s">
        <v>596</v>
      </c>
      <c r="E489" s="17" t="s">
        <v>285</v>
      </c>
      <c r="F489" s="18"/>
      <c r="G489" s="134" t="str">
        <f ca="1">_xlfn.FORMULATEXT(IN[[#This Row],[STAGE]])</f>
        <v>=[@Buffer]</v>
      </c>
      <c r="H489" s="20">
        <v>0</v>
      </c>
      <c r="I489" s="104">
        <f>IN[[#This Row],[Buffer]]</f>
        <v>26.999126293955875</v>
      </c>
      <c r="J489" s="135">
        <f>IF(IN[[#This Row],[Sim_]]=IN[[#This Row],[STAGE]],1,0)</f>
        <v>1</v>
      </c>
      <c r="K489" s="210">
        <f>INDEX(input_nutz_IW_S_KIGA,K171)*'[1]⚙'!$B14</f>
        <v>26.999126293955875</v>
      </c>
      <c r="L489" s="130"/>
      <c r="M489" s="130">
        <f>IF(IN[[#This Row],[Sim_]]=IN[[#This Row],[Sim Var ref]],1,0)</f>
        <v>0</v>
      </c>
      <c r="N489" s="8"/>
      <c r="O489" s="8">
        <v>378</v>
      </c>
      <c r="P489" s="105"/>
      <c r="Q489" s="137">
        <f>IF(IN[[#This Row],[Sim_]]=IN[[#This Row],[Direkt alt]],1,0)</f>
        <v>0</v>
      </c>
      <c r="R489" s="10">
        <v>26.999126293955875</v>
      </c>
      <c r="S489" s="10">
        <f>IF(IN[[#This Row],[Sim_]]=IN[[#This Row],[Buffer]],1,0)</f>
        <v>1</v>
      </c>
      <c r="T489" s="11" t="e">
        <f>'[1]⚙'!#REF!</f>
        <v>#REF!</v>
      </c>
      <c r="U489" s="104">
        <f>IN[[#This Row],[Buffer]]</f>
        <v>26.999126293955875</v>
      </c>
      <c r="V489" s="131">
        <f>INDEX(input_nutz_IW_S_KIGA,V171)*'[1]⚙'!$B14</f>
        <v>26.999126293955875</v>
      </c>
      <c r="W489" s="131">
        <f>INDEX(input_nutz_IW_S_KIGA,W171)*'[1]⚙'!$B14</f>
        <v>26.999126293955875</v>
      </c>
      <c r="X489" s="131">
        <v>26.999126293955875</v>
      </c>
      <c r="Y489" s="11">
        <f>'[1]⚙'!D14</f>
        <v>0</v>
      </c>
      <c r="Z489" s="174">
        <v>26.999126293955875</v>
      </c>
      <c r="AA489" s="174">
        <v>26.999126293955875</v>
      </c>
      <c r="AB489" s="174">
        <v>26.999126293955875</v>
      </c>
      <c r="AC489" s="106">
        <v>26.999126293955875</v>
      </c>
      <c r="AD489">
        <v>26.999126293955875</v>
      </c>
      <c r="AE489">
        <v>26.999126293955875</v>
      </c>
      <c r="AF489">
        <v>26.999126293955875</v>
      </c>
      <c r="AG489">
        <v>26.999126293955875</v>
      </c>
      <c r="AH489">
        <v>26.999126293955875</v>
      </c>
      <c r="AI489">
        <v>26.999126293955875</v>
      </c>
      <c r="AJ489">
        <v>26.999126293955875</v>
      </c>
    </row>
    <row r="490" spans="1:36" x14ac:dyDescent="0.25">
      <c r="A490" s="139" t="s">
        <v>220</v>
      </c>
      <c r="B490" s="306" t="s">
        <v>604</v>
      </c>
      <c r="C490" s="16" t="s">
        <v>595</v>
      </c>
      <c r="D490" s="307" t="s">
        <v>596</v>
      </c>
      <c r="E490" s="17" t="s">
        <v>285</v>
      </c>
      <c r="F490" s="18"/>
      <c r="G490" s="134" t="str">
        <f ca="1">_xlfn.FORMULATEXT(IN[[#This Row],[STAGE]])</f>
        <v>=[@Buffer]</v>
      </c>
      <c r="H490" s="20">
        <v>0</v>
      </c>
      <c r="I490" s="104">
        <f>IN[[#This Row],[Buffer]]</f>
        <v>80.818341466503</v>
      </c>
      <c r="J490" s="135">
        <f>IF(IN[[#This Row],[Sim_]]=IN[[#This Row],[STAGE]],1,0)</f>
        <v>1</v>
      </c>
      <c r="K490" s="210">
        <f>INDEX(input_nutz_IW_W_Handel_Food,K172)*'[1]⚙'!$B15</f>
        <v>80.818341466503</v>
      </c>
      <c r="L490" s="130"/>
      <c r="M490" s="130">
        <f>IF(IN[[#This Row],[Sim_]]=IN[[#This Row],[Sim Var ref]],1,0)</f>
        <v>0</v>
      </c>
      <c r="N490" s="8"/>
      <c r="O490" s="8">
        <v>379</v>
      </c>
      <c r="P490" s="105"/>
      <c r="Q490" s="137">
        <f>IF(IN[[#This Row],[Sim_]]=IN[[#This Row],[Direkt alt]],1,0)</f>
        <v>0</v>
      </c>
      <c r="R490" s="10">
        <v>80.818341466503</v>
      </c>
      <c r="S490" s="10">
        <f>IF(IN[[#This Row],[Sim_]]=IN[[#This Row],[Buffer]],1,0)</f>
        <v>1</v>
      </c>
      <c r="T490" s="11" t="e">
        <f>'[1]⚙'!#REF!</f>
        <v>#REF!</v>
      </c>
      <c r="U490" s="104">
        <f>IN[[#This Row],[Buffer]]</f>
        <v>80.818341466503</v>
      </c>
      <c r="V490" s="131">
        <f>INDEX(input_nutz_IW_W_Handel_Food,V172)*'[1]⚙'!$B15</f>
        <v>80.818341466503</v>
      </c>
      <c r="W490" s="131">
        <f>INDEX(input_nutz_IW_W_Handel_Food,W172)*'[1]⚙'!$B15</f>
        <v>80.818341466503</v>
      </c>
      <c r="X490" s="131">
        <v>80.818341466503</v>
      </c>
      <c r="Y490" s="11">
        <f>'[1]⚙'!D15</f>
        <v>0</v>
      </c>
      <c r="Z490" s="174">
        <v>80.818341466503</v>
      </c>
      <c r="AA490" s="174">
        <v>80.818341466503</v>
      </c>
      <c r="AB490" s="174">
        <v>80.818341466503</v>
      </c>
      <c r="AC490" s="106">
        <v>80.818341466503</v>
      </c>
      <c r="AD490">
        <v>80.818341466503</v>
      </c>
      <c r="AE490">
        <v>80.818341466503</v>
      </c>
      <c r="AF490">
        <v>80.818341466503</v>
      </c>
      <c r="AG490">
        <v>80.818341466503</v>
      </c>
      <c r="AH490">
        <v>80.818341466503</v>
      </c>
      <c r="AI490">
        <v>80.818341466503</v>
      </c>
      <c r="AJ490">
        <v>80.818341466503</v>
      </c>
    </row>
    <row r="491" spans="1:36" x14ac:dyDescent="0.25">
      <c r="A491" s="139" t="s">
        <v>220</v>
      </c>
      <c r="B491" s="306" t="s">
        <v>605</v>
      </c>
      <c r="C491" s="16" t="s">
        <v>595</v>
      </c>
      <c r="D491" s="307" t="s">
        <v>596</v>
      </c>
      <c r="E491" s="17" t="s">
        <v>285</v>
      </c>
      <c r="F491" s="18"/>
      <c r="G491" s="134" t="str">
        <f ca="1">_xlfn.FORMULATEXT(IN[[#This Row],[STAGE]])</f>
        <v>=[@Buffer]</v>
      </c>
      <c r="H491" s="20">
        <v>0</v>
      </c>
      <c r="I491" s="104">
        <f>IN[[#This Row],[Buffer]]</f>
        <v>40.4091707332515</v>
      </c>
      <c r="J491" s="135">
        <f>IF(IN[[#This Row],[Sim_]]=IN[[#This Row],[STAGE]],1,0)</f>
        <v>1</v>
      </c>
      <c r="K491" s="210">
        <f>INDEX(input_nutz_IW_S_Handel_Food,K172)*'[1]⚙'!$B16</f>
        <v>40.4091707332515</v>
      </c>
      <c r="L491" s="130"/>
      <c r="M491" s="130">
        <f>IF(IN[[#This Row],[Sim_]]=IN[[#This Row],[Sim Var ref]],1,0)</f>
        <v>0</v>
      </c>
      <c r="N491" s="8"/>
      <c r="O491" s="8">
        <v>380</v>
      </c>
      <c r="P491" s="105"/>
      <c r="Q491" s="137">
        <f>IF(IN[[#This Row],[Sim_]]=IN[[#This Row],[Direkt alt]],1,0)</f>
        <v>0</v>
      </c>
      <c r="R491" s="10">
        <v>40.4091707332515</v>
      </c>
      <c r="S491" s="10">
        <f>IF(IN[[#This Row],[Sim_]]=IN[[#This Row],[Buffer]],1,0)</f>
        <v>1</v>
      </c>
      <c r="T491" s="11" t="e">
        <f>'[1]⚙'!#REF!</f>
        <v>#REF!</v>
      </c>
      <c r="U491" s="104">
        <f>IN[[#This Row],[Buffer]]</f>
        <v>40.4091707332515</v>
      </c>
      <c r="V491" s="131">
        <f>INDEX(input_nutz_IW_S_Handel_Food,V172)*'[1]⚙'!$B16</f>
        <v>40.4091707332515</v>
      </c>
      <c r="W491" s="131">
        <f>INDEX(input_nutz_IW_S_Handel_Food,W172)*'[1]⚙'!$B16</f>
        <v>40.4091707332515</v>
      </c>
      <c r="X491" s="131">
        <v>40.4091707332515</v>
      </c>
      <c r="Y491" s="11">
        <f>'[1]⚙'!D16</f>
        <v>0</v>
      </c>
      <c r="Z491" s="174">
        <v>40.4091707332515</v>
      </c>
      <c r="AA491" s="174">
        <v>40.4091707332515</v>
      </c>
      <c r="AB491" s="174">
        <v>40.4091707332515</v>
      </c>
      <c r="AC491" s="106">
        <v>40.4091707332515</v>
      </c>
      <c r="AD491">
        <v>40.4091707332515</v>
      </c>
      <c r="AE491">
        <v>40.4091707332515</v>
      </c>
      <c r="AF491">
        <v>40.4091707332515</v>
      </c>
      <c r="AG491">
        <v>40.4091707332515</v>
      </c>
      <c r="AH491">
        <v>40.4091707332515</v>
      </c>
      <c r="AI491">
        <v>40.4091707332515</v>
      </c>
      <c r="AJ491">
        <v>40.4091707332515</v>
      </c>
    </row>
    <row r="492" spans="1:36" x14ac:dyDescent="0.25">
      <c r="A492" s="139" t="s">
        <v>220</v>
      </c>
      <c r="B492" s="306" t="s">
        <v>606</v>
      </c>
      <c r="C492" s="16" t="s">
        <v>595</v>
      </c>
      <c r="D492" s="307" t="s">
        <v>596</v>
      </c>
      <c r="E492" s="17" t="s">
        <v>285</v>
      </c>
      <c r="F492" s="18"/>
      <c r="G492" s="134" t="str">
        <f ca="1">_xlfn.FORMULATEXT(IN[[#This Row],[STAGE]])</f>
        <v>=[@Buffer]</v>
      </c>
      <c r="H492" s="20">
        <v>0</v>
      </c>
      <c r="I492" s="104">
        <f>IN[[#This Row],[Buffer]]</f>
        <v>80.818341466503</v>
      </c>
      <c r="J492" s="135">
        <f>IF(IN[[#This Row],[Sim_]]=IN[[#This Row],[STAGE]],1,0)</f>
        <v>1</v>
      </c>
      <c r="K492" s="210">
        <f>INDEX(input_nutz_IW_W_Handel_NonFood,K173)*'[1]⚙'!$B17</f>
        <v>80.818341466503</v>
      </c>
      <c r="L492" s="130"/>
      <c r="M492" s="130">
        <f>IF(IN[[#This Row],[Sim_]]=IN[[#This Row],[Sim Var ref]],1,0)</f>
        <v>0</v>
      </c>
      <c r="N492" s="8"/>
      <c r="O492" s="8">
        <v>381</v>
      </c>
      <c r="P492" s="105"/>
      <c r="Q492" s="137">
        <f>IF(IN[[#This Row],[Sim_]]=IN[[#This Row],[Direkt alt]],1,0)</f>
        <v>0</v>
      </c>
      <c r="R492" s="10">
        <v>80.818341466503</v>
      </c>
      <c r="S492" s="10">
        <f>IF(IN[[#This Row],[Sim_]]=IN[[#This Row],[Buffer]],1,0)</f>
        <v>1</v>
      </c>
      <c r="T492" s="11" t="e">
        <f>'[1]⚙'!#REF!</f>
        <v>#REF!</v>
      </c>
      <c r="U492" s="104">
        <f>IN[[#This Row],[Buffer]]</f>
        <v>80.818341466503</v>
      </c>
      <c r="V492" s="131">
        <f>INDEX(input_nutz_IW_W_Handel_NonFood,V173)*'[1]⚙'!$B17</f>
        <v>80.818341466503</v>
      </c>
      <c r="W492" s="131">
        <f>INDEX(input_nutz_IW_W_Handel_NonFood,W173)*'[1]⚙'!$B17</f>
        <v>80.818341466503</v>
      </c>
      <c r="X492" s="131">
        <v>80.818341466503</v>
      </c>
      <c r="Y492" s="11">
        <f>'[1]⚙'!D17</f>
        <v>0</v>
      </c>
      <c r="Z492" s="174">
        <v>80.818341466503</v>
      </c>
      <c r="AA492" s="174">
        <v>80.818341466503</v>
      </c>
      <c r="AB492" s="174">
        <v>80.818341466503</v>
      </c>
      <c r="AC492" s="106">
        <v>80.818341466503</v>
      </c>
      <c r="AD492">
        <v>80.818341466503</v>
      </c>
      <c r="AE492">
        <v>80.818341466503</v>
      </c>
      <c r="AF492">
        <v>80.818341466503</v>
      </c>
      <c r="AG492">
        <v>80.818341466503</v>
      </c>
      <c r="AH492">
        <v>80.818341466503</v>
      </c>
      <c r="AI492">
        <v>80.818341466503</v>
      </c>
      <c r="AJ492">
        <v>80.818341466503</v>
      </c>
    </row>
    <row r="493" spans="1:36" x14ac:dyDescent="0.25">
      <c r="A493" s="139" t="s">
        <v>220</v>
      </c>
      <c r="B493" s="306" t="s">
        <v>607</v>
      </c>
      <c r="C493" s="16" t="s">
        <v>595</v>
      </c>
      <c r="D493" s="307" t="s">
        <v>596</v>
      </c>
      <c r="E493" s="17" t="s">
        <v>285</v>
      </c>
      <c r="F493" s="18"/>
      <c r="G493" s="134" t="str">
        <f ca="1">_xlfn.FORMULATEXT(IN[[#This Row],[STAGE]])</f>
        <v>=[@Buffer]</v>
      </c>
      <c r="H493" s="20">
        <v>0</v>
      </c>
      <c r="I493" s="104">
        <f>IN[[#This Row],[Buffer]]</f>
        <v>40.4091707332515</v>
      </c>
      <c r="J493" s="135">
        <f>IF(IN[[#This Row],[Sim_]]=IN[[#This Row],[STAGE]],1,0)</f>
        <v>1</v>
      </c>
      <c r="K493" s="210">
        <f>INDEX(input_nutz_IW_S_Handel_NonFood,K173)*'[1]⚙'!$B18</f>
        <v>40.4091707332515</v>
      </c>
      <c r="L493" s="130"/>
      <c r="M493" s="130">
        <f>IF(IN[[#This Row],[Sim_]]=IN[[#This Row],[Sim Var ref]],1,0)</f>
        <v>0</v>
      </c>
      <c r="N493" s="8"/>
      <c r="O493" s="8">
        <v>382</v>
      </c>
      <c r="P493" s="105"/>
      <c r="Q493" s="137">
        <f>IF(IN[[#This Row],[Sim_]]=IN[[#This Row],[Direkt alt]],1,0)</f>
        <v>0</v>
      </c>
      <c r="R493" s="10">
        <v>40.4091707332515</v>
      </c>
      <c r="S493" s="10">
        <f>IF(IN[[#This Row],[Sim_]]=IN[[#This Row],[Buffer]],1,0)</f>
        <v>1</v>
      </c>
      <c r="T493" s="11" t="e">
        <f>'[1]⚙'!#REF!</f>
        <v>#REF!</v>
      </c>
      <c r="U493" s="104">
        <f>IN[[#This Row],[Buffer]]</f>
        <v>40.4091707332515</v>
      </c>
      <c r="V493" s="131">
        <f>INDEX(input_nutz_IW_S_Handel_NonFood,V173)*'[1]⚙'!$B18</f>
        <v>40.4091707332515</v>
      </c>
      <c r="W493" s="131">
        <f>INDEX(input_nutz_IW_S_Handel_NonFood,W173)*'[1]⚙'!$B18</f>
        <v>40.4091707332515</v>
      </c>
      <c r="X493" s="131">
        <v>40.4091707332515</v>
      </c>
      <c r="Y493" s="11">
        <f>'[1]⚙'!D18</f>
        <v>0</v>
      </c>
      <c r="Z493" s="174">
        <v>40.4091707332515</v>
      </c>
      <c r="AA493" s="174">
        <v>40.4091707332515</v>
      </c>
      <c r="AB493" s="174">
        <v>40.4091707332515</v>
      </c>
      <c r="AC493" s="106">
        <v>40.4091707332515</v>
      </c>
      <c r="AD493">
        <v>40.4091707332515</v>
      </c>
      <c r="AE493">
        <v>40.4091707332515</v>
      </c>
      <c r="AF493">
        <v>40.4091707332515</v>
      </c>
      <c r="AG493">
        <v>40.4091707332515</v>
      </c>
      <c r="AH493">
        <v>40.4091707332515</v>
      </c>
      <c r="AI493">
        <v>40.4091707332515</v>
      </c>
      <c r="AJ493">
        <v>40.4091707332515</v>
      </c>
    </row>
    <row r="494" spans="1:36" x14ac:dyDescent="0.25">
      <c r="A494" s="139" t="s">
        <v>220</v>
      </c>
      <c r="B494" s="306" t="s">
        <v>608</v>
      </c>
      <c r="C494" s="16" t="s">
        <v>595</v>
      </c>
      <c r="D494" s="307" t="s">
        <v>596</v>
      </c>
      <c r="E494" s="17" t="s">
        <v>262</v>
      </c>
      <c r="F494" s="18"/>
      <c r="G494" s="134" t="str">
        <f ca="1">_xlfn.FORMULATEXT(IN[[#This Row],[STAGE]])</f>
        <v>=[@Buffer]</v>
      </c>
      <c r="H494" s="20">
        <v>0</v>
      </c>
      <c r="I494" s="104">
        <f>IN[[#This Row],[Buffer]]</f>
        <v>50</v>
      </c>
      <c r="J494" s="135">
        <f>IF(IN[[#This Row],[Sim_]]=IN[[#This Row],[STAGE]],1,0)</f>
        <v>1</v>
      </c>
      <c r="K494" s="308">
        <v>50</v>
      </c>
      <c r="L494" s="130"/>
      <c r="M494" s="130">
        <f>IF(IN[[#This Row],[Sim_]]=IN[[#This Row],[Sim Var ref]],1,0)</f>
        <v>0</v>
      </c>
      <c r="N494" s="8"/>
      <c r="O494" s="8">
        <v>383</v>
      </c>
      <c r="P494" s="105"/>
      <c r="Q494" s="137">
        <f>IF(IN[[#This Row],[Sim_]]=IN[[#This Row],[Direkt alt]],1,0)</f>
        <v>0</v>
      </c>
      <c r="R494" s="10">
        <v>50</v>
      </c>
      <c r="S494" s="10">
        <f>IF(IN[[#This Row],[Sim_]]=IN[[#This Row],[Buffer]],1,0)</f>
        <v>1</v>
      </c>
      <c r="T494" s="11" t="e">
        <f>'[1]⚙'!#REF!</f>
        <v>#REF!</v>
      </c>
      <c r="U494" s="104">
        <f>IN[[#This Row],[Buffer]]</f>
        <v>50</v>
      </c>
      <c r="V494" s="131">
        <v>50</v>
      </c>
      <c r="W494" s="131">
        <v>50</v>
      </c>
      <c r="X494" s="131">
        <v>50</v>
      </c>
      <c r="Y494" s="11">
        <f>'[1]⚙'!D19</f>
        <v>0</v>
      </c>
      <c r="Z494" s="174">
        <v>50</v>
      </c>
      <c r="AA494" s="174">
        <v>50</v>
      </c>
      <c r="AB494" s="174">
        <v>50</v>
      </c>
      <c r="AC494" s="106">
        <v>50</v>
      </c>
      <c r="AD494">
        <v>50</v>
      </c>
      <c r="AE494">
        <v>50</v>
      </c>
      <c r="AF494">
        <v>50</v>
      </c>
      <c r="AG494">
        <v>50</v>
      </c>
      <c r="AH494">
        <v>50</v>
      </c>
      <c r="AI494">
        <v>50</v>
      </c>
      <c r="AJ494">
        <v>50</v>
      </c>
    </row>
    <row r="495" spans="1:36" x14ac:dyDescent="0.25">
      <c r="A495" s="139" t="s">
        <v>220</v>
      </c>
      <c r="B495" s="306" t="s">
        <v>609</v>
      </c>
      <c r="C495" s="16" t="s">
        <v>595</v>
      </c>
      <c r="D495" s="307" t="s">
        <v>596</v>
      </c>
      <c r="E495" s="17" t="s">
        <v>262</v>
      </c>
      <c r="F495" s="18"/>
      <c r="G495" s="134" t="str">
        <f ca="1">_xlfn.FORMULATEXT(IN[[#This Row],[STAGE]])</f>
        <v>=[@Buffer]</v>
      </c>
      <c r="H495" s="20">
        <v>0</v>
      </c>
      <c r="I495" s="104">
        <f>IN[[#This Row],[Buffer]]</f>
        <v>25</v>
      </c>
      <c r="J495" s="135">
        <f>IF(IN[[#This Row],[Sim_]]=IN[[#This Row],[STAGE]],1,0)</f>
        <v>1</v>
      </c>
      <c r="K495" s="308">
        <v>25</v>
      </c>
      <c r="L495" s="130"/>
      <c r="M495" s="130">
        <f>IF(IN[[#This Row],[Sim_]]=IN[[#This Row],[Sim Var ref]],1,0)</f>
        <v>0</v>
      </c>
      <c r="N495" s="8"/>
      <c r="O495" s="8">
        <v>384</v>
      </c>
      <c r="P495" s="105"/>
      <c r="Q495" s="137">
        <f>IF(IN[[#This Row],[Sim_]]=IN[[#This Row],[Direkt alt]],1,0)</f>
        <v>0</v>
      </c>
      <c r="R495" s="10">
        <v>25</v>
      </c>
      <c r="S495" s="10">
        <f>IF(IN[[#This Row],[Sim_]]=IN[[#This Row],[Buffer]],1,0)</f>
        <v>1</v>
      </c>
      <c r="T495" s="11" t="e">
        <f>'[1]⚙'!#REF!</f>
        <v>#REF!</v>
      </c>
      <c r="U495" s="104">
        <f>IN[[#This Row],[Buffer]]</f>
        <v>25</v>
      </c>
      <c r="V495" s="131">
        <v>25</v>
      </c>
      <c r="W495" s="131">
        <v>25</v>
      </c>
      <c r="X495" s="131">
        <v>25</v>
      </c>
      <c r="Y495" s="11">
        <f>'[1]⚙'!D20</f>
        <v>0</v>
      </c>
      <c r="Z495" s="174">
        <v>25</v>
      </c>
      <c r="AA495" s="174">
        <v>25</v>
      </c>
      <c r="AB495" s="174">
        <v>25</v>
      </c>
      <c r="AC495" s="106">
        <v>25</v>
      </c>
      <c r="AD495">
        <v>25</v>
      </c>
      <c r="AE495">
        <v>25</v>
      </c>
      <c r="AF495">
        <v>25</v>
      </c>
      <c r="AG495">
        <v>25</v>
      </c>
      <c r="AH495">
        <v>25</v>
      </c>
      <c r="AI495">
        <v>25</v>
      </c>
      <c r="AJ495">
        <v>25</v>
      </c>
    </row>
    <row r="496" spans="1:36" x14ac:dyDescent="0.25">
      <c r="A496" s="139" t="s">
        <v>220</v>
      </c>
      <c r="B496" s="306" t="s">
        <v>610</v>
      </c>
      <c r="C496" s="16" t="s">
        <v>595</v>
      </c>
      <c r="D496" s="307" t="s">
        <v>596</v>
      </c>
      <c r="E496" s="17" t="s">
        <v>285</v>
      </c>
      <c r="F496" s="18" t="s">
        <v>611</v>
      </c>
      <c r="G496" s="134" t="str">
        <f ca="1">_xlfn.FORMULATEXT(IN[[#This Row],[STAGE]])</f>
        <v>=[@Buffer]</v>
      </c>
      <c r="H496" s="20">
        <v>0</v>
      </c>
      <c r="I496" s="104">
        <f>IN[[#This Row],[Buffer]]</f>
        <v>12.775013425521916</v>
      </c>
      <c r="J496" s="135">
        <f>IF(IN[[#This Row],[Sim_]]=IN[[#This Row],[STAGE]],1,0)</f>
        <v>0</v>
      </c>
      <c r="K496" s="210">
        <f>INDEX(input_nutz_WWWB_Wohnen,K$196)*'[1]⚙'!$B21</f>
        <v>19.653866808495252</v>
      </c>
      <c r="L496" s="130"/>
      <c r="M496" s="130">
        <f>IF(IN[[#This Row],[Sim_]]=IN[[#This Row],[Sim Var ref]],1,0)</f>
        <v>0</v>
      </c>
      <c r="N496" s="8"/>
      <c r="O496" s="8">
        <v>385</v>
      </c>
      <c r="P496" s="105"/>
      <c r="Q496" s="137">
        <f>IF(IN[[#This Row],[Sim_]]=IN[[#This Row],[Direkt alt]],1,0)</f>
        <v>0</v>
      </c>
      <c r="R496" s="10">
        <v>12.775013425521916</v>
      </c>
      <c r="S496" s="10">
        <f>IF(IN[[#This Row],[Sim_]]=IN[[#This Row],[Buffer]],1,0)</f>
        <v>0</v>
      </c>
      <c r="T496" s="11" t="e">
        <f>'[1]⚙'!#REF!</f>
        <v>#REF!</v>
      </c>
      <c r="U496" s="104">
        <f>IN[[#This Row],[Buffer]]</f>
        <v>12.775013425521916</v>
      </c>
      <c r="V496" s="131">
        <f>INDEX(input_nutz_WWWB_Wohnen,V$196)*'[1]⚙'!$B21</f>
        <v>19.653866808495252</v>
      </c>
      <c r="W496" s="131">
        <f>INDEX(input_nutz_WWWB_Wohnen,W$196)*'[1]⚙'!$B21</f>
        <v>12.775013425521916</v>
      </c>
      <c r="X496" s="131">
        <v>12.775013425521916</v>
      </c>
      <c r="Y496" s="11">
        <f>'[1]⚙'!D21</f>
        <v>0</v>
      </c>
      <c r="Z496" s="174">
        <v>12.775013425521916</v>
      </c>
      <c r="AA496" s="174">
        <v>19.653866808495252</v>
      </c>
      <c r="AB496" s="174">
        <v>19.653866808495252</v>
      </c>
      <c r="AC496" s="106">
        <v>12.775013425521916</v>
      </c>
      <c r="AD496">
        <v>12.775013425521916</v>
      </c>
      <c r="AE496">
        <v>12.775013425521916</v>
      </c>
      <c r="AF496">
        <v>12.775013425521916</v>
      </c>
      <c r="AG496">
        <v>12.775013425521916</v>
      </c>
      <c r="AH496">
        <v>12.775013425521916</v>
      </c>
      <c r="AI496">
        <v>19.653866808495252</v>
      </c>
      <c r="AJ496">
        <v>19.653866808495252</v>
      </c>
    </row>
    <row r="497" spans="1:36" x14ac:dyDescent="0.25">
      <c r="A497" s="139" t="s">
        <v>220</v>
      </c>
      <c r="B497" s="306" t="s">
        <v>612</v>
      </c>
      <c r="C497" s="16" t="s">
        <v>595</v>
      </c>
      <c r="D497" s="307" t="s">
        <v>596</v>
      </c>
      <c r="E497" s="17" t="s">
        <v>285</v>
      </c>
      <c r="F497" s="18" t="s">
        <v>613</v>
      </c>
      <c r="G497" s="134" t="str">
        <f ca="1">_xlfn.FORMULATEXT(IN[[#This Row],[STAGE]])</f>
        <v>=[@Buffer]</v>
      </c>
      <c r="H497" s="20">
        <v>0</v>
      </c>
      <c r="I497" s="104">
        <f>IN[[#This Row],[Buffer]]</f>
        <v>3.0264066937898209</v>
      </c>
      <c r="J497" s="135">
        <f>IF(IN[[#This Row],[Sim_]]=IN[[#This Row],[STAGE]],1,0)</f>
        <v>0</v>
      </c>
      <c r="K497" s="210">
        <f>INDEX(input_nutz_WWWB_Buero,K$196)*'[1]⚙'!$B22</f>
        <v>3.1856912566208644</v>
      </c>
      <c r="L497" s="130"/>
      <c r="M497" s="130">
        <f>IF(IN[[#This Row],[Sim_]]=IN[[#This Row],[Sim Var ref]],1,0)</f>
        <v>0</v>
      </c>
      <c r="N497" s="8"/>
      <c r="O497" s="8">
        <v>386</v>
      </c>
      <c r="P497" s="105"/>
      <c r="Q497" s="137">
        <f>IF(IN[[#This Row],[Sim_]]=IN[[#This Row],[Direkt alt]],1,0)</f>
        <v>0</v>
      </c>
      <c r="R497" s="10">
        <v>3.0264066937898209</v>
      </c>
      <c r="S497" s="10">
        <f>IF(IN[[#This Row],[Sim_]]=IN[[#This Row],[Buffer]],1,0)</f>
        <v>0</v>
      </c>
      <c r="T497" s="11" t="e">
        <f>'[1]⚙'!#REF!</f>
        <v>#REF!</v>
      </c>
      <c r="U497" s="104">
        <f>IN[[#This Row],[Buffer]]</f>
        <v>3.0264066937898209</v>
      </c>
      <c r="V497" s="131">
        <f>INDEX(input_nutz_WWWB_Buero,V$196)*'[1]⚙'!$B22</f>
        <v>3.1856912566208644</v>
      </c>
      <c r="W497" s="131">
        <f>INDEX(input_nutz_WWWB_Buero,W$196)*'[1]⚙'!$B22</f>
        <v>3.0264066937898209</v>
      </c>
      <c r="X497" s="131">
        <v>3.0264066937898209</v>
      </c>
      <c r="Y497" s="11">
        <f>'[1]⚙'!D22</f>
        <v>0</v>
      </c>
      <c r="Z497" s="174">
        <v>3.0264066937898209</v>
      </c>
      <c r="AA497" s="174">
        <v>3.1856912566208644</v>
      </c>
      <c r="AB497" s="174">
        <v>3.1856912566208644</v>
      </c>
      <c r="AC497" s="106">
        <v>3.0264066937898209</v>
      </c>
      <c r="AD497">
        <v>3.0264066937898209</v>
      </c>
      <c r="AE497">
        <v>3.0264066937898209</v>
      </c>
      <c r="AF497">
        <v>3.0264066937898209</v>
      </c>
      <c r="AG497">
        <v>3.0264066937898209</v>
      </c>
      <c r="AH497">
        <v>3.0264066937898209</v>
      </c>
      <c r="AI497">
        <v>3.1856912566208644</v>
      </c>
      <c r="AJ497">
        <v>3.1856912566208644</v>
      </c>
    </row>
    <row r="498" spans="1:36" x14ac:dyDescent="0.25">
      <c r="A498" s="139" t="s">
        <v>220</v>
      </c>
      <c r="B498" s="306" t="s">
        <v>614</v>
      </c>
      <c r="C498" s="16" t="s">
        <v>595</v>
      </c>
      <c r="D498" s="307" t="s">
        <v>596</v>
      </c>
      <c r="E498" s="17" t="s">
        <v>285</v>
      </c>
      <c r="F498" s="18" t="s">
        <v>615</v>
      </c>
      <c r="G498" s="134" t="str">
        <f ca="1">_xlfn.FORMULATEXT(IN[[#This Row],[STAGE]])</f>
        <v>=[@Buffer]</v>
      </c>
      <c r="H498" s="20">
        <v>0</v>
      </c>
      <c r="I498" s="104">
        <f>IN[[#This Row],[Buffer]]</f>
        <v>3.3623366541596575</v>
      </c>
      <c r="J498" s="135">
        <f>IF(IN[[#This Row],[Sim_]]=IN[[#This Row],[STAGE]],1,0)</f>
        <v>0</v>
      </c>
      <c r="K498" s="210">
        <f>INDEX(input_nutz_WWWB_Schule,K$196)*'[1]⚙'!$B23</f>
        <v>5.1728256217840887</v>
      </c>
      <c r="L498" s="130"/>
      <c r="M498" s="130">
        <f>IF(IN[[#This Row],[Sim_]]=IN[[#This Row],[Sim Var ref]],1,0)</f>
        <v>0</v>
      </c>
      <c r="N498" s="8"/>
      <c r="O498" s="8">
        <v>387</v>
      </c>
      <c r="P498" s="105"/>
      <c r="Q498" s="137">
        <f>IF(IN[[#This Row],[Sim_]]=IN[[#This Row],[Direkt alt]],1,0)</f>
        <v>0</v>
      </c>
      <c r="R498" s="10">
        <v>3.3623366541596575</v>
      </c>
      <c r="S498" s="10">
        <f>IF(IN[[#This Row],[Sim_]]=IN[[#This Row],[Buffer]],1,0)</f>
        <v>0</v>
      </c>
      <c r="T498" s="11" t="e">
        <f>'[1]⚙'!#REF!</f>
        <v>#REF!</v>
      </c>
      <c r="U498" s="104">
        <f>IN[[#This Row],[Buffer]]</f>
        <v>3.3623366541596575</v>
      </c>
      <c r="V498" s="131">
        <f>INDEX(input_nutz_WWWB_Schule,V$196)*'[1]⚙'!$B23</f>
        <v>5.1728256217840887</v>
      </c>
      <c r="W498" s="131">
        <f>INDEX(input_nutz_WWWB_Schule,W$196)*'[1]⚙'!$B23</f>
        <v>3.3623366541596575</v>
      </c>
      <c r="X498" s="131">
        <v>3.3623366541596575</v>
      </c>
      <c r="Y498" s="11">
        <f>'[1]⚙'!D23</f>
        <v>0</v>
      </c>
      <c r="Z498" s="174">
        <v>3.3623366541596575</v>
      </c>
      <c r="AA498" s="174">
        <v>5.1728256217840887</v>
      </c>
      <c r="AB498" s="174">
        <v>5.1728256217840887</v>
      </c>
      <c r="AC498" s="106">
        <v>3.3623366541596575</v>
      </c>
      <c r="AD498">
        <v>3.3623366541596575</v>
      </c>
      <c r="AE498">
        <v>3.3623366541596575</v>
      </c>
      <c r="AF498">
        <v>3.3623366541596575</v>
      </c>
      <c r="AG498">
        <v>3.3623366541596575</v>
      </c>
      <c r="AH498">
        <v>3.3623366541596575</v>
      </c>
      <c r="AI498">
        <v>5.1728256217840887</v>
      </c>
      <c r="AJ498">
        <v>5.1728256217840887</v>
      </c>
    </row>
    <row r="499" spans="1:36" x14ac:dyDescent="0.25">
      <c r="A499" s="139" t="s">
        <v>220</v>
      </c>
      <c r="B499" s="306" t="s">
        <v>616</v>
      </c>
      <c r="C499" s="16" t="s">
        <v>595</v>
      </c>
      <c r="D499" s="307" t="s">
        <v>596</v>
      </c>
      <c r="E499" s="17" t="s">
        <v>285</v>
      </c>
      <c r="F499" s="18" t="s">
        <v>617</v>
      </c>
      <c r="G499" s="134" t="str">
        <f ca="1">_xlfn.FORMULATEXT(IN[[#This Row],[STAGE]])</f>
        <v>=[@Buffer]</v>
      </c>
      <c r="H499" s="20">
        <v>0</v>
      </c>
      <c r="I499" s="104">
        <f>IN[[#This Row],[Buffer]]</f>
        <v>3.3623366541596575</v>
      </c>
      <c r="J499" s="135">
        <f>IF(IN[[#This Row],[Sim_]]=IN[[#This Row],[STAGE]],1,0)</f>
        <v>0</v>
      </c>
      <c r="K499" s="210">
        <f>INDEX(input_nutz_WWWB_KIGA,K$196)*'[1]⚙'!$B24</f>
        <v>5.1728256217840887</v>
      </c>
      <c r="L499" s="130"/>
      <c r="M499" s="130">
        <f>IF(IN[[#This Row],[Sim_]]=IN[[#This Row],[Sim Var ref]],1,0)</f>
        <v>0</v>
      </c>
      <c r="N499" s="8"/>
      <c r="O499" s="8">
        <v>388</v>
      </c>
      <c r="P499" s="105"/>
      <c r="Q499" s="137">
        <f>IF(IN[[#This Row],[Sim_]]=IN[[#This Row],[Direkt alt]],1,0)</f>
        <v>0</v>
      </c>
      <c r="R499" s="10">
        <v>3.3623366541596575</v>
      </c>
      <c r="S499" s="10">
        <f>IF(IN[[#This Row],[Sim_]]=IN[[#This Row],[Buffer]],1,0)</f>
        <v>0</v>
      </c>
      <c r="T499" s="11" t="e">
        <f>'[1]⚙'!#REF!</f>
        <v>#REF!</v>
      </c>
      <c r="U499" s="104">
        <f>IN[[#This Row],[Buffer]]</f>
        <v>3.3623366541596575</v>
      </c>
      <c r="V499" s="131">
        <f>INDEX(input_nutz_WWWB_KIGA,V$196)*'[1]⚙'!$B24</f>
        <v>5.1728256217840887</v>
      </c>
      <c r="W499" s="131">
        <f>INDEX(input_nutz_WWWB_KIGA,W$196)*'[1]⚙'!$B24</f>
        <v>3.3623366541596575</v>
      </c>
      <c r="X499" s="131">
        <v>3.3623366541596575</v>
      </c>
      <c r="Y499" s="11">
        <f>'[1]⚙'!D24</f>
        <v>0</v>
      </c>
      <c r="Z499" s="174">
        <v>3.3623366541596575</v>
      </c>
      <c r="AA499" s="174">
        <v>5.1728256217840887</v>
      </c>
      <c r="AB499" s="174">
        <v>5.1728256217840887</v>
      </c>
      <c r="AC499" s="106">
        <v>3.3623366541596575</v>
      </c>
      <c r="AD499">
        <v>3.3623366541596575</v>
      </c>
      <c r="AE499">
        <v>3.3623366541596575</v>
      </c>
      <c r="AF499">
        <v>3.3623366541596575</v>
      </c>
      <c r="AG499">
        <v>3.3623366541596575</v>
      </c>
      <c r="AH499">
        <v>3.3623366541596575</v>
      </c>
      <c r="AI499">
        <v>5.1728256217840887</v>
      </c>
      <c r="AJ499">
        <v>5.1728256217840887</v>
      </c>
    </row>
    <row r="500" spans="1:36" x14ac:dyDescent="0.25">
      <c r="A500" s="139" t="s">
        <v>220</v>
      </c>
      <c r="B500" s="306" t="s">
        <v>618</v>
      </c>
      <c r="C500" s="16" t="s">
        <v>595</v>
      </c>
      <c r="D500" s="307" t="s">
        <v>596</v>
      </c>
      <c r="E500" s="17" t="s">
        <v>285</v>
      </c>
      <c r="F500" s="18" t="s">
        <v>619</v>
      </c>
      <c r="G500" s="134" t="str">
        <f ca="1">_xlfn.FORMULATEXT(IN[[#This Row],[STAGE]])</f>
        <v>=[@Buffer]</v>
      </c>
      <c r="H500" s="20">
        <v>0</v>
      </c>
      <c r="I500" s="104">
        <f>IN[[#This Row],[Buffer]]</f>
        <v>6.3399907106363216</v>
      </c>
      <c r="J500" s="135">
        <f>IF(IN[[#This Row],[Sim_]]=IN[[#This Row],[STAGE]],1,0)</f>
        <v>0</v>
      </c>
      <c r="K500" s="210">
        <f>INDEX(input_nutz_WWWB_Handel_Food,K$196)*'[1]⚙'!$B25</f>
        <v>6.6736744322487604</v>
      </c>
      <c r="L500" s="130"/>
      <c r="M500" s="130">
        <f>IF(IN[[#This Row],[Sim_]]=IN[[#This Row],[Sim Var ref]],1,0)</f>
        <v>0</v>
      </c>
      <c r="N500" s="8"/>
      <c r="O500" s="8">
        <v>389</v>
      </c>
      <c r="P500" s="105"/>
      <c r="Q500" s="137">
        <f>IF(IN[[#This Row],[Sim_]]=IN[[#This Row],[Direkt alt]],1,0)</f>
        <v>0</v>
      </c>
      <c r="R500" s="10">
        <v>6.3399907106363216</v>
      </c>
      <c r="S500" s="10">
        <f>IF(IN[[#This Row],[Sim_]]=IN[[#This Row],[Buffer]],1,0)</f>
        <v>0</v>
      </c>
      <c r="T500" s="11" t="e">
        <f>'[1]⚙'!#REF!</f>
        <v>#REF!</v>
      </c>
      <c r="U500" s="104">
        <f>IN[[#This Row],[Buffer]]</f>
        <v>6.3399907106363216</v>
      </c>
      <c r="V500" s="131">
        <f>INDEX(input_nutz_WWWB_Handel_Food,V$196)*'[1]⚙'!$B25</f>
        <v>6.6736744322487604</v>
      </c>
      <c r="W500" s="131">
        <f>INDEX(input_nutz_WWWB_Handel_Food,W$196)*'[1]⚙'!$B25</f>
        <v>6.3399907106363216</v>
      </c>
      <c r="X500" s="131">
        <v>6.3399907106363216</v>
      </c>
      <c r="Y500" s="11">
        <f>'[1]⚙'!D25</f>
        <v>0</v>
      </c>
      <c r="Z500" s="174">
        <v>6.3399907106363216</v>
      </c>
      <c r="AA500" s="174">
        <v>6.6736744322487604</v>
      </c>
      <c r="AB500" s="174">
        <v>6.6736744322487604</v>
      </c>
      <c r="AC500" s="106">
        <v>6.3399907106363216</v>
      </c>
      <c r="AD500">
        <v>6.3399907106363216</v>
      </c>
      <c r="AE500">
        <v>6.3399907106363216</v>
      </c>
      <c r="AF500">
        <v>6.3399907106363216</v>
      </c>
      <c r="AG500">
        <v>6.3399907106363216</v>
      </c>
      <c r="AH500">
        <v>6.3399907106363216</v>
      </c>
      <c r="AI500">
        <v>6.6736744322487604</v>
      </c>
      <c r="AJ500">
        <v>6.6736744322487604</v>
      </c>
    </row>
    <row r="501" spans="1:36" x14ac:dyDescent="0.25">
      <c r="A501" s="139" t="s">
        <v>220</v>
      </c>
      <c r="B501" s="306" t="s">
        <v>620</v>
      </c>
      <c r="C501" s="16" t="s">
        <v>595</v>
      </c>
      <c r="D501" s="307" t="s">
        <v>596</v>
      </c>
      <c r="E501" s="17" t="s">
        <v>285</v>
      </c>
      <c r="F501" s="18" t="s">
        <v>621</v>
      </c>
      <c r="G501" s="134" t="str">
        <f ca="1">_xlfn.FORMULATEXT(IN[[#This Row],[STAGE]])</f>
        <v>=[@Buffer]</v>
      </c>
      <c r="H501" s="20">
        <v>0</v>
      </c>
      <c r="I501" s="104">
        <f>IN[[#This Row],[Buffer]]</f>
        <v>6.3399907106363216</v>
      </c>
      <c r="J501" s="135">
        <f>IF(IN[[#This Row],[Sim_]]=IN[[#This Row],[STAGE]],1,0)</f>
        <v>0</v>
      </c>
      <c r="K501" s="210">
        <f>INDEX(input_nutz_WWWB_Handel_NonFood,K$196)*'[1]⚙'!$B26</f>
        <v>6.6736744322487604</v>
      </c>
      <c r="L501" s="130"/>
      <c r="M501" s="130">
        <f>IF(IN[[#This Row],[Sim_]]=IN[[#This Row],[Sim Var ref]],1,0)</f>
        <v>0</v>
      </c>
      <c r="N501" s="8"/>
      <c r="O501" s="8">
        <v>390</v>
      </c>
      <c r="P501" s="105"/>
      <c r="Q501" s="137">
        <f>IF(IN[[#This Row],[Sim_]]=IN[[#This Row],[Direkt alt]],1,0)</f>
        <v>0</v>
      </c>
      <c r="R501" s="10">
        <v>6.3399907106363216</v>
      </c>
      <c r="S501" s="10">
        <f>IF(IN[[#This Row],[Sim_]]=IN[[#This Row],[Buffer]],1,0)</f>
        <v>0</v>
      </c>
      <c r="T501" s="11" t="e">
        <f>'[1]⚙'!#REF!</f>
        <v>#REF!</v>
      </c>
      <c r="U501" s="104">
        <f>IN[[#This Row],[Buffer]]</f>
        <v>6.3399907106363216</v>
      </c>
      <c r="V501" s="131">
        <f>INDEX(input_nutz_WWWB_Handel_NonFood,V$196)*'[1]⚙'!$B26</f>
        <v>6.6736744322487604</v>
      </c>
      <c r="W501" s="131">
        <f>INDEX(input_nutz_WWWB_Handel_NonFood,W$196)*'[1]⚙'!$B26</f>
        <v>6.3399907106363216</v>
      </c>
      <c r="X501" s="131">
        <v>6.3399907106363216</v>
      </c>
      <c r="Y501" s="11">
        <f>'[1]⚙'!D26</f>
        <v>0</v>
      </c>
      <c r="Z501" s="174">
        <v>6.3399907106363216</v>
      </c>
      <c r="AA501" s="174">
        <v>6.6736744322487604</v>
      </c>
      <c r="AB501" s="174">
        <v>6.6736744322487604</v>
      </c>
      <c r="AC501" s="106">
        <v>6.3399907106363216</v>
      </c>
      <c r="AD501">
        <v>6.3399907106363216</v>
      </c>
      <c r="AE501">
        <v>6.3399907106363216</v>
      </c>
      <c r="AF501">
        <v>6.3399907106363216</v>
      </c>
      <c r="AG501">
        <v>6.3399907106363216</v>
      </c>
      <c r="AH501">
        <v>6.3399907106363216</v>
      </c>
      <c r="AI501">
        <v>6.6736744322487604</v>
      </c>
      <c r="AJ501">
        <v>6.6736744322487604</v>
      </c>
    </row>
    <row r="502" spans="1:36" x14ac:dyDescent="0.25">
      <c r="A502" s="139" t="s">
        <v>220</v>
      </c>
      <c r="B502" s="306" t="s">
        <v>622</v>
      </c>
      <c r="C502" s="16" t="s">
        <v>595</v>
      </c>
      <c r="D502" s="307" t="s">
        <v>596</v>
      </c>
      <c r="E502" s="17" t="s">
        <v>262</v>
      </c>
      <c r="F502" s="18" t="s">
        <v>623</v>
      </c>
      <c r="G502" s="134" t="str">
        <f ca="1">_xlfn.FORMULATEXT(IN[[#This Row],[STAGE]])</f>
        <v>=[@Buffer]</v>
      </c>
      <c r="H502" s="20">
        <v>0</v>
      </c>
      <c r="I502" s="104">
        <f>IN[[#This Row],[Buffer]]</f>
        <v>5</v>
      </c>
      <c r="J502" s="135">
        <f>IF(IN[[#This Row],[Sim_]]=IN[[#This Row],[STAGE]],1,0)</f>
        <v>1</v>
      </c>
      <c r="K502" s="257">
        <v>5</v>
      </c>
      <c r="L502" s="130"/>
      <c r="M502" s="130">
        <f>IF(IN[[#This Row],[Sim_]]=IN[[#This Row],[Sim Var ref]],1,0)</f>
        <v>0</v>
      </c>
      <c r="N502" s="8"/>
      <c r="O502" s="8">
        <v>391</v>
      </c>
      <c r="P502" s="105"/>
      <c r="Q502" s="137">
        <f>IF(IN[[#This Row],[Sim_]]=IN[[#This Row],[Direkt alt]],1,0)</f>
        <v>0</v>
      </c>
      <c r="R502" s="10">
        <v>5</v>
      </c>
      <c r="S502" s="10">
        <f>IF(IN[[#This Row],[Sim_]]=IN[[#This Row],[Buffer]],1,0)</f>
        <v>1</v>
      </c>
      <c r="T502" s="11" t="e">
        <f>'[1]⚙'!#REF!</f>
        <v>#REF!</v>
      </c>
      <c r="U502" s="104">
        <f>IN[[#This Row],[Buffer]]</f>
        <v>5</v>
      </c>
      <c r="V502" s="174">
        <v>5</v>
      </c>
      <c r="W502" s="174">
        <v>5</v>
      </c>
      <c r="X502" s="174">
        <v>5</v>
      </c>
      <c r="Y502" s="11">
        <f>'[1]⚙'!D27</f>
        <v>0</v>
      </c>
      <c r="Z502" s="174">
        <v>5</v>
      </c>
      <c r="AA502" s="174">
        <v>5</v>
      </c>
      <c r="AB502" s="174">
        <v>5</v>
      </c>
      <c r="AC502" s="106">
        <v>5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</row>
    <row r="503" spans="1:36" x14ac:dyDescent="0.25">
      <c r="A503" s="139" t="s">
        <v>220</v>
      </c>
      <c r="B503" s="306" t="s">
        <v>624</v>
      </c>
      <c r="C503" s="16" t="s">
        <v>595</v>
      </c>
      <c r="D503" s="307" t="s">
        <v>596</v>
      </c>
      <c r="E503" s="17" t="s">
        <v>285</v>
      </c>
      <c r="F503" s="18"/>
      <c r="G503" s="134" t="str">
        <f ca="1">_xlfn.FORMULATEXT(IN[[#This Row],[STAGE]])</f>
        <v>=[@Buffer]</v>
      </c>
      <c r="H503" s="20">
        <v>0</v>
      </c>
      <c r="I503" s="104">
        <f>IN[[#This Row],[Buffer]]</f>
        <v>1.7520000000002613</v>
      </c>
      <c r="J503" s="135">
        <f>IF(IN[[#This Row],[Sim_]]=IN[[#This Row],[STAGE]],1,0)</f>
        <v>1</v>
      </c>
      <c r="K503" s="223">
        <f>INDEX(input_nutz_AufReg_Wohnen,$X$197)*'[1]⚙'!$B28</f>
        <v>1.7520000000002613</v>
      </c>
      <c r="L503" s="130"/>
      <c r="M503" s="130">
        <f>IF(IN[[#This Row],[Sim_]]=IN[[#This Row],[Sim Var ref]],1,0)</f>
        <v>0</v>
      </c>
      <c r="N503" s="8"/>
      <c r="O503" s="8">
        <v>392</v>
      </c>
      <c r="P503" s="105"/>
      <c r="Q503" s="137">
        <f>IF(IN[[#This Row],[Sim_]]=IN[[#This Row],[Direkt alt]],1,0)</f>
        <v>0</v>
      </c>
      <c r="R503" s="10">
        <v>1.7520000000002613</v>
      </c>
      <c r="S503" s="10">
        <f>IF(IN[[#This Row],[Sim_]]=IN[[#This Row],[Buffer]],1,0)</f>
        <v>1</v>
      </c>
      <c r="T503" s="11" t="e">
        <f>'[1]⚙'!#REF!</f>
        <v>#REF!</v>
      </c>
      <c r="U503" s="104">
        <f>IN[[#This Row],[Buffer]]</f>
        <v>1.7520000000002613</v>
      </c>
      <c r="V503" s="174">
        <f>INDEX(input_nutz_AufReg_Wohnen,$X$197)*'[1]⚙'!$B28</f>
        <v>1.7520000000002613</v>
      </c>
      <c r="W503" s="174">
        <f>INDEX(input_nutz_AufReg_Wohnen,$X$197)*'[1]⚙'!$B28</f>
        <v>1.7520000000002613</v>
      </c>
      <c r="X503" s="174">
        <v>1.7520000000002613</v>
      </c>
      <c r="Y503" s="11">
        <f>'[1]⚙'!D28</f>
        <v>0</v>
      </c>
      <c r="Z503" s="174">
        <v>1.7520000000002613</v>
      </c>
      <c r="AA503" s="174">
        <v>1.7520000000002613</v>
      </c>
      <c r="AB503" s="174">
        <v>1.7520000000002613</v>
      </c>
      <c r="AC503" s="106">
        <v>1.7520000000002613</v>
      </c>
      <c r="AD503">
        <v>1.7520000000002613</v>
      </c>
      <c r="AE503">
        <v>1.7520000000002613</v>
      </c>
      <c r="AF503">
        <v>1.7520000000002613</v>
      </c>
      <c r="AG503">
        <v>1.7520000000002613</v>
      </c>
      <c r="AH503">
        <v>1.7520000000002613</v>
      </c>
      <c r="AI503">
        <v>1.7520000000002613</v>
      </c>
      <c r="AJ503">
        <v>1.7520000000002613</v>
      </c>
    </row>
    <row r="504" spans="1:36" x14ac:dyDescent="0.25">
      <c r="A504" s="139" t="s">
        <v>220</v>
      </c>
      <c r="B504" s="306" t="s">
        <v>625</v>
      </c>
      <c r="C504" s="16" t="s">
        <v>595</v>
      </c>
      <c r="D504" s="307" t="s">
        <v>596</v>
      </c>
      <c r="E504" s="17" t="s">
        <v>285</v>
      </c>
      <c r="F504" s="18"/>
      <c r="G504" s="134" t="str">
        <f ca="1">_xlfn.FORMULATEXT(IN[[#This Row],[STAGE]])</f>
        <v>=[@Buffer]</v>
      </c>
      <c r="H504" s="20">
        <v>0</v>
      </c>
      <c r="I504" s="104">
        <f>IN[[#This Row],[Buffer]]</f>
        <v>1.7520000000002613</v>
      </c>
      <c r="J504" s="135">
        <f>IF(IN[[#This Row],[Sim_]]=IN[[#This Row],[STAGE]],1,0)</f>
        <v>1</v>
      </c>
      <c r="K504" s="223">
        <f>INDEX(input_nutz_AufReg_Wohnen,$X$197)*'[1]⚙'!$B29</f>
        <v>1.7520000000002613</v>
      </c>
      <c r="L504" s="130"/>
      <c r="M504" s="130">
        <f>IF(IN[[#This Row],[Sim_]]=IN[[#This Row],[Sim Var ref]],1,0)</f>
        <v>0</v>
      </c>
      <c r="N504" s="8"/>
      <c r="O504" s="8">
        <v>393</v>
      </c>
      <c r="P504" s="105"/>
      <c r="Q504" s="137">
        <f>IF(IN[[#This Row],[Sim_]]=IN[[#This Row],[Direkt alt]],1,0)</f>
        <v>0</v>
      </c>
      <c r="R504" s="10">
        <v>1.7520000000002613</v>
      </c>
      <c r="S504" s="10">
        <f>IF(IN[[#This Row],[Sim_]]=IN[[#This Row],[Buffer]],1,0)</f>
        <v>1</v>
      </c>
      <c r="T504" s="11" t="e">
        <f>'[1]⚙'!#REF!</f>
        <v>#REF!</v>
      </c>
      <c r="U504" s="104">
        <f>IN[[#This Row],[Buffer]]</f>
        <v>1.7520000000002613</v>
      </c>
      <c r="V504" s="174">
        <f>INDEX(input_nutz_AufReg_Wohnen,$X$197)*'[1]⚙'!$B29</f>
        <v>1.7520000000002613</v>
      </c>
      <c r="W504" s="174">
        <f>INDEX(input_nutz_AufReg_Wohnen,$X$197)*'[1]⚙'!$B29</f>
        <v>1.7520000000002613</v>
      </c>
      <c r="X504" s="174">
        <v>1.7520000000002613</v>
      </c>
      <c r="Y504" s="11">
        <f>'[1]⚙'!D29</f>
        <v>0</v>
      </c>
      <c r="Z504" s="174">
        <v>1.7520000000002613</v>
      </c>
      <c r="AA504" s="174">
        <v>1.7520000000002613</v>
      </c>
      <c r="AB504" s="174">
        <v>1.7520000000002613</v>
      </c>
      <c r="AC504" s="106">
        <v>1.7520000000002613</v>
      </c>
      <c r="AD504">
        <v>1.7520000000002613</v>
      </c>
      <c r="AE504">
        <v>1.7520000000002613</v>
      </c>
      <c r="AF504">
        <v>1.7520000000002613</v>
      </c>
      <c r="AG504">
        <v>1.7520000000002613</v>
      </c>
      <c r="AH504">
        <v>1.7520000000002613</v>
      </c>
      <c r="AI504">
        <v>1.7520000000002613</v>
      </c>
      <c r="AJ504">
        <v>1.7520000000002613</v>
      </c>
    </row>
    <row r="505" spans="1:36" x14ac:dyDescent="0.25">
      <c r="A505" s="139" t="s">
        <v>220</v>
      </c>
      <c r="B505" s="306" t="s">
        <v>626</v>
      </c>
      <c r="C505" s="16" t="s">
        <v>595</v>
      </c>
      <c r="D505" s="307" t="s">
        <v>596</v>
      </c>
      <c r="E505" s="17" t="s">
        <v>285</v>
      </c>
      <c r="F505" s="18"/>
      <c r="G505" s="134" t="str">
        <f ca="1">_xlfn.FORMULATEXT(IN[[#This Row],[STAGE]])</f>
        <v>=[@Buffer]</v>
      </c>
      <c r="H505" s="20">
        <v>0</v>
      </c>
      <c r="I505" s="104">
        <f>IN[[#This Row],[Buffer]]</f>
        <v>0.87600000000013067</v>
      </c>
      <c r="J505" s="135">
        <f>IF(IN[[#This Row],[Sim_]]=IN[[#This Row],[STAGE]],1,0)</f>
        <v>1</v>
      </c>
      <c r="K505" s="223">
        <f>INDEX(input_nutz_AufReg_Wohnen,$X$197)*'[1]⚙'!$B30</f>
        <v>0.87600000000013067</v>
      </c>
      <c r="L505" s="130"/>
      <c r="M505" s="130">
        <f>IF(IN[[#This Row],[Sim_]]=IN[[#This Row],[Sim Var ref]],1,0)</f>
        <v>0</v>
      </c>
      <c r="N505" s="8"/>
      <c r="O505" s="8">
        <v>394</v>
      </c>
      <c r="P505" s="105"/>
      <c r="Q505" s="137">
        <f>IF(IN[[#This Row],[Sim_]]=IN[[#This Row],[Direkt alt]],1,0)</f>
        <v>0</v>
      </c>
      <c r="R505" s="10">
        <v>0.87600000000013067</v>
      </c>
      <c r="S505" s="10">
        <f>IF(IN[[#This Row],[Sim_]]=IN[[#This Row],[Buffer]],1,0)</f>
        <v>1</v>
      </c>
      <c r="T505" s="11" t="e">
        <f>'[1]⚙'!#REF!</f>
        <v>#REF!</v>
      </c>
      <c r="U505" s="104">
        <f>IN[[#This Row],[Buffer]]</f>
        <v>0.87600000000013067</v>
      </c>
      <c r="V505" s="174">
        <f>INDEX(input_nutz_AufReg_Wohnen,$X$197)*'[1]⚙'!$B30</f>
        <v>0.87600000000013067</v>
      </c>
      <c r="W505" s="174">
        <f>INDEX(input_nutz_AufReg_Wohnen,$X$197)*'[1]⚙'!$B30</f>
        <v>0.87600000000013067</v>
      </c>
      <c r="X505" s="174">
        <v>0.87600000000013067</v>
      </c>
      <c r="Y505" s="11">
        <f>'[1]⚙'!D30</f>
        <v>0</v>
      </c>
      <c r="Z505" s="174">
        <v>0.87600000000013067</v>
      </c>
      <c r="AA505" s="174">
        <v>0.87600000000013067</v>
      </c>
      <c r="AB505" s="174">
        <v>0.87600000000013067</v>
      </c>
      <c r="AC505" s="106">
        <v>0.87600000000013067</v>
      </c>
      <c r="AD505">
        <v>0.87600000000013067</v>
      </c>
      <c r="AE505">
        <v>0.87600000000013067</v>
      </c>
      <c r="AF505">
        <v>0.87600000000013067</v>
      </c>
      <c r="AG505">
        <v>0.87600000000013067</v>
      </c>
      <c r="AH505">
        <v>0.87600000000013067</v>
      </c>
      <c r="AI505">
        <v>0.87600000000013067</v>
      </c>
      <c r="AJ505">
        <v>0.87600000000013067</v>
      </c>
    </row>
    <row r="506" spans="1:36" x14ac:dyDescent="0.25">
      <c r="A506" s="139" t="s">
        <v>220</v>
      </c>
      <c r="B506" s="306" t="s">
        <v>627</v>
      </c>
      <c r="C506" s="16" t="s">
        <v>595</v>
      </c>
      <c r="D506" s="307" t="s">
        <v>596</v>
      </c>
      <c r="E506" s="17" t="s">
        <v>285</v>
      </c>
      <c r="F506" s="18"/>
      <c r="G506" s="134" t="str">
        <f ca="1">_xlfn.FORMULATEXT(IN[[#This Row],[STAGE]])</f>
        <v>=[@Buffer]</v>
      </c>
      <c r="H506" s="20">
        <v>0</v>
      </c>
      <c r="I506" s="104">
        <f>IN[[#This Row],[Buffer]]</f>
        <v>0.87600000000013067</v>
      </c>
      <c r="J506" s="135">
        <f>IF(IN[[#This Row],[Sim_]]=IN[[#This Row],[STAGE]],1,0)</f>
        <v>1</v>
      </c>
      <c r="K506" s="223">
        <f>INDEX(input_nutz_AufReg_Wohnen,$X$197)*'[1]⚙'!$B31</f>
        <v>0.87600000000013067</v>
      </c>
      <c r="L506" s="130"/>
      <c r="M506" s="130">
        <f>IF(IN[[#This Row],[Sim_]]=IN[[#This Row],[Sim Var ref]],1,0)</f>
        <v>0</v>
      </c>
      <c r="N506" s="8"/>
      <c r="O506" s="8">
        <v>395</v>
      </c>
      <c r="P506" s="105"/>
      <c r="Q506" s="137">
        <f>IF(IN[[#This Row],[Sim_]]=IN[[#This Row],[Direkt alt]],1,0)</f>
        <v>0</v>
      </c>
      <c r="R506" s="10">
        <v>0.87600000000013067</v>
      </c>
      <c r="S506" s="10">
        <f>IF(IN[[#This Row],[Sim_]]=IN[[#This Row],[Buffer]],1,0)</f>
        <v>1</v>
      </c>
      <c r="T506" s="11" t="e">
        <f>'[1]⚙'!#REF!</f>
        <v>#REF!</v>
      </c>
      <c r="U506" s="104">
        <f>IN[[#This Row],[Buffer]]</f>
        <v>0.87600000000013067</v>
      </c>
      <c r="V506" s="174">
        <f>INDEX(input_nutz_AufReg_Wohnen,$X$197)*'[1]⚙'!$B31</f>
        <v>0.87600000000013067</v>
      </c>
      <c r="W506" s="174">
        <f>INDEX(input_nutz_AufReg_Wohnen,$X$197)*'[1]⚙'!$B31</f>
        <v>0.87600000000013067</v>
      </c>
      <c r="X506" s="174">
        <v>0.87600000000013067</v>
      </c>
      <c r="Y506" s="11">
        <f>'[1]⚙'!D31</f>
        <v>0</v>
      </c>
      <c r="Z506" s="174">
        <v>0.87600000000013067</v>
      </c>
      <c r="AA506" s="174">
        <v>0.87600000000013067</v>
      </c>
      <c r="AB506" s="174">
        <v>0.87600000000013067</v>
      </c>
      <c r="AC506" s="106">
        <v>0.87600000000013067</v>
      </c>
      <c r="AD506">
        <v>0.87600000000013067</v>
      </c>
      <c r="AE506">
        <v>0.87600000000013067</v>
      </c>
      <c r="AF506">
        <v>0.87600000000013067</v>
      </c>
      <c r="AG506">
        <v>0.87600000000013067</v>
      </c>
      <c r="AH506">
        <v>0.87600000000013067</v>
      </c>
      <c r="AI506">
        <v>0.87600000000013067</v>
      </c>
      <c r="AJ506">
        <v>0.87600000000013067</v>
      </c>
    </row>
    <row r="507" spans="1:36" x14ac:dyDescent="0.25">
      <c r="A507" s="139" t="s">
        <v>220</v>
      </c>
      <c r="B507" s="306" t="s">
        <v>628</v>
      </c>
      <c r="C507" s="16" t="s">
        <v>595</v>
      </c>
      <c r="D507" s="307" t="s">
        <v>596</v>
      </c>
      <c r="E507" s="17" t="s">
        <v>285</v>
      </c>
      <c r="F507" s="18"/>
      <c r="G507" s="134" t="str">
        <f ca="1">_xlfn.FORMULATEXT(IN[[#This Row],[STAGE]])</f>
        <v>=[@Buffer]</v>
      </c>
      <c r="H507" s="20">
        <v>0</v>
      </c>
      <c r="I507" s="104">
        <f>IN[[#This Row],[Buffer]]</f>
        <v>1.7520000000002613</v>
      </c>
      <c r="J507" s="135">
        <f>IF(IN[[#This Row],[Sim_]]=IN[[#This Row],[STAGE]],1,0)</f>
        <v>1</v>
      </c>
      <c r="K507" s="223">
        <f>INDEX(input_nutz_AufReg_Wohnen,$X$197)*'[1]⚙'!$B32</f>
        <v>1.7520000000002613</v>
      </c>
      <c r="L507" s="130"/>
      <c r="M507" s="130">
        <f>IF(IN[[#This Row],[Sim_]]=IN[[#This Row],[Sim Var ref]],1,0)</f>
        <v>0</v>
      </c>
      <c r="N507" s="8"/>
      <c r="O507" s="8">
        <v>396</v>
      </c>
      <c r="P507" s="105"/>
      <c r="Q507" s="137">
        <f>IF(IN[[#This Row],[Sim_]]=IN[[#This Row],[Direkt alt]],1,0)</f>
        <v>0</v>
      </c>
      <c r="R507" s="10">
        <v>1.7520000000002613</v>
      </c>
      <c r="S507" s="10">
        <f>IF(IN[[#This Row],[Sim_]]=IN[[#This Row],[Buffer]],1,0)</f>
        <v>1</v>
      </c>
      <c r="T507" s="11" t="e">
        <f>'[1]⚙'!#REF!</f>
        <v>#REF!</v>
      </c>
      <c r="U507" s="104">
        <f>IN[[#This Row],[Buffer]]</f>
        <v>1.7520000000002613</v>
      </c>
      <c r="V507" s="174">
        <f>INDEX(input_nutz_AufReg_Wohnen,$X$197)*'[1]⚙'!$B32</f>
        <v>1.7520000000002613</v>
      </c>
      <c r="W507" s="174">
        <f>INDEX(input_nutz_AufReg_Wohnen,$X$197)*'[1]⚙'!$B32</f>
        <v>1.7520000000002613</v>
      </c>
      <c r="X507" s="174">
        <v>1.7520000000002613</v>
      </c>
      <c r="Y507" s="11">
        <f>'[1]⚙'!D32</f>
        <v>0</v>
      </c>
      <c r="Z507" s="174">
        <v>1.7520000000002613</v>
      </c>
      <c r="AA507" s="174">
        <v>1.7520000000002613</v>
      </c>
      <c r="AB507" s="174">
        <v>1.7520000000002613</v>
      </c>
      <c r="AC507" s="106">
        <v>1.7520000000002613</v>
      </c>
      <c r="AD507">
        <v>1.7520000000002613</v>
      </c>
      <c r="AE507">
        <v>1.7520000000002613</v>
      </c>
      <c r="AF507">
        <v>1.7520000000002613</v>
      </c>
      <c r="AG507">
        <v>1.7520000000002613</v>
      </c>
      <c r="AH507">
        <v>1.7520000000002613</v>
      </c>
      <c r="AI507">
        <v>1.7520000000002613</v>
      </c>
      <c r="AJ507">
        <v>1.7520000000002613</v>
      </c>
    </row>
    <row r="508" spans="1:36" x14ac:dyDescent="0.25">
      <c r="A508" s="139" t="s">
        <v>220</v>
      </c>
      <c r="B508" s="306" t="s">
        <v>629</v>
      </c>
      <c r="C508" s="16" t="s">
        <v>595</v>
      </c>
      <c r="D508" s="307" t="s">
        <v>596</v>
      </c>
      <c r="E508" s="17" t="s">
        <v>285</v>
      </c>
      <c r="F508" s="18"/>
      <c r="G508" s="134" t="str">
        <f ca="1">_xlfn.FORMULATEXT(IN[[#This Row],[STAGE]])</f>
        <v>=[@Buffer]</v>
      </c>
      <c r="H508" s="20">
        <v>0</v>
      </c>
      <c r="I508" s="104">
        <f>IN[[#This Row],[Buffer]]</f>
        <v>1.7520000000002613</v>
      </c>
      <c r="J508" s="135">
        <f>IF(IN[[#This Row],[Sim_]]=IN[[#This Row],[STAGE]],1,0)</f>
        <v>1</v>
      </c>
      <c r="K508" s="223">
        <f>INDEX(input_nutz_AufReg_Wohnen,$X$197)*'[1]⚙'!$B33</f>
        <v>1.7520000000002613</v>
      </c>
      <c r="L508" s="130"/>
      <c r="M508" s="130">
        <f>IF(IN[[#This Row],[Sim_]]=IN[[#This Row],[Sim Var ref]],1,0)</f>
        <v>0</v>
      </c>
      <c r="N508" s="8"/>
      <c r="O508" s="8">
        <v>397</v>
      </c>
      <c r="P508" s="105"/>
      <c r="Q508" s="137">
        <f>IF(IN[[#This Row],[Sim_]]=IN[[#This Row],[Direkt alt]],1,0)</f>
        <v>0</v>
      </c>
      <c r="R508" s="10">
        <v>1.7520000000002613</v>
      </c>
      <c r="S508" s="10">
        <f>IF(IN[[#This Row],[Sim_]]=IN[[#This Row],[Buffer]],1,0)</f>
        <v>1</v>
      </c>
      <c r="T508" s="11" t="e">
        <f>'[1]⚙'!#REF!</f>
        <v>#REF!</v>
      </c>
      <c r="U508" s="104">
        <f>IN[[#This Row],[Buffer]]</f>
        <v>1.7520000000002613</v>
      </c>
      <c r="V508" s="174">
        <f>INDEX(input_nutz_AufReg_Wohnen,$X$197)*'[1]⚙'!$B33</f>
        <v>1.7520000000002613</v>
      </c>
      <c r="W508" s="174">
        <f>INDEX(input_nutz_AufReg_Wohnen,$X$197)*'[1]⚙'!$B33</f>
        <v>1.7520000000002613</v>
      </c>
      <c r="X508" s="174">
        <v>1.7520000000002613</v>
      </c>
      <c r="Y508" s="11">
        <f>'[1]⚙'!D33</f>
        <v>0</v>
      </c>
      <c r="Z508" s="174">
        <v>1.7520000000002613</v>
      </c>
      <c r="AA508" s="174">
        <v>1.7520000000002613</v>
      </c>
      <c r="AB508" s="174">
        <v>1.7520000000002613</v>
      </c>
      <c r="AC508" s="106">
        <v>1.7520000000002613</v>
      </c>
      <c r="AD508">
        <v>1.7520000000002613</v>
      </c>
      <c r="AE508">
        <v>1.7520000000002613</v>
      </c>
      <c r="AF508">
        <v>1.7520000000002613</v>
      </c>
      <c r="AG508">
        <v>1.7520000000002613</v>
      </c>
      <c r="AH508">
        <v>1.7520000000002613</v>
      </c>
      <c r="AI508">
        <v>1.7520000000002613</v>
      </c>
      <c r="AJ508">
        <v>1.7520000000002613</v>
      </c>
    </row>
    <row r="509" spans="1:36" x14ac:dyDescent="0.25">
      <c r="A509" s="139" t="s">
        <v>220</v>
      </c>
      <c r="B509" s="306" t="s">
        <v>630</v>
      </c>
      <c r="C509" s="16" t="s">
        <v>595</v>
      </c>
      <c r="D509" s="307" t="s">
        <v>596</v>
      </c>
      <c r="E509" s="17" t="s">
        <v>262</v>
      </c>
      <c r="F509" s="18"/>
      <c r="G509" s="134" t="str">
        <f ca="1">_xlfn.FORMULATEXT(IN[[#This Row],[STAGE]])</f>
        <v>=[@Buffer]</v>
      </c>
      <c r="H509" s="20">
        <v>0</v>
      </c>
      <c r="I509" s="104">
        <f>IN[[#This Row],[Buffer]]</f>
        <v>1</v>
      </c>
      <c r="J509" s="135">
        <f>IF(IN[[#This Row],[Sim_]]=IN[[#This Row],[STAGE]],1,0)</f>
        <v>1</v>
      </c>
      <c r="K509" s="257">
        <v>1</v>
      </c>
      <c r="L509" s="130"/>
      <c r="M509" s="130">
        <f>IF(IN[[#This Row],[Sim_]]=IN[[#This Row],[Sim Var ref]],1,0)</f>
        <v>0</v>
      </c>
      <c r="N509" s="8"/>
      <c r="O509" s="8">
        <v>398</v>
      </c>
      <c r="P509" s="105"/>
      <c r="Q509" s="137">
        <f>IF(IN[[#This Row],[Sim_]]=IN[[#This Row],[Direkt alt]],1,0)</f>
        <v>0</v>
      </c>
      <c r="R509" s="10">
        <v>1</v>
      </c>
      <c r="S509" s="10">
        <f>IF(IN[[#This Row],[Sim_]]=IN[[#This Row],[Buffer]],1,0)</f>
        <v>1</v>
      </c>
      <c r="T509" s="11" t="e">
        <f>'[1]⚙'!#REF!</f>
        <v>#REF!</v>
      </c>
      <c r="U509" s="104">
        <f>IN[[#This Row],[Buffer]]</f>
        <v>1</v>
      </c>
      <c r="V509" s="174">
        <v>1</v>
      </c>
      <c r="W509" s="174">
        <v>1</v>
      </c>
      <c r="X509" s="174">
        <v>1</v>
      </c>
      <c r="Y509" s="11">
        <f>'[1]⚙'!D34</f>
        <v>0</v>
      </c>
      <c r="Z509" s="174">
        <v>1</v>
      </c>
      <c r="AA509" s="174">
        <v>1</v>
      </c>
      <c r="AB509" s="174">
        <v>1</v>
      </c>
      <c r="AC509" s="106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25">
      <c r="A510" s="139" t="s">
        <v>220</v>
      </c>
      <c r="B510" s="306" t="s">
        <v>631</v>
      </c>
      <c r="C510" s="16" t="s">
        <v>595</v>
      </c>
      <c r="D510" s="307" t="s">
        <v>596</v>
      </c>
      <c r="E510" s="17" t="s">
        <v>285</v>
      </c>
      <c r="F510" s="18"/>
      <c r="G510" s="134" t="str">
        <f ca="1">_xlfn.FORMULATEXT(IN[[#This Row],[STAGE]])</f>
        <v>=[@Buffer]</v>
      </c>
      <c r="H510" s="20">
        <v>0</v>
      </c>
      <c r="I510" s="104">
        <f>IN[[#This Row],[Buffer]]</f>
        <v>26.71828764180681</v>
      </c>
      <c r="J510" s="135">
        <f>IF(IN[[#This Row],[Sim_]]=IN[[#This Row],[STAGE]],1,0)</f>
        <v>1</v>
      </c>
      <c r="K510" s="223">
        <f>INDEX(input_nutz_Nutzerstrom_Wohnen,$X$199)*'[1]⚙'!$B35</f>
        <v>26.71828764180681</v>
      </c>
      <c r="L510" s="130"/>
      <c r="M510" s="130">
        <f>IF(IN[[#This Row],[Sim_]]=IN[[#This Row],[Sim Var ref]],1,0)</f>
        <v>0</v>
      </c>
      <c r="N510" s="8"/>
      <c r="O510" s="8">
        <v>399</v>
      </c>
      <c r="P510" s="105"/>
      <c r="Q510" s="137">
        <f>IF(IN[[#This Row],[Sim_]]=IN[[#This Row],[Direkt alt]],1,0)</f>
        <v>0</v>
      </c>
      <c r="R510" s="10">
        <v>26.71828764180681</v>
      </c>
      <c r="S510" s="10">
        <f>IF(IN[[#This Row],[Sim_]]=IN[[#This Row],[Buffer]],1,0)</f>
        <v>1</v>
      </c>
      <c r="T510" s="11" t="e">
        <f>'[1]⚙'!#REF!</f>
        <v>#REF!</v>
      </c>
      <c r="U510" s="104">
        <f>IN[[#This Row],[Buffer]]</f>
        <v>26.71828764180681</v>
      </c>
      <c r="V510" s="174">
        <f>INDEX(input_nutz_Nutzerstrom_Wohnen,$X$199)*'[1]⚙'!$B35</f>
        <v>26.71828764180681</v>
      </c>
      <c r="W510" s="174">
        <f>INDEX(input_nutz_Nutzerstrom_Wohnen,$X$199)*'[1]⚙'!$B35</f>
        <v>26.71828764180681</v>
      </c>
      <c r="X510" s="174">
        <v>26.71828764180681</v>
      </c>
      <c r="Y510" s="11">
        <f>'[1]⚙'!D35</f>
        <v>0</v>
      </c>
      <c r="Z510" s="174">
        <v>26.71828764180681</v>
      </c>
      <c r="AA510" s="174">
        <v>26.71828764180681</v>
      </c>
      <c r="AB510" s="174">
        <v>26.71828764180681</v>
      </c>
      <c r="AC510" s="106">
        <v>26.71828764180681</v>
      </c>
      <c r="AD510">
        <v>26.71828764180681</v>
      </c>
      <c r="AE510">
        <v>26.71828764180681</v>
      </c>
      <c r="AF510">
        <v>26.71828764180681</v>
      </c>
      <c r="AG510">
        <v>26.71828764180681</v>
      </c>
      <c r="AH510">
        <v>26.71828764180681</v>
      </c>
      <c r="AI510">
        <v>26.71828764180681</v>
      </c>
      <c r="AJ510">
        <v>26.71828764180681</v>
      </c>
    </row>
    <row r="511" spans="1:36" x14ac:dyDescent="0.25">
      <c r="A511" s="139" t="s">
        <v>220</v>
      </c>
      <c r="B511" s="306" t="s">
        <v>632</v>
      </c>
      <c r="C511" s="16" t="s">
        <v>595</v>
      </c>
      <c r="D511" s="307" t="s">
        <v>596</v>
      </c>
      <c r="E511" s="17" t="s">
        <v>285</v>
      </c>
      <c r="F511" s="18"/>
      <c r="G511" s="134" t="str">
        <f ca="1">_xlfn.FORMULATEXT(IN[[#This Row],[STAGE]])</f>
        <v>=[@Buffer]</v>
      </c>
      <c r="H511" s="20">
        <v>0</v>
      </c>
      <c r="I511" s="104">
        <f>IN[[#This Row],[Buffer]]</f>
        <v>19.447240039916831</v>
      </c>
      <c r="J511" s="135">
        <f>IF(IN[[#This Row],[Sim_]]=IN[[#This Row],[STAGE]],1,0)</f>
        <v>1</v>
      </c>
      <c r="K511" s="223">
        <f>INDEX(input_nutz_Nutzerstrom_Buero,$X$199)*'[1]⚙'!$B36</f>
        <v>19.447240039916831</v>
      </c>
      <c r="L511" s="130"/>
      <c r="M511" s="130">
        <f>IF(IN[[#This Row],[Sim_]]=IN[[#This Row],[Sim Var ref]],1,0)</f>
        <v>0</v>
      </c>
      <c r="N511" s="8"/>
      <c r="O511" s="8">
        <v>400</v>
      </c>
      <c r="P511" s="105"/>
      <c r="Q511" s="137">
        <f>IF(IN[[#This Row],[Sim_]]=IN[[#This Row],[Direkt alt]],1,0)</f>
        <v>0</v>
      </c>
      <c r="R511" s="10">
        <v>19.447240039916831</v>
      </c>
      <c r="S511" s="10">
        <f>IF(IN[[#This Row],[Sim_]]=IN[[#This Row],[Buffer]],1,0)</f>
        <v>1</v>
      </c>
      <c r="T511" s="11" t="e">
        <f>'[1]⚙'!#REF!</f>
        <v>#REF!</v>
      </c>
      <c r="U511" s="104">
        <f>IN[[#This Row],[Buffer]]</f>
        <v>19.447240039916831</v>
      </c>
      <c r="V511" s="174">
        <f>INDEX(input_nutz_Nutzerstrom_Buero,$X$199)*'[1]⚙'!$B36</f>
        <v>19.447240039916831</v>
      </c>
      <c r="W511" s="174">
        <f>INDEX(input_nutz_Nutzerstrom_Buero,$X$199)*'[1]⚙'!$B36</f>
        <v>19.447240039916831</v>
      </c>
      <c r="X511" s="174">
        <v>19.447240039916831</v>
      </c>
      <c r="Y511" s="11">
        <f>'[1]⚙'!D36</f>
        <v>0</v>
      </c>
      <c r="Z511" s="174">
        <v>19.447240039916831</v>
      </c>
      <c r="AA511" s="174">
        <v>19.447240039916831</v>
      </c>
      <c r="AB511" s="174">
        <v>19.447240039916831</v>
      </c>
      <c r="AC511" s="106">
        <v>19.447240039916831</v>
      </c>
      <c r="AD511">
        <v>19.447240039916831</v>
      </c>
      <c r="AE511">
        <v>19.447240039916831</v>
      </c>
      <c r="AF511">
        <v>19.447240039916831</v>
      </c>
      <c r="AG511">
        <v>19.447240039916831</v>
      </c>
      <c r="AH511">
        <v>19.447240039916831</v>
      </c>
      <c r="AI511">
        <v>19.447240039916831</v>
      </c>
      <c r="AJ511">
        <v>19.447240039916831</v>
      </c>
    </row>
    <row r="512" spans="1:36" x14ac:dyDescent="0.25">
      <c r="A512" s="139" t="s">
        <v>220</v>
      </c>
      <c r="B512" s="306" t="s">
        <v>633</v>
      </c>
      <c r="C512" s="16" t="s">
        <v>595</v>
      </c>
      <c r="D512" s="307" t="s">
        <v>596</v>
      </c>
      <c r="E512" s="17" t="s">
        <v>285</v>
      </c>
      <c r="F512" s="18"/>
      <c r="G512" s="134" t="str">
        <f ca="1">_xlfn.FORMULATEXT(IN[[#This Row],[STAGE]])</f>
        <v>=[@Buffer]</v>
      </c>
      <c r="H512" s="20">
        <v>0</v>
      </c>
      <c r="I512" s="104">
        <f>IN[[#This Row],[Buffer]]</f>
        <v>11.752089015396427</v>
      </c>
      <c r="J512" s="135">
        <f>IF(IN[[#This Row],[Sim_]]=IN[[#This Row],[STAGE]],1,0)</f>
        <v>0</v>
      </c>
      <c r="K512" s="223">
        <f>INDEX(input_nutz_Nutzerstrom_Schule,$X$199)*'[1]⚙'!$B37</f>
        <v>14.100000000000001</v>
      </c>
      <c r="L512" s="130"/>
      <c r="M512" s="130">
        <f>IF(IN[[#This Row],[Sim_]]=IN[[#This Row],[Sim Var ref]],1,0)</f>
        <v>0</v>
      </c>
      <c r="N512" s="8"/>
      <c r="O512" s="8">
        <v>401</v>
      </c>
      <c r="P512" s="105"/>
      <c r="Q512" s="137">
        <f>IF(IN[[#This Row],[Sim_]]=IN[[#This Row],[Direkt alt]],1,0)</f>
        <v>0</v>
      </c>
      <c r="R512" s="10">
        <v>11.752089015396427</v>
      </c>
      <c r="S512" s="10">
        <f>IF(IN[[#This Row],[Sim_]]=IN[[#This Row],[Buffer]],1,0)</f>
        <v>0</v>
      </c>
      <c r="T512" s="11" t="e">
        <f>'[1]⚙'!#REF!</f>
        <v>#REF!</v>
      </c>
      <c r="U512" s="104">
        <f>IN[[#This Row],[Buffer]]</f>
        <v>11.752089015396427</v>
      </c>
      <c r="V512" s="174">
        <f>INDEX(input_nutz_Nutzerstrom_Schule,$X$199)*'[1]⚙'!$B37</f>
        <v>14.100000000000001</v>
      </c>
      <c r="W512" s="174">
        <f>INDEX(input_nutz_Nutzerstrom_Schule,$X$199)*'[1]⚙'!$B37</f>
        <v>14.100000000000001</v>
      </c>
      <c r="X512" s="174">
        <v>11.752089015396427</v>
      </c>
      <c r="Y512" s="11">
        <f>'[1]⚙'!D37</f>
        <v>0</v>
      </c>
      <c r="Z512" s="174">
        <v>11.752089015396427</v>
      </c>
      <c r="AA512" s="174">
        <v>11.752089015396427</v>
      </c>
      <c r="AB512" s="174">
        <v>11.752089015396427</v>
      </c>
      <c r="AC512" s="106">
        <v>11.752089015396427</v>
      </c>
      <c r="AD512">
        <v>11.752089015396427</v>
      </c>
      <c r="AE512">
        <v>11.752089015396427</v>
      </c>
      <c r="AF512">
        <v>11.752089015396427</v>
      </c>
      <c r="AG512">
        <v>11.752089015396427</v>
      </c>
      <c r="AH512">
        <v>11.752089015396427</v>
      </c>
      <c r="AI512">
        <v>11.752089015396427</v>
      </c>
      <c r="AJ512">
        <v>11.752089015396427</v>
      </c>
    </row>
    <row r="513" spans="1:36" x14ac:dyDescent="0.25">
      <c r="A513" s="139" t="s">
        <v>220</v>
      </c>
      <c r="B513" s="306" t="s">
        <v>634</v>
      </c>
      <c r="C513" s="16" t="s">
        <v>595</v>
      </c>
      <c r="D513" s="307" t="s">
        <v>596</v>
      </c>
      <c r="E513" s="17" t="s">
        <v>285</v>
      </c>
      <c r="F513" s="18"/>
      <c r="G513" s="134" t="str">
        <f ca="1">_xlfn.FORMULATEXT(IN[[#This Row],[STAGE]])</f>
        <v>=[@Buffer]</v>
      </c>
      <c r="H513" s="20">
        <v>0</v>
      </c>
      <c r="I513" s="104">
        <f>IN[[#This Row],[Buffer]]</f>
        <v>6.7520890153964279</v>
      </c>
      <c r="J513" s="135">
        <f>IF(IN[[#This Row],[Sim_]]=IN[[#This Row],[STAGE]],1,0)</f>
        <v>0</v>
      </c>
      <c r="K513" s="223">
        <f>INDEX(input_nutz_Nutzerstrom_Kiga,$X$199)*'[1]⚙'!$B38</f>
        <v>6.1</v>
      </c>
      <c r="L513" s="130"/>
      <c r="M513" s="130">
        <f>IF(IN[[#This Row],[Sim_]]=IN[[#This Row],[Sim Var ref]],1,0)</f>
        <v>0</v>
      </c>
      <c r="N513" s="8"/>
      <c r="O513" s="8">
        <v>402</v>
      </c>
      <c r="P513" s="105"/>
      <c r="Q513" s="137">
        <f>IF(IN[[#This Row],[Sim_]]=IN[[#This Row],[Direkt alt]],1,0)</f>
        <v>0</v>
      </c>
      <c r="R513" s="10">
        <v>6.7520890153964279</v>
      </c>
      <c r="S513" s="10">
        <f>IF(IN[[#This Row],[Sim_]]=IN[[#This Row],[Buffer]],1,0)</f>
        <v>0</v>
      </c>
      <c r="T513" s="11" t="e">
        <f>'[1]⚙'!#REF!</f>
        <v>#REF!</v>
      </c>
      <c r="U513" s="104">
        <f>IN[[#This Row],[Buffer]]</f>
        <v>6.7520890153964279</v>
      </c>
      <c r="V513" s="174">
        <f>INDEX(input_nutz_Nutzerstrom_Kiga,$X$199)*'[1]⚙'!$B38</f>
        <v>6.1</v>
      </c>
      <c r="W513" s="174">
        <f>INDEX(input_nutz_Nutzerstrom_Kiga,$X$199)*'[1]⚙'!$B38</f>
        <v>6.1</v>
      </c>
      <c r="X513" s="174">
        <v>6.7520890153964279</v>
      </c>
      <c r="Y513" s="11">
        <f>'[1]⚙'!D38</f>
        <v>0</v>
      </c>
      <c r="Z513" s="174">
        <v>6.7520890153964279</v>
      </c>
      <c r="AA513" s="174">
        <v>6.7520890153964279</v>
      </c>
      <c r="AB513" s="174">
        <v>6.7520890153964279</v>
      </c>
      <c r="AC513" s="106">
        <v>6.7520890153964279</v>
      </c>
      <c r="AD513">
        <v>6.7520890153964279</v>
      </c>
      <c r="AE513">
        <v>6.7520890153964279</v>
      </c>
      <c r="AF513">
        <v>6.7520890153964279</v>
      </c>
      <c r="AG513">
        <v>6.7520890153964279</v>
      </c>
      <c r="AH513">
        <v>6.7520890153964279</v>
      </c>
      <c r="AI513">
        <v>6.7520890153964279</v>
      </c>
      <c r="AJ513">
        <v>6.7520890153964279</v>
      </c>
    </row>
    <row r="514" spans="1:36" x14ac:dyDescent="0.25">
      <c r="A514" s="139" t="s">
        <v>220</v>
      </c>
      <c r="B514" s="306" t="s">
        <v>635</v>
      </c>
      <c r="C514" s="16" t="s">
        <v>595</v>
      </c>
      <c r="D514" s="307" t="s">
        <v>596</v>
      </c>
      <c r="E514" s="17" t="s">
        <v>285</v>
      </c>
      <c r="F514" s="18"/>
      <c r="G514" s="134" t="str">
        <f ca="1">_xlfn.FORMULATEXT(IN[[#This Row],[STAGE]])</f>
        <v>=[@Buffer]</v>
      </c>
      <c r="H514" s="20">
        <v>0</v>
      </c>
      <c r="I514" s="104">
        <f>IN[[#This Row],[Buffer]]</f>
        <v>30.795677889102926</v>
      </c>
      <c r="J514" s="135">
        <f>IF(IN[[#This Row],[Sim_]]=IN[[#This Row],[STAGE]],1,0)</f>
        <v>1</v>
      </c>
      <c r="K514" s="223">
        <f>INDEX(input_nutz_Nutzerstrom_Handel_Food,$X$199)*'[1]⚙'!$B39</f>
        <v>30.795677889102926</v>
      </c>
      <c r="L514" s="130"/>
      <c r="M514" s="130">
        <f>IF(IN[[#This Row],[Sim_]]=IN[[#This Row],[Sim Var ref]],1,0)</f>
        <v>0</v>
      </c>
      <c r="N514" s="8"/>
      <c r="O514" s="8">
        <v>403</v>
      </c>
      <c r="P514" s="105"/>
      <c r="Q514" s="137">
        <f>IF(IN[[#This Row],[Sim_]]=IN[[#This Row],[Direkt alt]],1,0)</f>
        <v>0</v>
      </c>
      <c r="R514" s="10">
        <v>30.795677889102926</v>
      </c>
      <c r="S514" s="10">
        <f>IF(IN[[#This Row],[Sim_]]=IN[[#This Row],[Buffer]],1,0)</f>
        <v>1</v>
      </c>
      <c r="T514" s="11" t="e">
        <f>'[1]⚙'!#REF!</f>
        <v>#REF!</v>
      </c>
      <c r="U514" s="104">
        <f>IN[[#This Row],[Buffer]]</f>
        <v>30.795677889102926</v>
      </c>
      <c r="V514" s="174">
        <f>INDEX(input_nutz_Nutzerstrom_Handel_Food,$X$199)*'[1]⚙'!$B39</f>
        <v>30.795677889102926</v>
      </c>
      <c r="W514" s="174">
        <f>INDEX(input_nutz_Nutzerstrom_Handel_Food,$X$199)*'[1]⚙'!$B39</f>
        <v>30.795677889102926</v>
      </c>
      <c r="X514" s="174">
        <v>30.795677889102926</v>
      </c>
      <c r="Y514" s="11">
        <f>'[1]⚙'!D39</f>
        <v>0</v>
      </c>
      <c r="Z514" s="174">
        <v>30.795677889102926</v>
      </c>
      <c r="AA514" s="174">
        <v>30.795677889102926</v>
      </c>
      <c r="AB514" s="174">
        <v>30.795677889102926</v>
      </c>
      <c r="AC514" s="106">
        <v>30.795677889102926</v>
      </c>
      <c r="AD514">
        <v>30.795677889102926</v>
      </c>
      <c r="AE514">
        <v>30.795677889102926</v>
      </c>
      <c r="AF514">
        <v>30.795677889102926</v>
      </c>
      <c r="AG514">
        <v>30.795677889102926</v>
      </c>
      <c r="AH514">
        <v>30.795677889102926</v>
      </c>
      <c r="AI514">
        <v>30.795677889102926</v>
      </c>
      <c r="AJ514">
        <v>30.795677889102926</v>
      </c>
    </row>
    <row r="515" spans="1:36" x14ac:dyDescent="0.25">
      <c r="A515" s="139" t="s">
        <v>220</v>
      </c>
      <c r="B515" s="306" t="s">
        <v>636</v>
      </c>
      <c r="C515" s="16" t="s">
        <v>595</v>
      </c>
      <c r="D515" s="307" t="s">
        <v>596</v>
      </c>
      <c r="E515" s="17" t="s">
        <v>285</v>
      </c>
      <c r="F515" s="18"/>
      <c r="G515" s="134" t="str">
        <f ca="1">_xlfn.FORMULATEXT(IN[[#This Row],[STAGE]])</f>
        <v>=[@Buffer]</v>
      </c>
      <c r="H515" s="20">
        <v>0</v>
      </c>
      <c r="I515" s="104">
        <f>IN[[#This Row],[Buffer]]</f>
        <v>4.4234915621610646</v>
      </c>
      <c r="J515" s="135">
        <f>IF(IN[[#This Row],[Sim_]]=IN[[#This Row],[STAGE]],1,0)</f>
        <v>1</v>
      </c>
      <c r="K515" s="223">
        <f>INDEX(input_nutz_Nutzerstrom_Handel_NonFood,$X$199)*'[1]⚙'!$B40</f>
        <v>4.4234915621610646</v>
      </c>
      <c r="L515" s="130"/>
      <c r="M515" s="130">
        <f>IF(IN[[#This Row],[Sim_]]=IN[[#This Row],[Sim Var ref]],1,0)</f>
        <v>0</v>
      </c>
      <c r="N515" s="8"/>
      <c r="O515" s="8">
        <v>404</v>
      </c>
      <c r="P515" s="105"/>
      <c r="Q515" s="137">
        <f>IF(IN[[#This Row],[Sim_]]=IN[[#This Row],[Direkt alt]],1,0)</f>
        <v>0</v>
      </c>
      <c r="R515" s="10">
        <v>4.4234915621610646</v>
      </c>
      <c r="S515" s="10">
        <f>IF(IN[[#This Row],[Sim_]]=IN[[#This Row],[Buffer]],1,0)</f>
        <v>1</v>
      </c>
      <c r="T515" s="11" t="e">
        <f>'[1]⚙'!#REF!</f>
        <v>#REF!</v>
      </c>
      <c r="U515" s="104">
        <f>IN[[#This Row],[Buffer]]</f>
        <v>4.4234915621610646</v>
      </c>
      <c r="V515" s="174">
        <f>INDEX(input_nutz_Nutzerstrom_Handel_NonFood,$X$199)*'[1]⚙'!$B40</f>
        <v>4.4234915621610646</v>
      </c>
      <c r="W515" s="174">
        <f>INDEX(input_nutz_Nutzerstrom_Handel_NonFood,$X$199)*'[1]⚙'!$B40</f>
        <v>4.4234915621610646</v>
      </c>
      <c r="X515" s="174">
        <v>4.4234915621610646</v>
      </c>
      <c r="Y515" s="11">
        <f>'[1]⚙'!D40</f>
        <v>0</v>
      </c>
      <c r="Z515" s="174">
        <v>4.4234915621610646</v>
      </c>
      <c r="AA515" s="174">
        <v>4.4234915621610646</v>
      </c>
      <c r="AB515" s="174">
        <v>4.4234915621610646</v>
      </c>
      <c r="AC515" s="106">
        <v>4.4234915621610646</v>
      </c>
      <c r="AD515">
        <v>4.4234915621610646</v>
      </c>
      <c r="AE515">
        <v>4.4234915621610646</v>
      </c>
      <c r="AF515">
        <v>4.4234915621610646</v>
      </c>
      <c r="AG515">
        <v>4.4234915621610646</v>
      </c>
      <c r="AH515">
        <v>4.4234915621610646</v>
      </c>
      <c r="AI515">
        <v>4.4234915621610646</v>
      </c>
      <c r="AJ515">
        <v>4.4234915621610646</v>
      </c>
    </row>
    <row r="516" spans="1:36" x14ac:dyDescent="0.25">
      <c r="A516" s="139" t="s">
        <v>220</v>
      </c>
      <c r="B516" s="306" t="s">
        <v>637</v>
      </c>
      <c r="C516" s="16" t="s">
        <v>595</v>
      </c>
      <c r="D516" s="307" t="s">
        <v>596</v>
      </c>
      <c r="E516" s="17" t="s">
        <v>262</v>
      </c>
      <c r="F516" s="18"/>
      <c r="G516" s="134" t="str">
        <f ca="1">_xlfn.FORMULATEXT(IN[[#This Row],[STAGE]])</f>
        <v>=[@Buffer]</v>
      </c>
      <c r="H516" s="20">
        <v>0</v>
      </c>
      <c r="I516" s="104">
        <f>IN[[#This Row],[Buffer]]</f>
        <v>0</v>
      </c>
      <c r="J516" s="135">
        <f>IF(IN[[#This Row],[Sim_]]=IN[[#This Row],[STAGE]],1,0)</f>
        <v>1</v>
      </c>
      <c r="K516" s="308">
        <v>0</v>
      </c>
      <c r="L516" s="130"/>
      <c r="M516" s="130">
        <f>IF(IN[[#This Row],[Sim_]]=IN[[#This Row],[Sim Var ref]],1,0)</f>
        <v>1</v>
      </c>
      <c r="N516" s="8"/>
      <c r="O516" s="8">
        <v>405</v>
      </c>
      <c r="P516" s="105"/>
      <c r="Q516" s="137">
        <f>IF(IN[[#This Row],[Sim_]]=IN[[#This Row],[Direkt alt]],1,0)</f>
        <v>1</v>
      </c>
      <c r="R516" s="10">
        <v>0</v>
      </c>
      <c r="S516" s="10">
        <f>IF(IN[[#This Row],[Sim_]]=IN[[#This Row],[Buffer]],1,0)</f>
        <v>1</v>
      </c>
      <c r="T516" s="11"/>
      <c r="U516" s="104">
        <f>IN[[#This Row],[Buffer]]</f>
        <v>0</v>
      </c>
      <c r="V516" s="278">
        <v>0</v>
      </c>
      <c r="W516" s="278">
        <v>0</v>
      </c>
      <c r="X516" s="278">
        <v>0</v>
      </c>
      <c r="Y516" s="11"/>
      <c r="Z516" s="271">
        <v>0</v>
      </c>
      <c r="AA516" s="271">
        <v>0</v>
      </c>
      <c r="AB516" s="271">
        <v>0</v>
      </c>
      <c r="AC516" s="10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s="63"/>
      <c r="B517" s="309" t="s">
        <v>638</v>
      </c>
      <c r="C517" s="16" t="s">
        <v>639</v>
      </c>
      <c r="D517" s="310"/>
      <c r="E517" s="17" t="s">
        <v>640</v>
      </c>
      <c r="F517" s="18"/>
      <c r="G517" s="134" t="e">
        <f ca="1">_xlfn.FORMULATEXT(IN[[#This Row],[STAGE]])</f>
        <v>#N/A</v>
      </c>
      <c r="H517" s="20">
        <v>1</v>
      </c>
      <c r="I517" s="308">
        <v>41.7</v>
      </c>
      <c r="J517" s="135">
        <f>IF(IN[[#This Row],[Sim_]]=IN[[#This Row],[STAGE]],1,0)</f>
        <v>1</v>
      </c>
      <c r="K517" s="223">
        <f>K39</f>
        <v>41.7</v>
      </c>
      <c r="L517" s="130"/>
      <c r="M517" s="130">
        <f>IF(IN[[#This Row],[Sim_]]=IN[[#This Row],[Sim Var ref]],1,0)</f>
        <v>0</v>
      </c>
      <c r="N517" s="8"/>
      <c r="O517" s="8"/>
      <c r="P517" s="105"/>
      <c r="Q517" s="137">
        <f>IF(IN[[#This Row],[Sim_]]=IN[[#This Row],[Direkt alt]],1,0)</f>
        <v>0</v>
      </c>
      <c r="R517" s="10">
        <v>41.7</v>
      </c>
      <c r="S517" s="10">
        <f>IF(IN[[#This Row],[Sim_]]=IN[[#This Row],[Buffer]],1,0)</f>
        <v>1</v>
      </c>
      <c r="T517" s="11"/>
      <c r="U517" s="145"/>
      <c r="V517" s="310"/>
      <c r="W517" s="310"/>
      <c r="X517" s="310">
        <v>41.7</v>
      </c>
      <c r="Y517" s="310"/>
      <c r="Z517" s="310">
        <v>41.7</v>
      </c>
      <c r="AA517" s="310"/>
      <c r="AB517" s="310"/>
      <c r="AC517" s="278">
        <v>41.7</v>
      </c>
      <c r="AD517">
        <v>41.7</v>
      </c>
      <c r="AE517">
        <v>41.7</v>
      </c>
      <c r="AF517">
        <v>41.7</v>
      </c>
      <c r="AG517">
        <v>41.7</v>
      </c>
      <c r="AH517">
        <v>41.7</v>
      </c>
      <c r="AI517">
        <v>41.7</v>
      </c>
      <c r="AJ517">
        <v>41.7</v>
      </c>
    </row>
    <row r="518" spans="1:36" x14ac:dyDescent="0.25">
      <c r="A518" s="63"/>
      <c r="B518" s="309" t="s">
        <v>641</v>
      </c>
      <c r="C518" s="16" t="s">
        <v>639</v>
      </c>
      <c r="D518" s="310"/>
      <c r="E518" s="17"/>
      <c r="F518" s="18"/>
      <c r="G518" s="134" t="e">
        <f ca="1">_xlfn.FORMULATEXT(IN[[#This Row],[STAGE]])</f>
        <v>#N/A</v>
      </c>
      <c r="H518" s="20">
        <v>1</v>
      </c>
      <c r="I518" s="308">
        <v>5.9</v>
      </c>
      <c r="J518" s="135">
        <f>IF(IN[[#This Row],[Sim_]]=IN[[#This Row],[STAGE]],1,0)</f>
        <v>1</v>
      </c>
      <c r="K518" s="223">
        <f>K40</f>
        <v>5.9</v>
      </c>
      <c r="L518" s="130"/>
      <c r="M518" s="130">
        <f>IF(IN[[#This Row],[Sim_]]=IN[[#This Row],[Sim Var ref]],1,0)</f>
        <v>0</v>
      </c>
      <c r="N518" s="8"/>
      <c r="O518" s="8"/>
      <c r="P518" s="105"/>
      <c r="Q518" s="137">
        <f>IF(IN[[#This Row],[Sim_]]=IN[[#This Row],[Direkt alt]],1,0)</f>
        <v>0</v>
      </c>
      <c r="R518" s="10">
        <v>5.9</v>
      </c>
      <c r="S518" s="10">
        <f>IF(IN[[#This Row],[Sim_]]=IN[[#This Row],[Buffer]],1,0)</f>
        <v>1</v>
      </c>
      <c r="T518" s="11"/>
      <c r="U518" s="145"/>
      <c r="V518" s="310"/>
      <c r="W518" s="310"/>
      <c r="X518" s="310">
        <v>5.9</v>
      </c>
      <c r="Y518" s="310"/>
      <c r="Z518" s="310">
        <v>5.9</v>
      </c>
      <c r="AA518" s="310"/>
      <c r="AB518" s="310"/>
      <c r="AC518" s="278">
        <v>5.9</v>
      </c>
      <c r="AD518">
        <v>5.9</v>
      </c>
      <c r="AE518">
        <v>5.9</v>
      </c>
      <c r="AF518">
        <v>5.9</v>
      </c>
      <c r="AG518">
        <v>5.9</v>
      </c>
      <c r="AH518">
        <v>5.9</v>
      </c>
      <c r="AI518">
        <v>5.9</v>
      </c>
      <c r="AJ518">
        <v>5.9</v>
      </c>
    </row>
    <row r="519" spans="1:36" x14ac:dyDescent="0.25">
      <c r="A519" s="63"/>
      <c r="B519" s="309" t="s">
        <v>642</v>
      </c>
      <c r="C519" s="16" t="s">
        <v>639</v>
      </c>
      <c r="D519" s="310"/>
      <c r="E519" s="17"/>
      <c r="F519" s="18"/>
      <c r="G519" s="134" t="e">
        <f ca="1">_xlfn.FORMULATEXT(IN[[#This Row],[STAGE]])</f>
        <v>#N/A</v>
      </c>
      <c r="H519" s="20">
        <v>1</v>
      </c>
      <c r="I519" s="308">
        <v>2.5</v>
      </c>
      <c r="J519" s="135">
        <f>IF(IN[[#This Row],[Sim_]]=IN[[#This Row],[STAGE]],1,0)</f>
        <v>1</v>
      </c>
      <c r="K519" s="223">
        <f>K41</f>
        <v>2.5</v>
      </c>
      <c r="L519" s="130"/>
      <c r="M519" s="130">
        <f>IF(IN[[#This Row],[Sim_]]=IN[[#This Row],[Sim Var ref]],1,0)</f>
        <v>0</v>
      </c>
      <c r="N519" s="8"/>
      <c r="O519" s="8"/>
      <c r="P519" s="105"/>
      <c r="Q519" s="137">
        <f>IF(IN[[#This Row],[Sim_]]=IN[[#This Row],[Direkt alt]],1,0)</f>
        <v>0</v>
      </c>
      <c r="R519" s="10">
        <v>2.5</v>
      </c>
      <c r="S519" s="10">
        <f>IF(IN[[#This Row],[Sim_]]=IN[[#This Row],[Buffer]],1,0)</f>
        <v>1</v>
      </c>
      <c r="T519" s="11"/>
      <c r="U519" s="145"/>
      <c r="V519" s="310"/>
      <c r="W519" s="310"/>
      <c r="X519" s="310">
        <v>2.5</v>
      </c>
      <c r="Y519" s="310"/>
      <c r="Z519" s="310">
        <v>2.5</v>
      </c>
      <c r="AA519" s="310"/>
      <c r="AB519" s="310"/>
      <c r="AC519" s="278">
        <v>2.5</v>
      </c>
      <c r="AD519">
        <v>2.5</v>
      </c>
      <c r="AE519">
        <v>2.5</v>
      </c>
      <c r="AF519">
        <v>2.5</v>
      </c>
      <c r="AG519">
        <v>2.5</v>
      </c>
      <c r="AH519">
        <v>2.5</v>
      </c>
      <c r="AI519">
        <v>2.5</v>
      </c>
      <c r="AJ519">
        <v>2.5</v>
      </c>
    </row>
    <row r="520" spans="1:36" x14ac:dyDescent="0.25">
      <c r="A520" s="63"/>
      <c r="B520" s="309" t="s">
        <v>643</v>
      </c>
      <c r="C520" s="16" t="s">
        <v>639</v>
      </c>
      <c r="D520" s="310"/>
      <c r="E520" s="17"/>
      <c r="F520" s="18"/>
      <c r="G520" s="134" t="e">
        <f ca="1">_xlfn.FORMULATEXT(IN[[#This Row],[STAGE]])</f>
        <v>#N/A</v>
      </c>
      <c r="H520" s="20">
        <v>1</v>
      </c>
      <c r="I520" s="308">
        <v>10.7</v>
      </c>
      <c r="J520" s="135">
        <f>IF(IN[[#This Row],[Sim_]]=IN[[#This Row],[STAGE]],1,0)</f>
        <v>1</v>
      </c>
      <c r="K520" s="223">
        <f>K42</f>
        <v>10.7</v>
      </c>
      <c r="L520" s="130"/>
      <c r="M520" s="130">
        <f>IF(IN[[#This Row],[Sim_]]=IN[[#This Row],[Sim Var ref]],1,0)</f>
        <v>0</v>
      </c>
      <c r="N520" s="8"/>
      <c r="O520" s="8"/>
      <c r="P520" s="105"/>
      <c r="Q520" s="137">
        <f>IF(IN[[#This Row],[Sim_]]=IN[[#This Row],[Direkt alt]],1,0)</f>
        <v>0</v>
      </c>
      <c r="R520" s="10">
        <v>10.7</v>
      </c>
      <c r="S520" s="10">
        <f>IF(IN[[#This Row],[Sim_]]=IN[[#This Row],[Buffer]],1,0)</f>
        <v>1</v>
      </c>
      <c r="T520" s="11"/>
      <c r="U520" s="145"/>
      <c r="V520" s="310"/>
      <c r="W520" s="310"/>
      <c r="X520" s="310">
        <v>10.7</v>
      </c>
      <c r="Y520" s="310"/>
      <c r="Z520" s="310">
        <v>10.7</v>
      </c>
      <c r="AA520" s="310"/>
      <c r="AB520" s="310"/>
      <c r="AC520" s="278">
        <v>10.7</v>
      </c>
      <c r="AD520">
        <v>10.7</v>
      </c>
      <c r="AE520">
        <v>10.7</v>
      </c>
      <c r="AF520">
        <v>10.7</v>
      </c>
      <c r="AG520">
        <v>10.7</v>
      </c>
      <c r="AH520">
        <v>10.7</v>
      </c>
      <c r="AI520">
        <v>10.7</v>
      </c>
      <c r="AJ520">
        <v>10.7</v>
      </c>
    </row>
    <row r="521" spans="1:36" x14ac:dyDescent="0.25">
      <c r="A521" s="63"/>
      <c r="B521" s="309"/>
      <c r="C521" s="16"/>
      <c r="D521" s="310"/>
      <c r="E521" s="17"/>
      <c r="F521" s="18"/>
      <c r="G521" s="147"/>
      <c r="H521" s="20">
        <v>0</v>
      </c>
      <c r="I521" s="104">
        <f>IN[[#This Row],[Buffer]]</f>
        <v>0</v>
      </c>
      <c r="J521" s="135">
        <f>IF(IN[[#This Row],[Sim_]]=IN[[#This Row],[STAGE]],1,0)</f>
        <v>1</v>
      </c>
      <c r="K521" s="310"/>
      <c r="L521" s="130"/>
      <c r="M521" s="130">
        <f>IF(IN[[#This Row],[Sim_]]=IN[[#This Row],[Sim Var ref]],1,0)</f>
        <v>1</v>
      </c>
      <c r="N521" s="8"/>
      <c r="O521" s="8"/>
      <c r="P521" s="105"/>
      <c r="Q521" s="137">
        <f>IF(IN[[#This Row],[Sim_]]=IN[[#This Row],[Direkt alt]],1,0)</f>
        <v>1</v>
      </c>
      <c r="R521" s="10">
        <v>0</v>
      </c>
      <c r="S521" s="10">
        <f>IF(IN[[#This Row],[Sim_]]=IN[[#This Row],[Buffer]],1,0)</f>
        <v>1</v>
      </c>
      <c r="T521" s="11"/>
      <c r="U521" s="145"/>
      <c r="V521" s="310"/>
      <c r="W521" s="310"/>
      <c r="X521" s="310">
        <v>0</v>
      </c>
      <c r="Y521" s="310"/>
      <c r="Z521" s="310">
        <v>0</v>
      </c>
      <c r="AA521" s="310"/>
      <c r="AB521" s="310"/>
      <c r="AC521" s="106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s="63"/>
      <c r="B522" s="309"/>
      <c r="C522" s="16"/>
      <c r="D522" s="310"/>
      <c r="E522" s="17"/>
      <c r="F522" s="18"/>
      <c r="G522" s="147"/>
      <c r="H522" s="20">
        <v>0</v>
      </c>
      <c r="I522" s="104">
        <f>IN[[#This Row],[Buffer]]</f>
        <v>0</v>
      </c>
      <c r="J522" s="135">
        <f>IF(IN[[#This Row],[Sim_]]=IN[[#This Row],[STAGE]],1,0)</f>
        <v>1</v>
      </c>
      <c r="K522" s="310"/>
      <c r="L522" s="130"/>
      <c r="M522" s="130">
        <f>IF(IN[[#This Row],[Sim_]]=IN[[#This Row],[Sim Var ref]],1,0)</f>
        <v>1</v>
      </c>
      <c r="N522" s="8"/>
      <c r="O522" s="8"/>
      <c r="P522" s="105"/>
      <c r="Q522" s="137">
        <f>IF(IN[[#This Row],[Sim_]]=IN[[#This Row],[Direkt alt]],1,0)</f>
        <v>1</v>
      </c>
      <c r="R522" s="10">
        <v>0</v>
      </c>
      <c r="S522" s="10">
        <f>IF(IN[[#This Row],[Sim_]]=IN[[#This Row],[Buffer]],1,0)</f>
        <v>1</v>
      </c>
      <c r="T522" s="11"/>
      <c r="U522" s="145"/>
      <c r="V522" s="310"/>
      <c r="W522" s="310"/>
      <c r="X522" s="310">
        <v>0</v>
      </c>
      <c r="Y522" s="310"/>
      <c r="Z522" s="310">
        <v>0</v>
      </c>
      <c r="AA522" s="310"/>
      <c r="AB522" s="310"/>
      <c r="AC522" s="106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s="63"/>
      <c r="B523" s="309"/>
      <c r="C523" s="16"/>
      <c r="D523" s="310"/>
      <c r="E523" s="17"/>
      <c r="F523" s="18"/>
      <c r="G523" s="147"/>
      <c r="H523" s="20">
        <v>0</v>
      </c>
      <c r="I523" s="104">
        <f>IN[[#This Row],[Buffer]]</f>
        <v>0</v>
      </c>
      <c r="J523" s="135">
        <f>IF(IN[[#This Row],[Sim_]]=IN[[#This Row],[STAGE]],1,0)</f>
        <v>1</v>
      </c>
      <c r="K523" s="310"/>
      <c r="L523" s="130"/>
      <c r="M523" s="130">
        <f>IF(IN[[#This Row],[Sim_]]=IN[[#This Row],[Sim Var ref]],1,0)</f>
        <v>1</v>
      </c>
      <c r="N523" s="8"/>
      <c r="O523" s="8"/>
      <c r="P523" s="105"/>
      <c r="Q523" s="137">
        <f>IF(IN[[#This Row],[Sim_]]=IN[[#This Row],[Direkt alt]],1,0)</f>
        <v>1</v>
      </c>
      <c r="R523" s="10">
        <v>0</v>
      </c>
      <c r="S523" s="10">
        <f>IF(IN[[#This Row],[Sim_]]=IN[[#This Row],[Buffer]],1,0)</f>
        <v>1</v>
      </c>
      <c r="T523" s="11"/>
      <c r="U523" s="145"/>
      <c r="V523" s="310"/>
      <c r="W523" s="310"/>
      <c r="X523" s="310">
        <v>0</v>
      </c>
      <c r="Y523" s="310"/>
      <c r="Z523" s="310">
        <v>0</v>
      </c>
      <c r="AA523" s="310"/>
      <c r="AB523" s="310"/>
      <c r="AC523" s="106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s="63"/>
      <c r="B524" s="309"/>
      <c r="C524" s="16"/>
      <c r="D524" s="310"/>
      <c r="E524" s="17"/>
      <c r="F524" s="18"/>
      <c r="G524" s="147"/>
      <c r="H524" s="20">
        <v>0</v>
      </c>
      <c r="I524" s="104">
        <f>IN[[#This Row],[Buffer]]</f>
        <v>0</v>
      </c>
      <c r="J524" s="135">
        <f>IF(IN[[#This Row],[Sim_]]=IN[[#This Row],[STAGE]],1,0)</f>
        <v>1</v>
      </c>
      <c r="K524" s="310"/>
      <c r="L524" s="130"/>
      <c r="M524" s="130">
        <f>IF(IN[[#This Row],[Sim_]]=IN[[#This Row],[Sim Var ref]],1,0)</f>
        <v>1</v>
      </c>
      <c r="N524" s="8"/>
      <c r="O524" s="8"/>
      <c r="P524" s="105"/>
      <c r="Q524" s="137">
        <f>IF(IN[[#This Row],[Sim_]]=IN[[#This Row],[Direkt alt]],1,0)</f>
        <v>1</v>
      </c>
      <c r="R524" s="10">
        <v>0</v>
      </c>
      <c r="S524" s="10">
        <f>IF(IN[[#This Row],[Sim_]]=IN[[#This Row],[Buffer]],1,0)</f>
        <v>1</v>
      </c>
      <c r="T524" s="11"/>
      <c r="U524" s="145"/>
      <c r="V524" s="310"/>
      <c r="W524" s="310"/>
      <c r="X524" s="310">
        <v>0</v>
      </c>
      <c r="Y524" s="310"/>
      <c r="Z524" s="310">
        <v>0</v>
      </c>
      <c r="AA524" s="310"/>
      <c r="AB524" s="310"/>
      <c r="AC524" s="106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s="63"/>
      <c r="B525" s="309"/>
      <c r="C525" s="16"/>
      <c r="D525" s="310"/>
      <c r="E525" s="17"/>
      <c r="F525" s="18"/>
      <c r="G525" s="147"/>
      <c r="H525" s="20">
        <v>0</v>
      </c>
      <c r="I525" s="104">
        <f>IN[[#This Row],[Buffer]]</f>
        <v>0</v>
      </c>
      <c r="J525" s="135">
        <f>IF(IN[[#This Row],[Sim_]]=IN[[#This Row],[STAGE]],1,0)</f>
        <v>1</v>
      </c>
      <c r="K525" s="310"/>
      <c r="L525" s="130"/>
      <c r="M525" s="130">
        <f>IF(IN[[#This Row],[Sim_]]=IN[[#This Row],[Sim Var ref]],1,0)</f>
        <v>1</v>
      </c>
      <c r="N525" s="8"/>
      <c r="O525" s="8"/>
      <c r="P525" s="105"/>
      <c r="Q525" s="137">
        <f>IF(IN[[#This Row],[Sim_]]=IN[[#This Row],[Direkt alt]],1,0)</f>
        <v>1</v>
      </c>
      <c r="R525" s="10">
        <v>0</v>
      </c>
      <c r="S525" s="10">
        <f>IF(IN[[#This Row],[Sim_]]=IN[[#This Row],[Buffer]],1,0)</f>
        <v>1</v>
      </c>
      <c r="T525" s="11"/>
      <c r="U525" s="145"/>
      <c r="V525" s="310"/>
      <c r="W525" s="310"/>
      <c r="X525" s="310">
        <v>0</v>
      </c>
      <c r="Y525" s="310"/>
      <c r="Z525" s="310">
        <v>0</v>
      </c>
      <c r="AA525" s="310"/>
      <c r="AB525" s="310"/>
      <c r="AC525" s="106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s="63"/>
      <c r="B526" s="309"/>
      <c r="C526" s="16"/>
      <c r="D526" s="310"/>
      <c r="E526" s="17"/>
      <c r="F526" s="18"/>
      <c r="G526" s="147"/>
      <c r="H526" s="20">
        <v>0</v>
      </c>
      <c r="I526" s="104">
        <f>IN[[#This Row],[Buffer]]</f>
        <v>0</v>
      </c>
      <c r="J526" s="135">
        <f>IF(IN[[#This Row],[Sim_]]=IN[[#This Row],[STAGE]],1,0)</f>
        <v>1</v>
      </c>
      <c r="K526" s="310"/>
      <c r="L526" s="130"/>
      <c r="M526" s="130">
        <f>IF(IN[[#This Row],[Sim_]]=IN[[#This Row],[Sim Var ref]],1,0)</f>
        <v>1</v>
      </c>
      <c r="N526" s="8"/>
      <c r="O526" s="8"/>
      <c r="P526" s="105"/>
      <c r="Q526" s="137">
        <f>IF(IN[[#This Row],[Sim_]]=IN[[#This Row],[Direkt alt]],1,0)</f>
        <v>1</v>
      </c>
      <c r="R526" s="10">
        <v>0</v>
      </c>
      <c r="S526" s="10">
        <f>IF(IN[[#This Row],[Sim_]]=IN[[#This Row],[Buffer]],1,0)</f>
        <v>1</v>
      </c>
      <c r="T526" s="11"/>
      <c r="U526" s="145"/>
      <c r="V526" s="310"/>
      <c r="W526" s="310"/>
      <c r="X526" s="310">
        <v>0</v>
      </c>
      <c r="Y526" s="310"/>
      <c r="Z526" s="310">
        <v>0</v>
      </c>
      <c r="AA526" s="310"/>
      <c r="AB526" s="310"/>
      <c r="AC526" s="10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s="63"/>
      <c r="B527" s="309"/>
      <c r="C527" s="16"/>
      <c r="D527" s="310"/>
      <c r="E527" s="17"/>
      <c r="F527" s="18"/>
      <c r="G527" s="147"/>
      <c r="H527" s="20">
        <v>0</v>
      </c>
      <c r="I527" s="104">
        <f>IN[[#This Row],[Buffer]]</f>
        <v>0</v>
      </c>
      <c r="J527" s="135">
        <f>IF(IN[[#This Row],[Sim_]]=IN[[#This Row],[STAGE]],1,0)</f>
        <v>1</v>
      </c>
      <c r="K527" s="310"/>
      <c r="L527" s="130"/>
      <c r="M527" s="130">
        <f>IF(IN[[#This Row],[Sim_]]=IN[[#This Row],[Sim Var ref]],1,0)</f>
        <v>1</v>
      </c>
      <c r="N527" s="8"/>
      <c r="O527" s="8"/>
      <c r="P527" s="105"/>
      <c r="Q527" s="137">
        <f>IF(IN[[#This Row],[Sim_]]=IN[[#This Row],[Direkt alt]],1,0)</f>
        <v>1</v>
      </c>
      <c r="R527" s="10">
        <v>0</v>
      </c>
      <c r="S527" s="10">
        <f>IF(IN[[#This Row],[Sim_]]=IN[[#This Row],[Buffer]],1,0)</f>
        <v>1</v>
      </c>
      <c r="T527" s="11"/>
      <c r="U527" s="145"/>
      <c r="V527" s="310"/>
      <c r="W527" s="310"/>
      <c r="X527" s="310">
        <v>0</v>
      </c>
      <c r="Y527" s="310"/>
      <c r="Z527" s="310">
        <v>0</v>
      </c>
      <c r="AA527" s="310"/>
      <c r="AB527" s="310"/>
      <c r="AC527" s="106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s="63"/>
      <c r="B528" s="309"/>
      <c r="C528" s="16"/>
      <c r="D528" s="310"/>
      <c r="E528" s="17"/>
      <c r="F528" s="18"/>
      <c r="G528" s="147"/>
      <c r="H528" s="20">
        <v>0</v>
      </c>
      <c r="I528" s="104">
        <f>IN[[#This Row],[Buffer]]</f>
        <v>0</v>
      </c>
      <c r="J528" s="135">
        <f>IF(IN[[#This Row],[Sim_]]=IN[[#This Row],[STAGE]],1,0)</f>
        <v>1</v>
      </c>
      <c r="K528" s="310"/>
      <c r="L528" s="130"/>
      <c r="M528" s="130">
        <f>IF(IN[[#This Row],[Sim_]]=IN[[#This Row],[Sim Var ref]],1,0)</f>
        <v>1</v>
      </c>
      <c r="N528" s="8"/>
      <c r="O528" s="8"/>
      <c r="P528" s="105"/>
      <c r="Q528" s="137">
        <f>IF(IN[[#This Row],[Sim_]]=IN[[#This Row],[Direkt alt]],1,0)</f>
        <v>1</v>
      </c>
      <c r="R528" s="10">
        <v>0</v>
      </c>
      <c r="S528" s="10">
        <f>IF(IN[[#This Row],[Sim_]]=IN[[#This Row],[Buffer]],1,0)</f>
        <v>1</v>
      </c>
      <c r="T528" s="11"/>
      <c r="U528" s="145"/>
      <c r="V528" s="310"/>
      <c r="W528" s="310"/>
      <c r="X528" s="310">
        <v>0</v>
      </c>
      <c r="Y528" s="310"/>
      <c r="Z528" s="310">
        <v>0</v>
      </c>
      <c r="AA528" s="310"/>
      <c r="AB528" s="310"/>
      <c r="AC528" s="106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s="63"/>
      <c r="B529" s="309"/>
      <c r="C529" s="16"/>
      <c r="D529" s="310"/>
      <c r="E529" s="17"/>
      <c r="F529" s="18"/>
      <c r="G529" s="147"/>
      <c r="H529" s="20">
        <v>0</v>
      </c>
      <c r="I529" s="104">
        <f>IN[[#This Row],[Buffer]]</f>
        <v>0</v>
      </c>
      <c r="J529" s="135">
        <f>IF(IN[[#This Row],[Sim_]]=IN[[#This Row],[STAGE]],1,0)</f>
        <v>1</v>
      </c>
      <c r="K529" s="310"/>
      <c r="L529" s="130"/>
      <c r="M529" s="130">
        <f>IF(IN[[#This Row],[Sim_]]=IN[[#This Row],[Sim Var ref]],1,0)</f>
        <v>1</v>
      </c>
      <c r="N529" s="8"/>
      <c r="O529" s="8"/>
      <c r="P529" s="105"/>
      <c r="Q529" s="137">
        <f>IF(IN[[#This Row],[Sim_]]=IN[[#This Row],[Direkt alt]],1,0)</f>
        <v>1</v>
      </c>
      <c r="R529" s="10">
        <v>0</v>
      </c>
      <c r="S529" s="10">
        <f>IF(IN[[#This Row],[Sim_]]=IN[[#This Row],[Buffer]],1,0)</f>
        <v>1</v>
      </c>
      <c r="T529" s="11"/>
      <c r="U529" s="145"/>
      <c r="V529" s="310"/>
      <c r="W529" s="310"/>
      <c r="X529" s="310">
        <v>0</v>
      </c>
      <c r="Y529" s="310"/>
      <c r="Z529" s="310">
        <v>0</v>
      </c>
      <c r="AA529" s="310"/>
      <c r="AB529" s="310"/>
      <c r="AC529" s="106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s="63"/>
      <c r="B530" s="309"/>
      <c r="C530" s="16"/>
      <c r="D530" s="310"/>
      <c r="E530" s="17"/>
      <c r="F530" s="18"/>
      <c r="G530" s="147"/>
      <c r="H530" s="20">
        <v>0</v>
      </c>
      <c r="I530" s="104">
        <f>IN[[#This Row],[Buffer]]</f>
        <v>0</v>
      </c>
      <c r="J530" s="135">
        <f>IF(IN[[#This Row],[Sim_]]=IN[[#This Row],[STAGE]],1,0)</f>
        <v>1</v>
      </c>
      <c r="K530" s="310"/>
      <c r="L530" s="130"/>
      <c r="M530" s="130">
        <f>IF(IN[[#This Row],[Sim_]]=IN[[#This Row],[Sim Var ref]],1,0)</f>
        <v>1</v>
      </c>
      <c r="N530" s="8"/>
      <c r="O530" s="8"/>
      <c r="P530" s="105"/>
      <c r="Q530" s="137">
        <f>IF(IN[[#This Row],[Sim_]]=IN[[#This Row],[Direkt alt]],1,0)</f>
        <v>1</v>
      </c>
      <c r="R530" s="10">
        <v>0</v>
      </c>
      <c r="S530" s="10">
        <f>IF(IN[[#This Row],[Sim_]]=IN[[#This Row],[Buffer]],1,0)</f>
        <v>1</v>
      </c>
      <c r="T530" s="11"/>
      <c r="U530" s="145"/>
      <c r="V530" s="310"/>
      <c r="W530" s="310"/>
      <c r="X530" s="310">
        <v>0</v>
      </c>
      <c r="Y530" s="310"/>
      <c r="Z530" s="310">
        <v>0</v>
      </c>
      <c r="AA530" s="310"/>
      <c r="AB530" s="310"/>
      <c r="AC530" s="106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s="63"/>
      <c r="B531" s="309"/>
      <c r="C531" s="16"/>
      <c r="D531" s="310"/>
      <c r="E531" s="17"/>
      <c r="F531" s="18"/>
      <c r="G531" s="147"/>
      <c r="H531" s="20">
        <v>0</v>
      </c>
      <c r="I531" s="104">
        <f>IN[[#This Row],[Buffer]]</f>
        <v>0</v>
      </c>
      <c r="J531" s="135">
        <f>IF(IN[[#This Row],[Sim_]]=IN[[#This Row],[STAGE]],1,0)</f>
        <v>1</v>
      </c>
      <c r="K531" s="310"/>
      <c r="L531" s="130"/>
      <c r="M531" s="130">
        <f>IF(IN[[#This Row],[Sim_]]=IN[[#This Row],[Sim Var ref]],1,0)</f>
        <v>1</v>
      </c>
      <c r="N531" s="8"/>
      <c r="O531" s="8"/>
      <c r="P531" s="105"/>
      <c r="Q531" s="137">
        <f>IF(IN[[#This Row],[Sim_]]=IN[[#This Row],[Direkt alt]],1,0)</f>
        <v>1</v>
      </c>
      <c r="R531" s="10">
        <v>0</v>
      </c>
      <c r="S531" s="10">
        <f>IF(IN[[#This Row],[Sim_]]=IN[[#This Row],[Buffer]],1,0)</f>
        <v>1</v>
      </c>
      <c r="T531" s="11"/>
      <c r="U531" s="145"/>
      <c r="V531" s="310"/>
      <c r="W531" s="310"/>
      <c r="X531" s="310">
        <v>0</v>
      </c>
      <c r="Y531" s="310"/>
      <c r="Z531" s="310">
        <v>0</v>
      </c>
      <c r="AA531" s="310"/>
      <c r="AB531" s="310"/>
      <c r="AC531" s="106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s="63"/>
      <c r="B532" s="309"/>
      <c r="C532" s="16"/>
      <c r="D532" s="310"/>
      <c r="E532" s="17"/>
      <c r="F532" s="18"/>
      <c r="G532" s="147"/>
      <c r="H532" s="20">
        <v>0</v>
      </c>
      <c r="I532" s="104">
        <f>IN[[#This Row],[Buffer]]</f>
        <v>0</v>
      </c>
      <c r="J532" s="135">
        <f>IF(IN[[#This Row],[Sim_]]=IN[[#This Row],[STAGE]],1,0)</f>
        <v>1</v>
      </c>
      <c r="K532" s="310"/>
      <c r="L532" s="130"/>
      <c r="M532" s="130">
        <f>IF(IN[[#This Row],[Sim_]]=IN[[#This Row],[Sim Var ref]],1,0)</f>
        <v>1</v>
      </c>
      <c r="N532" s="8"/>
      <c r="O532" s="8"/>
      <c r="P532" s="105"/>
      <c r="Q532" s="137">
        <f>IF(IN[[#This Row],[Sim_]]=IN[[#This Row],[Direkt alt]],1,0)</f>
        <v>1</v>
      </c>
      <c r="R532" s="10">
        <v>0</v>
      </c>
      <c r="S532" s="10">
        <f>IF(IN[[#This Row],[Sim_]]=IN[[#This Row],[Buffer]],1,0)</f>
        <v>1</v>
      </c>
      <c r="T532" s="11"/>
      <c r="U532" s="145"/>
      <c r="V532" s="310"/>
      <c r="W532" s="310"/>
      <c r="X532" s="310">
        <v>0</v>
      </c>
      <c r="Y532" s="310"/>
      <c r="Z532" s="310">
        <v>0</v>
      </c>
      <c r="AA532" s="310"/>
      <c r="AB532" s="310"/>
      <c r="AC532" s="106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s="63"/>
      <c r="B533" s="309"/>
      <c r="C533" s="16"/>
      <c r="D533" s="310"/>
      <c r="E533" s="17"/>
      <c r="F533" s="18"/>
      <c r="G533" s="147"/>
      <c r="H533" s="20">
        <v>0</v>
      </c>
      <c r="I533" s="104">
        <f>IN[[#This Row],[Buffer]]</f>
        <v>0</v>
      </c>
      <c r="J533" s="135">
        <f>IF(IN[[#This Row],[Sim_]]=IN[[#This Row],[STAGE]],1,0)</f>
        <v>1</v>
      </c>
      <c r="K533" s="310"/>
      <c r="L533" s="130"/>
      <c r="M533" s="130">
        <f>IF(IN[[#This Row],[Sim_]]=IN[[#This Row],[Sim Var ref]],1,0)</f>
        <v>1</v>
      </c>
      <c r="N533" s="8"/>
      <c r="O533" s="8"/>
      <c r="P533" s="105"/>
      <c r="Q533" s="137">
        <f>IF(IN[[#This Row],[Sim_]]=IN[[#This Row],[Direkt alt]],1,0)</f>
        <v>1</v>
      </c>
      <c r="R533" s="10">
        <v>0</v>
      </c>
      <c r="S533" s="10">
        <f>IF(IN[[#This Row],[Sim_]]=IN[[#This Row],[Buffer]],1,0)</f>
        <v>1</v>
      </c>
      <c r="T533" s="11"/>
      <c r="U533" s="145"/>
      <c r="V533" s="310"/>
      <c r="W533" s="310"/>
      <c r="X533" s="310">
        <v>0</v>
      </c>
      <c r="Y533" s="310"/>
      <c r="Z533" s="310">
        <v>0</v>
      </c>
      <c r="AA533" s="310"/>
      <c r="AB533" s="310"/>
      <c r="AC533" s="106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s="63"/>
      <c r="B534" s="309"/>
      <c r="C534" s="16"/>
      <c r="D534" s="310"/>
      <c r="E534" s="17"/>
      <c r="F534" s="18"/>
      <c r="G534" s="147"/>
      <c r="H534" s="20">
        <v>0</v>
      </c>
      <c r="I534" s="104">
        <f>IN[[#This Row],[Buffer]]</f>
        <v>0</v>
      </c>
      <c r="J534" s="135">
        <f>IF(IN[[#This Row],[Sim_]]=IN[[#This Row],[STAGE]],1,0)</f>
        <v>1</v>
      </c>
      <c r="K534" s="310"/>
      <c r="L534" s="130"/>
      <c r="M534" s="130">
        <f>IF(IN[[#This Row],[Sim_]]=IN[[#This Row],[Sim Var ref]],1,0)</f>
        <v>1</v>
      </c>
      <c r="N534" s="8"/>
      <c r="O534" s="8"/>
      <c r="P534" s="105"/>
      <c r="Q534" s="137">
        <f>IF(IN[[#This Row],[Sim_]]=IN[[#This Row],[Direkt alt]],1,0)</f>
        <v>1</v>
      </c>
      <c r="R534" s="10">
        <v>0</v>
      </c>
      <c r="S534" s="10">
        <f>IF(IN[[#This Row],[Sim_]]=IN[[#This Row],[Buffer]],1,0)</f>
        <v>1</v>
      </c>
      <c r="T534" s="11"/>
      <c r="U534" s="145"/>
      <c r="V534" s="310"/>
      <c r="W534" s="310"/>
      <c r="X534" s="310">
        <v>0</v>
      </c>
      <c r="Y534" s="310"/>
      <c r="Z534" s="310">
        <v>0</v>
      </c>
      <c r="AA534" s="310"/>
      <c r="AB534" s="310"/>
      <c r="AC534" s="106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s="63"/>
      <c r="B535" s="309"/>
      <c r="C535" s="16"/>
      <c r="D535" s="310"/>
      <c r="E535" s="17"/>
      <c r="F535" s="18"/>
      <c r="G535" s="147"/>
      <c r="H535" s="20">
        <v>0</v>
      </c>
      <c r="I535" s="104">
        <f>IN[[#This Row],[Buffer]]</f>
        <v>0</v>
      </c>
      <c r="J535" s="135">
        <f>IF(IN[[#This Row],[Sim_]]=IN[[#This Row],[STAGE]],1,0)</f>
        <v>1</v>
      </c>
      <c r="K535" s="310"/>
      <c r="L535" s="130"/>
      <c r="M535" s="130">
        <f>IF(IN[[#This Row],[Sim_]]=IN[[#This Row],[Sim Var ref]],1,0)</f>
        <v>1</v>
      </c>
      <c r="N535" s="8"/>
      <c r="O535" s="8"/>
      <c r="P535" s="105"/>
      <c r="Q535" s="137">
        <f>IF(IN[[#This Row],[Sim_]]=IN[[#This Row],[Direkt alt]],1,0)</f>
        <v>1</v>
      </c>
      <c r="R535" s="10">
        <v>0</v>
      </c>
      <c r="S535" s="10">
        <f>IF(IN[[#This Row],[Sim_]]=IN[[#This Row],[Buffer]],1,0)</f>
        <v>1</v>
      </c>
      <c r="T535" s="11"/>
      <c r="U535" s="145"/>
      <c r="V535" s="310"/>
      <c r="W535" s="310"/>
      <c r="X535" s="310">
        <v>0</v>
      </c>
      <c r="Y535" s="310"/>
      <c r="Z535" s="310">
        <v>0</v>
      </c>
      <c r="AA535" s="310"/>
      <c r="AB535" s="310"/>
      <c r="AC535" s="106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s="63"/>
      <c r="B536" s="309"/>
      <c r="C536" s="16"/>
      <c r="D536" s="310"/>
      <c r="E536" s="17"/>
      <c r="F536" s="18"/>
      <c r="G536" s="147"/>
      <c r="H536" s="20">
        <v>0</v>
      </c>
      <c r="I536" s="104">
        <f>IN[[#This Row],[Buffer]]</f>
        <v>0</v>
      </c>
      <c r="J536" s="135">
        <f>IF(IN[[#This Row],[Sim_]]=IN[[#This Row],[STAGE]],1,0)</f>
        <v>1</v>
      </c>
      <c r="K536" s="310"/>
      <c r="L536" s="130"/>
      <c r="M536" s="130">
        <f>IF(IN[[#This Row],[Sim_]]=IN[[#This Row],[Sim Var ref]],1,0)</f>
        <v>1</v>
      </c>
      <c r="N536" s="8"/>
      <c r="O536" s="8"/>
      <c r="P536" s="105"/>
      <c r="Q536" s="137">
        <f>IF(IN[[#This Row],[Sim_]]=IN[[#This Row],[Direkt alt]],1,0)</f>
        <v>1</v>
      </c>
      <c r="R536" s="10">
        <v>0</v>
      </c>
      <c r="S536" s="10">
        <f>IF(IN[[#This Row],[Sim_]]=IN[[#This Row],[Buffer]],1,0)</f>
        <v>1</v>
      </c>
      <c r="T536" s="11"/>
      <c r="U536" s="145"/>
      <c r="V536" s="310"/>
      <c r="W536" s="310"/>
      <c r="X536" s="310">
        <v>0</v>
      </c>
      <c r="Y536" s="310"/>
      <c r="Z536" s="310">
        <v>0</v>
      </c>
      <c r="AA536" s="310"/>
      <c r="AB536" s="310"/>
      <c r="AC536" s="10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s="63"/>
      <c r="B537" s="309"/>
      <c r="C537" s="16"/>
      <c r="D537" s="310"/>
      <c r="E537" s="17"/>
      <c r="F537" s="18"/>
      <c r="G537" s="147"/>
      <c r="H537" s="20">
        <v>0</v>
      </c>
      <c r="I537" s="104">
        <f>IN[[#This Row],[Buffer]]</f>
        <v>0</v>
      </c>
      <c r="J537" s="135">
        <f>IF(IN[[#This Row],[Sim_]]=IN[[#This Row],[STAGE]],1,0)</f>
        <v>1</v>
      </c>
      <c r="K537" s="310"/>
      <c r="L537" s="130"/>
      <c r="M537" s="130">
        <f>IF(IN[[#This Row],[Sim_]]=IN[[#This Row],[Sim Var ref]],1,0)</f>
        <v>1</v>
      </c>
      <c r="N537" s="8"/>
      <c r="O537" s="8"/>
      <c r="P537" s="105"/>
      <c r="Q537" s="137">
        <f>IF(IN[[#This Row],[Sim_]]=IN[[#This Row],[Direkt alt]],1,0)</f>
        <v>1</v>
      </c>
      <c r="R537" s="10">
        <v>0</v>
      </c>
      <c r="S537" s="10">
        <f>IF(IN[[#This Row],[Sim_]]=IN[[#This Row],[Buffer]],1,0)</f>
        <v>1</v>
      </c>
      <c r="T537" s="11"/>
      <c r="U537" s="145"/>
      <c r="V537" s="310"/>
      <c r="W537" s="310"/>
      <c r="X537" s="310">
        <v>0</v>
      </c>
      <c r="Y537" s="310"/>
      <c r="Z537" s="310">
        <v>0</v>
      </c>
      <c r="AA537" s="310"/>
      <c r="AB537" s="310"/>
      <c r="AC537" s="106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s="63"/>
      <c r="B538" s="309"/>
      <c r="C538" s="16"/>
      <c r="D538" s="310"/>
      <c r="E538" s="17"/>
      <c r="F538" s="18"/>
      <c r="G538" s="147"/>
      <c r="H538" s="20">
        <v>0</v>
      </c>
      <c r="I538" s="104">
        <f>IN[[#This Row],[Buffer]]</f>
        <v>0</v>
      </c>
      <c r="J538" s="135">
        <f>IF(IN[[#This Row],[Sim_]]=IN[[#This Row],[STAGE]],1,0)</f>
        <v>1</v>
      </c>
      <c r="K538" s="310"/>
      <c r="L538" s="130"/>
      <c r="M538" s="130">
        <f>IF(IN[[#This Row],[Sim_]]=IN[[#This Row],[Sim Var ref]],1,0)</f>
        <v>1</v>
      </c>
      <c r="N538" s="8"/>
      <c r="O538" s="8"/>
      <c r="P538" s="105"/>
      <c r="Q538" s="137">
        <f>IF(IN[[#This Row],[Sim_]]=IN[[#This Row],[Direkt alt]],1,0)</f>
        <v>1</v>
      </c>
      <c r="R538" s="10">
        <v>0</v>
      </c>
      <c r="S538" s="10">
        <f>IF(IN[[#This Row],[Sim_]]=IN[[#This Row],[Buffer]],1,0)</f>
        <v>1</v>
      </c>
      <c r="T538" s="11"/>
      <c r="U538" s="145"/>
      <c r="V538" s="310"/>
      <c r="W538" s="310"/>
      <c r="X538" s="310">
        <v>0</v>
      </c>
      <c r="Y538" s="310"/>
      <c r="Z538" s="310">
        <v>0</v>
      </c>
      <c r="AA538" s="310"/>
      <c r="AB538" s="310"/>
      <c r="AC538" s="106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s="63"/>
      <c r="B539" s="309"/>
      <c r="C539" s="16"/>
      <c r="D539" s="310"/>
      <c r="E539" s="17"/>
      <c r="F539" s="18"/>
      <c r="G539" s="147"/>
      <c r="H539" s="20">
        <v>0</v>
      </c>
      <c r="I539" s="104">
        <f>IN[[#This Row],[Buffer]]</f>
        <v>0</v>
      </c>
      <c r="J539" s="135">
        <f>IF(IN[[#This Row],[Sim_]]=IN[[#This Row],[STAGE]],1,0)</f>
        <v>1</v>
      </c>
      <c r="K539" s="310"/>
      <c r="L539" s="130"/>
      <c r="M539" s="130">
        <f>IF(IN[[#This Row],[Sim_]]=IN[[#This Row],[Sim Var ref]],1,0)</f>
        <v>1</v>
      </c>
      <c r="N539" s="8"/>
      <c r="O539" s="8"/>
      <c r="P539" s="105"/>
      <c r="Q539" s="137">
        <f>IF(IN[[#This Row],[Sim_]]=IN[[#This Row],[Direkt alt]],1,0)</f>
        <v>1</v>
      </c>
      <c r="R539" s="10">
        <v>0</v>
      </c>
      <c r="S539" s="10">
        <f>IF(IN[[#This Row],[Sim_]]=IN[[#This Row],[Buffer]],1,0)</f>
        <v>1</v>
      </c>
      <c r="T539" s="11"/>
      <c r="U539" s="145"/>
      <c r="V539" s="310"/>
      <c r="W539" s="310"/>
      <c r="X539" s="310">
        <v>0</v>
      </c>
      <c r="Y539" s="310"/>
      <c r="Z539" s="310">
        <v>0</v>
      </c>
      <c r="AA539" s="310"/>
      <c r="AB539" s="310"/>
      <c r="AC539" s="106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s="63"/>
      <c r="B540" s="309"/>
      <c r="C540" s="16"/>
      <c r="D540" s="310"/>
      <c r="E540" s="17"/>
      <c r="F540" s="18"/>
      <c r="G540" s="147"/>
      <c r="H540" s="20">
        <v>0</v>
      </c>
      <c r="I540" s="104">
        <f>IN[[#This Row],[Buffer]]</f>
        <v>0</v>
      </c>
      <c r="J540" s="135">
        <f>IF(IN[[#This Row],[Sim_]]=IN[[#This Row],[STAGE]],1,0)</f>
        <v>1</v>
      </c>
      <c r="K540" s="310"/>
      <c r="L540" s="130"/>
      <c r="M540" s="130">
        <f>IF(IN[[#This Row],[Sim_]]=IN[[#This Row],[Sim Var ref]],1,0)</f>
        <v>1</v>
      </c>
      <c r="N540" s="8"/>
      <c r="O540" s="8"/>
      <c r="P540" s="105"/>
      <c r="Q540" s="137">
        <f>IF(IN[[#This Row],[Sim_]]=IN[[#This Row],[Direkt alt]],1,0)</f>
        <v>1</v>
      </c>
      <c r="R540" s="10">
        <v>0</v>
      </c>
      <c r="S540" s="10">
        <f>IF(IN[[#This Row],[Sim_]]=IN[[#This Row],[Buffer]],1,0)</f>
        <v>1</v>
      </c>
      <c r="T540" s="11"/>
      <c r="U540" s="145"/>
      <c r="V540" s="310"/>
      <c r="W540" s="310"/>
      <c r="X540" s="310">
        <v>0</v>
      </c>
      <c r="Y540" s="310"/>
      <c r="Z540" s="310">
        <v>0</v>
      </c>
      <c r="AA540" s="310"/>
      <c r="AB540" s="310"/>
      <c r="AC540" s="106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s="63"/>
      <c r="B541" s="309"/>
      <c r="C541" s="16"/>
      <c r="D541" s="310"/>
      <c r="E541" s="17"/>
      <c r="F541" s="18"/>
      <c r="G541" s="147"/>
      <c r="H541" s="20">
        <v>0</v>
      </c>
      <c r="I541" s="104">
        <f>IN[[#This Row],[Buffer]]</f>
        <v>0</v>
      </c>
      <c r="J541" s="135">
        <f>IF(IN[[#This Row],[Sim_]]=IN[[#This Row],[STAGE]],1,0)</f>
        <v>1</v>
      </c>
      <c r="K541" s="310"/>
      <c r="L541" s="130"/>
      <c r="M541" s="130">
        <f>IF(IN[[#This Row],[Sim_]]=IN[[#This Row],[Sim Var ref]],1,0)</f>
        <v>1</v>
      </c>
      <c r="N541" s="8"/>
      <c r="O541" s="8"/>
      <c r="P541" s="105"/>
      <c r="Q541" s="137">
        <f>IF(IN[[#This Row],[Sim_]]=IN[[#This Row],[Direkt alt]],1,0)</f>
        <v>1</v>
      </c>
      <c r="R541" s="10">
        <v>0</v>
      </c>
      <c r="S541" s="10">
        <f>IF(IN[[#This Row],[Sim_]]=IN[[#This Row],[Buffer]],1,0)</f>
        <v>1</v>
      </c>
      <c r="T541" s="11"/>
      <c r="U541" s="145"/>
      <c r="V541" s="310"/>
      <c r="W541" s="310"/>
      <c r="X541" s="310">
        <v>0</v>
      </c>
      <c r="Y541" s="310"/>
      <c r="Z541" s="310">
        <v>0</v>
      </c>
      <c r="AA541" s="310"/>
      <c r="AB541" s="310"/>
      <c r="AC541" s="106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ht="28.5" x14ac:dyDescent="0.25">
      <c r="A542" s="311"/>
      <c r="B542" s="311"/>
      <c r="C542" s="312" t="e">
        <f>ROWS(#REF!)-1</f>
        <v>#REF!</v>
      </c>
      <c r="D542" s="312" t="s">
        <v>293</v>
      </c>
      <c r="E542" s="311"/>
      <c r="F542" s="313"/>
      <c r="G542" s="314"/>
      <c r="H542" s="315">
        <v>0</v>
      </c>
      <c r="I542" s="316"/>
      <c r="J542" s="311"/>
      <c r="K542" s="311"/>
      <c r="L542" s="311"/>
      <c r="M542" s="311"/>
      <c r="N542" s="311"/>
      <c r="O542" s="311"/>
      <c r="P542" s="311"/>
      <c r="Q542" s="311"/>
      <c r="R542" s="311"/>
      <c r="S542" s="311"/>
      <c r="T542" s="311"/>
      <c r="U542" s="311"/>
      <c r="V542" s="317"/>
      <c r="W542" s="317"/>
      <c r="X542" s="317"/>
      <c r="Y542" s="317"/>
      <c r="Z542" s="317"/>
      <c r="AA542" s="317"/>
      <c r="AB542" s="317"/>
      <c r="AC542" s="318"/>
    </row>
    <row r="543" spans="1:36" x14ac:dyDescent="0.25">
      <c r="A543" s="319" t="s">
        <v>644</v>
      </c>
      <c r="B543" t="s">
        <v>645</v>
      </c>
      <c r="C543" s="16" t="s">
        <v>512</v>
      </c>
      <c r="D543" s="307" t="s">
        <v>596</v>
      </c>
      <c r="E543" s="17" t="s">
        <v>285</v>
      </c>
      <c r="F543" s="18"/>
      <c r="G543" s="134" t="str">
        <f ca="1">_xlfn.FORMULATEXT(IN[[#This Row],[STAGE]])</f>
        <v>='[ka_PEQ_Nachweistool.xlsb]🔥H'!B52</v>
      </c>
      <c r="H543" s="20">
        <v>2</v>
      </c>
      <c r="I543" s="104">
        <f>'[1]🔥H'!B52</f>
        <v>0</v>
      </c>
      <c r="J543" s="135">
        <f>IF(IN[[#This Row],[Sim_]]=IN[[#This Row],[STAGE]],1,0)</f>
        <v>0</v>
      </c>
      <c r="K543" s="210" t="b" cm="1">
        <f t="array" ref="K543">INDEX([1]Scale!$D$6:$D$10,K$189)</f>
        <v>1</v>
      </c>
      <c r="L543" s="130"/>
      <c r="M543" s="130">
        <f>IF(IN[[#This Row],[Sim_]]=IN[[#This Row],[Sim Var ref]],1,0)</f>
        <v>0</v>
      </c>
      <c r="N543" s="8"/>
      <c r="O543" s="8">
        <v>406</v>
      </c>
      <c r="P543" s="105"/>
      <c r="Q543" s="137">
        <f>IF(IN[[#This Row],[Sim_]]=IN[[#This Row],[Direkt alt]],1,0)</f>
        <v>0</v>
      </c>
      <c r="R543" s="10" t="b">
        <v>1</v>
      </c>
      <c r="S543" s="10">
        <f>IF(IN[[#This Row],[Sim_]]=IN[[#This Row],[Buffer]],1,0)</f>
        <v>1</v>
      </c>
      <c r="T543" s="320">
        <v>1</v>
      </c>
      <c r="U543" s="104" t="b">
        <f>IN[[#This Row],[Buffer]]</f>
        <v>1</v>
      </c>
      <c r="V543" s="131" t="b" cm="1">
        <f t="array" ref="V543">INDEX([1]Scale!$D$6:$D$10,V$189)</f>
        <v>1</v>
      </c>
      <c r="W543" s="131" t="b" cm="1">
        <f t="array" ref="W543">INDEX([1]Scale!$D$6:$D$10,W$189)</f>
        <v>1</v>
      </c>
      <c r="X543" s="131" t="b">
        <v>1</v>
      </c>
      <c r="Y543" s="320">
        <v>1</v>
      </c>
      <c r="Z543" s="174" t="b">
        <v>1</v>
      </c>
      <c r="AA543" s="174">
        <v>1</v>
      </c>
      <c r="AB543" s="174">
        <v>1</v>
      </c>
      <c r="AC543" s="106" t="b">
        <v>1</v>
      </c>
      <c r="AD543" t="b">
        <v>1</v>
      </c>
      <c r="AE543" t="b">
        <v>1</v>
      </c>
      <c r="AF543" t="b">
        <v>1</v>
      </c>
      <c r="AG543" t="b">
        <v>1</v>
      </c>
      <c r="AH543" t="b">
        <v>1</v>
      </c>
      <c r="AI543">
        <v>1</v>
      </c>
      <c r="AJ543">
        <v>1</v>
      </c>
    </row>
    <row r="544" spans="1:36" x14ac:dyDescent="0.25">
      <c r="A544" s="319" t="s">
        <v>644</v>
      </c>
      <c r="B544" t="s">
        <v>646</v>
      </c>
      <c r="C544" s="16" t="s">
        <v>512</v>
      </c>
      <c r="D544" s="307" t="s">
        <v>596</v>
      </c>
      <c r="E544" s="17" t="s">
        <v>285</v>
      </c>
      <c r="F544" s="18"/>
      <c r="G544" s="134" t="str">
        <f ca="1">_xlfn.FORMULATEXT(IN[[#This Row],[STAGE]])</f>
        <v>='[ka_PEQ_Nachweistool.xlsb]🔥H'!B53</v>
      </c>
      <c r="H544" s="20">
        <v>2</v>
      </c>
      <c r="I544" s="104">
        <f>'[1]🔥H'!B53</f>
        <v>0</v>
      </c>
      <c r="J544" s="135">
        <f>IF(IN[[#This Row],[Sim_]]=IN[[#This Row],[STAGE]],1,0)</f>
        <v>0</v>
      </c>
      <c r="K544" s="210" t="b" cm="1">
        <f t="array" ref="K544">INDEX([1]Scale!$E$6:$E$10,K$189)</f>
        <v>1</v>
      </c>
      <c r="L544" s="130"/>
      <c r="M544" s="130">
        <f>IF(IN[[#This Row],[Sim_]]=IN[[#This Row],[Sim Var ref]],1,0)</f>
        <v>0</v>
      </c>
      <c r="N544" s="8"/>
      <c r="O544" s="8">
        <v>407</v>
      </c>
      <c r="P544" s="105"/>
      <c r="Q544" s="137">
        <f>IF(IN[[#This Row],[Sim_]]=IN[[#This Row],[Direkt alt]],1,0)</f>
        <v>0</v>
      </c>
      <c r="R544" s="10" t="b">
        <v>1</v>
      </c>
      <c r="S544" s="10">
        <f>IF(IN[[#This Row],[Sim_]]=IN[[#This Row],[Buffer]],1,0)</f>
        <v>1</v>
      </c>
      <c r="T544" s="320">
        <v>1</v>
      </c>
      <c r="U544" s="104" t="b">
        <f>IN[[#This Row],[Buffer]]</f>
        <v>1</v>
      </c>
      <c r="V544" s="131" t="b" cm="1">
        <f t="array" ref="V544">INDEX([1]Scale!$E$6:$E$10,V$189)</f>
        <v>1</v>
      </c>
      <c r="W544" s="131" t="b" cm="1">
        <f t="array" ref="W544">INDEX([1]Scale!$E$6:$E$10,W$189)</f>
        <v>1</v>
      </c>
      <c r="X544" s="131" t="b">
        <v>1</v>
      </c>
      <c r="Y544" s="320">
        <v>1</v>
      </c>
      <c r="Z544" s="174" t="b">
        <v>1</v>
      </c>
      <c r="AA544" s="174">
        <v>1</v>
      </c>
      <c r="AB544" s="174">
        <v>1</v>
      </c>
      <c r="AC544" s="106" t="b">
        <v>1</v>
      </c>
      <c r="AD544" t="b">
        <v>1</v>
      </c>
      <c r="AE544" t="b">
        <v>1</v>
      </c>
      <c r="AF544" t="b">
        <v>1</v>
      </c>
      <c r="AG544" t="b">
        <v>1</v>
      </c>
      <c r="AH544" t="b">
        <v>1</v>
      </c>
      <c r="AI544">
        <v>1</v>
      </c>
      <c r="AJ544">
        <v>1</v>
      </c>
    </row>
    <row r="545" spans="1:36" x14ac:dyDescent="0.25">
      <c r="A545" s="319" t="s">
        <v>644</v>
      </c>
      <c r="B545" t="s">
        <v>647</v>
      </c>
      <c r="C545" s="16" t="s">
        <v>512</v>
      </c>
      <c r="D545" s="307" t="s">
        <v>596</v>
      </c>
      <c r="E545" s="17" t="s">
        <v>285</v>
      </c>
      <c r="F545" s="18"/>
      <c r="G545" s="134" t="str">
        <f ca="1">_xlfn.FORMULATEXT(IN[[#This Row],[STAGE]])</f>
        <v>='[ka_PEQ_Nachweistool.xlsb]🔥H'!B54</v>
      </c>
      <c r="H545" s="20">
        <v>2</v>
      </c>
      <c r="I545" s="104">
        <f>'[1]🔥H'!B54</f>
        <v>0</v>
      </c>
      <c r="J545" s="135">
        <f>IF(IN[[#This Row],[Sim_]]=IN[[#This Row],[STAGE]],1,0)</f>
        <v>0</v>
      </c>
      <c r="K545" s="210" t="b" cm="1">
        <f t="array" ref="K545">INDEX([1]Scale!$F$6:$F$10,K$189)</f>
        <v>1</v>
      </c>
      <c r="L545" s="130"/>
      <c r="M545" s="130">
        <f>IF(IN[[#This Row],[Sim_]]=IN[[#This Row],[Sim Var ref]],1,0)</f>
        <v>0</v>
      </c>
      <c r="N545" s="8"/>
      <c r="O545" s="8">
        <v>408</v>
      </c>
      <c r="P545" s="105"/>
      <c r="Q545" s="137">
        <f>IF(IN[[#This Row],[Sim_]]=IN[[#This Row],[Direkt alt]],1,0)</f>
        <v>0</v>
      </c>
      <c r="R545" s="10" t="b">
        <v>1</v>
      </c>
      <c r="S545" s="10">
        <f>IF(IN[[#This Row],[Sim_]]=IN[[#This Row],[Buffer]],1,0)</f>
        <v>1</v>
      </c>
      <c r="T545" s="320">
        <v>1</v>
      </c>
      <c r="U545" s="104" t="b">
        <f>IN[[#This Row],[Buffer]]</f>
        <v>1</v>
      </c>
      <c r="V545" s="131" t="b" cm="1">
        <f t="array" ref="V545">INDEX([1]Scale!$F$6:$F$10,V$189)</f>
        <v>1</v>
      </c>
      <c r="W545" s="131" t="b" cm="1">
        <f t="array" ref="W545">INDEX([1]Scale!$F$6:$F$10,W$189)</f>
        <v>1</v>
      </c>
      <c r="X545" s="131" t="b">
        <v>1</v>
      </c>
      <c r="Y545" s="320">
        <v>1</v>
      </c>
      <c r="Z545" s="174" t="b">
        <v>1</v>
      </c>
      <c r="AA545" s="174">
        <v>1</v>
      </c>
      <c r="AB545" s="174">
        <v>1</v>
      </c>
      <c r="AC545" s="106" t="b">
        <v>1</v>
      </c>
      <c r="AD545" t="b">
        <v>1</v>
      </c>
      <c r="AE545" t="b">
        <v>1</v>
      </c>
      <c r="AF545" t="b">
        <v>1</v>
      </c>
      <c r="AG545" t="b">
        <v>1</v>
      </c>
      <c r="AH545" t="b">
        <v>1</v>
      </c>
      <c r="AI545">
        <v>1</v>
      </c>
      <c r="AJ545">
        <v>1</v>
      </c>
    </row>
    <row r="546" spans="1:36" x14ac:dyDescent="0.25">
      <c r="A546" s="319" t="s">
        <v>644</v>
      </c>
      <c r="B546" t="s">
        <v>648</v>
      </c>
      <c r="C546" s="16" t="s">
        <v>512</v>
      </c>
      <c r="D546" s="307" t="s">
        <v>596</v>
      </c>
      <c r="E546" s="17" t="s">
        <v>285</v>
      </c>
      <c r="F546" s="18"/>
      <c r="G546" s="134" t="str">
        <f ca="1">_xlfn.FORMULATEXT(IN[[#This Row],[STAGE]])</f>
        <v>='[ka_PEQ_Nachweistool.xlsb]🔥H'!B55</v>
      </c>
      <c r="H546" s="20">
        <v>2</v>
      </c>
      <c r="I546" s="104">
        <f>'[1]🔥H'!B55</f>
        <v>0</v>
      </c>
      <c r="J546" s="135">
        <f>IF(IN[[#This Row],[Sim_]]=IN[[#This Row],[STAGE]],1,0)</f>
        <v>0</v>
      </c>
      <c r="K546" s="210" t="b" cm="1">
        <f t="array" ref="K546">INDEX([1]Scale!$G$6:$G$10,K$189)</f>
        <v>0</v>
      </c>
      <c r="L546" s="130"/>
      <c r="M546" s="130">
        <f>IF(IN[[#This Row],[Sim_]]=IN[[#This Row],[Sim Var ref]],1,0)</f>
        <v>1</v>
      </c>
      <c r="N546" s="8"/>
      <c r="O546" s="8">
        <v>409</v>
      </c>
      <c r="P546" s="105"/>
      <c r="Q546" s="137">
        <f>IF(IN[[#This Row],[Sim_]]=IN[[#This Row],[Direkt alt]],1,0)</f>
        <v>1</v>
      </c>
      <c r="R546" s="10" t="b">
        <v>0</v>
      </c>
      <c r="S546" s="10">
        <f>IF(IN[[#This Row],[Sim_]]=IN[[#This Row],[Buffer]],1,0)</f>
        <v>1</v>
      </c>
      <c r="T546" s="320">
        <v>0</v>
      </c>
      <c r="U546" s="104" t="b">
        <f>IN[[#This Row],[Buffer]]</f>
        <v>0</v>
      </c>
      <c r="V546" s="131" t="b" cm="1">
        <f t="array" ref="V546">INDEX([1]Scale!$G$6:$G$10,V$189)</f>
        <v>0</v>
      </c>
      <c r="W546" s="131" t="b" cm="1">
        <f t="array" ref="W546">INDEX([1]Scale!$G$6:$G$10,W$189)</f>
        <v>0</v>
      </c>
      <c r="X546" s="131" t="b">
        <v>0</v>
      </c>
      <c r="Y546" s="320">
        <v>0</v>
      </c>
      <c r="Z546" s="174" t="b">
        <v>0</v>
      </c>
      <c r="AA546" s="174">
        <v>0</v>
      </c>
      <c r="AB546" s="174">
        <v>0</v>
      </c>
      <c r="AC546" s="10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>
        <v>0</v>
      </c>
      <c r="AJ546">
        <v>0</v>
      </c>
    </row>
    <row r="547" spans="1:36" x14ac:dyDescent="0.25">
      <c r="A547" s="319" t="s">
        <v>644</v>
      </c>
      <c r="B547" t="s">
        <v>649</v>
      </c>
      <c r="C547" s="16" t="s">
        <v>512</v>
      </c>
      <c r="D547" s="307" t="s">
        <v>596</v>
      </c>
      <c r="E547" s="17" t="s">
        <v>285</v>
      </c>
      <c r="F547" s="18"/>
      <c r="G547" s="134" t="str">
        <f ca="1">_xlfn.FORMULATEXT(IN[[#This Row],[STAGE]])</f>
        <v>='[ka_PEQ_Nachweistool.xlsb]🔥H'!B56</v>
      </c>
      <c r="H547" s="20">
        <v>2</v>
      </c>
      <c r="I547" s="104">
        <f>'[1]🔥H'!B56</f>
        <v>0</v>
      </c>
      <c r="J547" s="135">
        <f>IF(IN[[#This Row],[Sim_]]=IN[[#This Row],[STAGE]],1,0)</f>
        <v>0</v>
      </c>
      <c r="K547" s="210" t="b" cm="1">
        <f t="array" ref="K547">INDEX([1]Scale!$H$6:$H$10,K$189)</f>
        <v>0</v>
      </c>
      <c r="L547" s="130"/>
      <c r="M547" s="130">
        <f>IF(IN[[#This Row],[Sim_]]=IN[[#This Row],[Sim Var ref]],1,0)</f>
        <v>1</v>
      </c>
      <c r="N547" s="8"/>
      <c r="O547" s="8">
        <v>410</v>
      </c>
      <c r="P547" s="105"/>
      <c r="Q547" s="137">
        <f>IF(IN[[#This Row],[Sim_]]=IN[[#This Row],[Direkt alt]],1,0)</f>
        <v>1</v>
      </c>
      <c r="R547" s="10" t="b">
        <v>0</v>
      </c>
      <c r="S547" s="10">
        <f>IF(IN[[#This Row],[Sim_]]=IN[[#This Row],[Buffer]],1,0)</f>
        <v>1</v>
      </c>
      <c r="T547" s="320">
        <v>0</v>
      </c>
      <c r="U547" s="104" t="b">
        <f>IN[[#This Row],[Buffer]]</f>
        <v>0</v>
      </c>
      <c r="V547" s="131" t="b" cm="1">
        <f t="array" ref="V547">INDEX([1]Scale!$H$6:$H$10,V$189)</f>
        <v>0</v>
      </c>
      <c r="W547" s="131" t="b" cm="1">
        <f t="array" ref="W547">INDEX([1]Scale!$H$6:$H$10,W$189)</f>
        <v>0</v>
      </c>
      <c r="X547" s="131" t="b">
        <v>0</v>
      </c>
      <c r="Y547" s="320">
        <v>0</v>
      </c>
      <c r="Z547" s="174" t="b">
        <v>0</v>
      </c>
      <c r="AA547" s="174">
        <v>0</v>
      </c>
      <c r="AB547" s="174">
        <v>0</v>
      </c>
      <c r="AC547" s="106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>
        <v>0</v>
      </c>
      <c r="AJ547">
        <v>0</v>
      </c>
    </row>
    <row r="548" spans="1:36" x14ac:dyDescent="0.25">
      <c r="A548" s="319" t="s">
        <v>644</v>
      </c>
      <c r="B548" t="s">
        <v>650</v>
      </c>
      <c r="C548" s="16" t="s">
        <v>512</v>
      </c>
      <c r="D548" s="307" t="s">
        <v>596</v>
      </c>
      <c r="E548" s="17" t="s">
        <v>285</v>
      </c>
      <c r="F548" s="18"/>
      <c r="G548" s="134" t="str">
        <f ca="1">_xlfn.FORMULATEXT(IN[[#This Row],[STAGE]])</f>
        <v>='[ka_PEQ_Nachweistool.xlsb]🔥H'!B57</v>
      </c>
      <c r="H548" s="20">
        <v>2</v>
      </c>
      <c r="I548" s="104">
        <f>'[1]🔥H'!B57</f>
        <v>0</v>
      </c>
      <c r="J548" s="135">
        <f>IF(IN[[#This Row],[Sim_]]=IN[[#This Row],[STAGE]],1,0)</f>
        <v>0</v>
      </c>
      <c r="K548" s="210" t="b" cm="1">
        <f t="array" ref="K548">INDEX([1]Scale!$I$6:$I$10,K$189)</f>
        <v>0</v>
      </c>
      <c r="L548" s="130"/>
      <c r="M548" s="130">
        <f>IF(IN[[#This Row],[Sim_]]=IN[[#This Row],[Sim Var ref]],1,0)</f>
        <v>1</v>
      </c>
      <c r="N548" s="8"/>
      <c r="O548" s="8">
        <v>411</v>
      </c>
      <c r="P548" s="105"/>
      <c r="Q548" s="137">
        <f>IF(IN[[#This Row],[Sim_]]=IN[[#This Row],[Direkt alt]],1,0)</f>
        <v>1</v>
      </c>
      <c r="R548" s="10" t="b">
        <v>0</v>
      </c>
      <c r="S548" s="10">
        <f>IF(IN[[#This Row],[Sim_]]=IN[[#This Row],[Buffer]],1,0)</f>
        <v>1</v>
      </c>
      <c r="T548" s="320">
        <v>0</v>
      </c>
      <c r="U548" s="104" t="b">
        <f>IN[[#This Row],[Buffer]]</f>
        <v>0</v>
      </c>
      <c r="V548" s="131" t="b" cm="1">
        <f t="array" ref="V548">INDEX([1]Scale!$I$6:$I$10,V$189)</f>
        <v>0</v>
      </c>
      <c r="W548" s="131" t="b" cm="1">
        <f t="array" ref="W548">INDEX([1]Scale!$I$6:$I$10,W$189)</f>
        <v>0</v>
      </c>
      <c r="X548" s="131" t="b">
        <v>0</v>
      </c>
      <c r="Y548" s="320">
        <v>0</v>
      </c>
      <c r="Z548" s="174" t="b">
        <v>0</v>
      </c>
      <c r="AA548" s="174">
        <v>0</v>
      </c>
      <c r="AB548" s="174">
        <v>0</v>
      </c>
      <c r="AC548" s="106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>
        <v>0</v>
      </c>
      <c r="AJ548">
        <v>0</v>
      </c>
    </row>
    <row r="549" spans="1:36" x14ac:dyDescent="0.25">
      <c r="A549" s="319" t="s">
        <v>644</v>
      </c>
      <c r="B549" t="s">
        <v>651</v>
      </c>
      <c r="C549" s="16" t="s">
        <v>512</v>
      </c>
      <c r="D549" s="307" t="s">
        <v>596</v>
      </c>
      <c r="E549" s="17" t="s">
        <v>285</v>
      </c>
      <c r="F549" s="18"/>
      <c r="G549" s="134" t="str">
        <f ca="1">_xlfn.FORMULATEXT(IN[[#This Row],[STAGE]])</f>
        <v>='[ka_PEQ_Nachweistool.xlsb]🔥H'!B58</v>
      </c>
      <c r="H549" s="20">
        <v>2</v>
      </c>
      <c r="I549" s="104">
        <f>'[1]🔥H'!B58</f>
        <v>0</v>
      </c>
      <c r="J549" s="135"/>
      <c r="K549" s="210" t="b" cm="1">
        <f t="array" ref="K549">INDEX([1]Scale!$J$6:$J$10,K$189)</f>
        <v>0</v>
      </c>
      <c r="L549" s="130"/>
      <c r="M549" s="130"/>
      <c r="N549" s="8"/>
      <c r="O549" s="8">
        <v>412</v>
      </c>
      <c r="P549" s="280"/>
      <c r="Q549" s="137"/>
      <c r="R549" s="10" t="b">
        <v>0</v>
      </c>
      <c r="S549" s="10"/>
      <c r="T549" s="320">
        <v>0</v>
      </c>
      <c r="U549" s="104" t="b">
        <f>IN[[#This Row],[Buffer]]</f>
        <v>0</v>
      </c>
      <c r="V549" s="131" t="b" cm="1">
        <f t="array" ref="V549">INDEX([1]Scale!$J$6:$J$10,V$189)</f>
        <v>0</v>
      </c>
      <c r="W549" s="131" t="b" cm="1">
        <f t="array" ref="W549">INDEX([1]Scale!$J$6:$J$10,W$189)</f>
        <v>0</v>
      </c>
      <c r="X549" s="131" t="b">
        <v>0</v>
      </c>
      <c r="Y549" s="320">
        <v>0</v>
      </c>
      <c r="Z549" s="174" t="b">
        <v>0</v>
      </c>
      <c r="AA549" s="174">
        <v>0</v>
      </c>
      <c r="AB549" s="174">
        <v>0</v>
      </c>
      <c r="AC549" s="106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>
        <v>0</v>
      </c>
      <c r="AJ549">
        <v>0</v>
      </c>
    </row>
    <row r="550" spans="1:36" x14ac:dyDescent="0.25">
      <c r="A550" s="319" t="s">
        <v>644</v>
      </c>
      <c r="B550" t="s">
        <v>652</v>
      </c>
      <c r="C550" s="16" t="s">
        <v>512</v>
      </c>
      <c r="D550" s="307" t="s">
        <v>596</v>
      </c>
      <c r="E550" s="17" t="s">
        <v>285</v>
      </c>
      <c r="F550" s="18"/>
      <c r="G550" s="134" t="str">
        <f ca="1">_xlfn.FORMULATEXT(IN[[#This Row],[STAGE]])</f>
        <v>='[ka_PEQ_Nachweistool.xlsb]🔥H'!B59</v>
      </c>
      <c r="H550" s="20">
        <v>2</v>
      </c>
      <c r="I550" s="104">
        <f>'[1]🔥H'!B59</f>
        <v>0</v>
      </c>
      <c r="J550" s="135">
        <f>IF(IN[[#This Row],[Sim_]]=IN[[#This Row],[STAGE]],1,0)</f>
        <v>0</v>
      </c>
      <c r="K550" s="210" t="b" cm="1">
        <f t="array" ref="K550">INDEX([1]Scale!$K$6:$K$10,K$189)</f>
        <v>0</v>
      </c>
      <c r="L550" s="130"/>
      <c r="M550" s="130">
        <f>IF(IN[[#This Row],[Sim_]]=IN[[#This Row],[Sim Var ref]],1,0)</f>
        <v>1</v>
      </c>
      <c r="N550" s="8"/>
      <c r="O550" s="8">
        <v>413</v>
      </c>
      <c r="P550" s="105"/>
      <c r="Q550" s="137">
        <f>IF(IN[[#This Row],[Sim_]]=IN[[#This Row],[Direkt alt]],1,0)</f>
        <v>1</v>
      </c>
      <c r="R550" s="10" t="b">
        <v>0</v>
      </c>
      <c r="S550" s="10">
        <f>IF(IN[[#This Row],[Sim_]]=IN[[#This Row],[Buffer]],1,0)</f>
        <v>1</v>
      </c>
      <c r="T550" s="320">
        <v>0</v>
      </c>
      <c r="U550" s="104" t="b">
        <f>IN[[#This Row],[Buffer]]</f>
        <v>0</v>
      </c>
      <c r="V550" s="131" t="b" cm="1">
        <f t="array" ref="V550">INDEX([1]Scale!$K$6:$K$10,V$189)</f>
        <v>0</v>
      </c>
      <c r="W550" s="131" t="b" cm="1">
        <f t="array" ref="W550">INDEX([1]Scale!$K$6:$K$10,W$189)</f>
        <v>0</v>
      </c>
      <c r="X550" s="131" t="b">
        <v>0</v>
      </c>
      <c r="Y550" s="320">
        <v>0</v>
      </c>
      <c r="Z550" s="174" t="b">
        <v>0</v>
      </c>
      <c r="AA550" s="174">
        <v>0</v>
      </c>
      <c r="AB550" s="174">
        <v>0</v>
      </c>
      <c r="AC550" s="106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>
        <v>0</v>
      </c>
      <c r="AJ550">
        <v>0</v>
      </c>
    </row>
    <row r="551" spans="1:36" x14ac:dyDescent="0.25">
      <c r="A551" s="319" t="s">
        <v>644</v>
      </c>
      <c r="B551" t="s">
        <v>653</v>
      </c>
      <c r="C551" s="16" t="s">
        <v>512</v>
      </c>
      <c r="D551" s="307" t="s">
        <v>596</v>
      </c>
      <c r="E551" s="17" t="s">
        <v>285</v>
      </c>
      <c r="F551" s="18"/>
      <c r="G551" s="134" t="str">
        <f ca="1">_xlfn.FORMULATEXT(IN[[#This Row],[STAGE]])</f>
        <v>='[ka_PEQ_Nachweistool.xlsb]🔥H'!B60</v>
      </c>
      <c r="H551" s="20">
        <v>2</v>
      </c>
      <c r="I551" s="104">
        <f>'[1]🔥H'!B60</f>
        <v>0</v>
      </c>
      <c r="J551" s="135">
        <f>IF(IN[[#This Row],[Sim_]]=IN[[#This Row],[STAGE]],1,0)</f>
        <v>0</v>
      </c>
      <c r="K551" s="210" t="b" cm="1">
        <f t="array" ref="K551">INDEX([1]Scale!$L$6:$L$10,K$189)</f>
        <v>0</v>
      </c>
      <c r="L551" s="130"/>
      <c r="M551" s="130">
        <f>IF(IN[[#This Row],[Sim_]]=IN[[#This Row],[Sim Var ref]],1,0)</f>
        <v>1</v>
      </c>
      <c r="N551" s="8"/>
      <c r="O551" s="8">
        <v>414</v>
      </c>
      <c r="P551" s="105"/>
      <c r="Q551" s="137">
        <f>IF(IN[[#This Row],[Sim_]]=IN[[#This Row],[Direkt alt]],1,0)</f>
        <v>1</v>
      </c>
      <c r="R551" s="10" t="b">
        <v>0</v>
      </c>
      <c r="S551" s="10">
        <f>IF(IN[[#This Row],[Sim_]]=IN[[#This Row],[Buffer]],1,0)</f>
        <v>1</v>
      </c>
      <c r="T551" s="320">
        <v>0</v>
      </c>
      <c r="U551" s="104" t="b">
        <f>IN[[#This Row],[Buffer]]</f>
        <v>0</v>
      </c>
      <c r="V551" s="131" t="b" cm="1">
        <f t="array" ref="V551">INDEX([1]Scale!$L$6:$L$10,V$189)</f>
        <v>0</v>
      </c>
      <c r="W551" s="131" t="b" cm="1">
        <f t="array" ref="W551">INDEX([1]Scale!$L$6:$L$10,W$189)</f>
        <v>0</v>
      </c>
      <c r="X551" s="131" t="b">
        <v>0</v>
      </c>
      <c r="Y551" s="320">
        <v>0</v>
      </c>
      <c r="Z551" s="174" t="b">
        <v>0</v>
      </c>
      <c r="AA551" s="174">
        <v>0</v>
      </c>
      <c r="AB551" s="174">
        <v>0</v>
      </c>
      <c r="AC551" s="106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>
        <v>0</v>
      </c>
      <c r="AJ551">
        <v>0</v>
      </c>
    </row>
    <row r="552" spans="1:36" x14ac:dyDescent="0.25">
      <c r="A552" s="319" t="s">
        <v>644</v>
      </c>
      <c r="B552" t="s">
        <v>654</v>
      </c>
      <c r="C552" s="16" t="s">
        <v>512</v>
      </c>
      <c r="D552" s="307" t="s">
        <v>596</v>
      </c>
      <c r="E552" s="17" t="s">
        <v>285</v>
      </c>
      <c r="F552" s="18"/>
      <c r="G552" s="134" t="str">
        <f ca="1">_xlfn.FORMULATEXT(IN[[#This Row],[STAGE]])</f>
        <v>='[ka_PEQ_Nachweistool.xlsb]🔥H'!B61</v>
      </c>
      <c r="H552" s="20">
        <v>2</v>
      </c>
      <c r="I552" s="104">
        <f>'[1]🔥H'!B61</f>
        <v>0</v>
      </c>
      <c r="J552" s="135">
        <f>IF(IN[[#This Row],[Sim_]]=IN[[#This Row],[STAGE]],1,0)</f>
        <v>0</v>
      </c>
      <c r="K552" s="210" t="b" cm="1">
        <f t="array" ref="K552">INDEX([1]Scale!$M$6:$M$10,K$189)</f>
        <v>1</v>
      </c>
      <c r="L552" s="130"/>
      <c r="M552" s="130">
        <f>IF(IN[[#This Row],[Sim_]]=IN[[#This Row],[Sim Var ref]],1,0)</f>
        <v>0</v>
      </c>
      <c r="N552" s="8"/>
      <c r="O552" s="8">
        <v>415</v>
      </c>
      <c r="P552" s="105"/>
      <c r="Q552" s="137">
        <f>IF(IN[[#This Row],[Sim_]]=IN[[#This Row],[Direkt alt]],1,0)</f>
        <v>0</v>
      </c>
      <c r="R552" s="10" t="b">
        <v>1</v>
      </c>
      <c r="S552" s="10">
        <f>IF(IN[[#This Row],[Sim_]]=IN[[#This Row],[Buffer]],1,0)</f>
        <v>1</v>
      </c>
      <c r="T552" s="320">
        <v>1</v>
      </c>
      <c r="U552" s="104" t="b">
        <f>IN[[#This Row],[Buffer]]</f>
        <v>1</v>
      </c>
      <c r="V552" s="131" t="b" cm="1">
        <f t="array" ref="V552">INDEX([1]Scale!$M$6:$M$10,V$189)</f>
        <v>1</v>
      </c>
      <c r="W552" s="131" t="b" cm="1">
        <f t="array" ref="W552">INDEX([1]Scale!$M$6:$M$10,W$189)</f>
        <v>1</v>
      </c>
      <c r="X552" s="131" t="b">
        <v>1</v>
      </c>
      <c r="Y552" s="320">
        <v>1</v>
      </c>
      <c r="Z552" s="174" t="b">
        <v>1</v>
      </c>
      <c r="AA552" s="174">
        <v>1</v>
      </c>
      <c r="AB552" s="174">
        <v>1</v>
      </c>
      <c r="AC552" s="106" t="b">
        <v>1</v>
      </c>
      <c r="AD552" t="b">
        <v>1</v>
      </c>
      <c r="AE552" t="b">
        <v>1</v>
      </c>
      <c r="AF552" t="b">
        <v>1</v>
      </c>
      <c r="AG552" t="b">
        <v>1</v>
      </c>
      <c r="AH552" t="b">
        <v>1</v>
      </c>
      <c r="AI552">
        <v>1</v>
      </c>
      <c r="AJ552">
        <v>1</v>
      </c>
    </row>
    <row r="553" spans="1:36" x14ac:dyDescent="0.25">
      <c r="A553" s="319" t="s">
        <v>644</v>
      </c>
      <c r="B553" t="s">
        <v>655</v>
      </c>
      <c r="C553" s="16" t="s">
        <v>512</v>
      </c>
      <c r="D553" s="307" t="s">
        <v>596</v>
      </c>
      <c r="E553" s="17" t="s">
        <v>285</v>
      </c>
      <c r="F553" s="18"/>
      <c r="G553" s="134" t="str">
        <f ca="1">_xlfn.FORMULATEXT(IN[[#This Row],[STAGE]])</f>
        <v>='[ka_PEQ_Nachweistool.xlsb]🔥H'!B62</v>
      </c>
      <c r="H553" s="20">
        <v>2</v>
      </c>
      <c r="I553" s="104">
        <f>'[1]🔥H'!B62</f>
        <v>0</v>
      </c>
      <c r="J553" s="135">
        <f>IF(IN[[#This Row],[Sim_]]=IN[[#This Row],[STAGE]],1,0)</f>
        <v>0</v>
      </c>
      <c r="K553" s="210" t="b" cm="1">
        <f t="array" ref="K553">INDEX([1]Scale!$N$6:$N$10,K$189)</f>
        <v>1</v>
      </c>
      <c r="L553" s="130"/>
      <c r="M553" s="130">
        <f>IF(IN[[#This Row],[Sim_]]=IN[[#This Row],[Sim Var ref]],1,0)</f>
        <v>0</v>
      </c>
      <c r="N553" s="8"/>
      <c r="O553" s="8">
        <v>416</v>
      </c>
      <c r="P553" s="105"/>
      <c r="Q553" s="137">
        <f>IF(IN[[#This Row],[Sim_]]=IN[[#This Row],[Direkt alt]],1,0)</f>
        <v>0</v>
      </c>
      <c r="R553" s="10" t="b">
        <v>1</v>
      </c>
      <c r="S553" s="10">
        <f>IF(IN[[#This Row],[Sim_]]=IN[[#This Row],[Buffer]],1,0)</f>
        <v>1</v>
      </c>
      <c r="T553" s="320">
        <v>1</v>
      </c>
      <c r="U553" s="104" t="b">
        <f>IN[[#This Row],[Buffer]]</f>
        <v>1</v>
      </c>
      <c r="V553" s="131" t="b" cm="1">
        <f t="array" ref="V553">INDEX([1]Scale!$N$6:$N$10,V$189)</f>
        <v>1</v>
      </c>
      <c r="W553" s="131" t="b" cm="1">
        <f t="array" ref="W553">INDEX([1]Scale!$N$6:$N$10,W$189)</f>
        <v>1</v>
      </c>
      <c r="X553" s="131" t="b">
        <v>1</v>
      </c>
      <c r="Y553" s="320">
        <v>1</v>
      </c>
      <c r="Z553" s="174" t="b">
        <v>1</v>
      </c>
      <c r="AA553" s="174">
        <v>1</v>
      </c>
      <c r="AB553" s="174">
        <v>1</v>
      </c>
      <c r="AC553" s="106" t="b">
        <v>1</v>
      </c>
      <c r="AD553" t="b">
        <v>1</v>
      </c>
      <c r="AE553" t="b">
        <v>1</v>
      </c>
      <c r="AF553" t="b">
        <v>1</v>
      </c>
      <c r="AG553" t="b">
        <v>1</v>
      </c>
      <c r="AH553" t="b">
        <v>1</v>
      </c>
      <c r="AI553">
        <v>1</v>
      </c>
      <c r="AJ553">
        <v>1</v>
      </c>
    </row>
    <row r="554" spans="1:36" x14ac:dyDescent="0.25">
      <c r="A554" s="319" t="s">
        <v>644</v>
      </c>
      <c r="B554" t="s">
        <v>656</v>
      </c>
      <c r="C554" s="16" t="s">
        <v>512</v>
      </c>
      <c r="D554" s="307" t="s">
        <v>596</v>
      </c>
      <c r="E554" s="17" t="s">
        <v>285</v>
      </c>
      <c r="F554" s="18"/>
      <c r="G554" s="134" t="str">
        <f ca="1">_xlfn.FORMULATEXT(IN[[#This Row],[STAGE]])</f>
        <v>='[ka_PEQ_Nachweistool.xlsb]🔥H'!B63</v>
      </c>
      <c r="H554" s="20">
        <v>2</v>
      </c>
      <c r="I554" s="104">
        <f>'[1]🔥H'!B63</f>
        <v>0</v>
      </c>
      <c r="J554" s="135">
        <f>IF(IN[[#This Row],[Sim_]]=IN[[#This Row],[STAGE]],1,0)</f>
        <v>0</v>
      </c>
      <c r="K554" s="210" t="b" cm="1">
        <f t="array" ref="K554">INDEX([1]Scale!$O$6:$O$10,K$189)</f>
        <v>1</v>
      </c>
      <c r="L554" s="130"/>
      <c r="M554" s="130">
        <f>IF(IN[[#This Row],[Sim_]]=IN[[#This Row],[Sim Var ref]],1,0)</f>
        <v>0</v>
      </c>
      <c r="N554" s="8"/>
      <c r="O554" s="8">
        <v>417</v>
      </c>
      <c r="P554" s="105"/>
      <c r="Q554" s="137">
        <f>IF(IN[[#This Row],[Sim_]]=IN[[#This Row],[Direkt alt]],1,0)</f>
        <v>0</v>
      </c>
      <c r="R554" s="10" t="b">
        <v>1</v>
      </c>
      <c r="S554" s="10">
        <f>IF(IN[[#This Row],[Sim_]]=IN[[#This Row],[Buffer]],1,0)</f>
        <v>1</v>
      </c>
      <c r="T554" s="320">
        <v>1</v>
      </c>
      <c r="U554" s="104" t="b">
        <f>IN[[#This Row],[Buffer]]</f>
        <v>1</v>
      </c>
      <c r="V554" s="131" t="b" cm="1">
        <f t="array" ref="V554">INDEX([1]Scale!$O$6:$O$10,V$189)</f>
        <v>1</v>
      </c>
      <c r="W554" s="131" t="b" cm="1">
        <f t="array" ref="W554">INDEX([1]Scale!$O$6:$O$10,W$189)</f>
        <v>1</v>
      </c>
      <c r="X554" s="131" t="b">
        <v>1</v>
      </c>
      <c r="Y554" s="320">
        <v>1</v>
      </c>
      <c r="Z554" s="174" t="b">
        <v>1</v>
      </c>
      <c r="AA554" s="174">
        <v>1</v>
      </c>
      <c r="AB554" s="174">
        <v>1</v>
      </c>
      <c r="AC554" s="106" t="b">
        <v>1</v>
      </c>
      <c r="AD554" t="b">
        <v>1</v>
      </c>
      <c r="AE554" t="b">
        <v>1</v>
      </c>
      <c r="AF554" t="b">
        <v>1</v>
      </c>
      <c r="AG554" t="b">
        <v>1</v>
      </c>
      <c r="AH554" t="b">
        <v>1</v>
      </c>
      <c r="AI554">
        <v>1</v>
      </c>
      <c r="AJ554">
        <v>1</v>
      </c>
    </row>
    <row r="555" spans="1:36" x14ac:dyDescent="0.25">
      <c r="A555" s="319" t="s">
        <v>644</v>
      </c>
      <c r="B555" t="s">
        <v>657</v>
      </c>
      <c r="C555" s="16" t="s">
        <v>658</v>
      </c>
      <c r="D555" s="16" t="s">
        <v>659</v>
      </c>
      <c r="E555" s="17" t="s">
        <v>285</v>
      </c>
      <c r="F555" s="18" t="s">
        <v>660</v>
      </c>
      <c r="G555" s="134" t="str">
        <f ca="1">_xlfn.FORMULATEXT(IN[[#This Row],[STAGE]])</f>
        <v>='[ka_PEQ_Nachweistool.xlsb]🔥H'!B9</v>
      </c>
      <c r="H555" s="20">
        <v>2</v>
      </c>
      <c r="I555" s="104">
        <f>'[1]🔥H'!B9</f>
        <v>0</v>
      </c>
      <c r="J555" s="135">
        <f>IF(IN[[#This Row],[Sim_]]=IN[[#This Row],[STAGE]],1,0)</f>
        <v>0</v>
      </c>
      <c r="K555" s="197">
        <f>K46</f>
        <v>23.727093654867787</v>
      </c>
      <c r="L555" s="130"/>
      <c r="M555" s="130">
        <f>IF(IN[[#This Row],[Sim_]]=IN[[#This Row],[Sim Var ref]],1,0)</f>
        <v>0</v>
      </c>
      <c r="N555" s="8"/>
      <c r="O555" s="8">
        <v>418</v>
      </c>
      <c r="P555" s="280"/>
      <c r="Q555" s="137">
        <f>IF(IN[[#This Row],[Sim_]]=IN[[#This Row],[Direkt alt]],1,0)</f>
        <v>0</v>
      </c>
      <c r="R555" s="10">
        <v>90</v>
      </c>
      <c r="S555" s="10">
        <f>IF(IN[[#This Row],[Sim_]]=IN[[#This Row],[Buffer]],1,0)</f>
        <v>0</v>
      </c>
      <c r="T555" s="11"/>
      <c r="U555" s="104">
        <f>'[1]🔥H'!M9</f>
        <v>0</v>
      </c>
      <c r="V555" s="321">
        <f>V46</f>
        <v>23.727093654867787</v>
      </c>
      <c r="W555">
        <f>W46</f>
        <v>9.8076465131972768</v>
      </c>
      <c r="X555">
        <v>60</v>
      </c>
      <c r="Y555" s="11"/>
      <c r="Z555" s="177">
        <v>60</v>
      </c>
      <c r="AA555" s="177">
        <v>23.727093654867787</v>
      </c>
      <c r="AB555" s="177">
        <v>23.727093654867787</v>
      </c>
      <c r="AC555" s="106">
        <v>60</v>
      </c>
      <c r="AD555">
        <v>90</v>
      </c>
      <c r="AE555">
        <v>90</v>
      </c>
      <c r="AF555">
        <v>90</v>
      </c>
      <c r="AG555">
        <v>90</v>
      </c>
      <c r="AH555">
        <v>30</v>
      </c>
      <c r="AI555">
        <v>23.727093654867787</v>
      </c>
      <c r="AJ555">
        <v>23.727093654867787</v>
      </c>
    </row>
    <row r="556" spans="1:36" x14ac:dyDescent="0.25">
      <c r="A556" s="319" t="s">
        <v>644</v>
      </c>
      <c r="B556" t="s">
        <v>661</v>
      </c>
      <c r="C556" s="16" t="s">
        <v>662</v>
      </c>
      <c r="D556" s="16" t="s">
        <v>659</v>
      </c>
      <c r="E556" s="17" t="s">
        <v>78</v>
      </c>
      <c r="F556" s="18" t="s">
        <v>663</v>
      </c>
      <c r="G556" s="134" t="str">
        <f ca="1">_xlfn.FORMULATEXT(IN[[#This Row],[STAGE]])</f>
        <v>=I555*I250/1000000</v>
      </c>
      <c r="H556" s="20">
        <v>0</v>
      </c>
      <c r="I556" s="222">
        <f>I555*I250/1000000</f>
        <v>0</v>
      </c>
      <c r="J556" s="135">
        <f>IF(IN[[#This Row],[Sim_]]=IN[[#This Row],[STAGE]],1,0)</f>
        <v>1</v>
      </c>
      <c r="K556" s="279"/>
      <c r="L556" s="130"/>
      <c r="M556" s="130">
        <f>IF(IN[[#This Row],[Sim_]]=IN[[#This Row],[Sim Var ref]],1,0)</f>
        <v>1</v>
      </c>
      <c r="N556" s="8"/>
      <c r="O556" s="8">
        <v>419</v>
      </c>
      <c r="P556" s="280"/>
      <c r="Q556" s="137">
        <f>IF(IN[[#This Row],[Sim_]]=IN[[#This Row],[Direkt alt]],1,0)</f>
        <v>1</v>
      </c>
      <c r="R556" s="10">
        <v>12.995424</v>
      </c>
      <c r="S556" s="10">
        <f>IF(IN[[#This Row],[Sim_]]=IN[[#This Row],[Buffer]],1,0)</f>
        <v>0</v>
      </c>
      <c r="T556" s="11"/>
      <c r="U556" s="222">
        <f>U555*U250/1000000</f>
        <v>0</v>
      </c>
      <c r="V556" s="281"/>
      <c r="X556">
        <v>0.46079999999999999</v>
      </c>
      <c r="Y556" s="11"/>
      <c r="Z556" s="177">
        <v>0.46079999999999999</v>
      </c>
      <c r="AA556" s="177">
        <v>0.63600000000000001</v>
      </c>
      <c r="AB556" s="177">
        <v>0.63600000000000001</v>
      </c>
      <c r="AC556" s="224">
        <v>0.46079999999999999</v>
      </c>
      <c r="AD556">
        <v>12.995424</v>
      </c>
      <c r="AE556">
        <v>12.995424</v>
      </c>
      <c r="AF556">
        <v>12.995424</v>
      </c>
      <c r="AG556">
        <v>12.995424</v>
      </c>
      <c r="AH556">
        <v>4.3318079999999997</v>
      </c>
      <c r="AI556">
        <v>0.63600000000000001</v>
      </c>
      <c r="AJ556">
        <v>0.63600000000000001</v>
      </c>
    </row>
    <row r="557" spans="1:36" x14ac:dyDescent="0.25">
      <c r="A557" s="319" t="s">
        <v>644</v>
      </c>
      <c r="B557" t="s">
        <v>664</v>
      </c>
      <c r="C557" s="16" t="s">
        <v>658</v>
      </c>
      <c r="D557" s="16" t="s">
        <v>665</v>
      </c>
      <c r="E557" s="17" t="s">
        <v>285</v>
      </c>
      <c r="F557" s="18" t="s">
        <v>666</v>
      </c>
      <c r="G557" s="134" t="str">
        <f ca="1">_xlfn.FORMULATEXT(IN[[#This Row],[STAGE]])</f>
        <v>='[ka_PEQ_Nachweistool.xlsb]🔥H'!B23</v>
      </c>
      <c r="H557" s="20">
        <v>2</v>
      </c>
      <c r="I557" s="104">
        <f>'[1]🔥H'!B23</f>
        <v>0</v>
      </c>
      <c r="J557" s="135">
        <f>IF(IN[[#This Row],[Sim_]]=IN[[#This Row],[STAGE]],1,0)</f>
        <v>0</v>
      </c>
      <c r="K557" s="197">
        <f>K555</f>
        <v>23.727093654867787</v>
      </c>
      <c r="L557" s="130"/>
      <c r="M557" s="130">
        <f>IF(IN[[#This Row],[Sim_]]=IN[[#This Row],[Sim Var ref]],1,0)</f>
        <v>0</v>
      </c>
      <c r="N557" s="8"/>
      <c r="O557" s="8">
        <v>420</v>
      </c>
      <c r="P557" s="280"/>
      <c r="Q557" s="137">
        <f>IF(IN[[#This Row],[Sim_]]=IN[[#This Row],[Direkt alt]],1,0)</f>
        <v>0</v>
      </c>
      <c r="R557" s="10">
        <v>0</v>
      </c>
      <c r="S557" s="10">
        <f>IF(IN[[#This Row],[Sim_]]=IN[[#This Row],[Buffer]],1,0)</f>
        <v>0</v>
      </c>
      <c r="T557" s="11"/>
      <c r="U557" s="104">
        <f>'[1]🔥H'!M23</f>
        <v>0</v>
      </c>
      <c r="V557" s="321">
        <f>V555</f>
        <v>23.727093654867787</v>
      </c>
      <c r="W557" s="321">
        <f>W555</f>
        <v>9.8076465131972768</v>
      </c>
      <c r="X557" s="321">
        <v>40</v>
      </c>
      <c r="Y557" s="11"/>
      <c r="Z557" s="322">
        <v>40</v>
      </c>
      <c r="AA557" s="322">
        <v>23.727093654867787</v>
      </c>
      <c r="AB557" s="322">
        <v>23.727093654867787</v>
      </c>
      <c r="AC557" s="106">
        <v>40</v>
      </c>
      <c r="AD557">
        <v>90</v>
      </c>
      <c r="AE557">
        <v>0</v>
      </c>
      <c r="AF557">
        <v>0</v>
      </c>
      <c r="AG557">
        <v>0</v>
      </c>
      <c r="AH557">
        <v>0</v>
      </c>
      <c r="AI557">
        <v>23.727093654867787</v>
      </c>
      <c r="AJ557">
        <v>23.727093654867787</v>
      </c>
    </row>
    <row r="558" spans="1:36" x14ac:dyDescent="0.25">
      <c r="A558" s="319" t="s">
        <v>644</v>
      </c>
      <c r="B558" t="s">
        <v>667</v>
      </c>
      <c r="C558" s="16" t="s">
        <v>658</v>
      </c>
      <c r="D558" s="16" t="s">
        <v>668</v>
      </c>
      <c r="E558" s="17" t="s">
        <v>285</v>
      </c>
      <c r="F558" s="18" t="s">
        <v>669</v>
      </c>
      <c r="G558" s="134" t="str">
        <f ca="1">_xlfn.FORMULATEXT(IN[[#This Row],[STAGE]])</f>
        <v>='[ka_PEQ_Nachweistool.xlsb]🔥H'!B30</v>
      </c>
      <c r="H558" s="20">
        <v>2</v>
      </c>
      <c r="I558" s="104">
        <f>'[1]🔥H'!B30</f>
        <v>0</v>
      </c>
      <c r="J558" s="135">
        <f>IF(IN[[#This Row],[Sim_]]=IN[[#This Row],[STAGE]],1,0)</f>
        <v>0</v>
      </c>
      <c r="K558" s="323">
        <f>K557</f>
        <v>23.727093654867787</v>
      </c>
      <c r="L558" s="130"/>
      <c r="M558" s="130">
        <f>IF(IN[[#This Row],[Sim_]]=IN[[#This Row],[Sim Var ref]],1,0)</f>
        <v>0</v>
      </c>
      <c r="N558" s="8"/>
      <c r="O558" s="8">
        <v>421</v>
      </c>
      <c r="P558" s="280"/>
      <c r="Q558" s="137">
        <f>IF(IN[[#This Row],[Sim_]]=IN[[#This Row],[Direkt alt]],1,0)</f>
        <v>0</v>
      </c>
      <c r="R558" s="10">
        <v>90</v>
      </c>
      <c r="S558" s="10">
        <f>IF(IN[[#This Row],[Sim_]]=IN[[#This Row],[Buffer]],1,0)</f>
        <v>0</v>
      </c>
      <c r="T558" s="11"/>
      <c r="U558" s="104">
        <f>'[1]🔥H'!M30</f>
        <v>0</v>
      </c>
      <c r="V558" s="321">
        <f>V557</f>
        <v>23.727093654867787</v>
      </c>
      <c r="W558" s="321">
        <f>W557</f>
        <v>9.8076465131972768</v>
      </c>
      <c r="X558" s="321">
        <v>20</v>
      </c>
      <c r="Y558" s="11"/>
      <c r="Z558" s="322">
        <v>20</v>
      </c>
      <c r="AA558" s="322">
        <v>23.727093654867787</v>
      </c>
      <c r="AB558" s="322">
        <v>0</v>
      </c>
      <c r="AC558" s="106">
        <v>20</v>
      </c>
      <c r="AD558">
        <v>90</v>
      </c>
      <c r="AE558">
        <v>90</v>
      </c>
      <c r="AF558">
        <v>90</v>
      </c>
      <c r="AG558">
        <v>90</v>
      </c>
      <c r="AH558">
        <v>90</v>
      </c>
      <c r="AI558">
        <v>0</v>
      </c>
      <c r="AJ558">
        <v>0</v>
      </c>
    </row>
    <row r="559" spans="1:36" x14ac:dyDescent="0.25">
      <c r="A559" s="319" t="s">
        <v>644</v>
      </c>
      <c r="B559" t="s">
        <v>670</v>
      </c>
      <c r="C559" s="16" t="s">
        <v>658</v>
      </c>
      <c r="D559" s="16" t="s">
        <v>671</v>
      </c>
      <c r="E559" s="17" t="s">
        <v>262</v>
      </c>
      <c r="F559" s="18" t="s">
        <v>672</v>
      </c>
      <c r="G559" s="134" t="str">
        <f ca="1">_xlfn.FORMULATEXT(IN[[#This Row],[STAGE]])</f>
        <v>='[ka_PEQ_Nachweistool.xlsb]🔥H'!B37</v>
      </c>
      <c r="H559" s="20">
        <v>2</v>
      </c>
      <c r="I559" s="104">
        <f>'[1]🔥H'!B37</f>
        <v>0</v>
      </c>
      <c r="J559" s="135">
        <f>IF(IN[[#This Row],[Sim_]]=IN[[#This Row],[STAGE]],1,0)</f>
        <v>1</v>
      </c>
      <c r="K559" s="324">
        <v>0</v>
      </c>
      <c r="L559" s="130"/>
      <c r="M559" s="130">
        <f>IF(IN[[#This Row],[Sim_]]=IN[[#This Row],[Sim Var ref]],1,0)</f>
        <v>1</v>
      </c>
      <c r="N559" s="8"/>
      <c r="O559" s="8">
        <v>422</v>
      </c>
      <c r="P559" s="280"/>
      <c r="Q559" s="137">
        <f>IF(IN[[#This Row],[Sim_]]=IN[[#This Row],[Direkt alt]],1,0)</f>
        <v>1</v>
      </c>
      <c r="R559" s="10">
        <v>90</v>
      </c>
      <c r="S559" s="10">
        <f>IF(IN[[#This Row],[Sim_]]=IN[[#This Row],[Buffer]],1,0)</f>
        <v>0</v>
      </c>
      <c r="T559" s="11"/>
      <c r="U559" s="104">
        <f>'[1]🔥H'!M37</f>
        <v>0</v>
      </c>
      <c r="V559" s="321">
        <f>V557</f>
        <v>23.727093654867787</v>
      </c>
      <c r="W559" s="321">
        <f>W557</f>
        <v>9.8076465131972768</v>
      </c>
      <c r="X559" s="321">
        <v>60</v>
      </c>
      <c r="Y559" s="11"/>
      <c r="Z559" s="322">
        <v>60</v>
      </c>
      <c r="AA559" s="322">
        <v>23.727093654867787</v>
      </c>
      <c r="AB559" s="322">
        <v>0</v>
      </c>
      <c r="AC559" s="106">
        <v>60</v>
      </c>
      <c r="AD559">
        <v>90</v>
      </c>
      <c r="AE559">
        <v>90</v>
      </c>
      <c r="AF559">
        <v>90</v>
      </c>
      <c r="AG559">
        <v>90</v>
      </c>
      <c r="AH559">
        <v>90</v>
      </c>
      <c r="AI559">
        <v>0</v>
      </c>
      <c r="AJ559">
        <v>0</v>
      </c>
    </row>
    <row r="560" spans="1:36" x14ac:dyDescent="0.25">
      <c r="A560" s="319" t="s">
        <v>644</v>
      </c>
      <c r="B560" t="s">
        <v>673</v>
      </c>
      <c r="C560" s="16" t="s">
        <v>658</v>
      </c>
      <c r="D560" s="16" t="s">
        <v>674</v>
      </c>
      <c r="E560" s="17" t="s">
        <v>262</v>
      </c>
      <c r="F560" s="18" t="s">
        <v>675</v>
      </c>
      <c r="G560" s="134" t="str">
        <f ca="1">_xlfn.FORMULATEXT(IN[[#This Row],[STAGE]])</f>
        <v>='[ka_PEQ_Nachweistool.xlsb]🔥H'!B44</v>
      </c>
      <c r="H560" s="20">
        <v>2</v>
      </c>
      <c r="I560" s="104">
        <f>'[1]🔥H'!B44</f>
        <v>0</v>
      </c>
      <c r="J560" s="135">
        <f>IF(IN[[#This Row],[Sim_]]=IN[[#This Row],[STAGE]],1,0)</f>
        <v>1</v>
      </c>
      <c r="K560" s="324">
        <v>0</v>
      </c>
      <c r="L560" s="130"/>
      <c r="M560" s="130">
        <f>IF(IN[[#This Row],[Sim_]]=IN[[#This Row],[Sim Var ref]],1,0)</f>
        <v>1</v>
      </c>
      <c r="N560" s="8"/>
      <c r="O560" s="8">
        <v>423</v>
      </c>
      <c r="P560" s="280"/>
      <c r="Q560" s="137">
        <f>IF(IN[[#This Row],[Sim_]]=IN[[#This Row],[Direkt alt]],1,0)</f>
        <v>1</v>
      </c>
      <c r="R560" s="10">
        <v>0</v>
      </c>
      <c r="S560" s="10">
        <f>IF(IN[[#This Row],[Sim_]]=IN[[#This Row],[Buffer]],1,0)</f>
        <v>1</v>
      </c>
      <c r="T560" s="11"/>
      <c r="U560" s="104">
        <f>'[1]🔥H'!M44</f>
        <v>0</v>
      </c>
      <c r="V560" s="321">
        <f>V559</f>
        <v>23.727093654867787</v>
      </c>
      <c r="W560" s="321">
        <f>W559</f>
        <v>9.8076465131972768</v>
      </c>
      <c r="X560" s="321">
        <v>60</v>
      </c>
      <c r="Y560" s="11"/>
      <c r="Z560" s="322">
        <v>60</v>
      </c>
      <c r="AA560" s="322">
        <v>23.727093654867787</v>
      </c>
      <c r="AB560" s="322">
        <v>0</v>
      </c>
      <c r="AC560" s="106">
        <v>60</v>
      </c>
      <c r="AD560">
        <v>90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ht="15.75" thickBot="1" x14ac:dyDescent="0.3">
      <c r="A561" s="319" t="s">
        <v>644</v>
      </c>
      <c r="B561" t="s">
        <v>676</v>
      </c>
      <c r="C561" s="16"/>
      <c r="D561" s="16"/>
      <c r="E561" s="17" t="s">
        <v>285</v>
      </c>
      <c r="F561" s="18" t="s">
        <v>677</v>
      </c>
      <c r="G561" s="134" t="str">
        <f ca="1">_xlfn.FORMULATEXT(IN[[#This Row],[STAGE]])</f>
        <v>='[ka_PEQ_Nachweistool.xlsb]🔥H'!B25</v>
      </c>
      <c r="H561" s="20">
        <v>2</v>
      </c>
      <c r="I561" s="175">
        <f>'[1]🔥H'!B25</f>
        <v>0</v>
      </c>
      <c r="J561" s="135">
        <f>IF(IN[[#This Row],[Sim_]]=IN[[#This Row],[STAGE]],1,0)</f>
        <v>0</v>
      </c>
      <c r="K561" s="223">
        <f>1-I45</f>
        <v>0.15000000000000024</v>
      </c>
      <c r="L561" s="130"/>
      <c r="M561" s="130">
        <f>IF(IN[[#This Row],[Sim_]]=IN[[#This Row],[Sim Var ref]],1,0)</f>
        <v>0</v>
      </c>
      <c r="N561" s="8"/>
      <c r="O561" s="8">
        <v>424</v>
      </c>
      <c r="P561" s="280"/>
      <c r="Q561" s="137">
        <f>IF(IN[[#This Row],[Sim_]]=IN[[#This Row],[Direkt alt]],1,0)</f>
        <v>0</v>
      </c>
      <c r="R561" s="10">
        <v>5.0000000000000044E-2</v>
      </c>
      <c r="S561" s="10">
        <f>IF(IN[[#This Row],[Sim_]]=IN[[#This Row],[Buffer]],1,0)</f>
        <v>0</v>
      </c>
      <c r="T561" s="325">
        <v>0.05</v>
      </c>
      <c r="U561" s="175">
        <f>'[1]🔥H'!M25</f>
        <v>0</v>
      </c>
      <c r="V561" s="322">
        <f>1-T45</f>
        <v>5.0000000000000044E-2</v>
      </c>
      <c r="W561" s="322">
        <f>1-V45</f>
        <v>5.0000000000000044E-2</v>
      </c>
      <c r="X561" s="322">
        <v>5.2861628004185035E-2</v>
      </c>
      <c r="Y561" s="322">
        <f>1-X45</f>
        <v>5.0000000000000044E-2</v>
      </c>
      <c r="Z561" s="322">
        <v>5.2861628004185035E-2</v>
      </c>
      <c r="AA561" s="322">
        <f>1-Z45</f>
        <v>5.0000000000000044E-2</v>
      </c>
      <c r="AB561" s="322">
        <v>5.0000000000000044E-2</v>
      </c>
      <c r="AC561" s="178">
        <v>5.2861628004185035E-2</v>
      </c>
      <c r="AD561">
        <v>5.0000000000000044E-2</v>
      </c>
      <c r="AE561">
        <v>5.0000000000000044E-2</v>
      </c>
      <c r="AF561">
        <v>5.0000000000000044E-2</v>
      </c>
      <c r="AG561">
        <v>5.0000000000000044E-2</v>
      </c>
      <c r="AH561">
        <v>5.0000000000000044E-2</v>
      </c>
      <c r="AI561">
        <v>5.0000000000000044E-2</v>
      </c>
      <c r="AJ561">
        <v>5.0000000000000044E-2</v>
      </c>
    </row>
    <row r="562" spans="1:36" ht="16.5" thickTop="1" thickBot="1" x14ac:dyDescent="0.3">
      <c r="A562" s="319" t="s">
        <v>644</v>
      </c>
      <c r="B562" t="s">
        <v>678</v>
      </c>
      <c r="C562" s="16"/>
      <c r="D562" s="16"/>
      <c r="E562" s="17" t="s">
        <v>285</v>
      </c>
      <c r="F562" s="18" t="s">
        <v>679</v>
      </c>
      <c r="G562" s="134" t="str">
        <f ca="1">_xlfn.FORMULATEXT(IN[[#This Row],[STAGE]])</f>
        <v>='[ka_PEQ_Nachweistool.xlsb]🔥H'!B32</v>
      </c>
      <c r="H562" s="20">
        <v>2</v>
      </c>
      <c r="I562" s="175">
        <f>'[1]🔥H'!B32</f>
        <v>0</v>
      </c>
      <c r="J562" s="135">
        <f>IF(IN[[#This Row],[Sim_]]=IN[[#This Row],[STAGE]],1,0)</f>
        <v>0</v>
      </c>
      <c r="K562" s="223">
        <f>K561</f>
        <v>0.15000000000000024</v>
      </c>
      <c r="L562" s="130"/>
      <c r="M562" s="130">
        <f>IF(IN[[#This Row],[Sim_]]=IN[[#This Row],[Sim Var ref]],1,0)</f>
        <v>0</v>
      </c>
      <c r="N562" s="8"/>
      <c r="O562" s="8">
        <v>425</v>
      </c>
      <c r="P562" s="280"/>
      <c r="Q562" s="137">
        <f>IF(IN[[#This Row],[Sim_]]=IN[[#This Row],[Direkt alt]],1,0)</f>
        <v>0</v>
      </c>
      <c r="R562" s="10">
        <v>5.0000000000000044E-2</v>
      </c>
      <c r="S562" s="10">
        <f>IF(IN[[#This Row],[Sim_]]=IN[[#This Row],[Buffer]],1,0)</f>
        <v>0</v>
      </c>
      <c r="T562" s="325">
        <v>0.05</v>
      </c>
      <c r="U562" s="175">
        <f>'[1]🔥H'!M32</f>
        <v>0</v>
      </c>
      <c r="V562" s="322">
        <f t="shared" ref="V562:W564" si="20">V561</f>
        <v>5.0000000000000044E-2</v>
      </c>
      <c r="W562" s="322">
        <f t="shared" si="20"/>
        <v>5.0000000000000044E-2</v>
      </c>
      <c r="X562" s="322">
        <v>5.2861628004185035E-2</v>
      </c>
      <c r="Y562" s="322">
        <f>Y561</f>
        <v>5.0000000000000044E-2</v>
      </c>
      <c r="Z562" s="322">
        <v>5.2861628004185035E-2</v>
      </c>
      <c r="AA562" s="322">
        <v>0.95</v>
      </c>
      <c r="AB562" s="322">
        <v>5.0000000000000044E-2</v>
      </c>
      <c r="AC562" s="178">
        <v>5.2861628004185035E-2</v>
      </c>
      <c r="AD562">
        <v>5.0000000000000044E-2</v>
      </c>
      <c r="AE562">
        <v>5.0000000000000044E-2</v>
      </c>
      <c r="AF562">
        <v>5.0000000000000044E-2</v>
      </c>
      <c r="AG562">
        <v>5.0000000000000044E-2</v>
      </c>
      <c r="AH562">
        <v>5.0000000000000044E-2</v>
      </c>
      <c r="AI562">
        <v>5.0000000000000044E-2</v>
      </c>
      <c r="AJ562">
        <v>5.0000000000000044E-2</v>
      </c>
    </row>
    <row r="563" spans="1:36" ht="16.5" thickTop="1" thickBot="1" x14ac:dyDescent="0.3">
      <c r="A563" s="319" t="s">
        <v>644</v>
      </c>
      <c r="B563" t="s">
        <v>680</v>
      </c>
      <c r="C563" s="16"/>
      <c r="D563" s="16"/>
      <c r="E563" s="17" t="s">
        <v>285</v>
      </c>
      <c r="F563" s="18" t="s">
        <v>681</v>
      </c>
      <c r="G563" s="134" t="str">
        <f ca="1">_xlfn.FORMULATEXT(IN[[#This Row],[STAGE]])</f>
        <v>='[ka_PEQ_Nachweistool.xlsb]🔥H'!B39</v>
      </c>
      <c r="H563" s="20">
        <v>2</v>
      </c>
      <c r="I563" s="175">
        <f>'[1]🔥H'!B39</f>
        <v>0</v>
      </c>
      <c r="J563" s="135">
        <f>IF(IN[[#This Row],[Sim_]]=IN[[#This Row],[STAGE]],1,0)</f>
        <v>0</v>
      </c>
      <c r="K563" s="223">
        <f>K562</f>
        <v>0.15000000000000024</v>
      </c>
      <c r="L563" s="130"/>
      <c r="M563" s="130">
        <f>IF(IN[[#This Row],[Sim_]]=IN[[#This Row],[Sim Var ref]],1,0)</f>
        <v>0</v>
      </c>
      <c r="N563" s="8"/>
      <c r="O563" s="8">
        <v>426</v>
      </c>
      <c r="P563" s="280"/>
      <c r="Q563" s="137">
        <f>IF(IN[[#This Row],[Sim_]]=IN[[#This Row],[Direkt alt]],1,0)</f>
        <v>0</v>
      </c>
      <c r="R563" s="10">
        <v>5.0000000000000044E-2</v>
      </c>
      <c r="S563" s="10">
        <f>IF(IN[[#This Row],[Sim_]]=IN[[#This Row],[Buffer]],1,0)</f>
        <v>0</v>
      </c>
      <c r="T563" s="325">
        <v>0.05</v>
      </c>
      <c r="U563" s="175">
        <f>'[1]🔥H'!M39</f>
        <v>0</v>
      </c>
      <c r="V563" s="322">
        <f t="shared" si="20"/>
        <v>5.0000000000000044E-2</v>
      </c>
      <c r="W563" s="322">
        <f t="shared" si="20"/>
        <v>5.0000000000000044E-2</v>
      </c>
      <c r="X563" s="322">
        <v>5.2861628004185035E-2</v>
      </c>
      <c r="Y563" s="322">
        <f>Y562</f>
        <v>5.0000000000000044E-2</v>
      </c>
      <c r="Z563" s="322">
        <v>5.2861628004185035E-2</v>
      </c>
      <c r="AA563" s="322">
        <v>0.95</v>
      </c>
      <c r="AB563" s="322">
        <v>5.0000000000000044E-2</v>
      </c>
      <c r="AC563" s="178">
        <v>5.2861628004185035E-2</v>
      </c>
      <c r="AD563">
        <v>5.0000000000000044E-2</v>
      </c>
      <c r="AE563">
        <v>5.0000000000000044E-2</v>
      </c>
      <c r="AF563">
        <v>5.0000000000000044E-2</v>
      </c>
      <c r="AG563">
        <v>5.0000000000000044E-2</v>
      </c>
      <c r="AH563">
        <v>5.0000000000000044E-2</v>
      </c>
      <c r="AI563">
        <v>5.0000000000000044E-2</v>
      </c>
      <c r="AJ563">
        <v>5.0000000000000044E-2</v>
      </c>
    </row>
    <row r="564" spans="1:36" ht="16.5" thickTop="1" thickBot="1" x14ac:dyDescent="0.3">
      <c r="A564" s="319" t="s">
        <v>644</v>
      </c>
      <c r="B564" t="s">
        <v>682</v>
      </c>
      <c r="C564" s="16"/>
      <c r="D564" s="16"/>
      <c r="E564" s="17" t="s">
        <v>285</v>
      </c>
      <c r="F564" s="18" t="s">
        <v>683</v>
      </c>
      <c r="G564" s="134" t="str">
        <f ca="1">_xlfn.FORMULATEXT(IN[[#This Row],[STAGE]])</f>
        <v>='[ka_PEQ_Nachweistool.xlsb]🔥H'!B47</v>
      </c>
      <c r="H564" s="20">
        <v>2</v>
      </c>
      <c r="I564" s="175">
        <f>'[1]🔥H'!B47</f>
        <v>0</v>
      </c>
      <c r="J564" s="135">
        <f>IF(IN[[#This Row],[Sim_]]=IN[[#This Row],[STAGE]],1,0)</f>
        <v>0</v>
      </c>
      <c r="K564" s="223">
        <f>K563</f>
        <v>0.15000000000000024</v>
      </c>
      <c r="L564" s="130"/>
      <c r="M564" s="130">
        <f>IF(IN[[#This Row],[Sim_]]=IN[[#This Row],[Sim Var ref]],1,0)</f>
        <v>0</v>
      </c>
      <c r="N564" s="8"/>
      <c r="O564" s="8">
        <v>427</v>
      </c>
      <c r="P564" s="280"/>
      <c r="Q564" s="137">
        <f>IF(IN[[#This Row],[Sim_]]=IN[[#This Row],[Direkt alt]],1,0)</f>
        <v>0</v>
      </c>
      <c r="R564" s="10">
        <v>0</v>
      </c>
      <c r="S564" s="10">
        <f>IF(IN[[#This Row],[Sim_]]=IN[[#This Row],[Buffer]],1,0)</f>
        <v>0</v>
      </c>
      <c r="T564" s="325">
        <v>0.05</v>
      </c>
      <c r="U564" s="175">
        <f>'[1]🔥H'!M47</f>
        <v>0</v>
      </c>
      <c r="V564" s="322">
        <f t="shared" si="20"/>
        <v>5.0000000000000044E-2</v>
      </c>
      <c r="W564" s="322">
        <f t="shared" si="20"/>
        <v>5.0000000000000044E-2</v>
      </c>
      <c r="X564" s="322">
        <v>0</v>
      </c>
      <c r="Y564" s="322">
        <f>Y563</f>
        <v>5.0000000000000044E-2</v>
      </c>
      <c r="Z564" s="322">
        <v>0</v>
      </c>
      <c r="AA564" s="322">
        <v>0.95</v>
      </c>
      <c r="AB564" s="322">
        <v>0</v>
      </c>
      <c r="AC564" s="178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ht="16.5" thickTop="1" thickBot="1" x14ac:dyDescent="0.3">
      <c r="A565" s="319" t="s">
        <v>644</v>
      </c>
      <c r="B565" t="s">
        <v>684</v>
      </c>
      <c r="C565" s="16"/>
      <c r="D565" s="16"/>
      <c r="E565" s="17" t="s">
        <v>285</v>
      </c>
      <c r="F565" s="18"/>
      <c r="G565" s="134" t="str">
        <f ca="1">_xlfn.FORMULATEXT(IN[[#This Row],[STAGE]])</f>
        <v>='[ka_PEQ_Nachweistool.xlsb]🔥H'!B24</v>
      </c>
      <c r="H565" s="20">
        <v>2</v>
      </c>
      <c r="I565" s="326">
        <f>'[1]🔥H'!B24</f>
        <v>0</v>
      </c>
      <c r="J565" s="135">
        <f>IF(IN[[#This Row],[Sim_]]=IN[[#This Row],[STAGE]],1,0)</f>
        <v>0</v>
      </c>
      <c r="K565" s="136">
        <f>K51</f>
        <v>4.6100000000000003</v>
      </c>
      <c r="L565" s="130"/>
      <c r="M565" s="130">
        <f>IF(IN[[#This Row],[Sim_]]=IN[[#This Row],[Sim Var ref]],1,0)</f>
        <v>0</v>
      </c>
      <c r="N565" s="8"/>
      <c r="O565" s="8">
        <v>428</v>
      </c>
      <c r="P565" s="280"/>
      <c r="Q565" s="137">
        <f>IF(IN[[#This Row],[Sim_]]=IN[[#This Row],[Direkt alt]],1,0)</f>
        <v>0</v>
      </c>
      <c r="R565" s="10">
        <v>4.5</v>
      </c>
      <c r="S565" s="10">
        <f>IF(IN[[#This Row],[Sim_]]=IN[[#This Row],[Buffer]],1,0)</f>
        <v>0</v>
      </c>
      <c r="T565" s="325">
        <v>1</v>
      </c>
      <c r="U565" s="326">
        <f>'[1]🔥H'!M24</f>
        <v>0</v>
      </c>
      <c r="V565">
        <f>V51</f>
        <v>4.5999999999999996</v>
      </c>
      <c r="W565">
        <f>W51</f>
        <v>2.8784676015576101</v>
      </c>
      <c r="X565">
        <v>4</v>
      </c>
      <c r="Z565">
        <v>4</v>
      </c>
      <c r="AA565">
        <v>4.5999999999999996</v>
      </c>
      <c r="AB565">
        <v>4.6100000000000003</v>
      </c>
      <c r="AC565" s="327">
        <v>4</v>
      </c>
      <c r="AD565">
        <v>4.5</v>
      </c>
      <c r="AE565">
        <v>4.5</v>
      </c>
      <c r="AF565">
        <v>4.5</v>
      </c>
      <c r="AG565">
        <v>4.5</v>
      </c>
      <c r="AH565">
        <v>4.5</v>
      </c>
      <c r="AI565">
        <v>4.6100000000000003</v>
      </c>
      <c r="AJ565">
        <v>4.6100000000000003</v>
      </c>
    </row>
    <row r="566" spans="1:36" ht="16.5" thickTop="1" thickBot="1" x14ac:dyDescent="0.3">
      <c r="A566" s="319" t="s">
        <v>644</v>
      </c>
      <c r="B566" t="s">
        <v>685</v>
      </c>
      <c r="C566" s="16"/>
      <c r="D566" s="16"/>
      <c r="E566" s="17" t="s">
        <v>285</v>
      </c>
      <c r="F566" s="18"/>
      <c r="G566" s="134" t="str">
        <f ca="1">_xlfn.FORMULATEXT(IN[[#This Row],[STAGE]])</f>
        <v>='[ka_PEQ_Nachweistool.xlsb]🔥H'!B31</v>
      </c>
      <c r="H566" s="20">
        <v>2</v>
      </c>
      <c r="I566" s="326">
        <f>'[1]🔥H'!B31</f>
        <v>0</v>
      </c>
      <c r="J566" s="135">
        <f>IF(IN[[#This Row],[Sim_]]=IN[[#This Row],[STAGE]],1,0)</f>
        <v>0</v>
      </c>
      <c r="K566" s="136">
        <f>T52</f>
        <v>0.95</v>
      </c>
      <c r="L566" s="130"/>
      <c r="M566" s="130">
        <f>IF(IN[[#This Row],[Sim_]]=IN[[#This Row],[Sim Var ref]],1,0)</f>
        <v>0</v>
      </c>
      <c r="N566" s="8"/>
      <c r="O566" s="8">
        <v>429</v>
      </c>
      <c r="P566" s="280"/>
      <c r="Q566" s="137">
        <f>IF(IN[[#This Row],[Sim_]]=IN[[#This Row],[Direkt alt]],1,0)</f>
        <v>0</v>
      </c>
      <c r="R566" s="10">
        <v>0.95</v>
      </c>
      <c r="S566" s="10">
        <f>IF(IN[[#This Row],[Sim_]]=IN[[#This Row],[Buffer]],1,0)</f>
        <v>1</v>
      </c>
      <c r="T566" s="325">
        <v>1</v>
      </c>
      <c r="U566" s="326">
        <f>'[1]🔥H'!M31</f>
        <v>0</v>
      </c>
      <c r="V566">
        <f>T52</f>
        <v>0.95</v>
      </c>
      <c r="W566">
        <f>V52</f>
        <v>0.95</v>
      </c>
      <c r="X566">
        <v>0.95</v>
      </c>
      <c r="Z566">
        <v>0.95</v>
      </c>
      <c r="AA566">
        <v>0.95</v>
      </c>
      <c r="AB566">
        <v>0.95</v>
      </c>
      <c r="AC566" s="327">
        <v>0.95</v>
      </c>
      <c r="AD566">
        <v>0.95</v>
      </c>
      <c r="AE566">
        <v>0.95</v>
      </c>
      <c r="AF566">
        <v>0.95</v>
      </c>
      <c r="AG566">
        <v>0.95</v>
      </c>
      <c r="AH566">
        <v>0.95</v>
      </c>
      <c r="AI566">
        <v>0.95</v>
      </c>
      <c r="AJ566">
        <v>0.95</v>
      </c>
    </row>
    <row r="567" spans="1:36" ht="16.5" thickTop="1" thickBot="1" x14ac:dyDescent="0.3">
      <c r="A567" s="319" t="s">
        <v>644</v>
      </c>
      <c r="B567" t="s">
        <v>686</v>
      </c>
      <c r="C567" s="16"/>
      <c r="D567" s="16"/>
      <c r="E567" s="17" t="s">
        <v>262</v>
      </c>
      <c r="F567" s="18"/>
      <c r="G567" s="134" t="str">
        <f ca="1">_xlfn.FORMULATEXT(IN[[#This Row],[STAGE]])</f>
        <v>='[ka_PEQ_Nachweistool.xlsb]🔥H'!B38</v>
      </c>
      <c r="H567" s="20">
        <v>2</v>
      </c>
      <c r="I567" s="326">
        <f>'[1]🔥H'!B38</f>
        <v>0</v>
      </c>
      <c r="J567" s="135">
        <f>IF(IN[[#This Row],[Sim_]]=IN[[#This Row],[STAGE]],1,0)</f>
        <v>1</v>
      </c>
      <c r="K567" s="275">
        <v>0</v>
      </c>
      <c r="L567" s="130"/>
      <c r="M567" s="130">
        <f>IF(IN[[#This Row],[Sim_]]=IN[[#This Row],[Sim Var ref]],1,0)</f>
        <v>1</v>
      </c>
      <c r="N567" s="8"/>
      <c r="O567" s="8">
        <v>430</v>
      </c>
      <c r="P567" s="280"/>
      <c r="Q567" s="137">
        <f>IF(IN[[#This Row],[Sim_]]=IN[[#This Row],[Direkt alt]],1,0)</f>
        <v>1</v>
      </c>
      <c r="R567" s="10">
        <v>0</v>
      </c>
      <c r="S567" s="10">
        <f>IF(IN[[#This Row],[Sim_]]=IN[[#This Row],[Buffer]],1,0)</f>
        <v>1</v>
      </c>
      <c r="T567" s="325">
        <v>1</v>
      </c>
      <c r="U567" s="326">
        <f>'[1]🔥H'!M38</f>
        <v>0</v>
      </c>
      <c r="V567">
        <v>0</v>
      </c>
      <c r="W567">
        <v>0</v>
      </c>
      <c r="X567">
        <v>4</v>
      </c>
      <c r="Z567">
        <v>4</v>
      </c>
      <c r="AA567">
        <v>0</v>
      </c>
      <c r="AB567">
        <v>0</v>
      </c>
      <c r="AC567" s="327">
        <v>4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ht="16.5" thickTop="1" thickBot="1" x14ac:dyDescent="0.3">
      <c r="A568" s="319" t="s">
        <v>644</v>
      </c>
      <c r="B568" t="s">
        <v>687</v>
      </c>
      <c r="C568" s="16"/>
      <c r="D568" s="16"/>
      <c r="E568" s="17" t="s">
        <v>262</v>
      </c>
      <c r="F568" s="18"/>
      <c r="G568" s="134" t="str">
        <f ca="1">_xlfn.FORMULATEXT(IN[[#This Row],[STAGE]])</f>
        <v>='[ka_PEQ_Nachweistool.xlsb]🔥H'!B45</v>
      </c>
      <c r="H568" s="20">
        <v>2</v>
      </c>
      <c r="I568" s="326">
        <f>'[1]🔥H'!B45</f>
        <v>0</v>
      </c>
      <c r="J568" s="135">
        <f>IF(IN[[#This Row],[Sim_]]=IN[[#This Row],[STAGE]],1,0)</f>
        <v>1</v>
      </c>
      <c r="K568" s="275">
        <v>0</v>
      </c>
      <c r="L568" s="130"/>
      <c r="M568" s="130">
        <f>IF(IN[[#This Row],[Sim_]]=IN[[#This Row],[Sim Var ref]],1,0)</f>
        <v>1</v>
      </c>
      <c r="N568" s="8"/>
      <c r="O568" s="8">
        <v>431</v>
      </c>
      <c r="P568" s="280"/>
      <c r="Q568" s="137">
        <f>IF(IN[[#This Row],[Sim_]]=IN[[#This Row],[Direkt alt]],1,0)</f>
        <v>1</v>
      </c>
      <c r="R568" s="10">
        <v>0</v>
      </c>
      <c r="S568" s="10">
        <f>IF(IN[[#This Row],[Sim_]]=IN[[#This Row],[Buffer]],1,0)</f>
        <v>1</v>
      </c>
      <c r="T568" s="325">
        <v>1</v>
      </c>
      <c r="U568" s="326">
        <f>'[1]🔥H'!M45</f>
        <v>0</v>
      </c>
      <c r="V568">
        <v>0</v>
      </c>
      <c r="W568">
        <v>0</v>
      </c>
      <c r="X568">
        <v>0</v>
      </c>
      <c r="Z568">
        <v>0</v>
      </c>
      <c r="AA568">
        <v>0</v>
      </c>
      <c r="AB568">
        <v>0</v>
      </c>
      <c r="AC568" s="327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ht="16.5" thickTop="1" thickBot="1" x14ac:dyDescent="0.3">
      <c r="A569" s="319" t="s">
        <v>644</v>
      </c>
      <c r="B569" t="s">
        <v>688</v>
      </c>
      <c r="C569" s="16"/>
      <c r="D569" s="16" t="s">
        <v>689</v>
      </c>
      <c r="E569" s="17" t="s">
        <v>78</v>
      </c>
      <c r="F569" s="18" t="s">
        <v>690</v>
      </c>
      <c r="G569" s="134" t="str">
        <f ca="1">_xlfn.FORMULATEXT(IN[[#This Row],[STAGE]])</f>
        <v>=WENNFEHLER(1/'[ka_PEQ_Nachweistool.xlsb]🔥H'!B24;0)</v>
      </c>
      <c r="H569" s="20">
        <v>0</v>
      </c>
      <c r="I569" s="175">
        <f>IFERROR(1/'[1]🔥H'!B24,0)</f>
        <v>0</v>
      </c>
      <c r="J569" s="135">
        <f>IF(IN[[#This Row],[Sim_]]=IN[[#This Row],[STAGE]],1,0)</f>
        <v>1</v>
      </c>
      <c r="K569" s="279"/>
      <c r="L569" s="130"/>
      <c r="M569" s="130">
        <f>IF(IN[[#This Row],[Sim_]]=IN[[#This Row],[Sim Var ref]],1,0)</f>
        <v>1</v>
      </c>
      <c r="N569" s="8"/>
      <c r="O569" s="8">
        <v>432</v>
      </c>
      <c r="P569" s="280"/>
      <c r="Q569" s="137">
        <f>IF(IN[[#This Row],[Sim_]]=IN[[#This Row],[Direkt alt]],1,0)</f>
        <v>1</v>
      </c>
      <c r="R569" s="10">
        <v>0.22222222222222221</v>
      </c>
      <c r="S569" s="10">
        <f>IF(IN[[#This Row],[Sim_]]=IN[[#This Row],[Buffer]],1,0)</f>
        <v>0</v>
      </c>
      <c r="T569" s="11"/>
      <c r="U569" s="175">
        <f>IFERROR(1/'[1]🔥H'!M24,0)</f>
        <v>0</v>
      </c>
      <c r="V569" s="281"/>
      <c r="X569">
        <v>0.25</v>
      </c>
      <c r="Y569" s="105"/>
      <c r="Z569" s="177">
        <v>0.25</v>
      </c>
      <c r="AA569" s="130"/>
      <c r="AB569" s="130">
        <v>0.21691973969631234</v>
      </c>
      <c r="AC569" s="178">
        <v>0.25</v>
      </c>
      <c r="AD569">
        <v>0.22222222222222221</v>
      </c>
      <c r="AE569">
        <v>0.22222222222222221</v>
      </c>
      <c r="AF569">
        <v>0.22222222222222221</v>
      </c>
      <c r="AG569">
        <v>0.22222222222222221</v>
      </c>
      <c r="AH569">
        <v>0.22222222222222221</v>
      </c>
      <c r="AI569">
        <v>0.21691973969631234</v>
      </c>
      <c r="AJ569">
        <v>0.21691973969631234</v>
      </c>
    </row>
    <row r="570" spans="1:36" ht="16.5" thickTop="1" thickBot="1" x14ac:dyDescent="0.3">
      <c r="A570" s="319" t="s">
        <v>644</v>
      </c>
      <c r="B570" t="s">
        <v>691</v>
      </c>
      <c r="C570" s="16"/>
      <c r="D570" s="16"/>
      <c r="E570" s="17" t="s">
        <v>78</v>
      </c>
      <c r="F570" s="18" t="s">
        <v>692</v>
      </c>
      <c r="G570" s="134" t="str">
        <f ca="1">_xlfn.FORMULATEXT(IN[[#This Row],[STAGE]])</f>
        <v>=WENNFEHLER(1/'[ka_PEQ_Nachweistool.xlsb]🔥H'!B31;0)</v>
      </c>
      <c r="H570" s="20">
        <v>0</v>
      </c>
      <c r="I570" s="175">
        <f>IFERROR(1/'[1]🔥H'!B31,0)</f>
        <v>0</v>
      </c>
      <c r="J570" s="135">
        <f>IF(IN[[#This Row],[Sim_]]=IN[[#This Row],[STAGE]],1,0)</f>
        <v>1</v>
      </c>
      <c r="K570" s="279"/>
      <c r="L570" s="130"/>
      <c r="M570" s="130">
        <f>IF(IN[[#This Row],[Sim_]]=IN[[#This Row],[Sim Var ref]],1,0)</f>
        <v>1</v>
      </c>
      <c r="N570" s="8"/>
      <c r="O570" s="8">
        <v>433</v>
      </c>
      <c r="P570" s="280"/>
      <c r="Q570" s="137">
        <f>IF(IN[[#This Row],[Sim_]]=IN[[#This Row],[Direkt alt]],1,0)</f>
        <v>1</v>
      </c>
      <c r="R570" s="10">
        <v>1.0526315789473684</v>
      </c>
      <c r="S570" s="10">
        <f>IF(IN[[#This Row],[Sim_]]=IN[[#This Row],[Buffer]],1,0)</f>
        <v>0</v>
      </c>
      <c r="T570" s="11"/>
      <c r="U570" s="175">
        <f>IFERROR(1/'[1]🔥H'!M31,0)</f>
        <v>0</v>
      </c>
      <c r="V570" s="281"/>
      <c r="X570">
        <v>1.0526315789473684</v>
      </c>
      <c r="Y570" s="105"/>
      <c r="Z570" s="177">
        <v>1.0526315789473684</v>
      </c>
      <c r="AA570" s="130"/>
      <c r="AB570" s="130">
        <v>1.0526315789473684</v>
      </c>
      <c r="AC570" s="178">
        <v>1.0526315789473684</v>
      </c>
      <c r="AD570">
        <v>1.0526315789473684</v>
      </c>
      <c r="AE570">
        <v>1.0526315789473684</v>
      </c>
      <c r="AF570">
        <v>1.0526315789473684</v>
      </c>
      <c r="AG570">
        <v>1.0526315789473684</v>
      </c>
      <c r="AH570">
        <v>1.0526315789473684</v>
      </c>
      <c r="AI570">
        <v>1.0526315789473684</v>
      </c>
      <c r="AJ570">
        <v>1.0526315789473684</v>
      </c>
    </row>
    <row r="571" spans="1:36" ht="16.5" thickTop="1" thickBot="1" x14ac:dyDescent="0.3">
      <c r="A571" s="319" t="s">
        <v>644</v>
      </c>
      <c r="B571" t="s">
        <v>693</v>
      </c>
      <c r="C571" s="16"/>
      <c r="D571" s="16"/>
      <c r="E571" s="17" t="s">
        <v>78</v>
      </c>
      <c r="F571" s="18" t="s">
        <v>694</v>
      </c>
      <c r="G571" s="134" t="str">
        <f ca="1">_xlfn.FORMULATEXT(IN[[#This Row],[STAGE]])</f>
        <v>=WENNFEHLER(1/'[ka_PEQ_Nachweistool.xlsb]🔥H'!B38;0)</v>
      </c>
      <c r="H571" s="20">
        <v>0</v>
      </c>
      <c r="I571" s="175">
        <f>IFERROR(1/'[1]🔥H'!B38,0)</f>
        <v>0</v>
      </c>
      <c r="J571" s="135">
        <f>IF(IN[[#This Row],[Sim_]]=IN[[#This Row],[STAGE]],1,0)</f>
        <v>1</v>
      </c>
      <c r="K571" s="279"/>
      <c r="L571" s="130"/>
      <c r="M571" s="130">
        <f>IF(IN[[#This Row],[Sim_]]=IN[[#This Row],[Sim Var ref]],1,0)</f>
        <v>1</v>
      </c>
      <c r="N571" s="8"/>
      <c r="O571" s="8">
        <v>434</v>
      </c>
      <c r="P571" s="280"/>
      <c r="Q571" s="137">
        <f>IF(IN[[#This Row],[Sim_]]=IN[[#This Row],[Direkt alt]],1,0)</f>
        <v>1</v>
      </c>
      <c r="R571" s="10">
        <v>0</v>
      </c>
      <c r="S571" s="10">
        <f>IF(IN[[#This Row],[Sim_]]=IN[[#This Row],[Buffer]],1,0)</f>
        <v>1</v>
      </c>
      <c r="T571" s="11"/>
      <c r="U571" s="175">
        <f>IFERROR(1/'[1]🔥H'!M38,0)</f>
        <v>0</v>
      </c>
      <c r="V571" s="281"/>
      <c r="X571">
        <v>0.25</v>
      </c>
      <c r="Y571" s="105"/>
      <c r="Z571" s="177">
        <v>0.25</v>
      </c>
      <c r="AA571" s="130"/>
      <c r="AB571" s="130">
        <v>0</v>
      </c>
      <c r="AC571" s="178">
        <v>0.25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ht="16.5" thickTop="1" thickBot="1" x14ac:dyDescent="0.3">
      <c r="A572" s="319" t="s">
        <v>644</v>
      </c>
      <c r="B572" t="s">
        <v>695</v>
      </c>
      <c r="C572" s="16"/>
      <c r="D572" s="16"/>
      <c r="E572" s="17" t="s">
        <v>78</v>
      </c>
      <c r="F572" s="18" t="s">
        <v>696</v>
      </c>
      <c r="G572" s="134" t="str">
        <f ca="1">_xlfn.FORMULATEXT(IN[[#This Row],[STAGE]])</f>
        <v>=WENNFEHLER(1/'[ka_PEQ_Nachweistool.xlsb]🔥H'!B45;0)</v>
      </c>
      <c r="H572" s="20">
        <v>0</v>
      </c>
      <c r="I572" s="175">
        <f>IFERROR(1/'[1]🔥H'!B45,0)</f>
        <v>0</v>
      </c>
      <c r="J572" s="135">
        <f>IF(IN[[#This Row],[Sim_]]=IN[[#This Row],[STAGE]],1,0)</f>
        <v>1</v>
      </c>
      <c r="K572" s="279"/>
      <c r="L572" s="130"/>
      <c r="M572" s="130">
        <f>IF(IN[[#This Row],[Sim_]]=IN[[#This Row],[Sim Var ref]],1,0)</f>
        <v>1</v>
      </c>
      <c r="N572" s="8"/>
      <c r="O572" s="8">
        <v>435</v>
      </c>
      <c r="P572" s="280"/>
      <c r="Q572" s="137">
        <f>IF(IN[[#This Row],[Sim_]]=IN[[#This Row],[Direkt alt]],1,0)</f>
        <v>1</v>
      </c>
      <c r="R572" s="10">
        <v>0</v>
      </c>
      <c r="S572" s="10">
        <f>IF(IN[[#This Row],[Sim_]]=IN[[#This Row],[Buffer]],1,0)</f>
        <v>1</v>
      </c>
      <c r="T572" s="11"/>
      <c r="U572" s="175">
        <f>IFERROR(1/'[1]🔥H'!M45,0)</f>
        <v>0</v>
      </c>
      <c r="V572" s="281"/>
      <c r="X572">
        <v>0</v>
      </c>
      <c r="Y572" s="105"/>
      <c r="Z572" s="177">
        <v>0</v>
      </c>
      <c r="AA572" s="130"/>
      <c r="AB572" s="130">
        <v>0</v>
      </c>
      <c r="AC572" s="178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ht="16.5" thickTop="1" thickBot="1" x14ac:dyDescent="0.3">
      <c r="A573" s="319" t="s">
        <v>644</v>
      </c>
      <c r="B573" t="s">
        <v>697</v>
      </c>
      <c r="C573" s="16"/>
      <c r="D573" s="16"/>
      <c r="E573" s="17" t="s">
        <v>262</v>
      </c>
      <c r="F573" s="18" t="s">
        <v>698</v>
      </c>
      <c r="G573" s="134" t="e">
        <f ca="1">_xlfn.FORMULATEXT(IN[[#This Row],[STAGE]])</f>
        <v>#N/A</v>
      </c>
      <c r="H573" s="20">
        <v>1</v>
      </c>
      <c r="I573" s="328">
        <v>0.05</v>
      </c>
      <c r="J573" s="135">
        <f>IF(IN[[#This Row],[Sim_]]=IN[[#This Row],[STAGE]],1,0)</f>
        <v>1</v>
      </c>
      <c r="K573" s="329">
        <v>0.05</v>
      </c>
      <c r="L573" s="130"/>
      <c r="M573" s="130">
        <f>IF(IN[[#This Row],[Sim_]]=IN[[#This Row],[Sim Var ref]],1,0)</f>
        <v>0</v>
      </c>
      <c r="N573" s="8"/>
      <c r="O573" s="8"/>
      <c r="P573" s="280"/>
      <c r="Q573" s="137">
        <f>IF(IN[[#This Row],[Sim_]]=IN[[#This Row],[Direkt alt]],1,0)</f>
        <v>0</v>
      </c>
      <c r="R573" s="10">
        <v>0.05</v>
      </c>
      <c r="S573" s="10">
        <f>IF(IN[[#This Row],[Sim_]]=IN[[#This Row],[Buffer]],1,0)</f>
        <v>1</v>
      </c>
      <c r="T573" s="11"/>
      <c r="U573" s="330"/>
      <c r="V573" s="281"/>
      <c r="X573">
        <v>0.05</v>
      </c>
      <c r="Y573" s="105"/>
      <c r="Z573" s="177">
        <v>0.05</v>
      </c>
      <c r="AA573" s="130"/>
      <c r="AB573" s="130">
        <v>0.05</v>
      </c>
      <c r="AC573" s="331">
        <v>0.05</v>
      </c>
      <c r="AD573">
        <v>0.05</v>
      </c>
      <c r="AE573">
        <v>0.05</v>
      </c>
      <c r="AF573">
        <v>0.05</v>
      </c>
      <c r="AG573">
        <v>0.05</v>
      </c>
      <c r="AH573">
        <v>0.05</v>
      </c>
      <c r="AI573">
        <v>0.05</v>
      </c>
      <c r="AJ573">
        <v>0.05</v>
      </c>
    </row>
    <row r="574" spans="1:36" ht="16.5" thickTop="1" thickBot="1" x14ac:dyDescent="0.3">
      <c r="A574" s="319" t="s">
        <v>644</v>
      </c>
      <c r="B574" t="s">
        <v>699</v>
      </c>
      <c r="C574" s="16"/>
      <c r="D574" s="16" t="s">
        <v>700</v>
      </c>
      <c r="E574" s="17" t="s">
        <v>285</v>
      </c>
      <c r="F574" s="18" t="s">
        <v>701</v>
      </c>
      <c r="G574" s="134" t="str">
        <f ca="1">_xlfn.FORMULATEXT(IN[[#This Row],[STAGE]])</f>
        <v>='[ka_PEQ_Nachweistool.xlsb]🔥H'!B26</v>
      </c>
      <c r="H574" s="20">
        <v>2</v>
      </c>
      <c r="I574" s="175">
        <f>'[1]🔥H'!B26</f>
        <v>0</v>
      </c>
      <c r="J574" s="135">
        <f>IF(IN[[#This Row],[Sim_]]=IN[[#This Row],[STAGE]],1,0)</f>
        <v>0</v>
      </c>
      <c r="K574" s="223">
        <f>I76</f>
        <v>0.02</v>
      </c>
      <c r="L574" s="130"/>
      <c r="M574" s="130">
        <f>IF(IN[[#This Row],[Sim_]]=IN[[#This Row],[Sim Var ref]],1,0)</f>
        <v>0</v>
      </c>
      <c r="N574" s="8"/>
      <c r="O574" s="8">
        <v>436</v>
      </c>
      <c r="P574" s="280"/>
      <c r="Q574" s="137">
        <f>IF(IN[[#This Row],[Sim_]]=IN[[#This Row],[Direkt alt]],1,0)</f>
        <v>0</v>
      </c>
      <c r="R574" s="10">
        <v>0.02</v>
      </c>
      <c r="S574" s="10">
        <f>IF(IN[[#This Row],[Sim_]]=IN[[#This Row],[Buffer]],1,0)</f>
        <v>1</v>
      </c>
      <c r="T574" s="11"/>
      <c r="U574" s="175">
        <f>'[1]🔥H'!M26</f>
        <v>0</v>
      </c>
      <c r="V574" s="322">
        <f>T76</f>
        <v>0.02</v>
      </c>
      <c r="W574" s="322">
        <f>V76</f>
        <v>0.02</v>
      </c>
      <c r="X574" s="322">
        <v>0.02</v>
      </c>
      <c r="Y574" s="11"/>
      <c r="Z574" s="322">
        <v>0.02</v>
      </c>
      <c r="AA574" s="322">
        <v>0.02</v>
      </c>
      <c r="AB574" s="322">
        <v>0.02</v>
      </c>
      <c r="AC574" s="178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>
        <v>0.02</v>
      </c>
      <c r="AJ574">
        <v>0.02</v>
      </c>
    </row>
    <row r="575" spans="1:36" ht="16.5" thickTop="1" thickBot="1" x14ac:dyDescent="0.3">
      <c r="A575" s="319" t="s">
        <v>644</v>
      </c>
      <c r="B575" t="s">
        <v>702</v>
      </c>
      <c r="C575" s="16"/>
      <c r="D575" s="16" t="s">
        <v>700</v>
      </c>
      <c r="E575" s="17" t="s">
        <v>285</v>
      </c>
      <c r="F575" s="18" t="s">
        <v>703</v>
      </c>
      <c r="G575" s="134" t="str">
        <f ca="1">_xlfn.FORMULATEXT(IN[[#This Row],[STAGE]])</f>
        <v>='[ka_PEQ_Nachweistool.xlsb]🔥H'!B33</v>
      </c>
      <c r="H575" s="20">
        <v>2</v>
      </c>
      <c r="I575" s="175">
        <f>'[1]🔥H'!B33</f>
        <v>0</v>
      </c>
      <c r="J575" s="135">
        <f>IF(IN[[#This Row],[Sim_]]=IN[[#This Row],[STAGE]],1,0)</f>
        <v>0</v>
      </c>
      <c r="K575" s="223">
        <f>I77</f>
        <v>0.02</v>
      </c>
      <c r="L575" s="130"/>
      <c r="M575" s="130">
        <f>IF(IN[[#This Row],[Sim_]]=IN[[#This Row],[Sim Var ref]],1,0)</f>
        <v>0</v>
      </c>
      <c r="N575" s="8"/>
      <c r="O575" s="8">
        <v>437</v>
      </c>
      <c r="P575" s="280"/>
      <c r="Q575" s="137">
        <f>IF(IN[[#This Row],[Sim_]]=IN[[#This Row],[Direkt alt]],1,0)</f>
        <v>0</v>
      </c>
      <c r="R575" s="10">
        <v>0.02</v>
      </c>
      <c r="S575" s="10">
        <f>IF(IN[[#This Row],[Sim_]]=IN[[#This Row],[Buffer]],1,0)</f>
        <v>1</v>
      </c>
      <c r="T575" s="11"/>
      <c r="U575" s="175">
        <f>'[1]🔥H'!M33</f>
        <v>0</v>
      </c>
      <c r="V575" s="322">
        <f>T77</f>
        <v>0.02</v>
      </c>
      <c r="W575" s="322">
        <f>V77</f>
        <v>0.02</v>
      </c>
      <c r="X575" s="322">
        <v>0.02</v>
      </c>
      <c r="Y575" s="11"/>
      <c r="Z575" s="322">
        <v>0.02</v>
      </c>
      <c r="AA575" s="322">
        <v>0.02</v>
      </c>
      <c r="AB575" s="322">
        <v>0.02</v>
      </c>
      <c r="AC575" s="178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>
        <v>0.02</v>
      </c>
      <c r="AJ575">
        <v>0.02</v>
      </c>
    </row>
    <row r="576" spans="1:36" ht="15.75" thickTop="1" x14ac:dyDescent="0.25">
      <c r="A576" s="319" t="s">
        <v>644</v>
      </c>
      <c r="B576" t="s">
        <v>704</v>
      </c>
      <c r="C576" s="16"/>
      <c r="D576" s="16" t="s">
        <v>700</v>
      </c>
      <c r="E576" s="17" t="s">
        <v>262</v>
      </c>
      <c r="F576" s="18" t="s">
        <v>705</v>
      </c>
      <c r="G576" s="134" t="str">
        <f ca="1">_xlfn.FORMULATEXT(IN[[#This Row],[STAGE]])</f>
        <v>='[ka_PEQ_Nachweistool.xlsb]🔥H'!B40</v>
      </c>
      <c r="H576" s="20">
        <v>2</v>
      </c>
      <c r="I576" s="332">
        <f>'[1]🔥H'!B40</f>
        <v>0</v>
      </c>
      <c r="J576" s="135">
        <f>IF(IN[[#This Row],[Sim_]]=IN[[#This Row],[STAGE]],1,0)</f>
        <v>1</v>
      </c>
      <c r="K576" s="275">
        <v>0</v>
      </c>
      <c r="L576" s="130"/>
      <c r="M576" s="130">
        <f>IF(IN[[#This Row],[Sim_]]=IN[[#This Row],[Sim Var ref]],1,0)</f>
        <v>1</v>
      </c>
      <c r="N576" s="8"/>
      <c r="O576" s="8">
        <v>438</v>
      </c>
      <c r="P576" s="280"/>
      <c r="Q576" s="137">
        <f>IF(IN[[#This Row],[Sim_]]=IN[[#This Row],[Direkt alt]],1,0)</f>
        <v>1</v>
      </c>
      <c r="R576" s="10">
        <v>0</v>
      </c>
      <c r="S576" s="10">
        <f>IF(IN[[#This Row],[Sim_]]=IN[[#This Row],[Buffer]],1,0)</f>
        <v>1</v>
      </c>
      <c r="T576" s="333"/>
      <c r="U576" s="332">
        <f>'[1]🔥H'!M40</f>
        <v>0</v>
      </c>
      <c r="V576" s="281">
        <v>0</v>
      </c>
      <c r="W576" s="281">
        <v>0</v>
      </c>
      <c r="X576" s="281">
        <v>0.02</v>
      </c>
      <c r="Y576" s="333"/>
      <c r="Z576" s="322">
        <v>0.02</v>
      </c>
      <c r="AA576" s="322">
        <v>0</v>
      </c>
      <c r="AB576" s="322">
        <v>0</v>
      </c>
      <c r="AC576" s="334">
        <v>0.02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ht="15.75" thickBot="1" x14ac:dyDescent="0.3">
      <c r="A577" s="319" t="s">
        <v>644</v>
      </c>
      <c r="B577" t="s">
        <v>706</v>
      </c>
      <c r="C577" s="16"/>
      <c r="D577" s="16" t="s">
        <v>700</v>
      </c>
      <c r="E577" s="17" t="s">
        <v>262</v>
      </c>
      <c r="F577" s="18" t="s">
        <v>707</v>
      </c>
      <c r="G577" s="134" t="str">
        <f ca="1">_xlfn.FORMULATEXT(IN[[#This Row],[STAGE]])</f>
        <v>='[ka_PEQ_Nachweistool.xlsb]🔥H'!B47</v>
      </c>
      <c r="H577" s="20">
        <v>2</v>
      </c>
      <c r="I577" s="175">
        <f>'[1]🔥H'!B47</f>
        <v>0</v>
      </c>
      <c r="J577" s="135">
        <f>IF(IN[[#This Row],[Sim_]]=IN[[#This Row],[STAGE]],1,0)</f>
        <v>1</v>
      </c>
      <c r="K577" s="275">
        <v>0</v>
      </c>
      <c r="L577" s="130"/>
      <c r="M577" s="130">
        <f>IF(IN[[#This Row],[Sim_]]=IN[[#This Row],[Sim Var ref]],1,0)</f>
        <v>1</v>
      </c>
      <c r="N577" s="8"/>
      <c r="O577" s="8">
        <v>439</v>
      </c>
      <c r="P577" s="280"/>
      <c r="Q577" s="137">
        <f>IF(IN[[#This Row],[Sim_]]=IN[[#This Row],[Direkt alt]],1,0)</f>
        <v>1</v>
      </c>
      <c r="R577" s="10">
        <v>0</v>
      </c>
      <c r="S577" s="10">
        <f>IF(IN[[#This Row],[Sim_]]=IN[[#This Row],[Buffer]],1,0)</f>
        <v>1</v>
      </c>
      <c r="T577" s="11"/>
      <c r="U577" s="175">
        <f>'[1]🔥H'!M47</f>
        <v>0</v>
      </c>
      <c r="V577" s="281">
        <v>0</v>
      </c>
      <c r="W577" s="281">
        <v>0</v>
      </c>
      <c r="X577" s="281">
        <v>0</v>
      </c>
      <c r="Y577" s="11"/>
      <c r="Z577" s="322">
        <v>0</v>
      </c>
      <c r="AA577" s="322">
        <v>0</v>
      </c>
      <c r="AB577" s="322">
        <v>0</v>
      </c>
      <c r="AC577" s="178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ht="15.75" thickTop="1" x14ac:dyDescent="0.25">
      <c r="A578" s="319" t="s">
        <v>644</v>
      </c>
      <c r="B578" s="335" t="s">
        <v>708</v>
      </c>
      <c r="C578" s="336" t="s">
        <v>658</v>
      </c>
      <c r="D578" s="336" t="s">
        <v>709</v>
      </c>
      <c r="E578" s="17"/>
      <c r="F578" s="18"/>
      <c r="G578" s="147"/>
      <c r="H578" s="20">
        <v>0</v>
      </c>
      <c r="I578" s="200">
        <f>IN[[#This Row],[Buffer]]</f>
        <v>0</v>
      </c>
      <c r="J578" s="135">
        <f>IF(IN[[#This Row],[Sim_]]=IN[[#This Row],[STAGE]],1,0)</f>
        <v>1</v>
      </c>
      <c r="K578" s="337"/>
      <c r="L578" s="130"/>
      <c r="M578" s="130">
        <f>IF(IN[[#This Row],[Sim_]]=IN[[#This Row],[Sim Var ref]],1,0)</f>
        <v>1</v>
      </c>
      <c r="N578" s="8"/>
      <c r="O578" s="8"/>
      <c r="P578" s="280"/>
      <c r="Q578" s="137">
        <f>IF(IN[[#This Row],[Sim_]]=IN[[#This Row],[Direkt alt]],1,0)</f>
        <v>1</v>
      </c>
      <c r="R578" s="10">
        <v>0</v>
      </c>
      <c r="S578" s="10">
        <f>IF(IN[[#This Row],[Sim_]]=IN[[#This Row],[Buffer]],1,0)</f>
        <v>1</v>
      </c>
      <c r="T578" s="11"/>
      <c r="U578" s="198"/>
      <c r="V578" s="281"/>
      <c r="W578" s="281"/>
      <c r="X578" s="281">
        <v>0</v>
      </c>
      <c r="Y578" s="11"/>
      <c r="Z578" s="322">
        <v>0</v>
      </c>
      <c r="AA578" s="322"/>
      <c r="AB578" s="322">
        <v>0</v>
      </c>
      <c r="AC578" s="201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s="319" t="s">
        <v>644</v>
      </c>
      <c r="B579" s="335" t="s">
        <v>710</v>
      </c>
      <c r="C579" s="336" t="s">
        <v>658</v>
      </c>
      <c r="D579" s="336" t="s">
        <v>709</v>
      </c>
      <c r="E579" s="17"/>
      <c r="F579" s="18"/>
      <c r="G579" s="147"/>
      <c r="H579" s="20">
        <v>0</v>
      </c>
      <c r="I579" s="200">
        <f>IN[[#This Row],[Buffer]]</f>
        <v>0</v>
      </c>
      <c r="J579" s="135">
        <f>IF(IN[[#This Row],[Sim_]]=IN[[#This Row],[STAGE]],1,0)</f>
        <v>1</v>
      </c>
      <c r="K579" s="337"/>
      <c r="L579" s="130"/>
      <c r="M579" s="130">
        <f>IF(IN[[#This Row],[Sim_]]=IN[[#This Row],[Sim Var ref]],1,0)</f>
        <v>1</v>
      </c>
      <c r="N579" s="8"/>
      <c r="O579" s="8"/>
      <c r="P579" s="280"/>
      <c r="Q579" s="137">
        <f>IF(IN[[#This Row],[Sim_]]=IN[[#This Row],[Direkt alt]],1,0)</f>
        <v>1</v>
      </c>
      <c r="R579" s="10">
        <v>0</v>
      </c>
      <c r="S579" s="10">
        <f>IF(IN[[#This Row],[Sim_]]=IN[[#This Row],[Buffer]],1,0)</f>
        <v>1</v>
      </c>
      <c r="T579" s="11"/>
      <c r="U579" s="198"/>
      <c r="V579" s="281"/>
      <c r="W579" s="281"/>
      <c r="X579" s="281">
        <v>0</v>
      </c>
      <c r="Y579" s="11"/>
      <c r="Z579" s="322">
        <v>0</v>
      </c>
      <c r="AA579" s="322"/>
      <c r="AB579" s="322">
        <v>0</v>
      </c>
      <c r="AC579" s="201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s="63"/>
      <c r="B580" s="15"/>
      <c r="C580" s="16"/>
      <c r="D580" s="16"/>
      <c r="E580" s="17"/>
      <c r="F580" s="18"/>
      <c r="G580" s="147"/>
      <c r="H580" s="20">
        <v>0</v>
      </c>
      <c r="I580" s="200">
        <f>IN[[#This Row],[Buffer]]</f>
        <v>0</v>
      </c>
      <c r="J580" s="135">
        <f>IF(IN[[#This Row],[Sim_]]=IN[[#This Row],[STAGE]],1,0)</f>
        <v>1</v>
      </c>
      <c r="K580" s="337"/>
      <c r="L580" s="130"/>
      <c r="M580" s="130">
        <f>IF(IN[[#This Row],[Sim_]]=IN[[#This Row],[Sim Var ref]],1,0)</f>
        <v>1</v>
      </c>
      <c r="N580" s="8"/>
      <c r="O580" s="8"/>
      <c r="P580" s="280"/>
      <c r="Q580" s="137">
        <f>IF(IN[[#This Row],[Sim_]]=IN[[#This Row],[Direkt alt]],1,0)</f>
        <v>1</v>
      </c>
      <c r="R580" s="10">
        <v>0</v>
      </c>
      <c r="S580" s="10">
        <f>IF(IN[[#This Row],[Sim_]]=IN[[#This Row],[Buffer]],1,0)</f>
        <v>1</v>
      </c>
      <c r="T580" s="11"/>
      <c r="U580" s="198"/>
      <c r="V580" s="281"/>
      <c r="W580" s="281"/>
      <c r="X580" s="281">
        <v>0</v>
      </c>
      <c r="Y580" s="11"/>
      <c r="Z580" s="322">
        <v>0</v>
      </c>
      <c r="AA580" s="322"/>
      <c r="AB580" s="322">
        <v>0</v>
      </c>
      <c r="AC580" s="201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s="63"/>
      <c r="B581" s="15"/>
      <c r="C581" s="16"/>
      <c r="D581" s="16"/>
      <c r="E581" s="17"/>
      <c r="F581" s="18"/>
      <c r="G581" s="147"/>
      <c r="H581" s="20">
        <v>0</v>
      </c>
      <c r="I581" s="200">
        <f>IN[[#This Row],[Buffer]]</f>
        <v>0</v>
      </c>
      <c r="J581" s="135">
        <f>IF(IN[[#This Row],[Sim_]]=IN[[#This Row],[STAGE]],1,0)</f>
        <v>1</v>
      </c>
      <c r="K581" s="337"/>
      <c r="L581" s="130"/>
      <c r="M581" s="130">
        <f>IF(IN[[#This Row],[Sim_]]=IN[[#This Row],[Sim Var ref]],1,0)</f>
        <v>1</v>
      </c>
      <c r="N581" s="8"/>
      <c r="O581" s="8"/>
      <c r="P581" s="280"/>
      <c r="Q581" s="137">
        <f>IF(IN[[#This Row],[Sim_]]=IN[[#This Row],[Direkt alt]],1,0)</f>
        <v>1</v>
      </c>
      <c r="R581" s="10">
        <v>0</v>
      </c>
      <c r="S581" s="10">
        <f>IF(IN[[#This Row],[Sim_]]=IN[[#This Row],[Buffer]],1,0)</f>
        <v>1</v>
      </c>
      <c r="T581" s="11"/>
      <c r="U581" s="198"/>
      <c r="V581" s="281"/>
      <c r="W581" s="281"/>
      <c r="X581" s="281">
        <v>0</v>
      </c>
      <c r="Y581" s="11"/>
      <c r="Z581" s="322">
        <v>0</v>
      </c>
      <c r="AA581" s="322"/>
      <c r="AB581" s="322">
        <v>0</v>
      </c>
      <c r="AC581" s="20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s="319" t="s">
        <v>644</v>
      </c>
      <c r="B582" t="s">
        <v>711</v>
      </c>
      <c r="C582" s="16"/>
      <c r="D582" s="16"/>
      <c r="E582" s="17" t="s">
        <v>262</v>
      </c>
      <c r="F582" s="18" t="s">
        <v>712</v>
      </c>
      <c r="G582" s="134" t="str">
        <f ca="1">_xlfn.FORMULATEXT(IN[[#This Row],[STAGE]])</f>
        <v>='[ka_PEQ_Nachweistool.xlsb]🔥H'!B29</v>
      </c>
      <c r="H582" s="20">
        <v>2</v>
      </c>
      <c r="I582" s="104">
        <f>'[1]🔥H'!B29</f>
        <v>0</v>
      </c>
      <c r="J582" s="135">
        <f>IF(IN[[#This Row],[Sim_]]=IN[[#This Row],[STAGE]],1,0)</f>
        <v>0</v>
      </c>
      <c r="K582" s="275" t="s">
        <v>713</v>
      </c>
      <c r="L582" s="130"/>
      <c r="M582" s="130">
        <f>IF(IN[[#This Row],[Sim_]]=IN[[#This Row],[Sim Var ref]],1,0)</f>
        <v>0</v>
      </c>
      <c r="N582" s="8"/>
      <c r="O582" s="8">
        <v>440</v>
      </c>
      <c r="P582" s="280"/>
      <c r="Q582" s="137">
        <f>IF(IN[[#This Row],[Sim_]]=IN[[#This Row],[Direkt alt]],1,0)</f>
        <v>0</v>
      </c>
      <c r="R582" s="10" t="s">
        <v>713</v>
      </c>
      <c r="S582" s="10">
        <f>IF(IN[[#This Row],[Sim_]]=IN[[#This Row],[Buffer]],1,0)</f>
        <v>1</v>
      </c>
      <c r="T582" s="8" t="s">
        <v>713</v>
      </c>
      <c r="U582" s="104">
        <f>'[1]🔥H'!M29</f>
        <v>0</v>
      </c>
      <c r="V582" s="281" t="s">
        <v>713</v>
      </c>
      <c r="W582" s="281" t="s">
        <v>713</v>
      </c>
      <c r="X582" s="281" t="s">
        <v>714</v>
      </c>
      <c r="Y582" s="281" t="s">
        <v>713</v>
      </c>
      <c r="Z582" s="281" t="s">
        <v>714</v>
      </c>
      <c r="AA582" s="281" t="s">
        <v>713</v>
      </c>
      <c r="AB582" s="281" t="s">
        <v>713</v>
      </c>
      <c r="AC582" s="106" t="s">
        <v>714</v>
      </c>
      <c r="AD582" t="s">
        <v>713</v>
      </c>
      <c r="AE582" s="146" t="s">
        <v>715</v>
      </c>
      <c r="AF582" s="146" t="s">
        <v>713</v>
      </c>
      <c r="AG582" t="s">
        <v>713</v>
      </c>
      <c r="AH582" t="s">
        <v>716</v>
      </c>
      <c r="AI582" t="s">
        <v>713</v>
      </c>
      <c r="AJ582" t="s">
        <v>713</v>
      </c>
    </row>
    <row r="583" spans="1:36" x14ac:dyDescent="0.25">
      <c r="A583" s="319" t="s">
        <v>644</v>
      </c>
      <c r="B583" t="s">
        <v>717</v>
      </c>
      <c r="C583" s="16"/>
      <c r="D583" s="16"/>
      <c r="E583" s="17" t="s">
        <v>262</v>
      </c>
      <c r="F583" s="18" t="s">
        <v>718</v>
      </c>
      <c r="G583" s="134" t="str">
        <f ca="1">_xlfn.FORMULATEXT(IN[[#This Row],[STAGE]])</f>
        <v>='[ka_PEQ_Nachweistool.xlsb]🔥H'!B43</v>
      </c>
      <c r="H583" s="20">
        <v>2</v>
      </c>
      <c r="I583" s="104">
        <f>'[1]🔥H'!B43</f>
        <v>0</v>
      </c>
      <c r="J583" s="135">
        <f>IF(IN[[#This Row],[Sim_]]=IN[[#This Row],[STAGE]],1,0)</f>
        <v>0</v>
      </c>
      <c r="K583" s="275" t="s">
        <v>713</v>
      </c>
      <c r="L583" s="130"/>
      <c r="M583" s="130">
        <f>IF(IN[[#This Row],[Sim_]]=IN[[#This Row],[Sim Var ref]],1,0)</f>
        <v>0</v>
      </c>
      <c r="N583" s="8"/>
      <c r="O583" s="8">
        <v>441</v>
      </c>
      <c r="P583" s="280"/>
      <c r="Q583" s="137">
        <f>IF(IN[[#This Row],[Sim_]]=IN[[#This Row],[Direkt alt]],1,0)</f>
        <v>0</v>
      </c>
      <c r="R583" s="10" t="s">
        <v>713</v>
      </c>
      <c r="S583" s="10">
        <f>IF(IN[[#This Row],[Sim_]]=IN[[#This Row],[Buffer]],1,0)</f>
        <v>1</v>
      </c>
      <c r="T583" s="8" t="s">
        <v>713</v>
      </c>
      <c r="U583" s="104">
        <f>'[1]🔥H'!M43</f>
        <v>0</v>
      </c>
      <c r="V583" s="281" t="s">
        <v>713</v>
      </c>
      <c r="W583" s="281" t="s">
        <v>713</v>
      </c>
      <c r="X583" s="281" t="s">
        <v>713</v>
      </c>
      <c r="Y583" s="281" t="s">
        <v>713</v>
      </c>
      <c r="Z583" s="281" t="s">
        <v>713</v>
      </c>
      <c r="AA583" s="281" t="s">
        <v>713</v>
      </c>
      <c r="AB583" s="281" t="s">
        <v>713</v>
      </c>
      <c r="AC583" s="106" t="s">
        <v>713</v>
      </c>
      <c r="AD583" t="s">
        <v>713</v>
      </c>
      <c r="AE583" t="s">
        <v>713</v>
      </c>
      <c r="AF583" t="s">
        <v>713</v>
      </c>
      <c r="AG583" t="s">
        <v>713</v>
      </c>
      <c r="AH583" t="s">
        <v>713</v>
      </c>
      <c r="AI583" t="s">
        <v>713</v>
      </c>
      <c r="AJ583" t="s">
        <v>713</v>
      </c>
    </row>
    <row r="584" spans="1:36" x14ac:dyDescent="0.25">
      <c r="A584" s="319" t="s">
        <v>644</v>
      </c>
      <c r="B584" t="s">
        <v>719</v>
      </c>
      <c r="C584" s="16" t="s">
        <v>720</v>
      </c>
      <c r="D584" s="16"/>
      <c r="E584" s="17" t="s">
        <v>285</v>
      </c>
      <c r="F584" s="18" t="s">
        <v>721</v>
      </c>
      <c r="G584" s="134" t="str">
        <f ca="1">_xlfn.FORMULATEXT(IN[[#This Row],[STAGE]])</f>
        <v>='[ka_PEQ_Nachweistool.xlsb]🔥H'!B5</v>
      </c>
      <c r="H584" s="20">
        <v>2</v>
      </c>
      <c r="I584" s="104">
        <f>'[1]🔥H'!B5</f>
        <v>0</v>
      </c>
      <c r="J584" s="135">
        <f>IF(IN[[#This Row],[Sim_]]=IN[[#This Row],[STAGE]],1,0)</f>
        <v>0</v>
      </c>
      <c r="K584" s="197">
        <f>K43</f>
        <v>21</v>
      </c>
      <c r="L584" s="130"/>
      <c r="M584" s="130">
        <f>IF(IN[[#This Row],[Sim_]]=IN[[#This Row],[Sim Var ref]],1,0)</f>
        <v>0</v>
      </c>
      <c r="N584" s="8"/>
      <c r="O584" s="8">
        <v>442</v>
      </c>
      <c r="P584" s="280"/>
      <c r="Q584" s="137">
        <f>IF(IN[[#This Row],[Sim_]]=IN[[#This Row],[Direkt alt]],1,0)</f>
        <v>0</v>
      </c>
      <c r="R584" s="10">
        <v>21</v>
      </c>
      <c r="S584" s="10">
        <f>IF(IN[[#This Row],[Sim_]]=IN[[#This Row],[Buffer]],1,0)</f>
        <v>1</v>
      </c>
      <c r="T584" s="11"/>
      <c r="U584" s="104">
        <f>'[1]🔥H'!M5</f>
        <v>0</v>
      </c>
      <c r="V584" s="29">
        <f t="shared" ref="V584:AA584" si="21">V43</f>
        <v>21</v>
      </c>
      <c r="W584" s="29">
        <f t="shared" si="21"/>
        <v>22</v>
      </c>
      <c r="X584" s="29">
        <v>22</v>
      </c>
      <c r="Y584" s="29">
        <f t="shared" si="21"/>
        <v>22</v>
      </c>
      <c r="Z584" s="29">
        <v>22</v>
      </c>
      <c r="AA584" s="29">
        <f t="shared" si="21"/>
        <v>21</v>
      </c>
      <c r="AB584" s="29">
        <v>21</v>
      </c>
      <c r="AC584" s="106">
        <v>22</v>
      </c>
      <c r="AD584">
        <v>21</v>
      </c>
      <c r="AE584">
        <v>21</v>
      </c>
      <c r="AF584">
        <v>21</v>
      </c>
      <c r="AG584">
        <v>21</v>
      </c>
      <c r="AH584">
        <v>21</v>
      </c>
      <c r="AI584">
        <v>21</v>
      </c>
      <c r="AJ584">
        <v>21</v>
      </c>
    </row>
    <row r="585" spans="1:36" ht="26.25" x14ac:dyDescent="0.25">
      <c r="A585" s="338"/>
      <c r="B585" s="338"/>
      <c r="C585" s="339" t="e">
        <f>ROWS(#REF!)-1</f>
        <v>#REF!</v>
      </c>
      <c r="D585" s="339" t="s">
        <v>293</v>
      </c>
      <c r="E585" s="338"/>
      <c r="F585" s="340"/>
      <c r="G585" s="341"/>
      <c r="H585" s="338">
        <v>0</v>
      </c>
      <c r="I585" s="338"/>
      <c r="J585" s="338"/>
      <c r="K585" s="338"/>
      <c r="L585" s="338"/>
      <c r="M585" s="338"/>
      <c r="N585" s="338"/>
      <c r="O585" s="338"/>
      <c r="P585" s="338"/>
      <c r="Q585" s="338"/>
      <c r="R585" s="338"/>
      <c r="S585" s="338"/>
      <c r="T585" s="338"/>
      <c r="U585" s="338"/>
      <c r="V585" s="342"/>
      <c r="W585" s="342"/>
      <c r="X585" s="342"/>
      <c r="Y585" s="342"/>
      <c r="Z585" s="342"/>
      <c r="AA585" s="342"/>
      <c r="AB585" s="342"/>
      <c r="AC585" s="342"/>
    </row>
    <row r="586" spans="1:36" x14ac:dyDescent="0.25">
      <c r="A586" s="343" t="s">
        <v>102</v>
      </c>
      <c r="B586" s="209" t="s">
        <v>722</v>
      </c>
      <c r="C586" s="16" t="s">
        <v>512</v>
      </c>
      <c r="D586" s="307" t="s">
        <v>596</v>
      </c>
      <c r="E586" s="17" t="s">
        <v>285</v>
      </c>
      <c r="F586" s="18"/>
      <c r="G586" s="134" t="str">
        <f ca="1">_xlfn.FORMULATEXT(IN[[#This Row],[STAGE]])</f>
        <v>='[ka_PEQ_Nachweistool.xlsb]❄️K'!B54</v>
      </c>
      <c r="H586" s="20">
        <v>2</v>
      </c>
      <c r="I586" s="344">
        <f>'[1]❄️K'!B54</f>
        <v>0</v>
      </c>
      <c r="J586" s="135">
        <f>IF(IN[[#This Row],[Sim_]]=IN[[#This Row],[STAGE]],1,0)</f>
        <v>0</v>
      </c>
      <c r="K586" s="210" t="b" cm="1">
        <f t="array" ref="K586">INDEX([1]Scale!$D$13:$D$17,K$190)</f>
        <v>0</v>
      </c>
      <c r="L586" s="130"/>
      <c r="M586" s="130">
        <f>IF(IN[[#This Row],[Sim_]]=IN[[#This Row],[Sim Var ref]],1,0)</f>
        <v>1</v>
      </c>
      <c r="N586" s="8"/>
      <c r="O586" s="8">
        <v>443</v>
      </c>
      <c r="P586" s="105"/>
      <c r="Q586" s="137">
        <f>IF(IN[[#This Row],[Sim_]]=IN[[#This Row],[Direkt alt]],1,0)</f>
        <v>1</v>
      </c>
      <c r="R586" s="10" t="b">
        <v>0</v>
      </c>
      <c r="S586" s="10">
        <f>IF(IN[[#This Row],[Sim_]]=IN[[#This Row],[Buffer]],1,0)</f>
        <v>1</v>
      </c>
      <c r="T586" s="320" t="b">
        <v>0</v>
      </c>
      <c r="U586" s="222">
        <v>0</v>
      </c>
      <c r="V586" s="131" t="b" cm="1">
        <f t="array" ref="V586">INDEX([1]Scale!$D$13:$D$17,$X$190)</f>
        <v>0</v>
      </c>
      <c r="W586" s="131" t="b" cm="1">
        <f t="array" ref="W586">INDEX([1]Scale!$D$13:$D$17,$X$190)</f>
        <v>0</v>
      </c>
      <c r="X586" s="131" t="b">
        <v>0</v>
      </c>
      <c r="Y586" s="320" t="b">
        <v>0</v>
      </c>
      <c r="Z586" s="174" t="b">
        <v>0</v>
      </c>
      <c r="AA586" s="174" t="b">
        <v>0</v>
      </c>
      <c r="AB586" s="174">
        <v>0</v>
      </c>
      <c r="AC586" s="345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>
        <v>0</v>
      </c>
      <c r="AJ586">
        <v>0</v>
      </c>
    </row>
    <row r="587" spans="1:36" x14ac:dyDescent="0.25">
      <c r="A587" s="343" t="s">
        <v>102</v>
      </c>
      <c r="B587" s="209" t="s">
        <v>723</v>
      </c>
      <c r="C587" s="16" t="s">
        <v>512</v>
      </c>
      <c r="D587" s="307" t="s">
        <v>596</v>
      </c>
      <c r="E587" s="17" t="s">
        <v>285</v>
      </c>
      <c r="F587" s="18"/>
      <c r="G587" s="134" t="str">
        <f ca="1">_xlfn.FORMULATEXT(IN[[#This Row],[STAGE]])</f>
        <v>='[ka_PEQ_Nachweistool.xlsb]❄️K'!B55</v>
      </c>
      <c r="H587" s="20">
        <v>2</v>
      </c>
      <c r="I587" s="344">
        <f>'[1]❄️K'!B55</f>
        <v>0</v>
      </c>
      <c r="J587" s="135">
        <f>IF(IN[[#This Row],[Sim_]]=IN[[#This Row],[STAGE]],1,0)</f>
        <v>0</v>
      </c>
      <c r="K587" s="210" t="b" cm="1">
        <f t="array" ref="K587">INDEX([1]Scale!$E$13:$E$17,K$190)</f>
        <v>0</v>
      </c>
      <c r="L587" s="130"/>
      <c r="M587" s="130">
        <f>IF(IN[[#This Row],[Sim_]]=IN[[#This Row],[Sim Var ref]],1,0)</f>
        <v>1</v>
      </c>
      <c r="N587" s="8"/>
      <c r="O587" s="8">
        <v>444</v>
      </c>
      <c r="P587" s="105"/>
      <c r="Q587" s="137">
        <f>IF(IN[[#This Row],[Sim_]]=IN[[#This Row],[Direkt alt]],1,0)</f>
        <v>1</v>
      </c>
      <c r="R587" s="10" t="b">
        <v>0</v>
      </c>
      <c r="S587" s="10">
        <f>IF(IN[[#This Row],[Sim_]]=IN[[#This Row],[Buffer]],1,0)</f>
        <v>1</v>
      </c>
      <c r="T587" s="320" t="b">
        <v>0</v>
      </c>
      <c r="U587" s="222">
        <v>0</v>
      </c>
      <c r="V587" s="131" t="b" cm="1">
        <f t="array" ref="V587">INDEX([1]Scale!$E$13:$E$17,V$190)</f>
        <v>0</v>
      </c>
      <c r="W587" s="131" t="b" cm="1">
        <f t="array" ref="W587">INDEX([1]Scale!$E$13:$E$17,W$190)</f>
        <v>0</v>
      </c>
      <c r="X587" s="131" t="b">
        <v>0</v>
      </c>
      <c r="Y587" s="320" t="b">
        <v>0</v>
      </c>
      <c r="Z587" s="174" t="b">
        <v>0</v>
      </c>
      <c r="AA587" s="174" t="b">
        <v>0</v>
      </c>
      <c r="AB587" s="174">
        <v>0</v>
      </c>
      <c r="AC587" s="345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>
        <v>0</v>
      </c>
      <c r="AJ587">
        <v>0</v>
      </c>
    </row>
    <row r="588" spans="1:36" x14ac:dyDescent="0.25">
      <c r="A588" s="343" t="s">
        <v>102</v>
      </c>
      <c r="B588" s="209" t="s">
        <v>724</v>
      </c>
      <c r="C588" s="16" t="s">
        <v>512</v>
      </c>
      <c r="D588" s="307" t="s">
        <v>596</v>
      </c>
      <c r="E588" s="17" t="s">
        <v>285</v>
      </c>
      <c r="F588" s="18"/>
      <c r="G588" s="134" t="str">
        <f ca="1">_xlfn.FORMULATEXT(IN[[#This Row],[STAGE]])</f>
        <v>='[ka_PEQ_Nachweistool.xlsb]❄️K'!B56</v>
      </c>
      <c r="H588" s="20">
        <v>2</v>
      </c>
      <c r="I588" s="344">
        <f>'[1]❄️K'!B56</f>
        <v>0</v>
      </c>
      <c r="J588" s="135">
        <f>IF(IN[[#This Row],[Sim_]]=IN[[#This Row],[STAGE]],1,0)</f>
        <v>0</v>
      </c>
      <c r="K588" s="210" t="b" cm="1">
        <f t="array" ref="K588">INDEX([1]Scale!$F$13:$F$17,K$190)</f>
        <v>0</v>
      </c>
      <c r="L588" s="130"/>
      <c r="M588" s="130">
        <f>IF(IN[[#This Row],[Sim_]]=IN[[#This Row],[Sim Var ref]],1,0)</f>
        <v>1</v>
      </c>
      <c r="N588" s="8"/>
      <c r="O588" s="8">
        <v>445</v>
      </c>
      <c r="P588" s="105"/>
      <c r="Q588" s="137">
        <f>IF(IN[[#This Row],[Sim_]]=IN[[#This Row],[Direkt alt]],1,0)</f>
        <v>1</v>
      </c>
      <c r="R588" s="10" t="b">
        <v>0</v>
      </c>
      <c r="S588" s="10">
        <f>IF(IN[[#This Row],[Sim_]]=IN[[#This Row],[Buffer]],1,0)</f>
        <v>1</v>
      </c>
      <c r="T588" s="320" t="b">
        <v>0</v>
      </c>
      <c r="U588" s="222">
        <v>0</v>
      </c>
      <c r="V588" s="131" t="b" cm="1">
        <f t="array" ref="V588">INDEX([1]Scale!$F$13:$F$17,V$190)</f>
        <v>0</v>
      </c>
      <c r="W588" s="131" t="b" cm="1">
        <f t="array" ref="W588">INDEX([1]Scale!$F$13:$F$17,W$190)</f>
        <v>0</v>
      </c>
      <c r="X588" s="131" t="b">
        <v>0</v>
      </c>
      <c r="Y588" s="320" t="b">
        <v>0</v>
      </c>
      <c r="Z588" s="174" t="b">
        <v>0</v>
      </c>
      <c r="AA588" s="174" t="b">
        <v>0</v>
      </c>
      <c r="AB588" s="174">
        <v>0</v>
      </c>
      <c r="AC588" s="345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>
        <v>0</v>
      </c>
      <c r="AJ588">
        <v>0</v>
      </c>
    </row>
    <row r="589" spans="1:36" x14ac:dyDescent="0.25">
      <c r="A589" s="343" t="s">
        <v>102</v>
      </c>
      <c r="B589" s="209" t="s">
        <v>725</v>
      </c>
      <c r="C589" s="16" t="s">
        <v>512</v>
      </c>
      <c r="D589" s="307" t="s">
        <v>596</v>
      </c>
      <c r="E589" s="17" t="s">
        <v>285</v>
      </c>
      <c r="F589" s="18"/>
      <c r="G589" s="134" t="str">
        <f ca="1">_xlfn.FORMULATEXT(IN[[#This Row],[STAGE]])</f>
        <v>='[ka_PEQ_Nachweistool.xlsb]❄️K'!B57</v>
      </c>
      <c r="H589" s="20">
        <v>2</v>
      </c>
      <c r="I589" s="344">
        <f>'[1]❄️K'!B57</f>
        <v>0</v>
      </c>
      <c r="J589" s="135">
        <f>IF(IN[[#This Row],[Sim_]]=IN[[#This Row],[STAGE]],1,0)</f>
        <v>0</v>
      </c>
      <c r="K589" s="210" t="b" cm="1">
        <f t="array" ref="K589">INDEX([1]Scale!$G$13:$G$17,K$190)</f>
        <v>1</v>
      </c>
      <c r="L589" s="130"/>
      <c r="M589" s="130">
        <f>IF(IN[[#This Row],[Sim_]]=IN[[#This Row],[Sim Var ref]],1,0)</f>
        <v>0</v>
      </c>
      <c r="N589" s="8"/>
      <c r="O589" s="8">
        <v>446</v>
      </c>
      <c r="P589" s="105"/>
      <c r="Q589" s="137">
        <f>IF(IN[[#This Row],[Sim_]]=IN[[#This Row],[Direkt alt]],1,0)</f>
        <v>0</v>
      </c>
      <c r="R589" s="10" t="b">
        <v>0</v>
      </c>
      <c r="S589" s="10">
        <f>IF(IN[[#This Row],[Sim_]]=IN[[#This Row],[Buffer]],1,0)</f>
        <v>0</v>
      </c>
      <c r="T589" s="320" t="b">
        <v>1</v>
      </c>
      <c r="U589" s="222">
        <v>1</v>
      </c>
      <c r="V589" s="131" t="b" cm="1">
        <f t="array" ref="V589">INDEX([1]Scale!$G$13:$G$17,V$190)</f>
        <v>1</v>
      </c>
      <c r="W589" s="131" t="b" cm="1">
        <f t="array" ref="W589">INDEX([1]Scale!$G$13:$G$17,W$190)</f>
        <v>0</v>
      </c>
      <c r="X589" s="131" t="b">
        <v>0</v>
      </c>
      <c r="Y589" s="320" t="b">
        <v>1</v>
      </c>
      <c r="Z589" s="174" t="b">
        <v>0</v>
      </c>
      <c r="AA589" s="174" t="b">
        <v>1</v>
      </c>
      <c r="AB589" s="174">
        <v>1</v>
      </c>
      <c r="AC589" s="345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>
        <v>1</v>
      </c>
      <c r="AJ589">
        <v>1</v>
      </c>
    </row>
    <row r="590" spans="1:36" x14ac:dyDescent="0.25">
      <c r="A590" s="343" t="s">
        <v>102</v>
      </c>
      <c r="B590" s="209" t="s">
        <v>726</v>
      </c>
      <c r="C590" s="16" t="s">
        <v>512</v>
      </c>
      <c r="D590" s="307" t="s">
        <v>596</v>
      </c>
      <c r="E590" s="17" t="s">
        <v>285</v>
      </c>
      <c r="F590" s="18"/>
      <c r="G590" s="134" t="str">
        <f ca="1">_xlfn.FORMULATEXT(IN[[#This Row],[STAGE]])</f>
        <v>='[ka_PEQ_Nachweistool.xlsb]❄️K'!B58</v>
      </c>
      <c r="H590" s="20">
        <v>2</v>
      </c>
      <c r="I590" s="344">
        <f>'[1]❄️K'!B58</f>
        <v>0</v>
      </c>
      <c r="J590" s="135">
        <f>IF(IN[[#This Row],[Sim_]]=IN[[#This Row],[STAGE]],1,0)</f>
        <v>0</v>
      </c>
      <c r="K590" s="210" t="b" cm="1">
        <f t="array" ref="K590">INDEX([1]Scale!$H$13:$H$17,K$190)</f>
        <v>1</v>
      </c>
      <c r="L590" s="130"/>
      <c r="M590" s="130">
        <f>IF(IN[[#This Row],[Sim_]]=IN[[#This Row],[Sim Var ref]],1,0)</f>
        <v>0</v>
      </c>
      <c r="N590" s="8"/>
      <c r="O590" s="8">
        <v>447</v>
      </c>
      <c r="P590" s="105"/>
      <c r="Q590" s="137">
        <f>IF(IN[[#This Row],[Sim_]]=IN[[#This Row],[Direkt alt]],1,0)</f>
        <v>0</v>
      </c>
      <c r="R590" s="10" t="b">
        <v>1</v>
      </c>
      <c r="S590" s="10">
        <f>IF(IN[[#This Row],[Sim_]]=IN[[#This Row],[Buffer]],1,0)</f>
        <v>1</v>
      </c>
      <c r="T590" s="320" t="b">
        <v>1</v>
      </c>
      <c r="U590" s="222">
        <v>1</v>
      </c>
      <c r="V590" s="131" t="b" cm="1">
        <f t="array" ref="V590">INDEX([1]Scale!$H$13:$H$17,V$190)</f>
        <v>1</v>
      </c>
      <c r="W590" s="131" t="b" cm="1">
        <f t="array" ref="W590">INDEX([1]Scale!$H$13:$H$17,W$190)</f>
        <v>1</v>
      </c>
      <c r="X590" s="131" t="b">
        <v>1</v>
      </c>
      <c r="Y590" s="320" t="b">
        <v>1</v>
      </c>
      <c r="Z590" s="174" t="b">
        <v>1</v>
      </c>
      <c r="AA590" s="174" t="b">
        <v>1</v>
      </c>
      <c r="AB590" s="174">
        <v>1</v>
      </c>
      <c r="AC590" s="345" t="b">
        <v>1</v>
      </c>
      <c r="AD590" t="b">
        <v>1</v>
      </c>
      <c r="AE590" t="b">
        <v>1</v>
      </c>
      <c r="AF590" t="b">
        <v>1</v>
      </c>
      <c r="AG590" t="b">
        <v>1</v>
      </c>
      <c r="AH590" t="b">
        <v>1</v>
      </c>
      <c r="AI590">
        <v>1</v>
      </c>
      <c r="AJ590">
        <v>1</v>
      </c>
    </row>
    <row r="591" spans="1:36" x14ac:dyDescent="0.25">
      <c r="A591" s="343" t="s">
        <v>102</v>
      </c>
      <c r="B591" s="209" t="s">
        <v>727</v>
      </c>
      <c r="C591" s="16" t="s">
        <v>512</v>
      </c>
      <c r="D591" s="307" t="s">
        <v>596</v>
      </c>
      <c r="E591" s="17" t="s">
        <v>285</v>
      </c>
      <c r="F591" s="18"/>
      <c r="G591" s="134" t="str">
        <f ca="1">_xlfn.FORMULATEXT(IN[[#This Row],[STAGE]])</f>
        <v>='[ka_PEQ_Nachweistool.xlsb]❄️K'!B59</v>
      </c>
      <c r="H591" s="20">
        <v>2</v>
      </c>
      <c r="I591" s="344">
        <f>'[1]❄️K'!B59</f>
        <v>0</v>
      </c>
      <c r="J591" s="135">
        <f>IF(IN[[#This Row],[Sim_]]=IN[[#This Row],[STAGE]],1,0)</f>
        <v>0</v>
      </c>
      <c r="K591" s="210" t="b" cm="1">
        <f t="array" ref="K591">INDEX([1]Scale!$I$13:$I$17,K$190)</f>
        <v>1</v>
      </c>
      <c r="L591" s="130"/>
      <c r="M591" s="130">
        <f>IF(IN[[#This Row],[Sim_]]=IN[[#This Row],[Sim Var ref]],1,0)</f>
        <v>0</v>
      </c>
      <c r="N591" s="8"/>
      <c r="O591" s="8">
        <v>448</v>
      </c>
      <c r="P591" s="105"/>
      <c r="Q591" s="137">
        <f>IF(IN[[#This Row],[Sim_]]=IN[[#This Row],[Direkt alt]],1,0)</f>
        <v>0</v>
      </c>
      <c r="R591" s="10" t="b">
        <v>1</v>
      </c>
      <c r="S591" s="10">
        <f>IF(IN[[#This Row],[Sim_]]=IN[[#This Row],[Buffer]],1,0)</f>
        <v>1</v>
      </c>
      <c r="T591" s="320" t="b">
        <v>1</v>
      </c>
      <c r="U591" s="222">
        <v>1</v>
      </c>
      <c r="V591" s="131" t="b" cm="1">
        <f t="array" ref="V591">INDEX([1]Scale!$I$13:$I$17,V$190)</f>
        <v>1</v>
      </c>
      <c r="W591" s="131" t="b" cm="1">
        <f t="array" ref="W591">INDEX([1]Scale!$I$13:$I$17,W$190)</f>
        <v>1</v>
      </c>
      <c r="X591" s="131" t="b">
        <v>1</v>
      </c>
      <c r="Y591" s="320" t="b">
        <v>1</v>
      </c>
      <c r="Z591" s="174" t="b">
        <v>1</v>
      </c>
      <c r="AA591" s="174" t="b">
        <v>1</v>
      </c>
      <c r="AB591" s="174">
        <v>1</v>
      </c>
      <c r="AC591" s="345" t="b">
        <v>1</v>
      </c>
      <c r="AD591" t="b">
        <v>1</v>
      </c>
      <c r="AE591" t="b">
        <v>1</v>
      </c>
      <c r="AF591" t="b">
        <v>1</v>
      </c>
      <c r="AG591" t="b">
        <v>1</v>
      </c>
      <c r="AH591" t="b">
        <v>1</v>
      </c>
      <c r="AI591">
        <v>1</v>
      </c>
      <c r="AJ591">
        <v>1</v>
      </c>
    </row>
    <row r="592" spans="1:36" x14ac:dyDescent="0.25">
      <c r="A592" s="343" t="s">
        <v>102</v>
      </c>
      <c r="B592" s="209" t="s">
        <v>728</v>
      </c>
      <c r="C592" s="16" t="s">
        <v>512</v>
      </c>
      <c r="D592" s="307" t="s">
        <v>596</v>
      </c>
      <c r="E592" s="17" t="s">
        <v>285</v>
      </c>
      <c r="F592" s="18"/>
      <c r="G592" s="134" t="str">
        <f ca="1">_xlfn.FORMULATEXT(IN[[#This Row],[STAGE]])</f>
        <v>='[ka_PEQ_Nachweistool.xlsb]❄️K'!B60</v>
      </c>
      <c r="H592" s="20">
        <v>2</v>
      </c>
      <c r="I592" s="344">
        <f>'[1]❄️K'!B60</f>
        <v>0</v>
      </c>
      <c r="J592" s="135">
        <f>IF(IN[[#This Row],[Sim_]]=IN[[#This Row],[STAGE]],1,0)</f>
        <v>0</v>
      </c>
      <c r="K592" s="210" t="b" cm="1">
        <f t="array" ref="K592">INDEX([1]Scale!$J$13:$J$17,K$190)</f>
        <v>1</v>
      </c>
      <c r="L592" s="130"/>
      <c r="M592" s="130">
        <f>IF(IN[[#This Row],[Sim_]]=IN[[#This Row],[Sim Var ref]],1,0)</f>
        <v>0</v>
      </c>
      <c r="N592" s="8"/>
      <c r="O592" s="8">
        <v>449</v>
      </c>
      <c r="P592" s="105"/>
      <c r="Q592" s="137">
        <f>IF(IN[[#This Row],[Sim_]]=IN[[#This Row],[Direkt alt]],1,0)</f>
        <v>0</v>
      </c>
      <c r="R592" s="10" t="b">
        <v>1</v>
      </c>
      <c r="S592" s="10">
        <f>IF(IN[[#This Row],[Sim_]]=IN[[#This Row],[Buffer]],1,0)</f>
        <v>1</v>
      </c>
      <c r="T592" s="320" t="b">
        <v>1</v>
      </c>
      <c r="U592" s="222">
        <v>1</v>
      </c>
      <c r="V592" s="131" t="b" cm="1">
        <f t="array" ref="V592">INDEX([1]Scale!$J$13:$J$17,V$190)</f>
        <v>1</v>
      </c>
      <c r="W592" s="131" t="b" cm="1">
        <f t="array" ref="W592">INDEX([1]Scale!$J$13:$J$17,W$190)</f>
        <v>1</v>
      </c>
      <c r="X592" s="131" t="b">
        <v>1</v>
      </c>
      <c r="Y592" s="320" t="b">
        <v>1</v>
      </c>
      <c r="Z592" s="174" t="b">
        <v>1</v>
      </c>
      <c r="AA592" s="174" t="b">
        <v>1</v>
      </c>
      <c r="AB592" s="174">
        <v>1</v>
      </c>
      <c r="AC592" s="345" t="b">
        <v>1</v>
      </c>
      <c r="AD592" t="b">
        <v>1</v>
      </c>
      <c r="AE592" t="b">
        <v>1</v>
      </c>
      <c r="AF592" t="b">
        <v>1</v>
      </c>
      <c r="AG592" t="b">
        <v>1</v>
      </c>
      <c r="AH592" t="b">
        <v>1</v>
      </c>
      <c r="AI592">
        <v>1</v>
      </c>
      <c r="AJ592">
        <v>1</v>
      </c>
    </row>
    <row r="593" spans="1:36" x14ac:dyDescent="0.25">
      <c r="A593" s="343" t="s">
        <v>102</v>
      </c>
      <c r="B593" s="209" t="s">
        <v>729</v>
      </c>
      <c r="C593" s="16" t="s">
        <v>512</v>
      </c>
      <c r="D593" s="307" t="s">
        <v>596</v>
      </c>
      <c r="E593" s="17" t="s">
        <v>285</v>
      </c>
      <c r="F593" s="18"/>
      <c r="G593" s="134" t="str">
        <f ca="1">_xlfn.FORMULATEXT(IN[[#This Row],[STAGE]])</f>
        <v>='[ka_PEQ_Nachweistool.xlsb]❄️K'!B61</v>
      </c>
      <c r="H593" s="20">
        <v>2</v>
      </c>
      <c r="I593" s="344">
        <f>'[1]❄️K'!B61</f>
        <v>0</v>
      </c>
      <c r="J593" s="135">
        <f>IF(IN[[#This Row],[Sim_]]=IN[[#This Row],[STAGE]],1,0)</f>
        <v>0</v>
      </c>
      <c r="K593" s="210" t="b" cm="1">
        <f t="array" ref="K593">INDEX([1]Scale!$K$13:$K$17,K$190)</f>
        <v>1</v>
      </c>
      <c r="L593" s="130"/>
      <c r="M593" s="130">
        <f>IF(IN[[#This Row],[Sim_]]=IN[[#This Row],[Sim Var ref]],1,0)</f>
        <v>0</v>
      </c>
      <c r="N593" s="8"/>
      <c r="O593" s="8">
        <v>450</v>
      </c>
      <c r="P593" s="105"/>
      <c r="Q593" s="137">
        <f>IF(IN[[#This Row],[Sim_]]=IN[[#This Row],[Direkt alt]],1,0)</f>
        <v>0</v>
      </c>
      <c r="R593" s="10" t="b">
        <v>1</v>
      </c>
      <c r="S593" s="10">
        <f>IF(IN[[#This Row],[Sim_]]=IN[[#This Row],[Buffer]],1,0)</f>
        <v>1</v>
      </c>
      <c r="T593" s="320" t="b">
        <v>1</v>
      </c>
      <c r="U593" s="222">
        <v>1</v>
      </c>
      <c r="V593" s="131" t="b" cm="1">
        <f t="array" ref="V593">INDEX([1]Scale!$K$13:$K$17,V$190)</f>
        <v>1</v>
      </c>
      <c r="W593" s="131" t="b" cm="1">
        <f t="array" ref="W593">INDEX([1]Scale!$K$13:$K$17,W$190)</f>
        <v>1</v>
      </c>
      <c r="X593" s="131" t="b">
        <v>1</v>
      </c>
      <c r="Y593" s="320" t="b">
        <v>1</v>
      </c>
      <c r="Z593" s="174" t="b">
        <v>1</v>
      </c>
      <c r="AA593" s="174" t="b">
        <v>1</v>
      </c>
      <c r="AB593" s="174">
        <v>1</v>
      </c>
      <c r="AC593" s="345" t="b">
        <v>1</v>
      </c>
      <c r="AD593" t="b">
        <v>1</v>
      </c>
      <c r="AE593" t="b">
        <v>1</v>
      </c>
      <c r="AF593" t="b">
        <v>1</v>
      </c>
      <c r="AG593" t="b">
        <v>1</v>
      </c>
      <c r="AH593" t="b">
        <v>1</v>
      </c>
      <c r="AI593">
        <v>1</v>
      </c>
      <c r="AJ593">
        <v>1</v>
      </c>
    </row>
    <row r="594" spans="1:36" x14ac:dyDescent="0.25">
      <c r="A594" s="343" t="s">
        <v>102</v>
      </c>
      <c r="B594" s="209" t="s">
        <v>730</v>
      </c>
      <c r="C594" s="16" t="s">
        <v>512</v>
      </c>
      <c r="D594" s="307" t="s">
        <v>596</v>
      </c>
      <c r="E594" s="17" t="s">
        <v>285</v>
      </c>
      <c r="F594" s="18"/>
      <c r="G594" s="134" t="str">
        <f ca="1">_xlfn.FORMULATEXT(IN[[#This Row],[STAGE]])</f>
        <v>='[ka_PEQ_Nachweistool.xlsb]❄️K'!B62</v>
      </c>
      <c r="H594" s="20">
        <v>2</v>
      </c>
      <c r="I594" s="344">
        <f>'[1]❄️K'!B62</f>
        <v>0</v>
      </c>
      <c r="J594" s="135">
        <f>IF(IN[[#This Row],[Sim_]]=IN[[#This Row],[STAGE]],1,0)</f>
        <v>0</v>
      </c>
      <c r="K594" s="210" t="b" cm="1">
        <f t="array" ref="K594">INDEX([1]Scale!$L$13:$L$17,K$190)</f>
        <v>1</v>
      </c>
      <c r="L594" s="130"/>
      <c r="M594" s="130">
        <f>IF(IN[[#This Row],[Sim_]]=IN[[#This Row],[Sim Var ref]],1,0)</f>
        <v>0</v>
      </c>
      <c r="N594" s="8"/>
      <c r="O594" s="8">
        <v>451</v>
      </c>
      <c r="P594" s="105"/>
      <c r="Q594" s="137">
        <f>IF(IN[[#This Row],[Sim_]]=IN[[#This Row],[Direkt alt]],1,0)</f>
        <v>0</v>
      </c>
      <c r="R594" s="10" t="b">
        <v>0</v>
      </c>
      <c r="S594" s="10">
        <f>IF(IN[[#This Row],[Sim_]]=IN[[#This Row],[Buffer]],1,0)</f>
        <v>0</v>
      </c>
      <c r="T594" s="320" t="b">
        <v>1</v>
      </c>
      <c r="U594" s="222">
        <v>1</v>
      </c>
      <c r="V594" s="131" t="b" cm="1">
        <f t="array" ref="V594">INDEX([1]Scale!$L$13:$L$17,V$190)</f>
        <v>1</v>
      </c>
      <c r="W594" s="131" t="b" cm="1">
        <f t="array" ref="W594">INDEX([1]Scale!$L$13:$L$17,W$190)</f>
        <v>1</v>
      </c>
      <c r="X594" s="131" t="b">
        <v>1</v>
      </c>
      <c r="Y594" s="320" t="b">
        <v>1</v>
      </c>
      <c r="Z594" s="174" t="b">
        <v>1</v>
      </c>
      <c r="AA594" s="174" t="b">
        <v>1</v>
      </c>
      <c r="AB594" s="174">
        <v>1</v>
      </c>
      <c r="AC594" s="345" t="b">
        <v>1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>
        <v>1</v>
      </c>
      <c r="AJ594">
        <v>1</v>
      </c>
    </row>
    <row r="595" spans="1:36" x14ac:dyDescent="0.25">
      <c r="A595" s="343" t="s">
        <v>102</v>
      </c>
      <c r="B595" s="209" t="s">
        <v>731</v>
      </c>
      <c r="C595" s="16" t="s">
        <v>512</v>
      </c>
      <c r="D595" s="307" t="s">
        <v>596</v>
      </c>
      <c r="E595" s="17" t="s">
        <v>285</v>
      </c>
      <c r="F595" s="18"/>
      <c r="G595" s="134" t="str">
        <f ca="1">_xlfn.FORMULATEXT(IN[[#This Row],[STAGE]])</f>
        <v>='[ka_PEQ_Nachweistool.xlsb]❄️K'!B63</v>
      </c>
      <c r="H595" s="20">
        <v>2</v>
      </c>
      <c r="I595" s="344">
        <f>'[1]❄️K'!B63</f>
        <v>0</v>
      </c>
      <c r="J595" s="135">
        <f>IF(IN[[#This Row],[Sim_]]=IN[[#This Row],[STAGE]],1,0)</f>
        <v>0</v>
      </c>
      <c r="K595" s="210" t="b" cm="1">
        <f t="array" ref="K595">INDEX([1]Scale!$M$13:$M$17,K$190)</f>
        <v>1</v>
      </c>
      <c r="L595" s="130"/>
      <c r="M595" s="130">
        <f>IF(IN[[#This Row],[Sim_]]=IN[[#This Row],[Sim Var ref]],1,0)</f>
        <v>0</v>
      </c>
      <c r="N595" s="8"/>
      <c r="O595" s="8">
        <v>452</v>
      </c>
      <c r="P595" s="105"/>
      <c r="Q595" s="137">
        <f>IF(IN[[#This Row],[Sim_]]=IN[[#This Row],[Direkt alt]],1,0)</f>
        <v>0</v>
      </c>
      <c r="R595" s="10" t="b">
        <v>0</v>
      </c>
      <c r="S595" s="10">
        <f>IF(IN[[#This Row],[Sim_]]=IN[[#This Row],[Buffer]],1,0)</f>
        <v>0</v>
      </c>
      <c r="T595" s="320" t="b">
        <v>1</v>
      </c>
      <c r="U595" s="222">
        <v>1</v>
      </c>
      <c r="V595" s="131" t="b" cm="1">
        <f t="array" ref="V595">INDEX([1]Scale!$M$13:$M$17,V$190)</f>
        <v>1</v>
      </c>
      <c r="W595" s="131" t="b" cm="1">
        <f t="array" ref="W595">INDEX([1]Scale!$M$13:$M$17,W$190)</f>
        <v>0</v>
      </c>
      <c r="X595" s="131" t="b">
        <v>0</v>
      </c>
      <c r="Y595" s="320" t="b">
        <v>1</v>
      </c>
      <c r="Z595" s="174" t="b">
        <v>0</v>
      </c>
      <c r="AA595" s="174" t="b">
        <v>1</v>
      </c>
      <c r="AB595" s="174">
        <v>1</v>
      </c>
      <c r="AC595" s="34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>
        <v>1</v>
      </c>
      <c r="AJ595">
        <v>1</v>
      </c>
    </row>
    <row r="596" spans="1:36" x14ac:dyDescent="0.25">
      <c r="A596" s="343" t="s">
        <v>102</v>
      </c>
      <c r="B596" s="209" t="s">
        <v>732</v>
      </c>
      <c r="C596" s="16" t="s">
        <v>512</v>
      </c>
      <c r="D596" s="307" t="s">
        <v>596</v>
      </c>
      <c r="E596" s="17" t="s">
        <v>285</v>
      </c>
      <c r="F596" s="18"/>
      <c r="G596" s="134" t="str">
        <f ca="1">_xlfn.FORMULATEXT(IN[[#This Row],[STAGE]])</f>
        <v>='[ka_PEQ_Nachweistool.xlsb]❄️K'!B64</v>
      </c>
      <c r="H596" s="20">
        <v>2</v>
      </c>
      <c r="I596" s="344">
        <f>'[1]❄️K'!B64</f>
        <v>0</v>
      </c>
      <c r="J596" s="135">
        <f>IF(IN[[#This Row],[Sim_]]=IN[[#This Row],[STAGE]],1,0)</f>
        <v>0</v>
      </c>
      <c r="K596" s="210" t="b" cm="1">
        <f t="array" ref="K596">INDEX([1]Scale!$N$13:$N$17,K$190)</f>
        <v>0</v>
      </c>
      <c r="L596" s="130"/>
      <c r="M596" s="130">
        <f>IF(IN[[#This Row],[Sim_]]=IN[[#This Row],[Sim Var ref]],1,0)</f>
        <v>1</v>
      </c>
      <c r="N596" s="8"/>
      <c r="O596" s="8">
        <v>453</v>
      </c>
      <c r="P596" s="105"/>
      <c r="Q596" s="137">
        <f>IF(IN[[#This Row],[Sim_]]=IN[[#This Row],[Direkt alt]],1,0)</f>
        <v>1</v>
      </c>
      <c r="R596" s="10" t="b">
        <v>0</v>
      </c>
      <c r="S596" s="10">
        <f>IF(IN[[#This Row],[Sim_]]=IN[[#This Row],[Buffer]],1,0)</f>
        <v>1</v>
      </c>
      <c r="T596" s="320" t="b">
        <v>0</v>
      </c>
      <c r="U596" s="222">
        <v>0</v>
      </c>
      <c r="V596" s="131" t="b" cm="1">
        <f t="array" ref="V596">INDEX([1]Scale!$N$13:$N$17,V$190)</f>
        <v>0</v>
      </c>
      <c r="W596" s="131" t="b" cm="1">
        <f t="array" ref="W596">INDEX([1]Scale!$N$13:$N$17,W$190)</f>
        <v>0</v>
      </c>
      <c r="X596" s="131" t="b">
        <v>0</v>
      </c>
      <c r="Y596" s="320" t="b">
        <v>0</v>
      </c>
      <c r="Z596" s="174" t="b">
        <v>0</v>
      </c>
      <c r="AA596" s="174" t="b">
        <v>0</v>
      </c>
      <c r="AB596" s="174">
        <v>0</v>
      </c>
      <c r="AC596" s="345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>
        <v>0</v>
      </c>
      <c r="AJ596">
        <v>0</v>
      </c>
    </row>
    <row r="597" spans="1:36" x14ac:dyDescent="0.25">
      <c r="A597" s="343" t="s">
        <v>102</v>
      </c>
      <c r="B597" s="209" t="s">
        <v>733</v>
      </c>
      <c r="C597" s="16" t="s">
        <v>512</v>
      </c>
      <c r="D597" s="307" t="s">
        <v>596</v>
      </c>
      <c r="E597" s="17" t="s">
        <v>285</v>
      </c>
      <c r="F597" s="18"/>
      <c r="G597" s="134" t="str">
        <f ca="1">_xlfn.FORMULATEXT(IN[[#This Row],[STAGE]])</f>
        <v>='[ka_PEQ_Nachweistool.xlsb]❄️K'!B65</v>
      </c>
      <c r="H597" s="20">
        <v>2</v>
      </c>
      <c r="I597" s="344">
        <f>'[1]❄️K'!B65</f>
        <v>0</v>
      </c>
      <c r="J597" s="172">
        <f>IF(IN[[#This Row],[Sim_]]=IN[[#This Row],[STAGE]],1,0)</f>
        <v>0</v>
      </c>
      <c r="K597" s="210" t="b" cm="1">
        <f t="array" ref="K597">INDEX([1]Scale!$O$13:$O$17,K$190)</f>
        <v>0</v>
      </c>
      <c r="L597" s="130"/>
      <c r="M597" s="130">
        <f>IF(IN[[#This Row],[Sim_]]=IN[[#This Row],[Sim Var ref]],1,0)</f>
        <v>1</v>
      </c>
      <c r="N597" s="8"/>
      <c r="O597" s="8">
        <v>454</v>
      </c>
      <c r="P597" s="105"/>
      <c r="Q597" s="137">
        <f>IF(IN[[#This Row],[Sim_]]=IN[[#This Row],[Direkt alt]],1,0)</f>
        <v>1</v>
      </c>
      <c r="R597" s="10" t="b">
        <v>0</v>
      </c>
      <c r="S597" s="10">
        <f>IF(IN[[#This Row],[Sim_]]=IN[[#This Row],[Buffer]],1,0)</f>
        <v>1</v>
      </c>
      <c r="T597" s="320" t="b">
        <v>0</v>
      </c>
      <c r="U597" s="346">
        <v>0</v>
      </c>
      <c r="V597" s="131" t="b" cm="1">
        <f t="array" ref="V597">INDEX([1]Scale!$O$13:$O$17,V$190)</f>
        <v>0</v>
      </c>
      <c r="W597" s="131" t="b" cm="1">
        <f t="array" ref="W597">INDEX([1]Scale!$O$13:$O$17,W$190)</f>
        <v>0</v>
      </c>
      <c r="X597" s="131" t="b">
        <v>0</v>
      </c>
      <c r="Y597" s="320" t="b">
        <v>0</v>
      </c>
      <c r="Z597" s="174" t="b">
        <v>0</v>
      </c>
      <c r="AA597" s="174" t="b">
        <v>0</v>
      </c>
      <c r="AB597" s="174">
        <v>0</v>
      </c>
      <c r="AC597" s="345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>
        <v>0</v>
      </c>
      <c r="AJ597">
        <v>0</v>
      </c>
    </row>
    <row r="598" spans="1:36" x14ac:dyDescent="0.25">
      <c r="A598" s="343" t="s">
        <v>102</v>
      </c>
      <c r="B598" s="15" t="s">
        <v>734</v>
      </c>
      <c r="C598" s="16"/>
      <c r="D598" s="16"/>
      <c r="E598" s="17" t="s">
        <v>285</v>
      </c>
      <c r="F598" s="18"/>
      <c r="G598" s="134" t="str">
        <f ca="1">_xlfn.FORMULATEXT(IN[[#This Row],[STAGE]])</f>
        <v>='[ka_PEQ_Nachweistool.xlsb]❄️K'!B8</v>
      </c>
      <c r="H598" s="20">
        <v>2</v>
      </c>
      <c r="I598" s="104">
        <f>'[1]❄️K'!B8</f>
        <v>0</v>
      </c>
      <c r="J598" s="135">
        <f>IF(IN[[#This Row],[Sim_]]=IN[[#This Row],[STAGE]],1,0)</f>
        <v>0</v>
      </c>
      <c r="K598" s="197">
        <f t="shared" ref="K598:K604" si="22">K$142*1</f>
        <v>1</v>
      </c>
      <c r="L598" s="130"/>
      <c r="M598" s="130">
        <f>IF(IN[[#This Row],[Sim_]]=IN[[#This Row],[Sim Var ref]],1,0)</f>
        <v>0</v>
      </c>
      <c r="N598" s="8"/>
      <c r="O598" s="8">
        <v>455</v>
      </c>
      <c r="P598" s="280"/>
      <c r="Q598" s="137">
        <f>IF(IN[[#This Row],[Sim_]]=IN[[#This Row],[Direkt alt]],1,0)</f>
        <v>0</v>
      </c>
      <c r="R598" s="10">
        <v>0</v>
      </c>
      <c r="S598" s="10">
        <f>IF(IN[[#This Row],[Sim_]]=IN[[#This Row],[Buffer]],1,0)</f>
        <v>0</v>
      </c>
      <c r="T598" s="333"/>
      <c r="U598" s="104">
        <f>'[1]❄️K'!M8</f>
        <v>0</v>
      </c>
      <c r="V598" s="321">
        <f t="shared" ref="V598:W604" si="23">V$142*1</f>
        <v>1</v>
      </c>
      <c r="W598" s="321">
        <f t="shared" si="23"/>
        <v>1</v>
      </c>
      <c r="X598" s="321">
        <v>0</v>
      </c>
      <c r="Y598" s="333"/>
      <c r="Z598" s="322">
        <v>0</v>
      </c>
      <c r="AA598" s="322">
        <v>0</v>
      </c>
      <c r="AB598" s="322">
        <v>0</v>
      </c>
      <c r="AC598" s="106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s="343" t="s">
        <v>102</v>
      </c>
      <c r="B599" s="15" t="s">
        <v>735</v>
      </c>
      <c r="C599" s="16"/>
      <c r="D599" s="16"/>
      <c r="E599" s="17" t="s">
        <v>285</v>
      </c>
      <c r="F599" s="18"/>
      <c r="G599" s="134" t="str">
        <f ca="1">_xlfn.FORMULATEXT(IN[[#This Row],[STAGE]])</f>
        <v>='[ka_PEQ_Nachweistool.xlsb]❄️K'!B9</v>
      </c>
      <c r="H599" s="20">
        <v>2</v>
      </c>
      <c r="I599" s="104">
        <f>'[1]❄️K'!B9</f>
        <v>0</v>
      </c>
      <c r="J599" s="135">
        <f>IF(IN[[#This Row],[Sim_]]=IN[[#This Row],[STAGE]],1,0)</f>
        <v>0</v>
      </c>
      <c r="K599" s="197">
        <f t="shared" si="22"/>
        <v>1</v>
      </c>
      <c r="L599" s="130"/>
      <c r="M599" s="130">
        <f>IF(IN[[#This Row],[Sim_]]=IN[[#This Row],[Sim Var ref]],1,0)</f>
        <v>0</v>
      </c>
      <c r="N599" s="8"/>
      <c r="O599" s="8">
        <v>456</v>
      </c>
      <c r="P599" s="280"/>
      <c r="Q599" s="137">
        <f>IF(IN[[#This Row],[Sim_]]=IN[[#This Row],[Direkt alt]],1,0)</f>
        <v>0</v>
      </c>
      <c r="R599" s="10">
        <v>1</v>
      </c>
      <c r="S599" s="10">
        <f>IF(IN[[#This Row],[Sim_]]=IN[[#This Row],[Buffer]],1,0)</f>
        <v>1</v>
      </c>
      <c r="T599" s="11"/>
      <c r="U599" s="104">
        <f>'[1]❄️K'!M9</f>
        <v>0</v>
      </c>
      <c r="V599" s="321">
        <f t="shared" si="23"/>
        <v>1</v>
      </c>
      <c r="W599" s="321">
        <f t="shared" si="23"/>
        <v>1</v>
      </c>
      <c r="X599" s="321">
        <v>1</v>
      </c>
      <c r="Y599" s="11"/>
      <c r="Z599" s="322">
        <v>1</v>
      </c>
      <c r="AA599" s="322">
        <v>0.1</v>
      </c>
      <c r="AB599" s="322">
        <v>0</v>
      </c>
      <c r="AC599" s="106">
        <v>1</v>
      </c>
      <c r="AD599">
        <v>0</v>
      </c>
      <c r="AE599" s="146">
        <v>0</v>
      </c>
      <c r="AF599" s="146">
        <v>1</v>
      </c>
      <c r="AG599">
        <v>1</v>
      </c>
      <c r="AH599">
        <v>1</v>
      </c>
      <c r="AI599">
        <v>0</v>
      </c>
      <c r="AJ599">
        <v>0</v>
      </c>
    </row>
    <row r="600" spans="1:36" x14ac:dyDescent="0.25">
      <c r="A600" s="343" t="s">
        <v>102</v>
      </c>
      <c r="B600" s="15" t="s">
        <v>736</v>
      </c>
      <c r="C600" s="16"/>
      <c r="D600" s="16"/>
      <c r="E600" s="17" t="s">
        <v>285</v>
      </c>
      <c r="F600" s="18"/>
      <c r="G600" s="134" t="str">
        <f ca="1">_xlfn.FORMULATEXT(IN[[#This Row],[STAGE]])</f>
        <v>='[ka_PEQ_Nachweistool.xlsb]❄️K'!B11</v>
      </c>
      <c r="H600" s="20">
        <v>2</v>
      </c>
      <c r="I600" s="104">
        <f>'[1]❄️K'!B11</f>
        <v>0</v>
      </c>
      <c r="J600" s="135">
        <f>IF(IN[[#This Row],[Sim_]]=IN[[#This Row],[STAGE]],1,0)</f>
        <v>0</v>
      </c>
      <c r="K600" s="197">
        <f t="shared" si="22"/>
        <v>1</v>
      </c>
      <c r="L600" s="130"/>
      <c r="M600" s="130">
        <f>IF(IN[[#This Row],[Sim_]]=IN[[#This Row],[Sim Var ref]],1,0)</f>
        <v>0</v>
      </c>
      <c r="N600" s="8"/>
      <c r="O600" s="8">
        <v>457</v>
      </c>
      <c r="P600" s="280"/>
      <c r="Q600" s="137">
        <f>IF(IN[[#This Row],[Sim_]]=IN[[#This Row],[Direkt alt]],1,0)</f>
        <v>0</v>
      </c>
      <c r="R600" s="10">
        <v>0</v>
      </c>
      <c r="S600" s="10">
        <f>IF(IN[[#This Row],[Sim_]]=IN[[#This Row],[Buffer]],1,0)</f>
        <v>0</v>
      </c>
      <c r="T600" s="11"/>
      <c r="U600" s="104">
        <f>'[1]❄️K'!M11</f>
        <v>0</v>
      </c>
      <c r="V600" s="321">
        <f t="shared" si="23"/>
        <v>1</v>
      </c>
      <c r="W600" s="321">
        <f t="shared" si="23"/>
        <v>1</v>
      </c>
      <c r="X600" s="321">
        <v>1</v>
      </c>
      <c r="Y600" s="11"/>
      <c r="Z600" s="322">
        <v>1</v>
      </c>
      <c r="AA600" s="322">
        <v>1</v>
      </c>
      <c r="AB600" s="322">
        <v>0</v>
      </c>
      <c r="AC600" s="106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s="343" t="s">
        <v>102</v>
      </c>
      <c r="B601" s="15" t="s">
        <v>737</v>
      </c>
      <c r="C601" s="16"/>
      <c r="D601" s="16"/>
      <c r="E601" s="17" t="s">
        <v>285</v>
      </c>
      <c r="F601" s="18"/>
      <c r="G601" s="134" t="str">
        <f ca="1">_xlfn.FORMULATEXT(IN[[#This Row],[STAGE]])</f>
        <v>='[ka_PEQ_Nachweistool.xlsb]❄️K'!B10</v>
      </c>
      <c r="H601" s="20">
        <v>2</v>
      </c>
      <c r="I601" s="104">
        <f>'[1]❄️K'!B10</f>
        <v>0</v>
      </c>
      <c r="J601" s="135">
        <f>IF(IN[[#This Row],[Sim_]]=IN[[#This Row],[STAGE]],1,0)</f>
        <v>0</v>
      </c>
      <c r="K601" s="197">
        <f t="shared" si="22"/>
        <v>1</v>
      </c>
      <c r="L601" s="130"/>
      <c r="M601" s="130">
        <f>IF(IN[[#This Row],[Sim_]]=IN[[#This Row],[Sim Var ref]],1,0)</f>
        <v>0</v>
      </c>
      <c r="N601" s="8"/>
      <c r="O601" s="8">
        <v>458</v>
      </c>
      <c r="P601" s="280"/>
      <c r="Q601" s="137">
        <f>IF(IN[[#This Row],[Sim_]]=IN[[#This Row],[Direkt alt]],1,0)</f>
        <v>0</v>
      </c>
      <c r="R601" s="10">
        <v>0</v>
      </c>
      <c r="S601" s="10">
        <f>IF(IN[[#This Row],[Sim_]]=IN[[#This Row],[Buffer]],1,0)</f>
        <v>0</v>
      </c>
      <c r="T601" s="11"/>
      <c r="U601" s="104">
        <f>'[1]❄️K'!M10</f>
        <v>0</v>
      </c>
      <c r="V601" s="321">
        <f t="shared" si="23"/>
        <v>1</v>
      </c>
      <c r="W601" s="321">
        <f t="shared" si="23"/>
        <v>1</v>
      </c>
      <c r="X601" s="321">
        <v>1</v>
      </c>
      <c r="Y601" s="11"/>
      <c r="Z601" s="322">
        <v>1</v>
      </c>
      <c r="AA601" s="322">
        <v>1</v>
      </c>
      <c r="AB601" s="322">
        <v>0</v>
      </c>
      <c r="AC601" s="106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s="343" t="s">
        <v>102</v>
      </c>
      <c r="B602" s="15" t="s">
        <v>738</v>
      </c>
      <c r="C602" s="16"/>
      <c r="D602" s="16"/>
      <c r="E602" s="17" t="s">
        <v>285</v>
      </c>
      <c r="F602" s="18"/>
      <c r="G602" s="134" t="str">
        <f ca="1">_xlfn.FORMULATEXT(IN[[#This Row],[STAGE]])</f>
        <v>='[ka_PEQ_Nachweistool.xlsb]❄️K'!B12</v>
      </c>
      <c r="H602" s="20">
        <v>2</v>
      </c>
      <c r="I602" s="104">
        <f>'[1]❄️K'!B12</f>
        <v>0</v>
      </c>
      <c r="J602" s="135">
        <f>IF(IN[[#This Row],[Sim_]]=IN[[#This Row],[STAGE]],1,0)</f>
        <v>0</v>
      </c>
      <c r="K602" s="197">
        <f t="shared" si="22"/>
        <v>1</v>
      </c>
      <c r="L602" s="130"/>
      <c r="M602" s="130">
        <f>IF(IN[[#This Row],[Sim_]]=IN[[#This Row],[Sim Var ref]],1,0)</f>
        <v>0</v>
      </c>
      <c r="N602" s="8"/>
      <c r="O602" s="8">
        <v>459</v>
      </c>
      <c r="P602" s="280"/>
      <c r="Q602" s="137">
        <f>IF(IN[[#This Row],[Sim_]]=IN[[#This Row],[Direkt alt]],1,0)</f>
        <v>0</v>
      </c>
      <c r="R602" s="10">
        <v>0</v>
      </c>
      <c r="S602" s="10">
        <f>IF(IN[[#This Row],[Sim_]]=IN[[#This Row],[Buffer]],1,0)</f>
        <v>0</v>
      </c>
      <c r="T602" s="11"/>
      <c r="U602" s="104">
        <f>'[1]❄️K'!M12</f>
        <v>0</v>
      </c>
      <c r="V602" s="321">
        <f t="shared" si="23"/>
        <v>1</v>
      </c>
      <c r="W602" s="321">
        <f t="shared" si="23"/>
        <v>1</v>
      </c>
      <c r="X602" s="321">
        <v>1</v>
      </c>
      <c r="Y602" s="11"/>
      <c r="Z602" s="322">
        <v>1</v>
      </c>
      <c r="AA602" s="322">
        <v>1</v>
      </c>
      <c r="AB602" s="322">
        <v>0</v>
      </c>
      <c r="AC602" s="106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</row>
    <row r="603" spans="1:36" x14ac:dyDescent="0.25">
      <c r="A603" s="343" t="s">
        <v>102</v>
      </c>
      <c r="B603" s="15" t="s">
        <v>739</v>
      </c>
      <c r="C603" s="16"/>
      <c r="D603" s="16"/>
      <c r="E603" s="17" t="s">
        <v>285</v>
      </c>
      <c r="F603" s="18"/>
      <c r="G603" s="134" t="str">
        <f ca="1">_xlfn.FORMULATEXT(IN[[#This Row],[STAGE]])</f>
        <v>='[ka_PEQ_Nachweistool.xlsb]❄️K'!B13</v>
      </c>
      <c r="H603" s="20">
        <v>2</v>
      </c>
      <c r="I603" s="104">
        <f>'[1]❄️K'!B13</f>
        <v>0</v>
      </c>
      <c r="J603" s="135">
        <f>IF(IN[[#This Row],[Sim_]]=IN[[#This Row],[STAGE]],1,0)</f>
        <v>0</v>
      </c>
      <c r="K603" s="197">
        <f t="shared" si="22"/>
        <v>1</v>
      </c>
      <c r="L603" s="130"/>
      <c r="M603" s="130">
        <f>IF(IN[[#This Row],[Sim_]]=IN[[#This Row],[Sim Var ref]],1,0)</f>
        <v>0</v>
      </c>
      <c r="N603" s="8"/>
      <c r="O603" s="8">
        <v>460</v>
      </c>
      <c r="P603" s="280"/>
      <c r="Q603" s="137">
        <f>IF(IN[[#This Row],[Sim_]]=IN[[#This Row],[Direkt alt]],1,0)</f>
        <v>0</v>
      </c>
      <c r="R603" s="10">
        <v>0</v>
      </c>
      <c r="S603" s="10">
        <f>IF(IN[[#This Row],[Sim_]]=IN[[#This Row],[Buffer]],1,0)</f>
        <v>0</v>
      </c>
      <c r="T603" s="11"/>
      <c r="U603" s="104">
        <f>'[1]❄️K'!M13</f>
        <v>0</v>
      </c>
      <c r="V603" s="321">
        <f t="shared" si="23"/>
        <v>1</v>
      </c>
      <c r="W603" s="321">
        <f t="shared" si="23"/>
        <v>1</v>
      </c>
      <c r="X603" s="321">
        <v>1</v>
      </c>
      <c r="Y603" s="11"/>
      <c r="Z603" s="322">
        <v>1</v>
      </c>
      <c r="AA603" s="322">
        <v>1</v>
      </c>
      <c r="AB603" s="322">
        <v>0</v>
      </c>
      <c r="AC603" s="106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</row>
    <row r="604" spans="1:36" x14ac:dyDescent="0.25">
      <c r="A604" s="343" t="s">
        <v>102</v>
      </c>
      <c r="B604" s="15" t="s">
        <v>740</v>
      </c>
      <c r="C604" s="16"/>
      <c r="D604" s="16"/>
      <c r="E604" s="17" t="s">
        <v>285</v>
      </c>
      <c r="F604" s="18"/>
      <c r="G604" s="134" t="str">
        <f ca="1">_xlfn.FORMULATEXT(IN[[#This Row],[STAGE]])</f>
        <v>='[ka_PEQ_Nachweistool.xlsb]❄️K'!B14</v>
      </c>
      <c r="H604" s="20">
        <v>2</v>
      </c>
      <c r="I604" s="104">
        <f>'[1]❄️K'!B14</f>
        <v>0</v>
      </c>
      <c r="J604" s="135">
        <f>IF(IN[[#This Row],[Sim_]]=IN[[#This Row],[STAGE]],1,0)</f>
        <v>0</v>
      </c>
      <c r="K604" s="197">
        <f t="shared" si="22"/>
        <v>1</v>
      </c>
      <c r="L604" s="130"/>
      <c r="M604" s="130">
        <f>IF(IN[[#This Row],[Sim_]]=IN[[#This Row],[Sim Var ref]],1,0)</f>
        <v>0</v>
      </c>
      <c r="N604" s="8"/>
      <c r="O604" s="8">
        <v>461</v>
      </c>
      <c r="P604" s="280"/>
      <c r="Q604" s="137">
        <f>IF(IN[[#This Row],[Sim_]]=IN[[#This Row],[Direkt alt]],1,0)</f>
        <v>0</v>
      </c>
      <c r="R604" s="10">
        <v>0</v>
      </c>
      <c r="S604" s="10">
        <f>IF(IN[[#This Row],[Sim_]]=IN[[#This Row],[Buffer]],1,0)</f>
        <v>0</v>
      </c>
      <c r="T604" s="11"/>
      <c r="U604" s="104" t="e">
        <f>#REF!</f>
        <v>#REF!</v>
      </c>
      <c r="V604" s="321">
        <f t="shared" si="23"/>
        <v>1</v>
      </c>
      <c r="W604" s="321">
        <f t="shared" si="23"/>
        <v>1</v>
      </c>
      <c r="X604" s="321">
        <v>1</v>
      </c>
      <c r="Y604" s="11"/>
      <c r="Z604" s="322">
        <v>1</v>
      </c>
      <c r="AA604" s="322">
        <v>1</v>
      </c>
      <c r="AB604" s="322">
        <v>0</v>
      </c>
      <c r="AC604" s="106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s="343" t="s">
        <v>102</v>
      </c>
      <c r="B605" s="15" t="s">
        <v>741</v>
      </c>
      <c r="C605" s="16"/>
      <c r="D605" s="16"/>
      <c r="E605" s="17" t="s">
        <v>285</v>
      </c>
      <c r="F605" s="18"/>
      <c r="G605" s="134" t="str">
        <f ca="1">_xlfn.FORMULATEXT(IN[[#This Row],[STAGE]])</f>
        <v>=1-I598</v>
      </c>
      <c r="H605" s="20">
        <v>0</v>
      </c>
      <c r="I605" s="104">
        <f>1-I598</f>
        <v>1</v>
      </c>
      <c r="J605" s="135">
        <f>IF(IN[[#This Row],[Sim_]]=IN[[#This Row],[STAGE]],1,0)</f>
        <v>0</v>
      </c>
      <c r="K605" s="347"/>
      <c r="L605" s="130"/>
      <c r="M605" s="130">
        <f>IF(IN[[#This Row],[Sim_]]=IN[[#This Row],[Sim Var ref]],1,0)</f>
        <v>1</v>
      </c>
      <c r="N605" s="8"/>
      <c r="O605" s="8"/>
      <c r="P605" s="280"/>
      <c r="Q605" s="137">
        <f>IF(IN[[#This Row],[Sim_]]=IN[[#This Row],[Direkt alt]],1,0)</f>
        <v>1</v>
      </c>
      <c r="R605" s="10">
        <v>1</v>
      </c>
      <c r="S605" s="10">
        <f>IF(IN[[#This Row],[Sim_]]=IN[[#This Row],[Buffer]],1,0)</f>
        <v>0</v>
      </c>
      <c r="T605" s="11"/>
      <c r="U605" s="145"/>
      <c r="V605" s="321"/>
      <c r="W605" s="321"/>
      <c r="X605" s="321">
        <v>1</v>
      </c>
      <c r="Y605" s="11"/>
      <c r="Z605" s="322">
        <v>1</v>
      </c>
      <c r="AA605" s="322"/>
      <c r="AB605" s="322"/>
      <c r="AC605" s="106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25">
      <c r="A606" s="343" t="s">
        <v>102</v>
      </c>
      <c r="B606" s="15" t="s">
        <v>742</v>
      </c>
      <c r="C606" s="16"/>
      <c r="D606" s="16"/>
      <c r="E606" s="17" t="s">
        <v>285</v>
      </c>
      <c r="F606" s="18"/>
      <c r="G606" s="134" t="str">
        <f ca="1">_xlfn.FORMULATEXT(IN[[#This Row],[STAGE]])</f>
        <v>=1-I599</v>
      </c>
      <c r="H606" s="20">
        <v>0</v>
      </c>
      <c r="I606" s="104">
        <f t="shared" ref="I606:I611" si="24">1-I599</f>
        <v>1</v>
      </c>
      <c r="J606" s="135">
        <f>IF(IN[[#This Row],[Sim_]]=IN[[#This Row],[STAGE]],1,0)</f>
        <v>0</v>
      </c>
      <c r="K606" s="347"/>
      <c r="L606" s="130"/>
      <c r="M606" s="130">
        <f>IF(IN[[#This Row],[Sim_]]=IN[[#This Row],[Sim Var ref]],1,0)</f>
        <v>1</v>
      </c>
      <c r="N606" s="8"/>
      <c r="O606" s="8"/>
      <c r="P606" s="280"/>
      <c r="Q606" s="137">
        <f>IF(IN[[#This Row],[Sim_]]=IN[[#This Row],[Direkt alt]],1,0)</f>
        <v>1</v>
      </c>
      <c r="R606" s="10">
        <v>0</v>
      </c>
      <c r="S606" s="10">
        <f>IF(IN[[#This Row],[Sim_]]=IN[[#This Row],[Buffer]],1,0)</f>
        <v>1</v>
      </c>
      <c r="T606" s="11"/>
      <c r="U606" s="145"/>
      <c r="V606" s="321"/>
      <c r="W606" s="321"/>
      <c r="X606" s="321">
        <v>0</v>
      </c>
      <c r="Y606" s="11"/>
      <c r="Z606" s="322">
        <v>0</v>
      </c>
      <c r="AA606" s="322"/>
      <c r="AB606" s="322"/>
      <c r="AC606" s="1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1</v>
      </c>
    </row>
    <row r="607" spans="1:36" x14ac:dyDescent="0.25">
      <c r="A607" s="343" t="s">
        <v>102</v>
      </c>
      <c r="B607" s="15" t="s">
        <v>743</v>
      </c>
      <c r="C607" s="16"/>
      <c r="D607" s="16"/>
      <c r="E607" s="17" t="s">
        <v>285</v>
      </c>
      <c r="F607" s="18"/>
      <c r="G607" s="134" t="str">
        <f ca="1">_xlfn.FORMULATEXT(IN[[#This Row],[STAGE]])</f>
        <v>=1-I600</v>
      </c>
      <c r="H607" s="20">
        <v>0</v>
      </c>
      <c r="I607" s="104">
        <f t="shared" si="24"/>
        <v>1</v>
      </c>
      <c r="J607" s="135">
        <f>IF(IN[[#This Row],[Sim_]]=IN[[#This Row],[STAGE]],1,0)</f>
        <v>0</v>
      </c>
      <c r="K607" s="347"/>
      <c r="L607" s="130"/>
      <c r="M607" s="130">
        <f>IF(IN[[#This Row],[Sim_]]=IN[[#This Row],[Sim Var ref]],1,0)</f>
        <v>1</v>
      </c>
      <c r="N607" s="8"/>
      <c r="O607" s="8"/>
      <c r="P607" s="280"/>
      <c r="Q607" s="137">
        <f>IF(IN[[#This Row],[Sim_]]=IN[[#This Row],[Direkt alt]],1,0)</f>
        <v>1</v>
      </c>
      <c r="R607" s="10">
        <v>1</v>
      </c>
      <c r="S607" s="10">
        <f>IF(IN[[#This Row],[Sim_]]=IN[[#This Row],[Buffer]],1,0)</f>
        <v>0</v>
      </c>
      <c r="T607" s="11"/>
      <c r="U607" s="145"/>
      <c r="V607" s="321"/>
      <c r="W607" s="321"/>
      <c r="X607" s="321">
        <v>0</v>
      </c>
      <c r="Y607" s="11"/>
      <c r="Z607" s="322">
        <v>0</v>
      </c>
      <c r="AA607" s="322"/>
      <c r="AB607" s="322"/>
      <c r="AC607" s="106">
        <v>0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25">
      <c r="A608" s="343" t="s">
        <v>102</v>
      </c>
      <c r="B608" s="15" t="s">
        <v>744</v>
      </c>
      <c r="C608" s="16"/>
      <c r="D608" s="16"/>
      <c r="E608" s="17" t="s">
        <v>285</v>
      </c>
      <c r="F608" s="18"/>
      <c r="G608" s="134" t="str">
        <f ca="1">_xlfn.FORMULATEXT(IN[[#This Row],[STAGE]])</f>
        <v>=1-I601</v>
      </c>
      <c r="H608" s="20">
        <v>0</v>
      </c>
      <c r="I608" s="104">
        <f t="shared" si="24"/>
        <v>1</v>
      </c>
      <c r="J608" s="135">
        <f>IF(IN[[#This Row],[Sim_]]=IN[[#This Row],[STAGE]],1,0)</f>
        <v>0</v>
      </c>
      <c r="K608" s="347"/>
      <c r="L608" s="130"/>
      <c r="M608" s="130">
        <f>IF(IN[[#This Row],[Sim_]]=IN[[#This Row],[Sim Var ref]],1,0)</f>
        <v>1</v>
      </c>
      <c r="N608" s="8"/>
      <c r="O608" s="8"/>
      <c r="P608" s="280"/>
      <c r="Q608" s="137">
        <f>IF(IN[[#This Row],[Sim_]]=IN[[#This Row],[Direkt alt]],1,0)</f>
        <v>1</v>
      </c>
      <c r="R608" s="10">
        <v>1</v>
      </c>
      <c r="S608" s="10">
        <f>IF(IN[[#This Row],[Sim_]]=IN[[#This Row],[Buffer]],1,0)</f>
        <v>0</v>
      </c>
      <c r="T608" s="11"/>
      <c r="U608" s="145"/>
      <c r="V608" s="321"/>
      <c r="W608" s="321"/>
      <c r="X608" s="321">
        <v>0</v>
      </c>
      <c r="Y608" s="11"/>
      <c r="Z608" s="322">
        <v>0</v>
      </c>
      <c r="AA608" s="322"/>
      <c r="AB608" s="322"/>
      <c r="AC608" s="106">
        <v>0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25">
      <c r="A609" s="343" t="s">
        <v>102</v>
      </c>
      <c r="B609" s="15" t="s">
        <v>745</v>
      </c>
      <c r="C609" s="16"/>
      <c r="D609" s="16"/>
      <c r="E609" s="17" t="s">
        <v>285</v>
      </c>
      <c r="F609" s="18"/>
      <c r="G609" s="134" t="str">
        <f ca="1">_xlfn.FORMULATEXT(IN[[#This Row],[STAGE]])</f>
        <v>=1-I602</v>
      </c>
      <c r="H609" s="20">
        <v>0</v>
      </c>
      <c r="I609" s="104">
        <f t="shared" si="24"/>
        <v>1</v>
      </c>
      <c r="J609" s="135">
        <f>IF(IN[[#This Row],[Sim_]]=IN[[#This Row],[STAGE]],1,0)</f>
        <v>0</v>
      </c>
      <c r="K609" s="347"/>
      <c r="L609" s="130"/>
      <c r="M609" s="130">
        <f>IF(IN[[#This Row],[Sim_]]=IN[[#This Row],[Sim Var ref]],1,0)</f>
        <v>1</v>
      </c>
      <c r="N609" s="8"/>
      <c r="O609" s="8"/>
      <c r="P609" s="280"/>
      <c r="Q609" s="137">
        <f>IF(IN[[#This Row],[Sim_]]=IN[[#This Row],[Direkt alt]],1,0)</f>
        <v>1</v>
      </c>
      <c r="R609" s="10">
        <v>1</v>
      </c>
      <c r="S609" s="10">
        <f>IF(IN[[#This Row],[Sim_]]=IN[[#This Row],[Buffer]],1,0)</f>
        <v>0</v>
      </c>
      <c r="T609" s="11"/>
      <c r="U609" s="145"/>
      <c r="V609" s="321"/>
      <c r="W609" s="321"/>
      <c r="X609" s="321">
        <v>0</v>
      </c>
      <c r="Y609" s="11"/>
      <c r="Z609" s="322">
        <v>0</v>
      </c>
      <c r="AA609" s="322"/>
      <c r="AB609" s="322"/>
      <c r="AC609" s="106">
        <v>0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</row>
    <row r="610" spans="1:36" x14ac:dyDescent="0.25">
      <c r="A610" s="343" t="s">
        <v>102</v>
      </c>
      <c r="B610" s="15" t="s">
        <v>746</v>
      </c>
      <c r="C610" s="16"/>
      <c r="D610" s="16"/>
      <c r="E610" s="17" t="s">
        <v>285</v>
      </c>
      <c r="F610" s="18"/>
      <c r="G610" s="134" t="str">
        <f ca="1">_xlfn.FORMULATEXT(IN[[#This Row],[STAGE]])</f>
        <v>=1-I603</v>
      </c>
      <c r="H610" s="20">
        <v>0</v>
      </c>
      <c r="I610" s="104">
        <f t="shared" si="24"/>
        <v>1</v>
      </c>
      <c r="J610" s="135">
        <f>IF(IN[[#This Row],[Sim_]]=IN[[#This Row],[STAGE]],1,0)</f>
        <v>0</v>
      </c>
      <c r="K610" s="347"/>
      <c r="L610" s="130"/>
      <c r="M610" s="130">
        <f>IF(IN[[#This Row],[Sim_]]=IN[[#This Row],[Sim Var ref]],1,0)</f>
        <v>1</v>
      </c>
      <c r="N610" s="8"/>
      <c r="O610" s="8"/>
      <c r="P610" s="280"/>
      <c r="Q610" s="137">
        <f>IF(IN[[#This Row],[Sim_]]=IN[[#This Row],[Direkt alt]],1,0)</f>
        <v>1</v>
      </c>
      <c r="R610" s="10">
        <v>1</v>
      </c>
      <c r="S610" s="10">
        <f>IF(IN[[#This Row],[Sim_]]=IN[[#This Row],[Buffer]],1,0)</f>
        <v>0</v>
      </c>
      <c r="T610" s="11"/>
      <c r="U610" s="145"/>
      <c r="V610" s="321"/>
      <c r="W610" s="321"/>
      <c r="X610" s="321">
        <v>0</v>
      </c>
      <c r="Y610" s="11"/>
      <c r="Z610" s="322">
        <v>0</v>
      </c>
      <c r="AA610" s="322"/>
      <c r="AB610" s="322"/>
      <c r="AC610" s="106">
        <v>0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1</v>
      </c>
      <c r="AJ610">
        <v>1</v>
      </c>
    </row>
    <row r="611" spans="1:36" x14ac:dyDescent="0.25">
      <c r="A611" s="343" t="s">
        <v>102</v>
      </c>
      <c r="B611" s="15" t="s">
        <v>747</v>
      </c>
      <c r="C611" s="16"/>
      <c r="D611" s="16"/>
      <c r="E611" s="17" t="s">
        <v>285</v>
      </c>
      <c r="F611" s="18"/>
      <c r="G611" s="134" t="str">
        <f ca="1">_xlfn.FORMULATEXT(IN[[#This Row],[STAGE]])</f>
        <v>=1-I604</v>
      </c>
      <c r="H611" s="20">
        <v>0</v>
      </c>
      <c r="I611" s="104">
        <f t="shared" si="24"/>
        <v>1</v>
      </c>
      <c r="J611" s="135">
        <f>IF(IN[[#This Row],[Sim_]]=IN[[#This Row],[STAGE]],1,0)</f>
        <v>0</v>
      </c>
      <c r="K611" s="347"/>
      <c r="L611" s="130"/>
      <c r="M611" s="130">
        <f>IF(IN[[#This Row],[Sim_]]=IN[[#This Row],[Sim Var ref]],1,0)</f>
        <v>1</v>
      </c>
      <c r="N611" s="8"/>
      <c r="O611" s="8"/>
      <c r="P611" s="280"/>
      <c r="Q611" s="137">
        <f>IF(IN[[#This Row],[Sim_]]=IN[[#This Row],[Direkt alt]],1,0)</f>
        <v>1</v>
      </c>
      <c r="R611" s="10">
        <v>1</v>
      </c>
      <c r="S611" s="10">
        <f>IF(IN[[#This Row],[Sim_]]=IN[[#This Row],[Buffer]],1,0)</f>
        <v>0</v>
      </c>
      <c r="T611" s="11"/>
      <c r="U611" s="145"/>
      <c r="V611" s="321"/>
      <c r="W611" s="321"/>
      <c r="X611" s="321">
        <v>0</v>
      </c>
      <c r="Y611" s="11"/>
      <c r="Z611" s="322">
        <v>0</v>
      </c>
      <c r="AA611" s="322"/>
      <c r="AB611" s="322"/>
      <c r="AC611" s="106">
        <v>0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25">
      <c r="A612" s="343" t="s">
        <v>102</v>
      </c>
      <c r="B612" s="15" t="s">
        <v>748</v>
      </c>
      <c r="C612" s="16"/>
      <c r="D612" s="16"/>
      <c r="E612" s="17" t="s">
        <v>78</v>
      </c>
      <c r="F612" s="18" t="s">
        <v>749</v>
      </c>
      <c r="G612" s="134" t="str">
        <f ca="1">_xlfn.FORMULATEXT(IN[[#This Row],[STAGE]])</f>
        <v>=SUMMENPRODUKT(I598:I604;I243:I249)</v>
      </c>
      <c r="H612" s="20">
        <v>0</v>
      </c>
      <c r="I612" s="104">
        <f>SUMPRODUCT(I598:I604,I243:I249)</f>
        <v>0</v>
      </c>
      <c r="J612" s="135">
        <f>IF(IN[[#This Row],[Sim_]]=IN[[#This Row],[STAGE]],1,0)</f>
        <v>1</v>
      </c>
      <c r="K612" s="279"/>
      <c r="L612" s="130"/>
      <c r="M612" s="130">
        <f>IF(IN[[#This Row],[Sim_]]=IN[[#This Row],[Sim Var ref]],1,0)</f>
        <v>1</v>
      </c>
      <c r="N612" s="8"/>
      <c r="O612" s="8">
        <v>462</v>
      </c>
      <c r="P612" s="280"/>
      <c r="Q612" s="137">
        <f>IF(IN[[#This Row],[Sim_]]=IN[[#This Row],[Direkt alt]],1,0)</f>
        <v>1</v>
      </c>
      <c r="R612" s="10">
        <v>13609.6</v>
      </c>
      <c r="S612" s="10">
        <f>IF(IN[[#This Row],[Sim_]]=IN[[#This Row],[Buffer]],1,0)</f>
        <v>0</v>
      </c>
      <c r="T612" s="11"/>
      <c r="U612" s="104" t="e">
        <f>SUMPRODUCT(U598:U604,U243:U249)</f>
        <v>#REF!</v>
      </c>
      <c r="V612" s="281"/>
      <c r="X612">
        <v>3840</v>
      </c>
      <c r="Y612" s="11"/>
      <c r="Z612" s="177">
        <v>3840</v>
      </c>
      <c r="AA612" s="177">
        <v>26804.799999999999</v>
      </c>
      <c r="AB612" s="177">
        <v>0</v>
      </c>
      <c r="AC612" s="106">
        <v>3840</v>
      </c>
      <c r="AD612">
        <v>0</v>
      </c>
      <c r="AE612">
        <v>0</v>
      </c>
      <c r="AF612">
        <v>13609.6</v>
      </c>
      <c r="AG612">
        <v>13609.6</v>
      </c>
      <c r="AH612">
        <v>13609.6</v>
      </c>
      <c r="AI612">
        <v>0</v>
      </c>
      <c r="AJ612">
        <v>0</v>
      </c>
    </row>
    <row r="613" spans="1:36" x14ac:dyDescent="0.25">
      <c r="A613" s="343" t="s">
        <v>102</v>
      </c>
      <c r="B613" s="15" t="s">
        <v>750</v>
      </c>
      <c r="C613" s="16"/>
      <c r="D613" s="16"/>
      <c r="E613" s="17" t="s">
        <v>78</v>
      </c>
      <c r="F613" s="18" t="s">
        <v>751</v>
      </c>
      <c r="G613" s="134" t="str">
        <f ca="1">_xlfn.FORMULATEXT(IN[[#This Row],[STAGE]])</f>
        <v>=NFA_cooled/NFA_total</v>
      </c>
      <c r="H613" s="20">
        <v>0</v>
      </c>
      <c r="I613" s="104" t="e">
        <f>NFA_cooled/NFA_total</f>
        <v>#DIV/0!</v>
      </c>
      <c r="J613" s="135" t="e">
        <f>IF(IN[[#This Row],[Sim_]]=IN[[#This Row],[STAGE]],1,0)</f>
        <v>#DIV/0!</v>
      </c>
      <c r="K613" s="279"/>
      <c r="L613" s="130"/>
      <c r="M613" s="130">
        <f>IF(IN[[#This Row],[Sim_]]=IN[[#This Row],[Sim Var ref]],1,0)</f>
        <v>1</v>
      </c>
      <c r="N613" s="8"/>
      <c r="O613" s="8">
        <v>463</v>
      </c>
      <c r="P613" s="280"/>
      <c r="Q613" s="137">
        <f>IF(IN[[#This Row],[Sim_]]=IN[[#This Row],[Direkt alt]],1,0)</f>
        <v>1</v>
      </c>
      <c r="R613" s="10">
        <v>9.4253484918999181E-2</v>
      </c>
      <c r="S613" s="10">
        <f>IF(IN[[#This Row],[Sim_]]=IN[[#This Row],[Buffer]],1,0)</f>
        <v>0</v>
      </c>
      <c r="T613" s="11"/>
      <c r="U613" s="104" t="e">
        <f>NFA_cooled/NFA_total</f>
        <v>#DIV/0!</v>
      </c>
      <c r="V613" s="281"/>
      <c r="X613">
        <v>0.5</v>
      </c>
      <c r="Y613" s="11"/>
      <c r="Z613" s="177">
        <v>0.5</v>
      </c>
      <c r="AA613" s="177">
        <v>1</v>
      </c>
      <c r="AB613" s="177">
        <v>0</v>
      </c>
      <c r="AC613" s="106">
        <v>0.5</v>
      </c>
      <c r="AD613">
        <v>0</v>
      </c>
      <c r="AE613">
        <v>0</v>
      </c>
      <c r="AF613">
        <v>9.4253484918999181E-2</v>
      </c>
      <c r="AG613">
        <v>9.4253484918999181E-2</v>
      </c>
      <c r="AH613">
        <v>9.4253484918999181E-2</v>
      </c>
      <c r="AI613">
        <v>0</v>
      </c>
      <c r="AJ613">
        <v>0</v>
      </c>
    </row>
    <row r="614" spans="1:36" x14ac:dyDescent="0.25">
      <c r="A614" s="343" t="s">
        <v>102</v>
      </c>
      <c r="B614" s="15" t="s">
        <v>752</v>
      </c>
      <c r="C614" s="16"/>
      <c r="D614" s="16"/>
      <c r="E614" s="17" t="s">
        <v>78</v>
      </c>
      <c r="F614" s="18" t="s">
        <v>753</v>
      </c>
      <c r="G614" s="134" t="str">
        <f ca="1">_xlfn.FORMULATEXT(IN[[#This Row],[STAGE]])</f>
        <v>=1-I613</v>
      </c>
      <c r="H614" s="20">
        <v>0</v>
      </c>
      <c r="I614" s="104" t="e">
        <f>1-I613</f>
        <v>#DIV/0!</v>
      </c>
      <c r="J614" s="135" t="e">
        <f>IF(IN[[#This Row],[Sim_]]=IN[[#This Row],[STAGE]],1,0)</f>
        <v>#DIV/0!</v>
      </c>
      <c r="K614" s="279"/>
      <c r="L614" s="130"/>
      <c r="M614" s="130">
        <f>IF(IN[[#This Row],[Sim_]]=IN[[#This Row],[Sim Var ref]],1,0)</f>
        <v>1</v>
      </c>
      <c r="N614" s="8"/>
      <c r="O614" s="8">
        <v>464</v>
      </c>
      <c r="P614" s="280"/>
      <c r="Q614" s="137">
        <f>IF(IN[[#This Row],[Sim_]]=IN[[#This Row],[Direkt alt]],1,0)</f>
        <v>1</v>
      </c>
      <c r="R614" s="10">
        <v>0.90574651508100079</v>
      </c>
      <c r="S614" s="10">
        <f>IF(IN[[#This Row],[Sim_]]=IN[[#This Row],[Buffer]],1,0)</f>
        <v>0</v>
      </c>
      <c r="T614" s="11"/>
      <c r="U614" s="104" t="e">
        <f>1-U613</f>
        <v>#DIV/0!</v>
      </c>
      <c r="V614" s="281"/>
      <c r="X614">
        <v>0.5</v>
      </c>
      <c r="Y614" s="11"/>
      <c r="Z614" s="177">
        <v>0.5</v>
      </c>
      <c r="AA614" s="177">
        <v>0</v>
      </c>
      <c r="AB614" s="177">
        <v>1</v>
      </c>
      <c r="AC614" s="106">
        <v>0.5</v>
      </c>
      <c r="AD614">
        <v>1</v>
      </c>
      <c r="AE614">
        <v>1</v>
      </c>
      <c r="AF614">
        <v>0.90574651508100079</v>
      </c>
      <c r="AG614">
        <v>0.90574651508100079</v>
      </c>
      <c r="AH614">
        <v>0.90574651508100079</v>
      </c>
      <c r="AI614">
        <v>1</v>
      </c>
      <c r="AJ614">
        <v>1</v>
      </c>
    </row>
    <row r="615" spans="1:36" x14ac:dyDescent="0.25">
      <c r="A615" s="343" t="s">
        <v>102</v>
      </c>
      <c r="B615" s="15" t="s">
        <v>754</v>
      </c>
      <c r="C615" s="16" t="s">
        <v>658</v>
      </c>
      <c r="D615" s="16" t="s">
        <v>659</v>
      </c>
      <c r="E615" s="17" t="s">
        <v>285</v>
      </c>
      <c r="F615" s="18" t="s">
        <v>755</v>
      </c>
      <c r="G615" s="134" t="str">
        <f ca="1">_xlfn.FORMULATEXT(IN[[#This Row],[STAGE]])</f>
        <v>='[ka_PEQ_Nachweistool.xlsb]❄️K'!B50</v>
      </c>
      <c r="H615" s="20">
        <v>2</v>
      </c>
      <c r="I615" s="348">
        <f>'[1]❄️K'!B50</f>
        <v>0</v>
      </c>
      <c r="J615" s="135">
        <f>IF(IN[[#This Row],[Sim_]]=IN[[#This Row],[STAGE]],1,0)</f>
        <v>0</v>
      </c>
      <c r="K615" s="197">
        <f>K57</f>
        <v>25.331283949143437</v>
      </c>
      <c r="L615" s="130"/>
      <c r="M615" s="130">
        <f>IF(IN[[#This Row],[Sim_]]=IN[[#This Row],[Sim Var ref]],1,0)</f>
        <v>0</v>
      </c>
      <c r="N615" s="8"/>
      <c r="O615" s="8">
        <v>465</v>
      </c>
      <c r="P615" s="280"/>
      <c r="Q615" s="137">
        <f>IF(IN[[#This Row],[Sim_]]=IN[[#This Row],[Direkt alt]],1,0)</f>
        <v>0</v>
      </c>
      <c r="R615" s="10">
        <v>50</v>
      </c>
      <c r="S615" s="10">
        <f>IF(IN[[#This Row],[Sim_]]=IN[[#This Row],[Buffer]],1,0)</f>
        <v>0</v>
      </c>
      <c r="T615" s="11"/>
      <c r="U615" s="349" t="e">
        <f>#REF!</f>
        <v>#REF!</v>
      </c>
      <c r="V615" s="321">
        <f>V57</f>
        <v>25.331283949143437</v>
      </c>
      <c r="W615" s="321">
        <f>W57</f>
        <v>10</v>
      </c>
      <c r="X615" s="321">
        <v>50</v>
      </c>
      <c r="Y615" s="11"/>
      <c r="Z615" s="321">
        <v>50</v>
      </c>
      <c r="AA615" s="321">
        <v>25.331283949143437</v>
      </c>
      <c r="AB615" s="321">
        <v>50</v>
      </c>
      <c r="AC615" s="350">
        <v>50</v>
      </c>
      <c r="AD615">
        <v>50</v>
      </c>
      <c r="AE615">
        <v>50</v>
      </c>
      <c r="AF615">
        <v>50</v>
      </c>
      <c r="AG615">
        <v>50</v>
      </c>
      <c r="AH615">
        <v>50</v>
      </c>
      <c r="AI615">
        <v>50</v>
      </c>
      <c r="AJ615">
        <v>50</v>
      </c>
    </row>
    <row r="616" spans="1:36" x14ac:dyDescent="0.25">
      <c r="A616" s="343" t="s">
        <v>102</v>
      </c>
      <c r="B616" s="15" t="s">
        <v>756</v>
      </c>
      <c r="C616" s="16" t="s">
        <v>662</v>
      </c>
      <c r="D616" s="16" t="s">
        <v>659</v>
      </c>
      <c r="E616" s="17" t="s">
        <v>78</v>
      </c>
      <c r="F616" s="18" t="s">
        <v>757</v>
      </c>
      <c r="G616" s="134" t="str">
        <f ca="1">_xlfn.FORMULATEXT(IN[[#This Row],[STAGE]])</f>
        <v>=QCmax_room_m2*NFA_cooled/1000000</v>
      </c>
      <c r="H616" s="20">
        <v>0</v>
      </c>
      <c r="I616" s="222">
        <f>QCmax_room_m2*NFA_cooled/1000000</f>
        <v>0</v>
      </c>
      <c r="J616" s="135">
        <f>IF(IN[[#This Row],[Sim_]]=IN[[#This Row],[STAGE]],1,0)</f>
        <v>1</v>
      </c>
      <c r="K616" s="197"/>
      <c r="L616" s="130"/>
      <c r="M616" s="130">
        <f>IF(IN[[#This Row],[Sim_]]=IN[[#This Row],[Sim Var ref]],1,0)</f>
        <v>1</v>
      </c>
      <c r="N616" s="8"/>
      <c r="O616" s="8">
        <v>466</v>
      </c>
      <c r="P616" s="280"/>
      <c r="Q616" s="137">
        <f>IF(IN[[#This Row],[Sim_]]=IN[[#This Row],[Direkt alt]],1,0)</f>
        <v>1</v>
      </c>
      <c r="R616" s="10">
        <v>0.68047999999999997</v>
      </c>
      <c r="S616" s="10">
        <f>IF(IN[[#This Row],[Sim_]]=IN[[#This Row],[Buffer]],1,0)</f>
        <v>0</v>
      </c>
      <c r="T616" s="11"/>
      <c r="U616" s="222">
        <f>QCmax_room_m2*NFA_cooled/1000000</f>
        <v>0</v>
      </c>
      <c r="V616" s="321"/>
      <c r="W616" s="321"/>
      <c r="X616" s="321">
        <v>0.192</v>
      </c>
      <c r="Y616" s="11"/>
      <c r="Z616" s="321">
        <v>0.192</v>
      </c>
      <c r="AA616" s="321"/>
      <c r="AB616" s="321">
        <v>0</v>
      </c>
      <c r="AC616" s="224">
        <v>0.192</v>
      </c>
      <c r="AD616">
        <v>0</v>
      </c>
      <c r="AE616">
        <v>0</v>
      </c>
      <c r="AF616">
        <v>0.68047999999999997</v>
      </c>
      <c r="AG616">
        <v>0.68047999999999997</v>
      </c>
      <c r="AH616">
        <v>0.68047999999999997</v>
      </c>
      <c r="AI616">
        <v>0</v>
      </c>
      <c r="AJ616">
        <v>0</v>
      </c>
    </row>
    <row r="617" spans="1:36" x14ac:dyDescent="0.25">
      <c r="A617" s="343" t="s">
        <v>102</v>
      </c>
      <c r="B617" s="15" t="s">
        <v>758</v>
      </c>
      <c r="C617" s="16" t="s">
        <v>658</v>
      </c>
      <c r="D617" s="16"/>
      <c r="E617" s="17" t="s">
        <v>262</v>
      </c>
      <c r="F617" s="18" t="s">
        <v>759</v>
      </c>
      <c r="G617" s="134" t="str">
        <f ca="1">_xlfn.FORMULATEXT(IN[[#This Row],[STAGE]])</f>
        <v>='[ka_PEQ_Nachweistool.xlsb]❄️K'!B22</v>
      </c>
      <c r="H617" s="20">
        <v>2</v>
      </c>
      <c r="I617" s="104">
        <f>'[1]❄️K'!B22</f>
        <v>0</v>
      </c>
      <c r="J617" s="135">
        <f>IF(IN[[#This Row],[Sim_]]=IN[[#This Row],[STAGE]],1,0)</f>
        <v>1</v>
      </c>
      <c r="K617" s="275">
        <v>0</v>
      </c>
      <c r="L617" s="130"/>
      <c r="M617" s="130">
        <f>IF(IN[[#This Row],[Sim_]]=IN[[#This Row],[Sim Var ref]],1,0)</f>
        <v>1</v>
      </c>
      <c r="N617" s="8"/>
      <c r="O617" s="8">
        <v>467</v>
      </c>
      <c r="P617" s="280"/>
      <c r="Q617" s="137">
        <f>IF(IN[[#This Row],[Sim_]]=IN[[#This Row],[Direkt alt]],1,0)</f>
        <v>1</v>
      </c>
      <c r="R617" s="10">
        <v>0</v>
      </c>
      <c r="S617" s="10">
        <f>IF(IN[[#This Row],[Sim_]]=IN[[#This Row],[Buffer]],1,0)</f>
        <v>1</v>
      </c>
      <c r="T617" s="11"/>
      <c r="U617" s="104">
        <f>'[1]❄️K'!M22</f>
        <v>0</v>
      </c>
      <c r="V617" s="281">
        <v>0</v>
      </c>
      <c r="W617">
        <v>0</v>
      </c>
      <c r="X617">
        <v>0</v>
      </c>
      <c r="Y617" s="11"/>
      <c r="Z617" s="177">
        <v>0</v>
      </c>
      <c r="AA617" s="177">
        <v>0</v>
      </c>
      <c r="AB617" s="177">
        <v>0</v>
      </c>
      <c r="AC617" s="106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s="343" t="s">
        <v>102</v>
      </c>
      <c r="B618" s="15" t="s">
        <v>760</v>
      </c>
      <c r="C618" s="16" t="s">
        <v>658</v>
      </c>
      <c r="D618" s="16"/>
      <c r="E618" s="17" t="s">
        <v>285</v>
      </c>
      <c r="F618" s="18" t="s">
        <v>761</v>
      </c>
      <c r="G618" s="134" t="str">
        <f ca="1">_xlfn.FORMULATEXT(IN[[#This Row],[STAGE]])</f>
        <v>='[ka_PEQ_Nachweistool.xlsb]❄️K'!B28</v>
      </c>
      <c r="H618" s="20">
        <v>2</v>
      </c>
      <c r="I618" s="104">
        <f>'[1]❄️K'!B28</f>
        <v>0</v>
      </c>
      <c r="J618" s="135">
        <f>IF(IN[[#This Row],[Sim_]]=IN[[#This Row],[STAGE]],1,0)</f>
        <v>0</v>
      </c>
      <c r="K618" s="197">
        <f>K57</f>
        <v>25.331283949143437</v>
      </c>
      <c r="L618" s="130"/>
      <c r="M618" s="130">
        <f>IF(IN[[#This Row],[Sim_]]=IN[[#This Row],[Sim Var ref]],1,0)</f>
        <v>0</v>
      </c>
      <c r="N618" s="8"/>
      <c r="O618" s="8">
        <v>468</v>
      </c>
      <c r="P618" s="280"/>
      <c r="Q618" s="137">
        <f>IF(IN[[#This Row],[Sim_]]=IN[[#This Row],[Direkt alt]],1,0)</f>
        <v>0</v>
      </c>
      <c r="R618" s="10">
        <v>20</v>
      </c>
      <c r="S618" s="10">
        <f>IF(IN[[#This Row],[Sim_]]=IN[[#This Row],[Buffer]],1,0)</f>
        <v>0</v>
      </c>
      <c r="T618" s="11"/>
      <c r="U618" s="104">
        <f>'[1]❄️K'!M28</f>
        <v>0</v>
      </c>
      <c r="V618" s="321">
        <f>V57</f>
        <v>25.331283949143437</v>
      </c>
      <c r="W618" s="197">
        <f>IN[[#This Row],[Sim_]]</f>
        <v>25.331283949143437</v>
      </c>
      <c r="X618" s="197">
        <v>30</v>
      </c>
      <c r="Y618" s="197">
        <f>IN[[#This Row],[Var diff]]</f>
        <v>0</v>
      </c>
      <c r="Z618" s="197">
        <v>30</v>
      </c>
      <c r="AA618" s="177">
        <v>25.331283949143437</v>
      </c>
      <c r="AB618" s="177">
        <v>0</v>
      </c>
      <c r="AC618" s="106">
        <v>30</v>
      </c>
      <c r="AD618">
        <v>0</v>
      </c>
      <c r="AE618" s="146">
        <v>0</v>
      </c>
      <c r="AF618" s="146">
        <v>20</v>
      </c>
      <c r="AG618">
        <v>20</v>
      </c>
      <c r="AH618">
        <v>20</v>
      </c>
      <c r="AI618">
        <v>0</v>
      </c>
      <c r="AJ618">
        <v>0</v>
      </c>
    </row>
    <row r="619" spans="1:36" x14ac:dyDescent="0.25">
      <c r="A619" s="343" t="s">
        <v>102</v>
      </c>
      <c r="B619" s="15" t="s">
        <v>762</v>
      </c>
      <c r="C619" s="16" t="s">
        <v>658</v>
      </c>
      <c r="D619" s="16"/>
      <c r="E619" s="17" t="s">
        <v>262</v>
      </c>
      <c r="F619" s="18" t="s">
        <v>763</v>
      </c>
      <c r="G619" s="134" t="str">
        <f ca="1">_xlfn.FORMULATEXT(IN[[#This Row],[STAGE]])</f>
        <v>='[ka_PEQ_Nachweistool.xlsb]❄️K'!B35</v>
      </c>
      <c r="H619" s="20">
        <v>2</v>
      </c>
      <c r="I619" s="104">
        <f>'[1]❄️K'!B35</f>
        <v>0</v>
      </c>
      <c r="J619" s="135">
        <f>IF(IN[[#This Row],[Sim_]]=IN[[#This Row],[STAGE]],1,0)</f>
        <v>1</v>
      </c>
      <c r="K619" s="275">
        <v>0</v>
      </c>
      <c r="L619" s="130"/>
      <c r="M619" s="130">
        <f>IF(IN[[#This Row],[Sim_]]=IN[[#This Row],[Sim Var ref]],1,0)</f>
        <v>1</v>
      </c>
      <c r="N619" s="8"/>
      <c r="O619" s="8">
        <v>469</v>
      </c>
      <c r="P619" s="280"/>
      <c r="Q619" s="137">
        <f>IF(IN[[#This Row],[Sim_]]=IN[[#This Row],[Direkt alt]],1,0)</f>
        <v>1</v>
      </c>
      <c r="R619" s="10">
        <v>0</v>
      </c>
      <c r="S619" s="10">
        <f>IF(IN[[#This Row],[Sim_]]=IN[[#This Row],[Buffer]],1,0)</f>
        <v>1</v>
      </c>
      <c r="T619" s="11"/>
      <c r="U619" s="104">
        <f>'[1]❄️K'!M35</f>
        <v>0</v>
      </c>
      <c r="V619" s="281"/>
      <c r="W619" s="273">
        <v>0</v>
      </c>
      <c r="X619" s="273">
        <v>40</v>
      </c>
      <c r="Y619" s="273">
        <v>0</v>
      </c>
      <c r="Z619" s="273">
        <v>40</v>
      </c>
      <c r="AA619" s="177">
        <v>0</v>
      </c>
      <c r="AB619" s="177">
        <v>0</v>
      </c>
      <c r="AC619" s="106">
        <v>40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s="343" t="s">
        <v>102</v>
      </c>
      <c r="B620" s="15" t="s">
        <v>764</v>
      </c>
      <c r="C620" s="16" t="s">
        <v>658</v>
      </c>
      <c r="D620" s="16"/>
      <c r="E620" s="17" t="s">
        <v>262</v>
      </c>
      <c r="F620" s="18" t="s">
        <v>765</v>
      </c>
      <c r="G620" s="134" t="str">
        <f ca="1">_xlfn.FORMULATEXT(IN[[#This Row],[STAGE]])</f>
        <v>='[ka_PEQ_Nachweistool.xlsb]❄️K'!B42</v>
      </c>
      <c r="H620" s="20">
        <v>2</v>
      </c>
      <c r="I620" s="104">
        <f>'[1]❄️K'!B42</f>
        <v>0</v>
      </c>
      <c r="J620" s="135">
        <f>IF(IN[[#This Row],[Sim_]]=IN[[#This Row],[STAGE]],1,0)</f>
        <v>1</v>
      </c>
      <c r="K620" s="275">
        <v>0</v>
      </c>
      <c r="L620" s="130"/>
      <c r="M620" s="130">
        <f>IF(IN[[#This Row],[Sim_]]=IN[[#This Row],[Sim Var ref]],1,0)</f>
        <v>1</v>
      </c>
      <c r="N620" s="8"/>
      <c r="O620" s="8">
        <v>470</v>
      </c>
      <c r="P620" s="280"/>
      <c r="Q620" s="137">
        <f>IF(IN[[#This Row],[Sim_]]=IN[[#This Row],[Direkt alt]],1,0)</f>
        <v>1</v>
      </c>
      <c r="R620" s="10">
        <v>0</v>
      </c>
      <c r="S620" s="10">
        <f>IF(IN[[#This Row],[Sim_]]=IN[[#This Row],[Buffer]],1,0)</f>
        <v>1</v>
      </c>
      <c r="T620" s="11"/>
      <c r="U620" s="104">
        <f>'[1]❄️K'!M42</f>
        <v>0</v>
      </c>
      <c r="V620" s="281"/>
      <c r="W620" s="273">
        <v>0</v>
      </c>
      <c r="X620" s="273">
        <v>0</v>
      </c>
      <c r="Y620" s="273">
        <v>0</v>
      </c>
      <c r="Z620" s="273">
        <v>0</v>
      </c>
      <c r="AA620" s="177">
        <v>0</v>
      </c>
      <c r="AB620" s="177">
        <v>0</v>
      </c>
      <c r="AC620" s="106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s="343" t="s">
        <v>102</v>
      </c>
      <c r="B621" s="15" t="s">
        <v>766</v>
      </c>
      <c r="C621" s="16" t="s">
        <v>658</v>
      </c>
      <c r="D621" s="16"/>
      <c r="E621" s="17" t="s">
        <v>262</v>
      </c>
      <c r="F621" s="18"/>
      <c r="G621" s="134" t="str">
        <f ca="1">_xlfn.FORMULATEXT(IN[[#This Row],[STAGE]])</f>
        <v>='[ka_PEQ_Nachweistool.xlsb]❄️K'!B23</v>
      </c>
      <c r="H621" s="20">
        <v>2</v>
      </c>
      <c r="I621" s="104">
        <f>'[1]❄️K'!B23</f>
        <v>0</v>
      </c>
      <c r="J621" s="135">
        <f>IF(IN[[#This Row],[Sim_]]=IN[[#This Row],[STAGE]],1,0)</f>
        <v>0</v>
      </c>
      <c r="K621" s="257">
        <v>0.05</v>
      </c>
      <c r="L621" s="130"/>
      <c r="M621" s="130">
        <f>IF(IN[[#This Row],[Sim_]]=IN[[#This Row],[Sim Var ref]],1,0)</f>
        <v>0</v>
      </c>
      <c r="N621" s="8"/>
      <c r="O621" s="8">
        <v>471</v>
      </c>
      <c r="P621" s="280"/>
      <c r="Q621" s="137">
        <f>IF(IN[[#This Row],[Sim_]]=IN[[#This Row],[Direkt alt]],1,0)</f>
        <v>0</v>
      </c>
      <c r="R621" s="10">
        <v>0.05</v>
      </c>
      <c r="S621" s="10">
        <f>IF(IN[[#This Row],[Sim_]]=IN[[#This Row],[Buffer]],1,0)</f>
        <v>1</v>
      </c>
      <c r="T621" s="11"/>
      <c r="U621" s="104">
        <f>'[1]❄️K'!M23</f>
        <v>0</v>
      </c>
      <c r="V621" s="281"/>
      <c r="W621" s="271">
        <v>0.05</v>
      </c>
      <c r="X621" s="271">
        <v>0</v>
      </c>
      <c r="Y621" s="271">
        <v>0.05</v>
      </c>
      <c r="Z621" s="271">
        <v>0</v>
      </c>
      <c r="AA621" s="177">
        <v>0</v>
      </c>
      <c r="AB621" s="177">
        <v>0.05</v>
      </c>
      <c r="AC621" s="106">
        <v>0</v>
      </c>
      <c r="AD621">
        <v>0.05</v>
      </c>
      <c r="AE621">
        <v>0.05</v>
      </c>
      <c r="AF621">
        <v>0.05</v>
      </c>
      <c r="AG621">
        <v>0.05</v>
      </c>
      <c r="AH621">
        <v>0.05</v>
      </c>
      <c r="AI621">
        <v>0.05</v>
      </c>
      <c r="AJ621">
        <v>0.05</v>
      </c>
    </row>
    <row r="622" spans="1:36" x14ac:dyDescent="0.25">
      <c r="A622" s="343" t="s">
        <v>102</v>
      </c>
      <c r="B622" s="15" t="s">
        <v>767</v>
      </c>
      <c r="C622" s="16"/>
      <c r="D622" s="16"/>
      <c r="E622" s="17" t="s">
        <v>262</v>
      </c>
      <c r="F622" s="18" t="s">
        <v>768</v>
      </c>
      <c r="G622" s="134" t="str">
        <f ca="1">_xlfn.FORMULATEXT(IN[[#This Row],[STAGE]])</f>
        <v>='[ka_PEQ_Nachweistool.xlsb]❄️K'!B30</v>
      </c>
      <c r="H622" s="20">
        <v>2</v>
      </c>
      <c r="I622" s="104">
        <f>'[1]❄️K'!B30</f>
        <v>0</v>
      </c>
      <c r="J622" s="135">
        <f>IF(IN[[#This Row],[Sim_]]=IN[[#This Row],[STAGE]],1,0)</f>
        <v>0</v>
      </c>
      <c r="K622" s="257">
        <v>0.05</v>
      </c>
      <c r="L622" s="130"/>
      <c r="M622" s="130">
        <f>IF(IN[[#This Row],[Sim_]]=IN[[#This Row],[Sim Var ref]],1,0)</f>
        <v>0</v>
      </c>
      <c r="N622" s="8"/>
      <c r="O622" s="8">
        <v>472</v>
      </c>
      <c r="P622" s="280"/>
      <c r="Q622" s="137">
        <f>IF(IN[[#This Row],[Sim_]]=IN[[#This Row],[Direkt alt]],1,0)</f>
        <v>0</v>
      </c>
      <c r="R622" s="10">
        <v>0.05</v>
      </c>
      <c r="S622" s="10">
        <f>IF(IN[[#This Row],[Sim_]]=IN[[#This Row],[Buffer]],1,0)</f>
        <v>1</v>
      </c>
      <c r="T622" s="11"/>
      <c r="U622" s="104">
        <f>'[1]❄️K'!M30</f>
        <v>0</v>
      </c>
      <c r="V622" s="281"/>
      <c r="W622" s="271">
        <v>0.05</v>
      </c>
      <c r="X622" s="271">
        <v>0</v>
      </c>
      <c r="Y622" s="271">
        <v>0.05</v>
      </c>
      <c r="Z622" s="271">
        <v>0</v>
      </c>
      <c r="AA622" s="177">
        <v>0</v>
      </c>
      <c r="AB622" s="177">
        <v>0.05</v>
      </c>
      <c r="AC622" s="106">
        <v>0</v>
      </c>
      <c r="AD622">
        <v>0.05</v>
      </c>
      <c r="AE622">
        <v>0.05</v>
      </c>
      <c r="AF622">
        <v>0.05</v>
      </c>
      <c r="AG622">
        <v>0.05</v>
      </c>
      <c r="AH622">
        <v>0.05</v>
      </c>
      <c r="AI622">
        <v>0.05</v>
      </c>
      <c r="AJ622">
        <v>0.05</v>
      </c>
    </row>
    <row r="623" spans="1:36" x14ac:dyDescent="0.25">
      <c r="A623" s="343" t="s">
        <v>102</v>
      </c>
      <c r="B623" s="15" t="s">
        <v>769</v>
      </c>
      <c r="C623" s="16"/>
      <c r="D623" s="16"/>
      <c r="E623" s="17" t="s">
        <v>262</v>
      </c>
      <c r="F623" s="18" t="s">
        <v>770</v>
      </c>
      <c r="G623" s="134" t="str">
        <f ca="1">_xlfn.FORMULATEXT(IN[[#This Row],[STAGE]])</f>
        <v>='[ka_PEQ_Nachweistool.xlsb]❄️K'!B37</v>
      </c>
      <c r="H623" s="20">
        <v>2</v>
      </c>
      <c r="I623" s="104">
        <f>'[1]❄️K'!B37</f>
        <v>0</v>
      </c>
      <c r="J623" s="135">
        <f>IF(IN[[#This Row],[Sim_]]=IN[[#This Row],[STAGE]],1,0)</f>
        <v>0</v>
      </c>
      <c r="K623" s="257">
        <v>0.05</v>
      </c>
      <c r="L623" s="130"/>
      <c r="M623" s="130">
        <f>IF(IN[[#This Row],[Sim_]]=IN[[#This Row],[Sim Var ref]],1,0)</f>
        <v>0</v>
      </c>
      <c r="N623" s="8"/>
      <c r="O623" s="8">
        <v>473</v>
      </c>
      <c r="P623" s="280"/>
      <c r="Q623" s="137">
        <f>IF(IN[[#This Row],[Sim_]]=IN[[#This Row],[Direkt alt]],1,0)</f>
        <v>0</v>
      </c>
      <c r="R623" s="10">
        <v>0.05</v>
      </c>
      <c r="S623" s="10">
        <f>IF(IN[[#This Row],[Sim_]]=IN[[#This Row],[Buffer]],1,0)</f>
        <v>1</v>
      </c>
      <c r="T623" s="11"/>
      <c r="U623" s="104">
        <f>'[1]❄️K'!M37</f>
        <v>0</v>
      </c>
      <c r="V623" s="281"/>
      <c r="W623" s="271">
        <v>0.05</v>
      </c>
      <c r="X623" s="271">
        <v>0</v>
      </c>
      <c r="Y623" s="271">
        <v>0.05</v>
      </c>
      <c r="Z623" s="271">
        <v>0</v>
      </c>
      <c r="AA623" s="177">
        <v>0</v>
      </c>
      <c r="AB623" s="177">
        <v>0.05</v>
      </c>
      <c r="AC623" s="106">
        <v>0</v>
      </c>
      <c r="AD623">
        <v>0.05</v>
      </c>
      <c r="AE623">
        <v>0.05</v>
      </c>
      <c r="AF623">
        <v>0.05</v>
      </c>
      <c r="AG623">
        <v>0.05</v>
      </c>
      <c r="AH623">
        <v>0.05</v>
      </c>
      <c r="AI623">
        <v>0.05</v>
      </c>
      <c r="AJ623">
        <v>0.05</v>
      </c>
    </row>
    <row r="624" spans="1:36" x14ac:dyDescent="0.25">
      <c r="A624" s="343" t="s">
        <v>102</v>
      </c>
      <c r="B624" s="15" t="s">
        <v>771</v>
      </c>
      <c r="C624" s="16"/>
      <c r="D624" s="16"/>
      <c r="E624" s="17" t="s">
        <v>262</v>
      </c>
      <c r="F624" s="18" t="s">
        <v>772</v>
      </c>
      <c r="G624" s="134" t="str">
        <f ca="1">_xlfn.FORMULATEXT(IN[[#This Row],[STAGE]])</f>
        <v>='[ka_PEQ_Nachweistool.xlsb]❄️K'!B44</v>
      </c>
      <c r="H624" s="20">
        <v>2</v>
      </c>
      <c r="I624" s="104">
        <f>'[1]❄️K'!B44</f>
        <v>0</v>
      </c>
      <c r="J624" s="135">
        <f>IF(IN[[#This Row],[Sim_]]=IN[[#This Row],[STAGE]],1,0)</f>
        <v>0</v>
      </c>
      <c r="K624" s="257">
        <v>0.05</v>
      </c>
      <c r="L624" s="130"/>
      <c r="M624" s="130">
        <f>IF(IN[[#This Row],[Sim_]]=IN[[#This Row],[Sim Var ref]],1,0)</f>
        <v>0</v>
      </c>
      <c r="N624" s="8"/>
      <c r="O624" s="8">
        <v>474</v>
      </c>
      <c r="P624" s="280"/>
      <c r="Q624" s="137">
        <f>IF(IN[[#This Row],[Sim_]]=IN[[#This Row],[Direkt alt]],1,0)</f>
        <v>0</v>
      </c>
      <c r="R624" s="10">
        <v>0.05</v>
      </c>
      <c r="S624" s="10">
        <f>IF(IN[[#This Row],[Sim_]]=IN[[#This Row],[Buffer]],1,0)</f>
        <v>1</v>
      </c>
      <c r="T624" s="11"/>
      <c r="U624" s="104">
        <f>'[1]❄️K'!M44</f>
        <v>0</v>
      </c>
      <c r="V624" s="281"/>
      <c r="W624" s="271">
        <v>0.05</v>
      </c>
      <c r="X624" s="271">
        <v>0</v>
      </c>
      <c r="Y624" s="271">
        <v>0.05</v>
      </c>
      <c r="Z624" s="271">
        <v>0</v>
      </c>
      <c r="AA624" s="177">
        <v>0</v>
      </c>
      <c r="AB624" s="177">
        <v>0.05</v>
      </c>
      <c r="AC624" s="106">
        <v>0</v>
      </c>
      <c r="AD624">
        <v>0.05</v>
      </c>
      <c r="AE624">
        <v>0.05</v>
      </c>
      <c r="AF624">
        <v>0.05</v>
      </c>
      <c r="AG624">
        <v>0.05</v>
      </c>
      <c r="AH624">
        <v>0.05</v>
      </c>
      <c r="AI624">
        <v>0.05</v>
      </c>
      <c r="AJ624">
        <v>0.05</v>
      </c>
    </row>
    <row r="625" spans="1:36" x14ac:dyDescent="0.25">
      <c r="A625" s="343" t="s">
        <v>102</v>
      </c>
      <c r="B625" s="335" t="s">
        <v>773</v>
      </c>
      <c r="C625" s="336"/>
      <c r="D625" s="336"/>
      <c r="E625" s="351" t="s">
        <v>53</v>
      </c>
      <c r="F625" s="18"/>
      <c r="G625" s="134" t="e">
        <f ca="1">_xlfn.FORMULATEXT(IN[[#This Row],[STAGE]])</f>
        <v>#N/A</v>
      </c>
      <c r="H625" s="20">
        <v>0</v>
      </c>
      <c r="I625" s="104"/>
      <c r="J625" s="135">
        <f>IF(IN[[#This Row],[Sim_]]=IN[[#This Row],[STAGE]],1,0)</f>
        <v>0</v>
      </c>
      <c r="K625" s="352" t="s">
        <v>774</v>
      </c>
      <c r="L625" s="130"/>
      <c r="M625" s="130">
        <f>IF(IN[[#This Row],[Sim_]]=IN[[#This Row],[Sim Var ref]],1,0)</f>
        <v>0</v>
      </c>
      <c r="N625" s="8"/>
      <c r="O625" s="8">
        <v>475</v>
      </c>
      <c r="P625" s="280"/>
      <c r="Q625" s="137">
        <f>IF(IN[[#This Row],[Sim_]]=IN[[#This Row],[Direkt alt]],1,0)</f>
        <v>0</v>
      </c>
      <c r="R625" s="10"/>
      <c r="S625" s="10">
        <f>IF(IN[[#This Row],[Sim_]]=IN[[#This Row],[Buffer]],1,0)</f>
        <v>0</v>
      </c>
      <c r="T625" s="11"/>
      <c r="U625" s="104"/>
      <c r="V625" s="281"/>
      <c r="Y625" s="11"/>
      <c r="Z625" s="177"/>
      <c r="AA625" s="177">
        <v>0</v>
      </c>
      <c r="AB625" s="177"/>
      <c r="AC625" s="106"/>
    </row>
    <row r="626" spans="1:36" x14ac:dyDescent="0.25">
      <c r="A626" s="343" t="s">
        <v>102</v>
      </c>
      <c r="B626" s="15" t="s">
        <v>775</v>
      </c>
      <c r="C626" s="16"/>
      <c r="D626" s="16"/>
      <c r="E626" s="17" t="s">
        <v>285</v>
      </c>
      <c r="F626" s="18"/>
      <c r="G626" s="134" t="str">
        <f ca="1">_xlfn.FORMULATEXT(IN[[#This Row],[STAGE]])</f>
        <v>='[ka_PEQ_Nachweistool.xlsb]❄️K'!B29</v>
      </c>
      <c r="H626" s="20">
        <v>2</v>
      </c>
      <c r="I626" s="104">
        <f>'[1]❄️K'!B29</f>
        <v>0</v>
      </c>
      <c r="J626" s="135">
        <f>IF(IN[[#This Row],[Sim_]]=IN[[#This Row],[STAGE]],1,0)</f>
        <v>0</v>
      </c>
      <c r="K626" s="210">
        <f>K63</f>
        <v>5.4000000000000021</v>
      </c>
      <c r="L626" s="130"/>
      <c r="M626" s="130">
        <f>IF(IN[[#This Row],[Sim_]]=IN[[#This Row],[Sim Var ref]],1,0)</f>
        <v>0</v>
      </c>
      <c r="N626" s="8"/>
      <c r="O626" s="8">
        <v>476</v>
      </c>
      <c r="P626" s="280"/>
      <c r="Q626" s="137">
        <f>IF(IN[[#This Row],[Sim_]]=IN[[#This Row],[Direkt alt]],1,0)</f>
        <v>0</v>
      </c>
      <c r="R626" s="10">
        <v>2</v>
      </c>
      <c r="S626" s="10">
        <f>IF(IN[[#This Row],[Sim_]]=IN[[#This Row],[Buffer]],1,0)</f>
        <v>0</v>
      </c>
      <c r="T626" s="11"/>
      <c r="U626" s="104">
        <f>'[1]❄️K'!M29</f>
        <v>0</v>
      </c>
      <c r="V626" s="281"/>
      <c r="X626">
        <v>5</v>
      </c>
      <c r="Y626" s="11"/>
      <c r="Z626" s="177">
        <v>5</v>
      </c>
      <c r="AA626" s="177">
        <v>0</v>
      </c>
      <c r="AB626" s="177">
        <v>5.4000000000000021</v>
      </c>
      <c r="AC626" s="106">
        <v>5</v>
      </c>
      <c r="AD626">
        <v>5</v>
      </c>
      <c r="AE626" s="146">
        <v>5</v>
      </c>
      <c r="AF626" s="146">
        <v>2</v>
      </c>
      <c r="AG626">
        <v>2</v>
      </c>
      <c r="AH626">
        <v>2</v>
      </c>
      <c r="AI626">
        <v>5.4000000000000021</v>
      </c>
      <c r="AJ626">
        <v>5.4000000000000021</v>
      </c>
    </row>
    <row r="627" spans="1:36" x14ac:dyDescent="0.25">
      <c r="A627" s="343" t="s">
        <v>102</v>
      </c>
      <c r="B627" s="15" t="s">
        <v>776</v>
      </c>
      <c r="C627" s="16"/>
      <c r="D627" s="16"/>
      <c r="E627" s="17" t="s">
        <v>262</v>
      </c>
      <c r="F627" s="18"/>
      <c r="G627" s="134" t="str">
        <f ca="1">_xlfn.FORMULATEXT(IN[[#This Row],[STAGE]])</f>
        <v>='[ka_PEQ_Nachweistool.xlsb]❄️K'!B36</v>
      </c>
      <c r="H627" s="20">
        <v>2</v>
      </c>
      <c r="I627" s="104">
        <f>'[1]❄️K'!B36</f>
        <v>0</v>
      </c>
      <c r="J627" s="135">
        <f>IF(IN[[#This Row],[Sim_]]=IN[[#This Row],[STAGE]],1,0)</f>
        <v>0</v>
      </c>
      <c r="K627" s="275">
        <v>0.95</v>
      </c>
      <c r="L627" s="130"/>
      <c r="M627" s="130">
        <f>IF(IN[[#This Row],[Sim_]]=IN[[#This Row],[Sim Var ref]],1,0)</f>
        <v>0</v>
      </c>
      <c r="N627" s="8"/>
      <c r="O627" s="8">
        <v>477</v>
      </c>
      <c r="P627" s="280"/>
      <c r="Q627" s="137">
        <f>IF(IN[[#This Row],[Sim_]]=IN[[#This Row],[Direkt alt]],1,0)</f>
        <v>0</v>
      </c>
      <c r="R627" s="10">
        <v>0.9</v>
      </c>
      <c r="S627" s="10">
        <f>IF(IN[[#This Row],[Sim_]]=IN[[#This Row],[Buffer]],1,0)</f>
        <v>0</v>
      </c>
      <c r="T627" s="11"/>
      <c r="U627" s="104">
        <f>'[1]❄️K'!M36</f>
        <v>0</v>
      </c>
      <c r="V627" s="281"/>
      <c r="X627">
        <v>0.9</v>
      </c>
      <c r="Y627" s="11"/>
      <c r="Z627" s="177">
        <v>0.9</v>
      </c>
      <c r="AA627" s="177">
        <v>0</v>
      </c>
      <c r="AB627" s="177">
        <v>0.95</v>
      </c>
      <c r="AC627" s="106">
        <v>0.9</v>
      </c>
      <c r="AD627">
        <v>0.9</v>
      </c>
      <c r="AE627">
        <v>0.9</v>
      </c>
      <c r="AF627">
        <v>0.9</v>
      </c>
      <c r="AG627">
        <v>0.9</v>
      </c>
      <c r="AH627">
        <v>0.9</v>
      </c>
      <c r="AI627">
        <v>0.95</v>
      </c>
      <c r="AJ627">
        <v>0.95</v>
      </c>
    </row>
    <row r="628" spans="1:36" x14ac:dyDescent="0.25">
      <c r="A628" s="343" t="s">
        <v>102</v>
      </c>
      <c r="B628" s="15" t="s">
        <v>777</v>
      </c>
      <c r="C628" s="16"/>
      <c r="D628" s="16"/>
      <c r="E628" s="17" t="s">
        <v>262</v>
      </c>
      <c r="F628" s="18"/>
      <c r="G628" s="134" t="str">
        <f ca="1">_xlfn.FORMULATEXT(IN[[#This Row],[STAGE]])</f>
        <v>='[ka_PEQ_Nachweistool.xlsb]❄️K'!B43</v>
      </c>
      <c r="H628" s="20">
        <v>2</v>
      </c>
      <c r="I628" s="104">
        <f>'[1]❄️K'!B43</f>
        <v>0</v>
      </c>
      <c r="J628" s="135">
        <f>IF(IN[[#This Row],[Sim_]]=IN[[#This Row],[STAGE]],1,0)</f>
        <v>0</v>
      </c>
      <c r="K628" s="275">
        <v>2.5</v>
      </c>
      <c r="L628" s="130"/>
      <c r="M628" s="130">
        <f>IF(IN[[#This Row],[Sim_]]=IN[[#This Row],[Sim Var ref]],1,0)</f>
        <v>0</v>
      </c>
      <c r="N628" s="8"/>
      <c r="O628" s="8">
        <v>478</v>
      </c>
      <c r="P628" s="280"/>
      <c r="Q628" s="137">
        <f>IF(IN[[#This Row],[Sim_]]=IN[[#This Row],[Direkt alt]],1,0)</f>
        <v>0</v>
      </c>
      <c r="R628" s="10">
        <v>0</v>
      </c>
      <c r="S628" s="10">
        <f>IF(IN[[#This Row],[Sim_]]=IN[[#This Row],[Buffer]],1,0)</f>
        <v>0</v>
      </c>
      <c r="T628" s="11"/>
      <c r="U628" s="104">
        <f>'[1]❄️K'!M43</f>
        <v>0</v>
      </c>
      <c r="V628" s="281"/>
      <c r="X628">
        <v>0</v>
      </c>
      <c r="Y628" s="11"/>
      <c r="Z628" s="177">
        <v>0</v>
      </c>
      <c r="AA628" s="177">
        <v>0</v>
      </c>
      <c r="AB628" s="177">
        <v>2.5</v>
      </c>
      <c r="AC628" s="106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2.5</v>
      </c>
      <c r="AJ628">
        <v>2.5</v>
      </c>
    </row>
    <row r="629" spans="1:36" x14ac:dyDescent="0.25">
      <c r="A629" s="343" t="s">
        <v>102</v>
      </c>
      <c r="B629" s="15" t="s">
        <v>778</v>
      </c>
      <c r="C629" s="16"/>
      <c r="D629" s="16"/>
      <c r="E629" s="17" t="s">
        <v>78</v>
      </c>
      <c r="F629" s="18"/>
      <c r="G629" s="134" t="str">
        <f ca="1">_xlfn.FORMULATEXT(IN[[#This Row],[STAGE]])</f>
        <v>=WENNFEHLER(1/I625;0)</v>
      </c>
      <c r="H629" s="20">
        <v>0</v>
      </c>
      <c r="I629" s="104">
        <f>IFERROR(1/I625,0)</f>
        <v>0</v>
      </c>
      <c r="J629" s="135">
        <f>IF(IN[[#This Row],[Sim_]]=IN[[#This Row],[STAGE]],1,0)</f>
        <v>1</v>
      </c>
      <c r="K629" s="279"/>
      <c r="L629" s="130"/>
      <c r="M629" s="130">
        <f>IF(IN[[#This Row],[Sim_]]=IN[[#This Row],[Sim Var ref]],1,0)</f>
        <v>1</v>
      </c>
      <c r="N629" s="8"/>
      <c r="O629" s="8">
        <v>479</v>
      </c>
      <c r="P629" s="280"/>
      <c r="Q629" s="137">
        <f>IF(IN[[#This Row],[Sim_]]=IN[[#This Row],[Direkt alt]],1,0)</f>
        <v>1</v>
      </c>
      <c r="R629" s="10">
        <v>0</v>
      </c>
      <c r="S629" s="10">
        <f>IF(IN[[#This Row],[Sim_]]=IN[[#This Row],[Buffer]],1,0)</f>
        <v>1</v>
      </c>
      <c r="T629" s="11"/>
      <c r="U629" s="104">
        <f>IFERROR(1/U625,0)</f>
        <v>0</v>
      </c>
      <c r="V629" s="281"/>
      <c r="X629">
        <v>0</v>
      </c>
      <c r="Y629" s="11"/>
      <c r="Z629" s="177">
        <v>0</v>
      </c>
      <c r="AA629" s="177"/>
      <c r="AB629" s="177">
        <v>0</v>
      </c>
      <c r="AC629" s="106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s="343" t="s">
        <v>102</v>
      </c>
      <c r="B630" s="15" t="s">
        <v>779</v>
      </c>
      <c r="C630" s="16"/>
      <c r="D630" s="16"/>
      <c r="E630" s="17" t="s">
        <v>78</v>
      </c>
      <c r="F630" s="18" t="s">
        <v>780</v>
      </c>
      <c r="G630" s="134" t="str">
        <f ca="1">_xlfn.FORMULATEXT(IN[[#This Row],[STAGE]])</f>
        <v>=WENNFEHLER(1/I626;0)</v>
      </c>
      <c r="H630" s="20">
        <v>0</v>
      </c>
      <c r="I630" s="104">
        <f>IFERROR(1/I626,0)</f>
        <v>0</v>
      </c>
      <c r="J630" s="135">
        <f>IF(IN[[#This Row],[Sim_]]=IN[[#This Row],[STAGE]],1,0)</f>
        <v>1</v>
      </c>
      <c r="K630" s="279"/>
      <c r="L630" s="130"/>
      <c r="M630" s="130">
        <f>IF(IN[[#This Row],[Sim_]]=IN[[#This Row],[Sim Var ref]],1,0)</f>
        <v>1</v>
      </c>
      <c r="N630" s="8"/>
      <c r="O630" s="8">
        <v>480</v>
      </c>
      <c r="P630" s="280"/>
      <c r="Q630" s="137">
        <f>IF(IN[[#This Row],[Sim_]]=IN[[#This Row],[Direkt alt]],1,0)</f>
        <v>1</v>
      </c>
      <c r="R630" s="10">
        <v>0.5</v>
      </c>
      <c r="S630" s="10">
        <f>IF(IN[[#This Row],[Sim_]]=IN[[#This Row],[Buffer]],1,0)</f>
        <v>0</v>
      </c>
      <c r="T630" s="11"/>
      <c r="U630" s="104">
        <f>IFERROR(1/U626,0)</f>
        <v>0</v>
      </c>
      <c r="V630" s="281"/>
      <c r="X630">
        <v>0.2</v>
      </c>
      <c r="Y630" s="11"/>
      <c r="Z630" s="177">
        <v>0.2</v>
      </c>
      <c r="AA630" s="177"/>
      <c r="AB630" s="177">
        <v>0.18518518518518512</v>
      </c>
      <c r="AC630" s="106">
        <v>0.2</v>
      </c>
      <c r="AD630">
        <v>0.2</v>
      </c>
      <c r="AE630">
        <v>0.2</v>
      </c>
      <c r="AF630">
        <v>0.5</v>
      </c>
      <c r="AG630">
        <v>0.5</v>
      </c>
      <c r="AH630">
        <v>0.5</v>
      </c>
      <c r="AI630">
        <v>0.18518518518518512</v>
      </c>
      <c r="AJ630">
        <v>0.18518518518518512</v>
      </c>
    </row>
    <row r="631" spans="1:36" x14ac:dyDescent="0.25">
      <c r="A631" s="343" t="s">
        <v>102</v>
      </c>
      <c r="B631" s="15" t="s">
        <v>781</v>
      </c>
      <c r="C631" s="16"/>
      <c r="D631" s="16"/>
      <c r="E631" s="17" t="s">
        <v>78</v>
      </c>
      <c r="F631" s="18" t="s">
        <v>782</v>
      </c>
      <c r="G631" s="134" t="str">
        <f ca="1">_xlfn.FORMULATEXT(IN[[#This Row],[STAGE]])</f>
        <v>=WENNFEHLER(1/I627;0)</v>
      </c>
      <c r="H631" s="20">
        <v>0</v>
      </c>
      <c r="I631" s="104">
        <f>IFERROR(1/I627,0)</f>
        <v>0</v>
      </c>
      <c r="J631" s="135">
        <f>IF(IN[[#This Row],[Sim_]]=IN[[#This Row],[STAGE]],1,0)</f>
        <v>1</v>
      </c>
      <c r="K631" s="279"/>
      <c r="L631" s="130"/>
      <c r="M631" s="130">
        <f>IF(IN[[#This Row],[Sim_]]=IN[[#This Row],[Sim Var ref]],1,0)</f>
        <v>1</v>
      </c>
      <c r="N631" s="8"/>
      <c r="O631" s="8">
        <v>481</v>
      </c>
      <c r="P631" s="280"/>
      <c r="Q631" s="137">
        <f>IF(IN[[#This Row],[Sim_]]=IN[[#This Row],[Direkt alt]],1,0)</f>
        <v>1</v>
      </c>
      <c r="R631" s="10">
        <v>1.1111111111111112</v>
      </c>
      <c r="S631" s="10">
        <f>IF(IN[[#This Row],[Sim_]]=IN[[#This Row],[Buffer]],1,0)</f>
        <v>0</v>
      </c>
      <c r="T631" s="11"/>
      <c r="U631" s="104">
        <f>IFERROR(1/U627,0)</f>
        <v>0</v>
      </c>
      <c r="V631" s="281"/>
      <c r="X631">
        <v>1.1111111111111112</v>
      </c>
      <c r="Y631" s="11"/>
      <c r="Z631" s="177">
        <v>1.1111111111111112</v>
      </c>
      <c r="AA631" s="177"/>
      <c r="AB631" s="177">
        <v>1.0526315789473684</v>
      </c>
      <c r="AC631" s="106">
        <v>1.1111111111111112</v>
      </c>
      <c r="AD631">
        <v>1.1111111111111112</v>
      </c>
      <c r="AE631">
        <v>1.1111111111111112</v>
      </c>
      <c r="AF631">
        <v>1.1111111111111112</v>
      </c>
      <c r="AG631">
        <v>1.1111111111111112</v>
      </c>
      <c r="AH631">
        <v>1.1111111111111112</v>
      </c>
      <c r="AI631">
        <v>1.0526315789473684</v>
      </c>
      <c r="AJ631">
        <v>1.0526315789473684</v>
      </c>
    </row>
    <row r="632" spans="1:36" x14ac:dyDescent="0.25">
      <c r="A632" s="343" t="s">
        <v>102</v>
      </c>
      <c r="B632" s="15" t="s">
        <v>783</v>
      </c>
      <c r="C632" s="16"/>
      <c r="D632" s="16"/>
      <c r="E632" s="17" t="s">
        <v>78</v>
      </c>
      <c r="F632" s="18" t="s">
        <v>784</v>
      </c>
      <c r="G632" s="134" t="str">
        <f ca="1">_xlfn.FORMULATEXT(IN[[#This Row],[STAGE]])</f>
        <v>=WENNFEHLER(1/I628;0)</v>
      </c>
      <c r="H632" s="20">
        <v>0</v>
      </c>
      <c r="I632" s="104">
        <f>IFERROR(1/I628,0)</f>
        <v>0</v>
      </c>
      <c r="J632" s="135">
        <f>IF(IN[[#This Row],[Sim_]]=IN[[#This Row],[STAGE]],1,0)</f>
        <v>1</v>
      </c>
      <c r="K632" s="279"/>
      <c r="L632" s="130"/>
      <c r="M632" s="130">
        <f>IF(IN[[#This Row],[Sim_]]=IN[[#This Row],[Sim Var ref]],1,0)</f>
        <v>1</v>
      </c>
      <c r="N632" s="8"/>
      <c r="O632" s="8">
        <v>482</v>
      </c>
      <c r="P632" s="280"/>
      <c r="Q632" s="137">
        <f>IF(IN[[#This Row],[Sim_]]=IN[[#This Row],[Direkt alt]],1,0)</f>
        <v>1</v>
      </c>
      <c r="R632" s="10">
        <v>0</v>
      </c>
      <c r="S632" s="10">
        <f>IF(IN[[#This Row],[Sim_]]=IN[[#This Row],[Buffer]],1,0)</f>
        <v>1</v>
      </c>
      <c r="T632" s="11"/>
      <c r="U632" s="104">
        <f>IFERROR(1/U628,0)</f>
        <v>0</v>
      </c>
      <c r="V632" s="281"/>
      <c r="X632">
        <v>0</v>
      </c>
      <c r="Y632" s="11"/>
      <c r="Z632" s="177">
        <v>0</v>
      </c>
      <c r="AA632" s="177"/>
      <c r="AB632" s="177">
        <v>0.4</v>
      </c>
      <c r="AC632" s="106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0.4</v>
      </c>
      <c r="AJ632">
        <v>0.4</v>
      </c>
    </row>
    <row r="633" spans="1:36" x14ac:dyDescent="0.25">
      <c r="A633" s="343" t="s">
        <v>102</v>
      </c>
      <c r="B633" s="15" t="s">
        <v>785</v>
      </c>
      <c r="C633" s="16"/>
      <c r="D633" s="16"/>
      <c r="E633" s="17" t="s">
        <v>262</v>
      </c>
      <c r="F633" s="18" t="s">
        <v>786</v>
      </c>
      <c r="G633" s="134" t="str">
        <f ca="1">_xlfn.FORMULATEXT(IN[[#This Row],[STAGE]])</f>
        <v>='[ka_PEQ_Nachweistool.xlsb]❄️K'!B24</v>
      </c>
      <c r="H633" s="20">
        <v>2</v>
      </c>
      <c r="I633" s="104">
        <f>'[1]❄️K'!B24</f>
        <v>0</v>
      </c>
      <c r="J633" s="135">
        <f>IF(IN[[#This Row],[Sim_]]=IN[[#This Row],[STAGE]],1,0)</f>
        <v>0</v>
      </c>
      <c r="K633" s="329">
        <v>0.05</v>
      </c>
      <c r="L633" s="130"/>
      <c r="M633" s="130">
        <f>IF(IN[[#This Row],[Sim_]]=IN[[#This Row],[Sim Var ref]],1,0)</f>
        <v>0</v>
      </c>
      <c r="N633" s="8"/>
      <c r="O633" s="8">
        <v>483</v>
      </c>
      <c r="P633" s="280"/>
      <c r="Q633" s="137">
        <f>IF(IN[[#This Row],[Sim_]]=IN[[#This Row],[Direkt alt]],1,0)</f>
        <v>0</v>
      </c>
      <c r="R633" s="10">
        <v>0</v>
      </c>
      <c r="S633" s="10">
        <f>IF(IN[[#This Row],[Sim_]]=IN[[#This Row],[Buffer]],1,0)</f>
        <v>0</v>
      </c>
      <c r="T633" s="11"/>
      <c r="U633" s="104">
        <f>'[1]❄️K'!M24</f>
        <v>0</v>
      </c>
      <c r="V633" s="281"/>
      <c r="X633">
        <v>0</v>
      </c>
      <c r="Y633" s="11"/>
      <c r="Z633" s="177">
        <v>0</v>
      </c>
      <c r="AA633" s="177">
        <v>0</v>
      </c>
      <c r="AB633" s="177">
        <v>0.05</v>
      </c>
      <c r="AC633" s="106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0.05</v>
      </c>
      <c r="AJ633">
        <v>0.05</v>
      </c>
    </row>
    <row r="634" spans="1:36" x14ac:dyDescent="0.25">
      <c r="A634" s="343" t="s">
        <v>102</v>
      </c>
      <c r="B634" s="15" t="s">
        <v>787</v>
      </c>
      <c r="C634" s="16"/>
      <c r="D634" s="16"/>
      <c r="E634" s="17" t="s">
        <v>285</v>
      </c>
      <c r="F634" s="18" t="s">
        <v>788</v>
      </c>
      <c r="G634" s="134" t="str">
        <f ca="1">_xlfn.FORMULATEXT(IN[[#This Row],[STAGE]])</f>
        <v>='[ka_PEQ_Nachweistool.xlsb]❄️K'!B31</v>
      </c>
      <c r="H634" s="20">
        <v>2</v>
      </c>
      <c r="I634" s="104">
        <f>'[1]❄️K'!B31</f>
        <v>0</v>
      </c>
      <c r="J634" s="135">
        <f>IF(IN[[#This Row],[Sim_]]=IN[[#This Row],[STAGE]],1,0)</f>
        <v>0</v>
      </c>
      <c r="K634" s="353">
        <f>K76</f>
        <v>0.02</v>
      </c>
      <c r="L634" s="130"/>
      <c r="M634" s="130">
        <f>IF(IN[[#This Row],[Sim_]]=IN[[#This Row],[Sim Var ref]],1,0)</f>
        <v>0</v>
      </c>
      <c r="N634" s="8"/>
      <c r="O634" s="8">
        <v>484</v>
      </c>
      <c r="P634" s="280"/>
      <c r="Q634" s="137">
        <f>IF(IN[[#This Row],[Sim_]]=IN[[#This Row],[Direkt alt]],1,0)</f>
        <v>0</v>
      </c>
      <c r="R634" s="10">
        <v>0.02</v>
      </c>
      <c r="S634" s="10">
        <f>IF(IN[[#This Row],[Sim_]]=IN[[#This Row],[Buffer]],1,0)</f>
        <v>1</v>
      </c>
      <c r="T634" s="11"/>
      <c r="U634" s="104">
        <f>'[1]❄️K'!M31</f>
        <v>0</v>
      </c>
      <c r="V634" s="281"/>
      <c r="X634">
        <v>0</v>
      </c>
      <c r="Y634" s="11"/>
      <c r="Z634" s="177">
        <v>0</v>
      </c>
      <c r="AA634" s="177">
        <v>0</v>
      </c>
      <c r="AB634" s="177">
        <v>0.02</v>
      </c>
      <c r="AC634" s="106">
        <v>0</v>
      </c>
      <c r="AD634">
        <v>0</v>
      </c>
      <c r="AE634" s="146">
        <v>0</v>
      </c>
      <c r="AF634" s="146">
        <v>0.02</v>
      </c>
      <c r="AG634">
        <v>0.02</v>
      </c>
      <c r="AH634">
        <v>0.02</v>
      </c>
      <c r="AI634">
        <v>0.02</v>
      </c>
      <c r="AJ634">
        <v>0.02</v>
      </c>
    </row>
    <row r="635" spans="1:36" x14ac:dyDescent="0.25">
      <c r="A635" s="343" t="s">
        <v>102</v>
      </c>
      <c r="B635" s="15" t="s">
        <v>789</v>
      </c>
      <c r="C635" s="16"/>
      <c r="D635" s="16"/>
      <c r="E635" s="17" t="s">
        <v>285</v>
      </c>
      <c r="F635" s="18" t="s">
        <v>790</v>
      </c>
      <c r="G635" s="134" t="str">
        <f ca="1">_xlfn.FORMULATEXT(IN[[#This Row],[STAGE]])</f>
        <v>='[ka_PEQ_Nachweistool.xlsb]❄️K'!B38</v>
      </c>
      <c r="H635" s="20">
        <v>2</v>
      </c>
      <c r="I635" s="104">
        <f>'[1]❄️K'!B38</f>
        <v>0</v>
      </c>
      <c r="J635" s="135">
        <f>IF(IN[[#This Row],[Sim_]]=IN[[#This Row],[STAGE]],1,0)</f>
        <v>0</v>
      </c>
      <c r="K635" s="353">
        <f>K76</f>
        <v>0.02</v>
      </c>
      <c r="L635" s="130"/>
      <c r="M635" s="130">
        <f>IF(IN[[#This Row],[Sim_]]=IN[[#This Row],[Sim Var ref]],1,0)</f>
        <v>0</v>
      </c>
      <c r="N635" s="8"/>
      <c r="O635" s="8">
        <v>485</v>
      </c>
      <c r="P635" s="280"/>
      <c r="Q635" s="137">
        <f>IF(IN[[#This Row],[Sim_]]=IN[[#This Row],[Direkt alt]],1,0)</f>
        <v>0</v>
      </c>
      <c r="R635" s="10">
        <v>0</v>
      </c>
      <c r="S635" s="10">
        <f>IF(IN[[#This Row],[Sim_]]=IN[[#This Row],[Buffer]],1,0)</f>
        <v>0</v>
      </c>
      <c r="T635" s="11"/>
      <c r="U635" s="104">
        <f>'[1]❄️K'!M38</f>
        <v>0</v>
      </c>
      <c r="V635" s="281"/>
      <c r="X635">
        <v>0</v>
      </c>
      <c r="Y635" s="11"/>
      <c r="Z635" s="177">
        <v>0</v>
      </c>
      <c r="AA635" s="177">
        <v>0</v>
      </c>
      <c r="AB635" s="177">
        <v>0.02</v>
      </c>
      <c r="AC635" s="106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0.02</v>
      </c>
      <c r="AJ635">
        <v>0.02</v>
      </c>
    </row>
    <row r="636" spans="1:36" x14ac:dyDescent="0.25">
      <c r="A636" s="343" t="s">
        <v>102</v>
      </c>
      <c r="B636" s="15" t="s">
        <v>791</v>
      </c>
      <c r="C636" s="16"/>
      <c r="D636" s="16"/>
      <c r="E636" s="17" t="s">
        <v>285</v>
      </c>
      <c r="F636" s="18" t="s">
        <v>792</v>
      </c>
      <c r="G636" s="134" t="str">
        <f ca="1">_xlfn.FORMULATEXT(IN[[#This Row],[STAGE]])</f>
        <v>='[ka_PEQ_Nachweistool.xlsb]❄️K'!B45</v>
      </c>
      <c r="H636" s="20">
        <v>2</v>
      </c>
      <c r="I636" s="104">
        <f>'[1]❄️K'!B45</f>
        <v>0</v>
      </c>
      <c r="J636" s="135">
        <f>IF(IN[[#This Row],[Sim_]]=IN[[#This Row],[STAGE]],1,0)</f>
        <v>0</v>
      </c>
      <c r="K636" s="353">
        <f>K77</f>
        <v>0.02</v>
      </c>
      <c r="L636" s="130"/>
      <c r="M636" s="130">
        <f>IF(IN[[#This Row],[Sim_]]=IN[[#This Row],[Sim Var ref]],1,0)</f>
        <v>0</v>
      </c>
      <c r="N636" s="8"/>
      <c r="O636" s="8">
        <v>486</v>
      </c>
      <c r="P636" s="280"/>
      <c r="Q636" s="137">
        <f>IF(IN[[#This Row],[Sim_]]=IN[[#This Row],[Direkt alt]],1,0)</f>
        <v>0</v>
      </c>
      <c r="R636" s="10">
        <v>0</v>
      </c>
      <c r="S636" s="10">
        <f>IF(IN[[#This Row],[Sim_]]=IN[[#This Row],[Buffer]],1,0)</f>
        <v>0</v>
      </c>
      <c r="T636" s="11"/>
      <c r="U636" s="104">
        <f>'[1]❄️K'!M45</f>
        <v>0</v>
      </c>
      <c r="V636" s="281"/>
      <c r="X636">
        <v>0</v>
      </c>
      <c r="Y636" s="11"/>
      <c r="Z636" s="177">
        <v>0</v>
      </c>
      <c r="AA636" s="177">
        <v>0</v>
      </c>
      <c r="AB636" s="177">
        <v>0.02</v>
      </c>
      <c r="AC636" s="10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0.02</v>
      </c>
      <c r="AJ636">
        <v>0.02</v>
      </c>
    </row>
    <row r="637" spans="1:36" x14ac:dyDescent="0.25">
      <c r="A637" s="343" t="s">
        <v>102</v>
      </c>
      <c r="B637" s="335" t="s">
        <v>793</v>
      </c>
      <c r="C637" s="336"/>
      <c r="D637" s="336"/>
      <c r="E637" s="351" t="s">
        <v>53</v>
      </c>
      <c r="F637" s="18"/>
      <c r="G637" s="134" t="e">
        <f ca="1">_xlfn.FORMULATEXT(IN[[#This Row],[STAGE]])</f>
        <v>#N/A</v>
      </c>
      <c r="H637" s="20">
        <v>0</v>
      </c>
      <c r="I637" s="104"/>
      <c r="J637" s="135">
        <f>IF(IN[[#This Row],[Sim_]]=IN[[#This Row],[STAGE]],1,0)</f>
        <v>0</v>
      </c>
      <c r="K637" s="352" t="s">
        <v>794</v>
      </c>
      <c r="L637" s="130"/>
      <c r="M637" s="130">
        <f>IF(IN[[#This Row],[Sim_]]=IN[[#This Row],[Sim Var ref]],1,0)</f>
        <v>0</v>
      </c>
      <c r="N637" s="8"/>
      <c r="O637" s="8">
        <v>487</v>
      </c>
      <c r="P637" s="280"/>
      <c r="Q637" s="137">
        <f>IF(IN[[#This Row],[Sim_]]=IN[[#This Row],[Direkt alt]],1,0)</f>
        <v>0</v>
      </c>
      <c r="R637" s="10"/>
      <c r="S637" s="10">
        <f>IF(IN[[#This Row],[Sim_]]=IN[[#This Row],[Buffer]],1,0)</f>
        <v>0</v>
      </c>
      <c r="T637" s="11"/>
      <c r="U637" s="104"/>
      <c r="V637" s="281"/>
      <c r="Y637" s="11"/>
      <c r="Z637" s="177"/>
      <c r="AA637" s="177">
        <v>0</v>
      </c>
      <c r="AB637" s="177"/>
      <c r="AC637" s="106"/>
    </row>
    <row r="638" spans="1:36" x14ac:dyDescent="0.25">
      <c r="A638" s="343" t="s">
        <v>102</v>
      </c>
      <c r="B638" s="15" t="s">
        <v>795</v>
      </c>
      <c r="C638" s="16"/>
      <c r="D638" s="16"/>
      <c r="E638" s="17" t="s">
        <v>262</v>
      </c>
      <c r="F638" s="18" t="s">
        <v>796</v>
      </c>
      <c r="G638" s="134" t="str">
        <f ca="1">_xlfn.FORMULATEXT(IN[[#This Row],[STAGE]])</f>
        <v>='[ka_PEQ_Nachweistool.xlsb]❄️K'!B34</v>
      </c>
      <c r="H638" s="20">
        <v>2</v>
      </c>
      <c r="I638" s="104">
        <f>'[1]❄️K'!B34</f>
        <v>0</v>
      </c>
      <c r="J638" s="135">
        <f>IF(IN[[#This Row],[Sim_]]=IN[[#This Row],[STAGE]],1,0)</f>
        <v>0</v>
      </c>
      <c r="K638" s="352" t="s">
        <v>774</v>
      </c>
      <c r="L638" s="130"/>
      <c r="M638" s="130">
        <f>IF(IN[[#This Row],[Sim_]]=IN[[#This Row],[Sim Var ref]],1,0)</f>
        <v>0</v>
      </c>
      <c r="N638" s="8"/>
      <c r="O638" s="8">
        <v>488</v>
      </c>
      <c r="P638" s="280"/>
      <c r="Q638" s="137">
        <f>IF(IN[[#This Row],[Sim_]]=IN[[#This Row],[Direkt alt]],1,0)</f>
        <v>0</v>
      </c>
      <c r="R638" s="10" t="s">
        <v>713</v>
      </c>
      <c r="S638" s="10">
        <f>IF(IN[[#This Row],[Sim_]]=IN[[#This Row],[Buffer]],1,0)</f>
        <v>0</v>
      </c>
      <c r="T638" s="11"/>
      <c r="U638" s="104">
        <f>'[1]❄️K'!M34</f>
        <v>0</v>
      </c>
      <c r="V638" s="281"/>
      <c r="X638" t="s">
        <v>713</v>
      </c>
      <c r="Y638" s="11"/>
      <c r="Z638" s="177" t="s">
        <v>713</v>
      </c>
      <c r="AA638" s="177">
        <v>0</v>
      </c>
      <c r="AB638" s="177" t="s">
        <v>774</v>
      </c>
      <c r="AC638" s="106" t="s">
        <v>713</v>
      </c>
      <c r="AD638" t="s">
        <v>713</v>
      </c>
      <c r="AE638" t="s">
        <v>713</v>
      </c>
      <c r="AF638" t="s">
        <v>713</v>
      </c>
      <c r="AG638" t="s">
        <v>713</v>
      </c>
      <c r="AH638" t="s">
        <v>713</v>
      </c>
      <c r="AI638" t="s">
        <v>774</v>
      </c>
      <c r="AJ638" t="s">
        <v>774</v>
      </c>
    </row>
    <row r="639" spans="1:36" x14ac:dyDescent="0.25">
      <c r="A639" s="343" t="s">
        <v>102</v>
      </c>
      <c r="B639" s="15" t="s">
        <v>797</v>
      </c>
      <c r="C639" s="16" t="s">
        <v>720</v>
      </c>
      <c r="D639" s="16"/>
      <c r="E639" s="17" t="s">
        <v>285</v>
      </c>
      <c r="F639" s="18" t="s">
        <v>798</v>
      </c>
      <c r="G639" s="134" t="str">
        <f ca="1">_xlfn.FORMULATEXT(IN[[#This Row],[STAGE]])</f>
        <v>='[ka_PEQ_Nachweistool.xlsb]❄️K'!B5</v>
      </c>
      <c r="H639" s="20">
        <v>2</v>
      </c>
      <c r="I639" s="104">
        <f>'[1]❄️K'!B5</f>
        <v>0</v>
      </c>
      <c r="J639" s="135">
        <f>IF(IN[[#This Row],[Sim_]]=IN[[#This Row],[STAGE]],1,0)</f>
        <v>0</v>
      </c>
      <c r="K639" s="197">
        <f>K54</f>
        <v>25</v>
      </c>
      <c r="L639" s="130"/>
      <c r="M639" s="130">
        <f>IF(IN[[#This Row],[Sim_]]=IN[[#This Row],[Sim Var ref]],1,0)</f>
        <v>0</v>
      </c>
      <c r="N639" s="8"/>
      <c r="O639" s="8">
        <v>489</v>
      </c>
      <c r="P639" s="280"/>
      <c r="Q639" s="137">
        <f>IF(IN[[#This Row],[Sim_]]=IN[[#This Row],[Direkt alt]],1,0)</f>
        <v>0</v>
      </c>
      <c r="R639" s="10">
        <v>26.000000000000004</v>
      </c>
      <c r="S639" s="10">
        <f>IF(IN[[#This Row],[Sim_]]=IN[[#This Row],[Buffer]],1,0)</f>
        <v>0</v>
      </c>
      <c r="T639" s="11"/>
      <c r="U639" s="104">
        <f>'[1]❄️K'!M5</f>
        <v>0</v>
      </c>
      <c r="V639" s="321">
        <f>V54</f>
        <v>25</v>
      </c>
      <c r="W639" s="321">
        <f>W54</f>
        <v>25</v>
      </c>
      <c r="X639" s="321">
        <v>25</v>
      </c>
      <c r="Y639" s="11"/>
      <c r="Z639" s="321">
        <v>25</v>
      </c>
      <c r="AA639" s="321">
        <v>25</v>
      </c>
      <c r="AB639" s="321">
        <v>25</v>
      </c>
      <c r="AC639" s="106">
        <v>25</v>
      </c>
      <c r="AD639">
        <v>26.000000000000004</v>
      </c>
      <c r="AE639">
        <v>26.000000000000004</v>
      </c>
      <c r="AF639">
        <v>26.000000000000004</v>
      </c>
      <c r="AG639">
        <v>26.000000000000004</v>
      </c>
      <c r="AH639">
        <v>26.000000000000004</v>
      </c>
      <c r="AI639">
        <v>25</v>
      </c>
      <c r="AJ639">
        <v>25</v>
      </c>
    </row>
    <row r="640" spans="1:36" ht="26.25" x14ac:dyDescent="0.25">
      <c r="A640" s="354"/>
      <c r="B640" s="354"/>
      <c r="C640" s="355" t="e">
        <f>ROWS(#REF!)-1</f>
        <v>#REF!</v>
      </c>
      <c r="D640" s="355" t="s">
        <v>293</v>
      </c>
      <c r="E640" s="354"/>
      <c r="F640" s="356"/>
      <c r="G640" s="357"/>
      <c r="H640" s="358">
        <v>0</v>
      </c>
      <c r="I640" s="354"/>
      <c r="J640" s="354"/>
      <c r="K640" s="354"/>
      <c r="L640" s="354"/>
      <c r="M640" s="354"/>
      <c r="N640" s="354"/>
      <c r="O640" s="354"/>
      <c r="P640" s="354"/>
      <c r="Q640" s="354"/>
      <c r="R640" s="354"/>
      <c r="S640" s="354"/>
      <c r="T640" s="354"/>
      <c r="U640" s="354"/>
      <c r="V640" s="265"/>
      <c r="W640" s="265"/>
      <c r="X640" s="265"/>
      <c r="Y640" s="265"/>
      <c r="Z640" s="265"/>
      <c r="AA640" s="265"/>
      <c r="AB640" s="265"/>
      <c r="AC640" s="265"/>
    </row>
    <row r="641" spans="1:36" x14ac:dyDescent="0.25">
      <c r="A641" s="359" t="s">
        <v>107</v>
      </c>
      <c r="B641" s="15" t="s">
        <v>799</v>
      </c>
      <c r="C641" s="16" t="s">
        <v>720</v>
      </c>
      <c r="D641" s="16"/>
      <c r="E641" s="17" t="s">
        <v>285</v>
      </c>
      <c r="F641" s="18" t="s">
        <v>800</v>
      </c>
      <c r="G641" s="134" t="str">
        <f ca="1">_xlfn.FORMULATEXT(IN[[#This Row],[STAGE]])</f>
        <v>='[ka_PEQ_Nachweistool.xlsb]💧WW'!B33</v>
      </c>
      <c r="H641" s="20">
        <v>2</v>
      </c>
      <c r="I641" s="104">
        <f>'[1]💧WW'!B33</f>
        <v>0</v>
      </c>
      <c r="J641" s="135">
        <f>IF(IN[[#This Row],[Sim_]]=IN[[#This Row],[STAGE]],1,0)</f>
        <v>0</v>
      </c>
      <c r="K641" s="136">
        <f>K64</f>
        <v>60</v>
      </c>
      <c r="L641" s="130"/>
      <c r="M641" s="130">
        <f>IF(IN[[#This Row],[Sim_]]=IN[[#This Row],[Sim Var ref]],1,0)</f>
        <v>0</v>
      </c>
      <c r="N641" s="8"/>
      <c r="O641" s="8">
        <v>490</v>
      </c>
      <c r="P641" s="280"/>
      <c r="Q641" s="137">
        <f>IF(IN[[#This Row],[Sim_]]=IN[[#This Row],[Direkt alt]],1,0)</f>
        <v>0</v>
      </c>
      <c r="R641" s="10">
        <v>60</v>
      </c>
      <c r="S641" s="10">
        <f>IF(IN[[#This Row],[Sim_]]=IN[[#This Row],[Buffer]],1,0)</f>
        <v>1</v>
      </c>
      <c r="T641" s="11">
        <f>T64</f>
        <v>60</v>
      </c>
      <c r="U641" s="104" t="e">
        <f>DHW_Tmin_constant</f>
        <v>#NAME?</v>
      </c>
      <c r="V641" s="11">
        <f t="shared" ref="V641:AA642" si="25">V64</f>
        <v>60</v>
      </c>
      <c r="W641" s="11">
        <f t="shared" si="25"/>
        <v>60</v>
      </c>
      <c r="X641" s="11">
        <v>60</v>
      </c>
      <c r="Y641" s="11">
        <f t="shared" si="25"/>
        <v>60</v>
      </c>
      <c r="Z641" s="11">
        <v>60</v>
      </c>
      <c r="AA641" s="11">
        <f t="shared" si="25"/>
        <v>60</v>
      </c>
      <c r="AB641" s="11">
        <v>60</v>
      </c>
      <c r="AC641" s="106">
        <v>60</v>
      </c>
      <c r="AD641">
        <v>60</v>
      </c>
      <c r="AE641">
        <v>60</v>
      </c>
      <c r="AF641">
        <v>60</v>
      </c>
      <c r="AG641">
        <v>60</v>
      </c>
      <c r="AH641">
        <v>60</v>
      </c>
      <c r="AI641">
        <v>60</v>
      </c>
      <c r="AJ641">
        <v>60</v>
      </c>
    </row>
    <row r="642" spans="1:36" x14ac:dyDescent="0.25">
      <c r="A642" s="359" t="s">
        <v>107</v>
      </c>
      <c r="B642" t="s">
        <v>801</v>
      </c>
      <c r="C642" t="s">
        <v>720</v>
      </c>
      <c r="E642" s="17" t="s">
        <v>285</v>
      </c>
      <c r="F642" s="18"/>
      <c r="G642" s="134" t="str">
        <f ca="1">_xlfn.FORMULATEXT(IN[[#This Row],[STAGE]])</f>
        <v>='[ka_PEQ_Nachweistool.xlsb]🔋'!B42</v>
      </c>
      <c r="H642" s="20">
        <v>2</v>
      </c>
      <c r="I642" s="104">
        <f>'[1]🔋'!B42</f>
        <v>0</v>
      </c>
      <c r="J642" s="135">
        <f>IF(IN[[#This Row],[Sim_]]=IN[[#This Row],[STAGE]],1,0)</f>
        <v>0</v>
      </c>
      <c r="K642" s="136">
        <f>K65</f>
        <v>70</v>
      </c>
      <c r="L642" s="130"/>
      <c r="M642" s="130">
        <f>IF(IN[[#This Row],[Sim_]]=IN[[#This Row],[Sim Var ref]],1,0)</f>
        <v>0</v>
      </c>
      <c r="N642" s="8"/>
      <c r="O642" s="8">
        <v>491</v>
      </c>
      <c r="P642" s="280"/>
      <c r="Q642" s="137">
        <f>IF(IN[[#This Row],[Sim_]]=IN[[#This Row],[Direkt alt]],1,0)</f>
        <v>0</v>
      </c>
      <c r="R642" s="10">
        <v>70</v>
      </c>
      <c r="S642" s="10">
        <f>IF(IN[[#This Row],[Sim_]]=IN[[#This Row],[Buffer]],1,0)</f>
        <v>1</v>
      </c>
      <c r="T642" s="11">
        <f>T65</f>
        <v>70</v>
      </c>
      <c r="U642" s="104">
        <f>'[1]🔋'!M42</f>
        <v>0</v>
      </c>
      <c r="V642" s="11">
        <f t="shared" si="25"/>
        <v>70</v>
      </c>
      <c r="W642" s="11">
        <f t="shared" si="25"/>
        <v>70</v>
      </c>
      <c r="X642" s="11">
        <v>70</v>
      </c>
      <c r="Y642" s="11">
        <f t="shared" si="25"/>
        <v>70</v>
      </c>
      <c r="Z642" s="11">
        <v>70</v>
      </c>
      <c r="AA642" s="11">
        <f t="shared" si="25"/>
        <v>70</v>
      </c>
      <c r="AB642" s="11">
        <v>70</v>
      </c>
      <c r="AC642" s="106">
        <v>70</v>
      </c>
      <c r="AD642">
        <v>70</v>
      </c>
      <c r="AE642">
        <v>70</v>
      </c>
      <c r="AF642">
        <v>70</v>
      </c>
      <c r="AG642">
        <v>70</v>
      </c>
      <c r="AH642">
        <v>70</v>
      </c>
      <c r="AI642">
        <v>70</v>
      </c>
      <c r="AJ642">
        <v>70</v>
      </c>
    </row>
    <row r="643" spans="1:36" x14ac:dyDescent="0.25">
      <c r="A643" s="359" t="s">
        <v>107</v>
      </c>
      <c r="B643" t="s">
        <v>802</v>
      </c>
      <c r="C643" t="s">
        <v>720</v>
      </c>
      <c r="E643" s="17" t="s">
        <v>78</v>
      </c>
      <c r="F643" s="18" t="s">
        <v>803</v>
      </c>
      <c r="G643" s="134" t="str">
        <f ca="1">_xlfn.FORMULATEXT(IN[[#This Row],[STAGE]])</f>
        <v>=MIN(I642;DHW_Tmax_constant)</v>
      </c>
      <c r="H643" s="20">
        <v>0</v>
      </c>
      <c r="I643" s="104">
        <f>MIN(I642,DHW_Tmax_constant)</f>
        <v>0</v>
      </c>
      <c r="J643" s="135">
        <f>IF(IN[[#This Row],[Sim_]]=IN[[#This Row],[STAGE]],1,0)</f>
        <v>1</v>
      </c>
      <c r="K643" s="360"/>
      <c r="L643" s="130"/>
      <c r="M643" s="130">
        <f>IF(IN[[#This Row],[Sim_]]=IN[[#This Row],[Sim Var ref]],1,0)</f>
        <v>1</v>
      </c>
      <c r="N643" s="8"/>
      <c r="O643" s="8"/>
      <c r="P643" s="280"/>
      <c r="Q643" s="137">
        <f>IF(IN[[#This Row],[Sim_]]=IN[[#This Row],[Direkt alt]],1,0)</f>
        <v>1</v>
      </c>
      <c r="R643" s="10">
        <v>70</v>
      </c>
      <c r="S643" s="10">
        <f>IF(IN[[#This Row],[Sim_]]=IN[[#This Row],[Buffer]],1,0)</f>
        <v>0</v>
      </c>
      <c r="T643" s="11"/>
      <c r="U643" s="145"/>
      <c r="V643" s="11"/>
      <c r="W643" s="11"/>
      <c r="X643" s="11">
        <v>70</v>
      </c>
      <c r="Y643" s="11"/>
      <c r="Z643" s="361">
        <v>70</v>
      </c>
      <c r="AA643" s="11"/>
      <c r="AB643" s="11">
        <v>70</v>
      </c>
      <c r="AC643" s="106">
        <v>70</v>
      </c>
      <c r="AD643">
        <v>70</v>
      </c>
      <c r="AE643">
        <v>70</v>
      </c>
      <c r="AF643">
        <v>70</v>
      </c>
      <c r="AG643">
        <v>70</v>
      </c>
      <c r="AH643">
        <v>70</v>
      </c>
      <c r="AI643">
        <v>70</v>
      </c>
      <c r="AJ643">
        <v>70</v>
      </c>
    </row>
    <row r="644" spans="1:36" x14ac:dyDescent="0.25">
      <c r="A644" s="359" t="s">
        <v>107</v>
      </c>
      <c r="B644" s="15" t="s">
        <v>804</v>
      </c>
      <c r="C644" s="16"/>
      <c r="D644" s="16"/>
      <c r="E644" s="17" t="s">
        <v>262</v>
      </c>
      <c r="F644" s="18"/>
      <c r="G644" s="134" t="str">
        <f ca="1">_xlfn.FORMULATEXT(IN[[#This Row],[STAGE]])</f>
        <v>='[ka_PEQ_Nachweistool.xlsb]💧WW'!B21</v>
      </c>
      <c r="H644" s="20">
        <v>2</v>
      </c>
      <c r="I644" s="104">
        <f>'[1]💧WW'!B21</f>
        <v>0</v>
      </c>
      <c r="J644" s="135">
        <f>IF(IN[[#This Row],[Sim_]]=IN[[#This Row],[STAGE]],1,0)</f>
        <v>0</v>
      </c>
      <c r="K644" s="275">
        <v>1</v>
      </c>
      <c r="L644" s="130"/>
      <c r="M644" s="130">
        <f>IF(IN[[#This Row],[Sim_]]=IN[[#This Row],[Sim Var ref]],1,0)</f>
        <v>0</v>
      </c>
      <c r="N644" s="8"/>
      <c r="O644" s="8">
        <v>492</v>
      </c>
      <c r="P644" s="280"/>
      <c r="Q644" s="137">
        <f>IF(IN[[#This Row],[Sim_]]=IN[[#This Row],[Direkt alt]],1,0)</f>
        <v>0</v>
      </c>
      <c r="R644" s="10">
        <v>1</v>
      </c>
      <c r="S644" s="10">
        <f>IF(IN[[#This Row],[Sim_]]=IN[[#This Row],[Buffer]],1,0)</f>
        <v>1</v>
      </c>
      <c r="T644" s="11">
        <v>1</v>
      </c>
      <c r="U644" s="104">
        <f>'[1]💧WW'!M21</f>
        <v>0</v>
      </c>
      <c r="V644" s="281">
        <v>1</v>
      </c>
      <c r="W644">
        <v>1</v>
      </c>
      <c r="X644">
        <v>1</v>
      </c>
      <c r="Y644" s="11">
        <v>1</v>
      </c>
      <c r="Z644" s="177">
        <v>1</v>
      </c>
      <c r="AA644" s="130">
        <v>1</v>
      </c>
      <c r="AB644" s="130">
        <v>1</v>
      </c>
      <c r="AC644" s="106">
        <v>0.5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25">
      <c r="A645" s="359" t="s">
        <v>107</v>
      </c>
      <c r="B645" s="15" t="s">
        <v>805</v>
      </c>
      <c r="C645" s="16"/>
      <c r="D645" s="16"/>
      <c r="E645" s="17" t="s">
        <v>262</v>
      </c>
      <c r="F645" s="18"/>
      <c r="G645" s="134" t="str">
        <f ca="1">_xlfn.FORMULATEXT(IN[[#This Row],[STAGE]])</f>
        <v>='[ka_PEQ_Nachweistool.xlsb]💧WW'!B22</v>
      </c>
      <c r="H645" s="20">
        <v>2</v>
      </c>
      <c r="I645" s="104">
        <f>'[1]💧WW'!B22</f>
        <v>0</v>
      </c>
      <c r="J645" s="135">
        <f>IF(IN[[#This Row],[Sim_]]=IN[[#This Row],[STAGE]],1,0)</f>
        <v>0</v>
      </c>
      <c r="K645" s="275">
        <v>1</v>
      </c>
      <c r="L645" s="130"/>
      <c r="M645" s="130">
        <f>IF(IN[[#This Row],[Sim_]]=IN[[#This Row],[Sim Var ref]],1,0)</f>
        <v>0</v>
      </c>
      <c r="N645" s="8"/>
      <c r="O645" s="8">
        <v>493</v>
      </c>
      <c r="P645" s="280"/>
      <c r="Q645" s="137">
        <f>IF(IN[[#This Row],[Sim_]]=IN[[#This Row],[Direkt alt]],1,0)</f>
        <v>0</v>
      </c>
      <c r="R645" s="10">
        <v>1</v>
      </c>
      <c r="S645" s="10">
        <f>IF(IN[[#This Row],[Sim_]]=IN[[#This Row],[Buffer]],1,0)</f>
        <v>1</v>
      </c>
      <c r="T645" s="11">
        <v>1</v>
      </c>
      <c r="U645" s="104">
        <f>'[1]💧WW'!M22</f>
        <v>0</v>
      </c>
      <c r="V645" s="281">
        <v>1</v>
      </c>
      <c r="W645">
        <v>1</v>
      </c>
      <c r="X645">
        <v>1</v>
      </c>
      <c r="Y645" s="11">
        <v>1</v>
      </c>
      <c r="Z645" s="177">
        <v>1</v>
      </c>
      <c r="AA645" s="130">
        <v>1</v>
      </c>
      <c r="AB645" s="130">
        <v>1</v>
      </c>
      <c r="AC645" s="106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25">
      <c r="A646" s="359" t="s">
        <v>107</v>
      </c>
      <c r="B646" s="15" t="s">
        <v>806</v>
      </c>
      <c r="C646" s="16"/>
      <c r="D646" s="16"/>
      <c r="E646" s="17" t="s">
        <v>262</v>
      </c>
      <c r="F646" s="18"/>
      <c r="G646" s="134" t="str">
        <f ca="1">_xlfn.FORMULATEXT(IN[[#This Row],[STAGE]])</f>
        <v>='[ka_PEQ_Nachweistool.xlsb]💧WW'!B24</v>
      </c>
      <c r="H646" s="20">
        <v>2</v>
      </c>
      <c r="I646" s="104">
        <f>'[1]💧WW'!B24</f>
        <v>0</v>
      </c>
      <c r="J646" s="135">
        <f>IF(IN[[#This Row],[Sim_]]=IN[[#This Row],[STAGE]],1,0)</f>
        <v>0</v>
      </c>
      <c r="K646" s="275">
        <v>1</v>
      </c>
      <c r="L646" s="130"/>
      <c r="M646" s="130">
        <f>IF(IN[[#This Row],[Sim_]]=IN[[#This Row],[Sim Var ref]],1,0)</f>
        <v>0</v>
      </c>
      <c r="N646" s="8"/>
      <c r="O646" s="8">
        <v>494</v>
      </c>
      <c r="P646" s="280"/>
      <c r="Q646" s="137">
        <f>IF(IN[[#This Row],[Sim_]]=IN[[#This Row],[Direkt alt]],1,0)</f>
        <v>0</v>
      </c>
      <c r="R646" s="10">
        <v>1</v>
      </c>
      <c r="S646" s="10">
        <f>IF(IN[[#This Row],[Sim_]]=IN[[#This Row],[Buffer]],1,0)</f>
        <v>1</v>
      </c>
      <c r="T646" s="11">
        <v>1</v>
      </c>
      <c r="U646" s="104">
        <f>'[1]💧WW'!M24</f>
        <v>0</v>
      </c>
      <c r="V646" s="281">
        <v>1</v>
      </c>
      <c r="W646">
        <v>1</v>
      </c>
      <c r="X646">
        <v>1</v>
      </c>
      <c r="Y646" s="11">
        <v>1</v>
      </c>
      <c r="Z646" s="177">
        <v>1</v>
      </c>
      <c r="AA646" s="130">
        <v>1</v>
      </c>
      <c r="AB646" s="130">
        <v>1</v>
      </c>
      <c r="AC646" s="10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25">
      <c r="A647" s="359" t="s">
        <v>107</v>
      </c>
      <c r="B647" s="15" t="s">
        <v>807</v>
      </c>
      <c r="C647" s="16"/>
      <c r="D647" s="16"/>
      <c r="E647" s="17" t="s">
        <v>262</v>
      </c>
      <c r="F647" s="18"/>
      <c r="G647" s="134" t="str">
        <f ca="1">_xlfn.FORMULATEXT(IN[[#This Row],[STAGE]])</f>
        <v>='[ka_PEQ_Nachweistool.xlsb]💧WW'!B23</v>
      </c>
      <c r="H647" s="20">
        <v>2</v>
      </c>
      <c r="I647" s="104">
        <f>'[1]💧WW'!B23</f>
        <v>0</v>
      </c>
      <c r="J647" s="135">
        <f>IF(IN[[#This Row],[Sim_]]=IN[[#This Row],[STAGE]],1,0)</f>
        <v>0</v>
      </c>
      <c r="K647" s="275">
        <v>1</v>
      </c>
      <c r="L647" s="130"/>
      <c r="M647" s="130">
        <f>IF(IN[[#This Row],[Sim_]]=IN[[#This Row],[Sim Var ref]],1,0)</f>
        <v>0</v>
      </c>
      <c r="N647" s="8"/>
      <c r="O647" s="8">
        <v>495</v>
      </c>
      <c r="P647" s="280"/>
      <c r="Q647" s="137">
        <f>IF(IN[[#This Row],[Sim_]]=IN[[#This Row],[Direkt alt]],1,0)</f>
        <v>0</v>
      </c>
      <c r="R647" s="10">
        <v>1</v>
      </c>
      <c r="S647" s="10">
        <f>IF(IN[[#This Row],[Sim_]]=IN[[#This Row],[Buffer]],1,0)</f>
        <v>1</v>
      </c>
      <c r="T647" s="11">
        <v>1</v>
      </c>
      <c r="U647" s="104">
        <f>'[1]💧WW'!M23</f>
        <v>0</v>
      </c>
      <c r="V647" s="281">
        <v>1</v>
      </c>
      <c r="W647">
        <v>1</v>
      </c>
      <c r="X647">
        <v>1</v>
      </c>
      <c r="Y647" s="11">
        <v>1</v>
      </c>
      <c r="Z647" s="177">
        <v>1</v>
      </c>
      <c r="AA647" s="130">
        <v>1</v>
      </c>
      <c r="AB647" s="130">
        <v>1</v>
      </c>
      <c r="AC647" s="106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25">
      <c r="A648" s="359" t="s">
        <v>107</v>
      </c>
      <c r="B648" s="15" t="s">
        <v>808</v>
      </c>
      <c r="C648" s="16"/>
      <c r="D648" s="16"/>
      <c r="E648" s="17" t="s">
        <v>262</v>
      </c>
      <c r="F648" s="18"/>
      <c r="G648" s="134" t="str">
        <f ca="1">_xlfn.FORMULATEXT(IN[[#This Row],[STAGE]])</f>
        <v>='[ka_PEQ_Nachweistool.xlsb]💧WW'!B25</v>
      </c>
      <c r="H648" s="20">
        <v>2</v>
      </c>
      <c r="I648" s="104">
        <f>'[1]💧WW'!B25</f>
        <v>0</v>
      </c>
      <c r="J648" s="135">
        <f>IF(IN[[#This Row],[Sim_]]=IN[[#This Row],[STAGE]],1,0)</f>
        <v>0</v>
      </c>
      <c r="K648" s="275">
        <v>1</v>
      </c>
      <c r="L648" s="130"/>
      <c r="M648" s="130">
        <f>IF(IN[[#This Row],[Sim_]]=IN[[#This Row],[Sim Var ref]],1,0)</f>
        <v>0</v>
      </c>
      <c r="N648" s="8"/>
      <c r="O648" s="8">
        <v>496</v>
      </c>
      <c r="P648" s="280"/>
      <c r="Q648" s="137">
        <f>IF(IN[[#This Row],[Sim_]]=IN[[#This Row],[Direkt alt]],1,0)</f>
        <v>0</v>
      </c>
      <c r="R648" s="10">
        <v>1</v>
      </c>
      <c r="S648" s="10">
        <f>IF(IN[[#This Row],[Sim_]]=IN[[#This Row],[Buffer]],1,0)</f>
        <v>1</v>
      </c>
      <c r="T648" s="11">
        <v>1</v>
      </c>
      <c r="U648" s="104">
        <f>'[1]💧WW'!M25</f>
        <v>0</v>
      </c>
      <c r="V648" s="281">
        <v>1</v>
      </c>
      <c r="W648">
        <v>1</v>
      </c>
      <c r="X648">
        <v>1</v>
      </c>
      <c r="Y648" s="11">
        <v>1</v>
      </c>
      <c r="Z648" s="177">
        <v>1</v>
      </c>
      <c r="AA648" s="130">
        <v>1</v>
      </c>
      <c r="AB648" s="130">
        <v>1</v>
      </c>
      <c r="AC648" s="106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25">
      <c r="A649" s="359" t="s">
        <v>107</v>
      </c>
      <c r="B649" s="15" t="s">
        <v>809</v>
      </c>
      <c r="C649" s="16"/>
      <c r="D649" s="16"/>
      <c r="E649" s="17" t="s">
        <v>262</v>
      </c>
      <c r="F649" s="18"/>
      <c r="G649" s="134" t="str">
        <f ca="1">_xlfn.FORMULATEXT(IN[[#This Row],[STAGE]])</f>
        <v>='[ka_PEQ_Nachweistool.xlsb]💧WW'!B26</v>
      </c>
      <c r="H649" s="20">
        <v>2</v>
      </c>
      <c r="I649" s="104">
        <f>'[1]💧WW'!B26</f>
        <v>0</v>
      </c>
      <c r="J649" s="135">
        <f>IF(IN[[#This Row],[Sim_]]=IN[[#This Row],[STAGE]],1,0)</f>
        <v>0</v>
      </c>
      <c r="K649" s="275">
        <v>1</v>
      </c>
      <c r="L649" s="130"/>
      <c r="M649" s="130">
        <f>IF(IN[[#This Row],[Sim_]]=IN[[#This Row],[Sim Var ref]],1,0)</f>
        <v>0</v>
      </c>
      <c r="N649" s="8"/>
      <c r="O649" s="8">
        <v>497</v>
      </c>
      <c r="P649" s="280"/>
      <c r="Q649" s="137">
        <f>IF(IN[[#This Row],[Sim_]]=IN[[#This Row],[Direkt alt]],1,0)</f>
        <v>0</v>
      </c>
      <c r="R649" s="10">
        <v>1</v>
      </c>
      <c r="S649" s="10">
        <f>IF(IN[[#This Row],[Sim_]]=IN[[#This Row],[Buffer]],1,0)</f>
        <v>1</v>
      </c>
      <c r="T649" s="11">
        <v>1</v>
      </c>
      <c r="U649" s="104">
        <f>'[1]💧WW'!M26</f>
        <v>0</v>
      </c>
      <c r="V649" s="281">
        <v>1</v>
      </c>
      <c r="W649">
        <v>1</v>
      </c>
      <c r="X649">
        <v>1</v>
      </c>
      <c r="Y649" s="11">
        <v>1</v>
      </c>
      <c r="Z649" s="177">
        <v>1</v>
      </c>
      <c r="AA649" s="130">
        <v>1</v>
      </c>
      <c r="AB649" s="130">
        <v>1</v>
      </c>
      <c r="AC649" s="106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25">
      <c r="A650" s="359" t="s">
        <v>107</v>
      </c>
      <c r="B650" s="15" t="s">
        <v>810</v>
      </c>
      <c r="C650" s="16"/>
      <c r="D650" s="16"/>
      <c r="E650" s="17" t="s">
        <v>262</v>
      </c>
      <c r="F650" s="18"/>
      <c r="G650" s="134" t="str">
        <f ca="1">_xlfn.FORMULATEXT(IN[[#This Row],[STAGE]])</f>
        <v>='[ka_PEQ_Nachweistool.xlsb]💧WW'!B27</v>
      </c>
      <c r="H650" s="20">
        <v>2</v>
      </c>
      <c r="I650" s="104">
        <f>'[1]💧WW'!B27</f>
        <v>0</v>
      </c>
      <c r="J650" s="135">
        <f>IF(IN[[#This Row],[Sim_]]=IN[[#This Row],[STAGE]],1,0)</f>
        <v>0</v>
      </c>
      <c r="K650" s="275">
        <v>1</v>
      </c>
      <c r="L650" s="130"/>
      <c r="M650" s="130">
        <f>IF(IN[[#This Row],[Sim_]]=IN[[#This Row],[Sim Var ref]],1,0)</f>
        <v>0</v>
      </c>
      <c r="N650" s="8"/>
      <c r="O650" s="8">
        <v>498</v>
      </c>
      <c r="P650" s="280"/>
      <c r="Q650" s="137">
        <f>IF(IN[[#This Row],[Sim_]]=IN[[#This Row],[Direkt alt]],1,0)</f>
        <v>0</v>
      </c>
      <c r="R650" s="10">
        <v>1</v>
      </c>
      <c r="S650" s="10">
        <f>IF(IN[[#This Row],[Sim_]]=IN[[#This Row],[Buffer]],1,0)</f>
        <v>1</v>
      </c>
      <c r="T650" s="11">
        <v>1</v>
      </c>
      <c r="U650" s="104">
        <f>'[1]💧WW'!M27</f>
        <v>0</v>
      </c>
      <c r="V650" s="281">
        <v>1</v>
      </c>
      <c r="W650">
        <v>1</v>
      </c>
      <c r="X650">
        <v>1</v>
      </c>
      <c r="Y650" s="11">
        <v>1</v>
      </c>
      <c r="Z650" s="177">
        <v>1</v>
      </c>
      <c r="AA650" s="130">
        <v>1</v>
      </c>
      <c r="AB650" s="130">
        <v>1</v>
      </c>
      <c r="AC650" s="106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25">
      <c r="A651" s="359" t="s">
        <v>107</v>
      </c>
      <c r="B651" s="15" t="s">
        <v>811</v>
      </c>
      <c r="C651" s="16" t="s">
        <v>812</v>
      </c>
      <c r="D651" s="16"/>
      <c r="E651" s="17" t="s">
        <v>78</v>
      </c>
      <c r="F651" s="18"/>
      <c r="G651" s="134" t="str">
        <f ca="1">_xlfn.FORMULATEXT(IN[[#This Row],[STAGE]])</f>
        <v>=DHW_storage_liter_pPerson*'[ka_PEQ_Nachweistool.xlsb]⚙'!#BEZUG!/'[ka_PEQ_Nachweistool.xlsb]⚙'!#BEZUG!*NFA_residential</v>
      </c>
      <c r="H651" s="20">
        <v>0</v>
      </c>
      <c r="I651" s="197" t="e">
        <f>DHW_storage_liter_pPerson*'[1]⚙'!#REF!/'[1]⚙'!#REF!*NFA_residential</f>
        <v>#REF!</v>
      </c>
      <c r="J651" s="135" t="e">
        <f>IF(IN[[#This Row],[Sim_]]=IN[[#This Row],[STAGE]],1,0)</f>
        <v>#REF!</v>
      </c>
      <c r="K651" s="279"/>
      <c r="L651" s="130"/>
      <c r="M651" s="130">
        <f>IF(IN[[#This Row],[Sim_]]=IN[[#This Row],[Sim Var ref]],1,0)</f>
        <v>1</v>
      </c>
      <c r="N651" s="8"/>
      <c r="O651" s="8">
        <v>499</v>
      </c>
      <c r="P651" s="280"/>
      <c r="Q651" s="137">
        <f>IF(IN[[#This Row],[Sim_]]=IN[[#This Row],[Direkt alt]],1,0)</f>
        <v>1</v>
      </c>
      <c r="R651" s="10">
        <v>15681.534772182253</v>
      </c>
      <c r="S651" s="10">
        <f>IF(IN[[#This Row],[Sim_]]=IN[[#This Row],[Buffer]],1,0)</f>
        <v>0</v>
      </c>
      <c r="T651" s="11"/>
      <c r="U651" s="104" t="e">
        <f>DHW_storage_liter_pPerson*'[1]⚙'!K59/'[1]⚙'!K47*NFA_residential</f>
        <v>#DIV/0!</v>
      </c>
      <c r="V651" s="281"/>
      <c r="X651">
        <v>460.43165467625897</v>
      </c>
      <c r="Y651" s="11"/>
      <c r="Z651" s="177">
        <v>460.43165467625897</v>
      </c>
      <c r="AA651" s="130"/>
      <c r="AB651" s="130">
        <v>1682.1294964028775</v>
      </c>
      <c r="AC651" s="106">
        <v>460.43165467625897</v>
      </c>
      <c r="AD651">
        <v>15681.534772182253</v>
      </c>
      <c r="AE651">
        <v>15681.534772182253</v>
      </c>
      <c r="AF651">
        <v>15681.534772182253</v>
      </c>
      <c r="AG651">
        <v>15681.534772182253</v>
      </c>
      <c r="AH651">
        <v>15681.534772182253</v>
      </c>
      <c r="AI651">
        <v>1682.1294964028775</v>
      </c>
      <c r="AJ651">
        <v>1682.1294964028775</v>
      </c>
    </row>
    <row r="652" spans="1:36" x14ac:dyDescent="0.25">
      <c r="A652" s="359" t="s">
        <v>107</v>
      </c>
      <c r="B652" s="15" t="s">
        <v>813</v>
      </c>
      <c r="C652" s="16" t="s">
        <v>812</v>
      </c>
      <c r="D652" s="16"/>
      <c r="E652" s="17" t="s">
        <v>78</v>
      </c>
      <c r="F652" s="18"/>
      <c r="G652" s="134" t="str">
        <f ca="1">_xlfn.FORMULATEXT(IN[[#This Row],[STAGE]])</f>
        <v>=DHW_storage_liter_pPerson*'[ka_PEQ_Nachweistool.xlsb]⚙'!#BEZUG!/'[ka_PEQ_Nachweistool.xlsb]⚙'!#BEZUG!*NFA_office</v>
      </c>
      <c r="H652" s="20">
        <v>0</v>
      </c>
      <c r="I652" s="197" t="e">
        <f>DHW_storage_liter_pPerson*'[1]⚙'!#REF!/'[1]⚙'!#REF!*NFA_office</f>
        <v>#REF!</v>
      </c>
      <c r="J652" s="135" t="e">
        <f>IF(IN[[#This Row],[Sim_]]=IN[[#This Row],[STAGE]],1,0)</f>
        <v>#REF!</v>
      </c>
      <c r="K652" s="279"/>
      <c r="L652" s="130"/>
      <c r="M652" s="130">
        <f>IF(IN[[#This Row],[Sim_]]=IN[[#This Row],[Sim Var ref]],1,0)</f>
        <v>1</v>
      </c>
      <c r="N652" s="8"/>
      <c r="O652" s="8">
        <v>500</v>
      </c>
      <c r="P652" s="280"/>
      <c r="Q652" s="137">
        <f>IF(IN[[#This Row],[Sim_]]=IN[[#This Row],[Direkt alt]],1,0)</f>
        <v>1</v>
      </c>
      <c r="R652" s="10">
        <v>1153.3559322033898</v>
      </c>
      <c r="S652" s="10">
        <f>IF(IN[[#This Row],[Sim_]]=IN[[#This Row],[Buffer]],1,0)</f>
        <v>0</v>
      </c>
      <c r="T652" s="11"/>
      <c r="U652" s="104" t="e">
        <f>DHW_storage_liter_pPerson*'[1]⚙'!K60/'[1]⚙'!K48*NFA_office</f>
        <v>#DIV/0!</v>
      </c>
      <c r="V652" s="281"/>
      <c r="X652">
        <v>325.42372881355931</v>
      </c>
      <c r="Y652" s="11"/>
      <c r="Z652" s="177">
        <v>325.42372881355931</v>
      </c>
      <c r="AA652" s="130"/>
      <c r="AB652" s="130">
        <v>854.46101694915262</v>
      </c>
      <c r="AC652" s="106">
        <v>325.42372881355931</v>
      </c>
      <c r="AD652">
        <v>1153.3559322033898</v>
      </c>
      <c r="AE652">
        <v>1153.3559322033898</v>
      </c>
      <c r="AF652">
        <v>1153.3559322033898</v>
      </c>
      <c r="AG652">
        <v>1153.3559322033898</v>
      </c>
      <c r="AH652">
        <v>1153.3559322033898</v>
      </c>
      <c r="AI652">
        <v>854.46101694915262</v>
      </c>
      <c r="AJ652">
        <v>854.46101694915262</v>
      </c>
    </row>
    <row r="653" spans="1:36" x14ac:dyDescent="0.25">
      <c r="A653" s="359" t="s">
        <v>107</v>
      </c>
      <c r="B653" s="15" t="s">
        <v>814</v>
      </c>
      <c r="C653" s="16" t="s">
        <v>812</v>
      </c>
      <c r="D653" s="16"/>
      <c r="E653" s="17" t="s">
        <v>78</v>
      </c>
      <c r="F653" s="18"/>
      <c r="G653" s="134" t="str">
        <f ca="1">_xlfn.FORMULATEXT(IN[[#This Row],[STAGE]])</f>
        <v>=DHW_storage_liter_pPerson*DHW_storage_liter_pPerson*'[ka_PEQ_Nachweistool.xlsb]⚙'!#BEZUG!/'[ka_PEQ_Nachweistool.xlsb]⚙'!#BEZUG!*NFA_schoolsec</v>
      </c>
      <c r="H653" s="20">
        <v>0</v>
      </c>
      <c r="I653" s="197" t="e">
        <f>DHW_storage_liter_pPerson*DHW_storage_liter_pPerson*'[1]⚙'!#REF!/'[1]⚙'!#REF!*NFA_schoolsec</f>
        <v>#REF!</v>
      </c>
      <c r="J653" s="135" t="e">
        <f>IF(IN[[#This Row],[Sim_]]=IN[[#This Row],[STAGE]],1,0)</f>
        <v>#REF!</v>
      </c>
      <c r="K653" s="279"/>
      <c r="L653" s="130"/>
      <c r="M653" s="130">
        <f>IF(IN[[#This Row],[Sim_]]=IN[[#This Row],[Sim Var ref]],1,0)</f>
        <v>1</v>
      </c>
      <c r="N653" s="8"/>
      <c r="O653" s="8">
        <v>501</v>
      </c>
      <c r="P653" s="280"/>
      <c r="Q653" s="137">
        <f>IF(IN[[#This Row],[Sim_]]=IN[[#This Row],[Direkt alt]],1,0)</f>
        <v>1</v>
      </c>
      <c r="R653" s="10">
        <v>0</v>
      </c>
      <c r="S653" s="10">
        <f>IF(IN[[#This Row],[Sim_]]=IN[[#This Row],[Buffer]],1,0)</f>
        <v>1</v>
      </c>
      <c r="T653" s="11"/>
      <c r="U653" s="104" t="e">
        <f>DHW_storage_liter_pPerson*DHW_storage_liter_pPerson*'[1]⚙'!K61/'[1]⚙'!K49*NFA_schoolsec</f>
        <v>#DIV/0!</v>
      </c>
      <c r="V653" s="281"/>
      <c r="X653">
        <v>0</v>
      </c>
      <c r="Y653" s="11"/>
      <c r="Z653" s="177">
        <v>0</v>
      </c>
      <c r="AA653" s="130"/>
      <c r="AB653" s="130">
        <v>0</v>
      </c>
      <c r="AC653" s="106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s="359" t="s">
        <v>107</v>
      </c>
      <c r="B654" s="15" t="s">
        <v>815</v>
      </c>
      <c r="C654" s="16" t="s">
        <v>812</v>
      </c>
      <c r="D654" s="16"/>
      <c r="E654" s="17" t="s">
        <v>78</v>
      </c>
      <c r="F654" s="18"/>
      <c r="G654" s="134" t="str">
        <f ca="1">_xlfn.FORMULATEXT(IN[[#This Row],[STAGE]])</f>
        <v>=DHW_storage_liter_pPerson*'[ka_PEQ_Nachweistool.xlsb]⚙'!#BEZUG!/'[ka_PEQ_Nachweistool.xlsb]⚙'!#BEZUG!*NFA_schoolprim</v>
      </c>
      <c r="H654" s="20">
        <v>0</v>
      </c>
      <c r="I654" s="197" t="e">
        <f>DHW_storage_liter_pPerson*'[1]⚙'!#REF!/'[1]⚙'!#REF!*NFA_schoolprim</f>
        <v>#REF!</v>
      </c>
      <c r="J654" s="135" t="e">
        <f>IF(IN[[#This Row],[Sim_]]=IN[[#This Row],[STAGE]],1,0)</f>
        <v>#REF!</v>
      </c>
      <c r="K654" s="279"/>
      <c r="L654" s="130"/>
      <c r="M654" s="130">
        <f>IF(IN[[#This Row],[Sim_]]=IN[[#This Row],[Sim Var ref]],1,0)</f>
        <v>1</v>
      </c>
      <c r="N654" s="8"/>
      <c r="O654" s="8">
        <v>502</v>
      </c>
      <c r="P654" s="280"/>
      <c r="Q654" s="137">
        <f>IF(IN[[#This Row],[Sim_]]=IN[[#This Row],[Direkt alt]],1,0)</f>
        <v>1</v>
      </c>
      <c r="R654" s="10">
        <v>0</v>
      </c>
      <c r="S654" s="10">
        <f>IF(IN[[#This Row],[Sim_]]=IN[[#This Row],[Buffer]],1,0)</f>
        <v>1</v>
      </c>
      <c r="T654" s="11"/>
      <c r="U654" s="104" t="e">
        <f>DHW_storage_liter_pPerson*'[1]⚙'!K62/'[1]⚙'!K50*NFA_schoolprim</f>
        <v>#DIV/0!</v>
      </c>
      <c r="V654" s="281"/>
      <c r="X654">
        <v>0</v>
      </c>
      <c r="Y654" s="11"/>
      <c r="Z654" s="177">
        <v>0</v>
      </c>
      <c r="AA654" s="130"/>
      <c r="AB654" s="130">
        <v>144.46728971962619</v>
      </c>
      <c r="AC654" s="106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144.46728971962619</v>
      </c>
      <c r="AJ654">
        <v>144.46728971962619</v>
      </c>
    </row>
    <row r="655" spans="1:36" x14ac:dyDescent="0.25">
      <c r="A655" s="359" t="s">
        <v>107</v>
      </c>
      <c r="B655" s="15" t="s">
        <v>816</v>
      </c>
      <c r="C655" s="16" t="s">
        <v>812</v>
      </c>
      <c r="D655" s="16"/>
      <c r="E655" s="17" t="s">
        <v>78</v>
      </c>
      <c r="F655" s="18"/>
      <c r="G655" s="134" t="str">
        <f ca="1">_xlfn.FORMULATEXT(IN[[#This Row],[STAGE]])</f>
        <v>=DHW_storage_liter_pPerson*DHW_storage_liter_pPerson*'[ka_PEQ_Nachweistool.xlsb]⚙'!#BEZUG!/'[ka_PEQ_Nachweistool.xlsb]⚙'!#BEZUG!*NFA_retailfood</v>
      </c>
      <c r="H655" s="20">
        <v>0</v>
      </c>
      <c r="I655" s="197" t="e">
        <f>DHW_storage_liter_pPerson*DHW_storage_liter_pPerson*'[1]⚙'!#REF!/'[1]⚙'!#REF!*NFA_retailfood</f>
        <v>#REF!</v>
      </c>
      <c r="J655" s="135" t="e">
        <f>IF(IN[[#This Row],[Sim_]]=IN[[#This Row],[STAGE]],1,0)</f>
        <v>#REF!</v>
      </c>
      <c r="K655" s="279"/>
      <c r="L655" s="130"/>
      <c r="M655" s="130">
        <f>IF(IN[[#This Row],[Sim_]]=IN[[#This Row],[Sim Var ref]],1,0)</f>
        <v>1</v>
      </c>
      <c r="N655" s="8"/>
      <c r="O655" s="8">
        <v>503</v>
      </c>
      <c r="P655" s="280"/>
      <c r="Q655" s="137">
        <f>IF(IN[[#This Row],[Sim_]]=IN[[#This Row],[Direkt alt]],1,0)</f>
        <v>1</v>
      </c>
      <c r="R655" s="10">
        <v>0</v>
      </c>
      <c r="S655" s="10">
        <f>IF(IN[[#This Row],[Sim_]]=IN[[#This Row],[Buffer]],1,0)</f>
        <v>1</v>
      </c>
      <c r="T655" s="11"/>
      <c r="U655" s="104" t="e">
        <f>DHW_storage_liter_pPerson*DHW_storage_liter_pPerson*'[1]⚙'!K63/'[1]⚙'!K51*NFA_retailfood</f>
        <v>#DIV/0!</v>
      </c>
      <c r="V655" s="281"/>
      <c r="X655">
        <v>0</v>
      </c>
      <c r="Y655" s="11"/>
      <c r="Z655" s="177">
        <v>0</v>
      </c>
      <c r="AA655" s="130"/>
      <c r="AB655" s="130">
        <v>0</v>
      </c>
      <c r="AC655" s="106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s="359" t="s">
        <v>107</v>
      </c>
      <c r="B656" s="15" t="s">
        <v>817</v>
      </c>
      <c r="C656" s="16" t="s">
        <v>812</v>
      </c>
      <c r="D656" s="16"/>
      <c r="E656" s="17" t="s">
        <v>78</v>
      </c>
      <c r="F656" s="18"/>
      <c r="G656" s="134" t="str">
        <f ca="1">_xlfn.FORMULATEXT(IN[[#This Row],[STAGE]])</f>
        <v>=DHW_storage_liter_pPerson*'[ka_PEQ_Nachweistool.xlsb]⚙'!#BEZUG!/'[ka_PEQ_Nachweistool.xlsb]⚙'!#BEZUG!*NFA_retailother</v>
      </c>
      <c r="H656" s="20">
        <v>0</v>
      </c>
      <c r="I656" s="197" t="e">
        <f>DHW_storage_liter_pPerson*'[1]⚙'!#REF!/'[1]⚙'!#REF!*NFA_retailother</f>
        <v>#REF!</v>
      </c>
      <c r="J656" s="135" t="e">
        <f>IF(IN[[#This Row],[Sim_]]=IN[[#This Row],[STAGE]],1,0)</f>
        <v>#REF!</v>
      </c>
      <c r="K656" s="279"/>
      <c r="L656" s="130"/>
      <c r="M656" s="130">
        <f>IF(IN[[#This Row],[Sim_]]=IN[[#This Row],[Sim Var ref]],1,0)</f>
        <v>1</v>
      </c>
      <c r="N656" s="8"/>
      <c r="O656" s="8">
        <v>504</v>
      </c>
      <c r="P656" s="280"/>
      <c r="Q656" s="137">
        <f>IF(IN[[#This Row],[Sim_]]=IN[[#This Row],[Direkt alt]],1,0)</f>
        <v>1</v>
      </c>
      <c r="R656" s="10">
        <v>0</v>
      </c>
      <c r="S656" s="10">
        <f>IF(IN[[#This Row],[Sim_]]=IN[[#This Row],[Buffer]],1,0)</f>
        <v>1</v>
      </c>
      <c r="T656" s="11"/>
      <c r="U656" s="104" t="e">
        <f>DHW_storage_liter_pPerson*'[1]⚙'!K64/'[1]⚙'!K51*NFA_retailother</f>
        <v>#DIV/0!</v>
      </c>
      <c r="V656" s="281"/>
      <c r="X656">
        <v>0</v>
      </c>
      <c r="Y656" s="11"/>
      <c r="Z656" s="177">
        <v>0</v>
      </c>
      <c r="AA656" s="130"/>
      <c r="AB656" s="130">
        <v>484.78504672897202</v>
      </c>
      <c r="AC656" s="10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484.78504672897202</v>
      </c>
      <c r="AJ656">
        <v>484.78504672897202</v>
      </c>
    </row>
    <row r="657" spans="1:36" x14ac:dyDescent="0.25">
      <c r="A657" s="359" t="s">
        <v>107</v>
      </c>
      <c r="B657" s="15" t="s">
        <v>818</v>
      </c>
      <c r="C657" s="16" t="s">
        <v>812</v>
      </c>
      <c r="D657" s="16"/>
      <c r="E657" s="17" t="s">
        <v>78</v>
      </c>
      <c r="F657" s="18"/>
      <c r="G657" s="134" t="str">
        <f ca="1">_xlfn.FORMULATEXT(IN[[#This Row],[STAGE]])</f>
        <v>=DHW_storage_liter_pPerson*DHW_storage_liter_pPerson*'[ka_PEQ_Nachweistool.xlsb]⚙'!#BEZUG!/'[ka_PEQ_Nachweistool.xlsb]⚙'!#BEZUG!*NFA_other</v>
      </c>
      <c r="H657" s="20">
        <v>0</v>
      </c>
      <c r="I657" s="197" t="e">
        <f>DHW_storage_liter_pPerson*DHW_storage_liter_pPerson*'[1]⚙'!#REF!/'[1]⚙'!#REF!*NFA_other</f>
        <v>#REF!</v>
      </c>
      <c r="J657" s="135" t="e">
        <f>IF(IN[[#This Row],[Sim_]]=IN[[#This Row],[STAGE]],1,0)</f>
        <v>#REF!</v>
      </c>
      <c r="K657" s="279"/>
      <c r="L657" s="130"/>
      <c r="M657" s="130">
        <f>IF(IN[[#This Row],[Sim_]]=IN[[#This Row],[Sim Var ref]],1,0)</f>
        <v>1</v>
      </c>
      <c r="N657" s="8"/>
      <c r="O657" s="8">
        <v>505</v>
      </c>
      <c r="P657" s="280"/>
      <c r="Q657" s="137">
        <f>IF(IN[[#This Row],[Sim_]]=IN[[#This Row],[Direkt alt]],1,0)</f>
        <v>1</v>
      </c>
      <c r="R657" s="10">
        <v>0</v>
      </c>
      <c r="S657" s="10">
        <f>IF(IN[[#This Row],[Sim_]]=IN[[#This Row],[Buffer]],1,0)</f>
        <v>1</v>
      </c>
      <c r="T657" s="11"/>
      <c r="U657" s="104" t="e">
        <f>DHW_storage_liter_pPerson*DHW_storage_liter_pPerson*'[1]⚙'!K65/'[1]⚙'!K52*NFA_other</f>
        <v>#DIV/0!</v>
      </c>
      <c r="V657" s="281"/>
      <c r="X657">
        <v>0</v>
      </c>
      <c r="Y657" s="11"/>
      <c r="Z657" s="177">
        <v>0</v>
      </c>
      <c r="AA657" s="130"/>
      <c r="AB657" s="130">
        <v>0</v>
      </c>
      <c r="AC657" s="106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s="359" t="s">
        <v>107</v>
      </c>
      <c r="B658" s="15" t="s">
        <v>819</v>
      </c>
      <c r="C658" s="16" t="s">
        <v>812</v>
      </c>
      <c r="D658" s="16"/>
      <c r="E658" s="17" t="s">
        <v>78</v>
      </c>
      <c r="F658" s="18" t="s">
        <v>820</v>
      </c>
      <c r="G658" s="134" t="str">
        <f ca="1">_xlfn.FORMULATEXT(IN[[#This Row],[STAGE]])</f>
        <v>=SUMMENPRODUKT(I644:I650;I651:I657)</v>
      </c>
      <c r="H658" s="20">
        <v>0</v>
      </c>
      <c r="I658" s="197" t="e">
        <f>SUMPRODUCT(I644:I650,I651:I657)</f>
        <v>#REF!</v>
      </c>
      <c r="J658" s="135" t="e">
        <f>IF(IN[[#This Row],[Sim_]]=IN[[#This Row],[STAGE]],1,0)</f>
        <v>#REF!</v>
      </c>
      <c r="K658" s="279"/>
      <c r="L658" s="130"/>
      <c r="M658" s="130">
        <f>IF(IN[[#This Row],[Sim_]]=IN[[#This Row],[Sim Var ref]],1,0)</f>
        <v>1</v>
      </c>
      <c r="N658" s="8"/>
      <c r="O658" s="8">
        <v>506</v>
      </c>
      <c r="P658" s="280"/>
      <c r="Q658" s="137">
        <f>IF(IN[[#This Row],[Sim_]]=IN[[#This Row],[Direkt alt]],1,0)</f>
        <v>1</v>
      </c>
      <c r="R658" s="10">
        <v>16834.890704385642</v>
      </c>
      <c r="S658" s="10">
        <f>IF(IN[[#This Row],[Sim_]]=IN[[#This Row],[Buffer]],1,0)</f>
        <v>0</v>
      </c>
      <c r="T658" s="11"/>
      <c r="U658" s="104" t="e">
        <f>SUMPRODUCT(U644:U650,U651:U657)</f>
        <v>#DIV/0!</v>
      </c>
      <c r="V658" s="281"/>
      <c r="X658">
        <v>785.85538348981822</v>
      </c>
      <c r="Y658" s="11"/>
      <c r="Z658" s="177">
        <v>785.85538348981822</v>
      </c>
      <c r="AA658" s="130"/>
      <c r="AB658" s="130">
        <v>3165.8428498006278</v>
      </c>
      <c r="AC658" s="106">
        <v>555.63955615168879</v>
      </c>
      <c r="AD658">
        <v>16834.890704385642</v>
      </c>
      <c r="AE658">
        <v>16834.890704385642</v>
      </c>
      <c r="AF658">
        <v>16834.890704385642</v>
      </c>
      <c r="AG658">
        <v>16834.890704385642</v>
      </c>
      <c r="AH658">
        <v>16834.890704385642</v>
      </c>
      <c r="AI658">
        <v>3165.8428498006278</v>
      </c>
      <c r="AJ658">
        <v>3165.8428498006278</v>
      </c>
    </row>
    <row r="659" spans="1:36" x14ac:dyDescent="0.25">
      <c r="A659" s="359" t="s">
        <v>107</v>
      </c>
      <c r="B659" s="15" t="s">
        <v>821</v>
      </c>
      <c r="C659" s="16" t="s">
        <v>812</v>
      </c>
      <c r="D659" s="16"/>
      <c r="E659" s="17" t="s">
        <v>78</v>
      </c>
      <c r="F659" s="18" t="s">
        <v>822</v>
      </c>
      <c r="G659" s="134" t="str">
        <f ca="1">_xlfn.FORMULATEXT(IN[[#This Row],[STAGE]])</f>
        <v>=SUMME(I651:I657)-DHW_storage_1_liter</v>
      </c>
      <c r="H659" s="20">
        <v>0</v>
      </c>
      <c r="I659" s="197" t="e">
        <f>SUM(I651:I657)-DHW_storage_1_liter</f>
        <v>#REF!</v>
      </c>
      <c r="J659" s="135" t="e">
        <f>IF(IN[[#This Row],[Sim_]]=IN[[#This Row],[STAGE]],1,0)</f>
        <v>#REF!</v>
      </c>
      <c r="K659" s="279"/>
      <c r="L659" s="130"/>
      <c r="M659" s="130">
        <f>IF(IN[[#This Row],[Sim_]]=IN[[#This Row],[Sim Var ref]],1,0)</f>
        <v>1</v>
      </c>
      <c r="N659" s="8"/>
      <c r="O659" s="8">
        <v>507</v>
      </c>
      <c r="P659" s="280"/>
      <c r="Q659" s="137">
        <f>IF(IN[[#This Row],[Sim_]]=IN[[#This Row],[Direkt alt]],1,0)</f>
        <v>1</v>
      </c>
      <c r="R659" s="10">
        <v>0</v>
      </c>
      <c r="S659" s="10">
        <f>IF(IN[[#This Row],[Sim_]]=IN[[#This Row],[Buffer]],1,0)</f>
        <v>1</v>
      </c>
      <c r="T659" s="11"/>
      <c r="U659" s="104" t="e">
        <f>SUM(U651:U657)-DHW_storage_1_liter</f>
        <v>#DIV/0!</v>
      </c>
      <c r="V659" s="281"/>
      <c r="X659">
        <v>0</v>
      </c>
      <c r="Y659" s="11"/>
      <c r="Z659" s="177">
        <v>0</v>
      </c>
      <c r="AA659" s="130"/>
      <c r="AB659" s="130">
        <v>0</v>
      </c>
      <c r="AC659" s="106">
        <v>230.21582733812943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s="359" t="s">
        <v>107</v>
      </c>
      <c r="B660" s="362" t="s">
        <v>823</v>
      </c>
      <c r="C660" s="16" t="s">
        <v>824</v>
      </c>
      <c r="D660" s="16"/>
      <c r="E660" s="17" t="s">
        <v>78</v>
      </c>
      <c r="F660" s="18" t="s">
        <v>825</v>
      </c>
      <c r="G660" s="134" t="str">
        <f ca="1">_xlfn.FORMULATEXT(IN[[#This Row],[STAGE]])</f>
        <v>=WENN(DHW_storage_1_liter;WAHR;FALSCH)</v>
      </c>
      <c r="H660" s="20">
        <v>0</v>
      </c>
      <c r="I660" s="197" t="b">
        <f>IF(DHW_storage_1_liter,TRUE,FALSE)</f>
        <v>0</v>
      </c>
      <c r="J660" s="135">
        <f>IF(IN[[#This Row],[Sim_]]=IN[[#This Row],[STAGE]],1,0)</f>
        <v>1</v>
      </c>
      <c r="K660" s="363"/>
      <c r="L660" s="130"/>
      <c r="M660" s="130">
        <f>IF(IN[[#This Row],[Sim_]]=IN[[#This Row],[Sim Var ref]],1,0)</f>
        <v>1</v>
      </c>
      <c r="N660" s="8"/>
      <c r="O660" s="8"/>
      <c r="P660" s="280"/>
      <c r="Q660" s="137">
        <f>IF(IN[[#This Row],[Sim_]]=IN[[#This Row],[Direkt alt]],1,0)</f>
        <v>1</v>
      </c>
      <c r="R660" s="10" t="b">
        <v>1</v>
      </c>
      <c r="S660" s="10">
        <f>IF(IN[[#This Row],[Sim_]]=IN[[#This Row],[Buffer]],1,0)</f>
        <v>0</v>
      </c>
      <c r="T660" s="8"/>
      <c r="U660" s="145"/>
      <c r="V660" s="281"/>
      <c r="X660" t="b">
        <v>1</v>
      </c>
      <c r="Y660" s="11"/>
      <c r="Z660" s="177" t="b">
        <v>1</v>
      </c>
      <c r="AA660" s="130"/>
      <c r="AB660" s="130" t="b">
        <v>1</v>
      </c>
      <c r="AC660" s="106" t="b">
        <v>1</v>
      </c>
      <c r="AD660" t="b">
        <v>1</v>
      </c>
      <c r="AE660" t="b">
        <v>1</v>
      </c>
      <c r="AF660" t="b">
        <v>1</v>
      </c>
      <c r="AG660" t="b">
        <v>1</v>
      </c>
      <c r="AH660" t="b">
        <v>1</v>
      </c>
      <c r="AI660" t="b">
        <v>1</v>
      </c>
      <c r="AJ660" t="b">
        <v>1</v>
      </c>
    </row>
    <row r="661" spans="1:36" x14ac:dyDescent="0.25">
      <c r="A661" s="359" t="s">
        <v>107</v>
      </c>
      <c r="B661" s="362" t="s">
        <v>826</v>
      </c>
      <c r="C661" s="16" t="s">
        <v>824</v>
      </c>
      <c r="D661" s="16"/>
      <c r="E661" s="17" t="s">
        <v>78</v>
      </c>
      <c r="F661" s="18" t="s">
        <v>827</v>
      </c>
      <c r="G661" s="134" t="str">
        <f ca="1">_xlfn.FORMULATEXT(IN[[#This Row],[STAGE]])</f>
        <v>=WENN(DHW_storage_2_liter;WAHR;FALSCH)</v>
      </c>
      <c r="H661" s="20">
        <v>0</v>
      </c>
      <c r="I661" s="197" t="b">
        <f>IF(DHW_storage_2_liter,TRUE,FALSE)</f>
        <v>0</v>
      </c>
      <c r="J661" s="135">
        <f>IF(IN[[#This Row],[Sim_]]=IN[[#This Row],[STAGE]],1,0)</f>
        <v>1</v>
      </c>
      <c r="K661" s="363"/>
      <c r="L661" s="130"/>
      <c r="M661" s="130">
        <f>IF(IN[[#This Row],[Sim_]]=IN[[#This Row],[Sim Var ref]],1,0)</f>
        <v>1</v>
      </c>
      <c r="N661" s="8"/>
      <c r="O661" s="8"/>
      <c r="P661" s="280"/>
      <c r="Q661" s="137">
        <f>IF(IN[[#This Row],[Sim_]]=IN[[#This Row],[Direkt alt]],1,0)</f>
        <v>1</v>
      </c>
      <c r="R661" s="10" t="b">
        <v>0</v>
      </c>
      <c r="S661" s="10">
        <f>IF(IN[[#This Row],[Sim_]]=IN[[#This Row],[Buffer]],1,0)</f>
        <v>1</v>
      </c>
      <c r="T661" s="8"/>
      <c r="U661" s="145"/>
      <c r="V661" s="281"/>
      <c r="X661" t="b">
        <v>0</v>
      </c>
      <c r="Y661" s="11"/>
      <c r="Z661" s="177" t="b">
        <v>0</v>
      </c>
      <c r="AA661" s="130"/>
      <c r="AB661" s="130" t="b">
        <v>0</v>
      </c>
      <c r="AC661" s="106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</row>
    <row r="662" spans="1:36" x14ac:dyDescent="0.25">
      <c r="A662" s="359" t="s">
        <v>107</v>
      </c>
      <c r="B662" s="15" t="s">
        <v>828</v>
      </c>
      <c r="C662" s="16" t="s">
        <v>829</v>
      </c>
      <c r="D662" s="16"/>
      <c r="E662" s="17" t="s">
        <v>78</v>
      </c>
      <c r="F662" s="18" t="s">
        <v>830</v>
      </c>
      <c r="G662" s="134" t="str">
        <f ca="1">_xlfn.FORMULATEXT(IN[[#This Row],[STAGE]])</f>
        <v>=DHW_thermal_power_Wpl*DHW_storage_1_liter/1000</v>
      </c>
      <c r="H662" s="20">
        <v>0</v>
      </c>
      <c r="I662" s="197">
        <f>DHW_thermal_power_Wpl*DHW_storage_1_liter/1000</f>
        <v>0</v>
      </c>
      <c r="J662" s="135">
        <f>IF(IN[[#This Row],[Sim_]]=IN[[#This Row],[STAGE]],1,0)</f>
        <v>1</v>
      </c>
      <c r="K662" s="279"/>
      <c r="L662" s="130"/>
      <c r="M662" s="130">
        <f>IF(IN[[#This Row],[Sim_]]=IN[[#This Row],[Sim Var ref]],1,0)</f>
        <v>1</v>
      </c>
      <c r="N662" s="8"/>
      <c r="O662" s="8">
        <v>508</v>
      </c>
      <c r="P662" s="280"/>
      <c r="Q662" s="137">
        <f>IF(IN[[#This Row],[Sim_]]=IN[[#This Row],[Direkt alt]],1,0)</f>
        <v>1</v>
      </c>
      <c r="R662" s="10">
        <v>5.0504672113156923</v>
      </c>
      <c r="S662" s="10">
        <f>IF(IN[[#This Row],[Sim_]]=IN[[#This Row],[Buffer]],1,0)</f>
        <v>0</v>
      </c>
      <c r="T662" s="11"/>
      <c r="U662" s="104">
        <f>DHW_thermal_power_Wpl*DHW_storage_1_liter/1000</f>
        <v>0</v>
      </c>
      <c r="V662" s="281"/>
      <c r="X662">
        <v>0.23575661504694545</v>
      </c>
      <c r="Y662" s="11"/>
      <c r="Z662" s="177">
        <v>0.23575661504694545</v>
      </c>
      <c r="AA662" s="130"/>
      <c r="AB662" s="130">
        <v>0.94975285494018824</v>
      </c>
      <c r="AC662" s="106">
        <v>0.16669186684550663</v>
      </c>
      <c r="AD662">
        <v>5.0504672113156923</v>
      </c>
      <c r="AE662">
        <v>5.0504672113156923</v>
      </c>
      <c r="AF662">
        <v>5.0504672113156923</v>
      </c>
      <c r="AG662">
        <v>5.0504672113156923</v>
      </c>
      <c r="AH662">
        <v>5.0504672113156923</v>
      </c>
      <c r="AI662">
        <v>0.94975285494018824</v>
      </c>
      <c r="AJ662">
        <v>0.94975285494018824</v>
      </c>
    </row>
    <row r="663" spans="1:36" x14ac:dyDescent="0.25">
      <c r="A663" s="359" t="s">
        <v>107</v>
      </c>
      <c r="B663" s="15" t="s">
        <v>831</v>
      </c>
      <c r="C663" s="16" t="s">
        <v>829</v>
      </c>
      <c r="D663" s="16"/>
      <c r="E663" s="17" t="s">
        <v>78</v>
      </c>
      <c r="F663" s="18"/>
      <c r="G663" s="134" t="str">
        <f ca="1">_xlfn.FORMULATEXT(IN[[#This Row],[STAGE]])</f>
        <v>=DHW_thermal_power_Wpl*DHW_storage_2_liter/1000</v>
      </c>
      <c r="H663" s="20">
        <v>0</v>
      </c>
      <c r="I663" s="197">
        <f>DHW_thermal_power_Wpl*DHW_storage_2_liter/1000</f>
        <v>0</v>
      </c>
      <c r="J663" s="135">
        <f>IF(IN[[#This Row],[Sim_]]=IN[[#This Row],[STAGE]],1,0)</f>
        <v>1</v>
      </c>
      <c r="L663" s="130"/>
      <c r="M663" s="130">
        <f>IF(IN[[#This Row],[Sim_]]=IN[[#This Row],[Sim Var ref]],1,0)</f>
        <v>1</v>
      </c>
      <c r="N663" s="8"/>
      <c r="O663" s="8">
        <v>509</v>
      </c>
      <c r="P663" s="280"/>
      <c r="Q663" s="137">
        <f>IF(IN[[#This Row],[Sim_]]=IN[[#This Row],[Direkt alt]],1,0)</f>
        <v>1</v>
      </c>
      <c r="R663" s="10">
        <v>0</v>
      </c>
      <c r="S663" s="10">
        <f>IF(IN[[#This Row],[Sim_]]=IN[[#This Row],[Buffer]],1,0)</f>
        <v>1</v>
      </c>
      <c r="T663" s="11"/>
      <c r="U663" s="104">
        <f>DHW_thermal_power_Wpl*DHW_storage_2_liter/1000</f>
        <v>0</v>
      </c>
      <c r="X663">
        <v>0</v>
      </c>
      <c r="Y663" s="11"/>
      <c r="Z663" s="177">
        <v>0</v>
      </c>
      <c r="AA663" s="130"/>
      <c r="AB663" s="130">
        <v>0</v>
      </c>
      <c r="AC663" s="106">
        <v>6.9064748201438833E-2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s="359" t="s">
        <v>107</v>
      </c>
      <c r="B664" s="15" t="s">
        <v>832</v>
      </c>
      <c r="C664" s="16"/>
      <c r="D664" s="16" t="s">
        <v>833</v>
      </c>
      <c r="E664" s="17" t="s">
        <v>262</v>
      </c>
      <c r="F664" s="18" t="s">
        <v>834</v>
      </c>
      <c r="G664" s="134" t="str">
        <f ca="1">_xlfn.FORMULATEXT(IN[[#This Row],[STAGE]])</f>
        <v>='[ka_PEQ_Nachweistool.xlsb]💧WW'!B9</v>
      </c>
      <c r="H664" s="20">
        <v>2</v>
      </c>
      <c r="I664" s="228">
        <f>'[1]💧WW'!B9</f>
        <v>0</v>
      </c>
      <c r="J664" s="135">
        <f>IF(IN[[#This Row],[Sim_]]=IN[[#This Row],[STAGE]],1,0)</f>
        <v>0</v>
      </c>
      <c r="K664" s="275">
        <v>0.05</v>
      </c>
      <c r="L664" s="130"/>
      <c r="M664" s="130">
        <f>IF(IN[[#This Row],[Sim_]]=IN[[#This Row],[Sim Var ref]],1,0)</f>
        <v>0</v>
      </c>
      <c r="N664" s="8"/>
      <c r="O664" s="8">
        <v>510</v>
      </c>
      <c r="P664" s="280"/>
      <c r="Q664" s="137">
        <f>IF(IN[[#This Row],[Sim_]]=IN[[#This Row],[Direkt alt]],1,0)</f>
        <v>0</v>
      </c>
      <c r="R664" s="10">
        <v>0.05</v>
      </c>
      <c r="S664" s="10">
        <f>IF(IN[[#This Row],[Sim_]]=IN[[#This Row],[Buffer]],1,0)</f>
        <v>1</v>
      </c>
      <c r="T664">
        <v>0.05</v>
      </c>
      <c r="U664" s="228">
        <f>'[1]💧WW'!M9</f>
        <v>0</v>
      </c>
      <c r="V664">
        <v>0.05</v>
      </c>
      <c r="W664">
        <v>0.05</v>
      </c>
      <c r="X664">
        <v>0.05</v>
      </c>
      <c r="Y664">
        <v>0.05</v>
      </c>
      <c r="Z664">
        <v>0.05</v>
      </c>
      <c r="AA664">
        <v>0.05</v>
      </c>
      <c r="AB664">
        <v>0.05</v>
      </c>
      <c r="AC664" s="253">
        <v>0.05</v>
      </c>
      <c r="AD664">
        <v>0.05</v>
      </c>
      <c r="AE664">
        <v>0.05</v>
      </c>
      <c r="AF664">
        <v>0.05</v>
      </c>
      <c r="AG664">
        <v>0.05</v>
      </c>
      <c r="AH664">
        <v>0.05</v>
      </c>
      <c r="AI664">
        <v>0.05</v>
      </c>
      <c r="AJ664">
        <v>0.05</v>
      </c>
    </row>
    <row r="665" spans="1:36" x14ac:dyDescent="0.25">
      <c r="A665" s="359" t="s">
        <v>107</v>
      </c>
      <c r="B665" s="15" t="s">
        <v>835</v>
      </c>
      <c r="C665" s="16"/>
      <c r="D665" s="16" t="s">
        <v>833</v>
      </c>
      <c r="E665" s="17" t="s">
        <v>262</v>
      </c>
      <c r="F665" s="18" t="s">
        <v>836</v>
      </c>
      <c r="G665" s="134" t="str">
        <f ca="1">_xlfn.FORMULATEXT(IN[[#This Row],[STAGE]])</f>
        <v>='[ka_PEQ_Nachweistool.xlsb]💧WW'!B15</v>
      </c>
      <c r="H665" s="20">
        <v>2</v>
      </c>
      <c r="I665" s="228">
        <f>'[1]💧WW'!B15</f>
        <v>0</v>
      </c>
      <c r="J665" s="135">
        <f>IF(IN[[#This Row],[Sim_]]=IN[[#This Row],[STAGE]],1,0)</f>
        <v>0</v>
      </c>
      <c r="K665" s="275">
        <v>0.05</v>
      </c>
      <c r="L665" s="130"/>
      <c r="M665" s="130">
        <f>IF(IN[[#This Row],[Sim_]]=IN[[#This Row],[Sim Var ref]],1,0)</f>
        <v>0</v>
      </c>
      <c r="N665" s="8"/>
      <c r="O665" s="8">
        <v>511</v>
      </c>
      <c r="P665" s="280"/>
      <c r="Q665" s="137">
        <f>IF(IN[[#This Row],[Sim_]]=IN[[#This Row],[Direkt alt]],1,0)</f>
        <v>0</v>
      </c>
      <c r="R665" s="10">
        <v>0.05</v>
      </c>
      <c r="S665" s="10">
        <f>IF(IN[[#This Row],[Sim_]]=IN[[#This Row],[Buffer]],1,0)</f>
        <v>1</v>
      </c>
      <c r="T665">
        <v>0.05</v>
      </c>
      <c r="U665" s="228">
        <f>'[1]💧WW'!M15</f>
        <v>0</v>
      </c>
      <c r="V665">
        <v>0.05</v>
      </c>
      <c r="W665">
        <v>0.05</v>
      </c>
      <c r="X665">
        <v>0.05</v>
      </c>
      <c r="Y665">
        <v>0.05</v>
      </c>
      <c r="Z665">
        <v>0.05</v>
      </c>
      <c r="AA665">
        <v>0.05</v>
      </c>
      <c r="AB665">
        <v>0.05</v>
      </c>
      <c r="AC665" s="253">
        <v>0.05</v>
      </c>
      <c r="AD665">
        <v>0.05</v>
      </c>
      <c r="AE665">
        <v>0.05</v>
      </c>
      <c r="AF665">
        <v>0.05</v>
      </c>
      <c r="AG665">
        <v>0.05</v>
      </c>
      <c r="AH665">
        <v>0.05</v>
      </c>
      <c r="AI665">
        <v>0.05</v>
      </c>
      <c r="AJ665">
        <v>0.05</v>
      </c>
    </row>
    <row r="666" spans="1:36" x14ac:dyDescent="0.25">
      <c r="A666" s="359" t="s">
        <v>107</v>
      </c>
      <c r="B666" s="15" t="s">
        <v>837</v>
      </c>
      <c r="C666" s="16"/>
      <c r="D666" s="16"/>
      <c r="E666" s="17" t="s">
        <v>262</v>
      </c>
      <c r="F666" s="18" t="s">
        <v>838</v>
      </c>
      <c r="G666" s="134" t="str">
        <f ca="1">_xlfn.FORMULATEXT(IN[[#This Row],[STAGE]])</f>
        <v>='[ka_PEQ_Nachweistool.xlsb]💧WW'!B8</v>
      </c>
      <c r="H666" s="20">
        <v>2</v>
      </c>
      <c r="I666" s="228">
        <f>'[1]💧WW'!B8</f>
        <v>0</v>
      </c>
      <c r="J666" s="135">
        <f>IF(IN[[#This Row],[Sim_]]=IN[[#This Row],[STAGE]],1,0)</f>
        <v>0</v>
      </c>
      <c r="K666" s="275">
        <f>K66</f>
        <v>1</v>
      </c>
      <c r="L666" s="130"/>
      <c r="M666" s="130">
        <f>IF(IN[[#This Row],[Sim_]]=IN[[#This Row],[Sim Var ref]],1,0)</f>
        <v>0</v>
      </c>
      <c r="N666" s="8"/>
      <c r="O666" s="8">
        <v>512</v>
      </c>
      <c r="P666" s="280"/>
      <c r="Q666" s="137">
        <f>IF(IN[[#This Row],[Sim_]]=IN[[#This Row],[Direkt alt]],1,0)</f>
        <v>0</v>
      </c>
      <c r="R666" s="10">
        <v>0.9</v>
      </c>
      <c r="S666" s="10">
        <f>IF(IN[[#This Row],[Sim_]]=IN[[#This Row],[Buffer]],1,0)</f>
        <v>0</v>
      </c>
      <c r="T666">
        <f>T66</f>
        <v>0.95</v>
      </c>
      <c r="U666" s="228">
        <f>'[1]💧WW'!M8</f>
        <v>0</v>
      </c>
      <c r="V666">
        <f t="shared" ref="V666:AA666" si="26">V66</f>
        <v>1</v>
      </c>
      <c r="W666">
        <f t="shared" si="26"/>
        <v>1</v>
      </c>
      <c r="X666">
        <v>0.9</v>
      </c>
      <c r="Y666">
        <f t="shared" si="26"/>
        <v>0.95</v>
      </c>
      <c r="Z666">
        <v>0.9</v>
      </c>
      <c r="AA666">
        <f t="shared" si="26"/>
        <v>1</v>
      </c>
      <c r="AB666">
        <v>1</v>
      </c>
      <c r="AC666" s="253">
        <v>0.9</v>
      </c>
      <c r="AD666">
        <v>1</v>
      </c>
      <c r="AE666">
        <v>1</v>
      </c>
      <c r="AF666">
        <v>0.9</v>
      </c>
      <c r="AG666">
        <v>0.9</v>
      </c>
      <c r="AH666">
        <v>0.9</v>
      </c>
      <c r="AI666">
        <v>1</v>
      </c>
      <c r="AJ666">
        <v>1</v>
      </c>
    </row>
    <row r="667" spans="1:36" x14ac:dyDescent="0.25">
      <c r="A667" s="359" t="s">
        <v>107</v>
      </c>
      <c r="B667" s="15" t="s">
        <v>839</v>
      </c>
      <c r="C667" s="16"/>
      <c r="D667" s="16"/>
      <c r="E667" s="17" t="s">
        <v>262</v>
      </c>
      <c r="F667" s="18" t="s">
        <v>840</v>
      </c>
      <c r="G667" s="134" t="str">
        <f ca="1">_xlfn.FORMULATEXT(IN[[#This Row],[STAGE]])</f>
        <v>='[ka_PEQ_Nachweistool.xlsb]💧WW'!B14</v>
      </c>
      <c r="H667" s="20">
        <v>2</v>
      </c>
      <c r="I667" s="228">
        <f>'[1]💧WW'!B14</f>
        <v>0</v>
      </c>
      <c r="J667" s="135">
        <f>IF(IN[[#This Row],[Sim_]]=IN[[#This Row],[STAGE]],1,0)</f>
        <v>1</v>
      </c>
      <c r="K667" s="275">
        <v>0</v>
      </c>
      <c r="L667" s="130"/>
      <c r="M667" s="130">
        <f>IF(IN[[#This Row],[Sim_]]=IN[[#This Row],[Sim Var ref]],1,0)</f>
        <v>1</v>
      </c>
      <c r="N667" s="8"/>
      <c r="O667" s="8">
        <v>513</v>
      </c>
      <c r="P667" s="280"/>
      <c r="Q667" s="137">
        <f>IF(IN[[#This Row],[Sim_]]=IN[[#This Row],[Direkt alt]],1,0)</f>
        <v>1</v>
      </c>
      <c r="R667" s="10">
        <v>0</v>
      </c>
      <c r="S667" s="10">
        <f>IF(IN[[#This Row],[Sim_]]=IN[[#This Row],[Buffer]],1,0)</f>
        <v>1</v>
      </c>
      <c r="T667">
        <v>0</v>
      </c>
      <c r="U667" s="228">
        <f>'[1]💧WW'!M14</f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0</v>
      </c>
      <c r="AC667" s="253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s="359" t="s">
        <v>107</v>
      </c>
      <c r="B668" s="15" t="s">
        <v>841</v>
      </c>
      <c r="C668" s="16"/>
      <c r="D668" s="16"/>
      <c r="E668" s="17" t="s">
        <v>78</v>
      </c>
      <c r="F668" s="18" t="s">
        <v>842</v>
      </c>
      <c r="G668" s="134" t="str">
        <f ca="1">_xlfn.FORMULATEXT(IN[[#This Row],[STAGE]])</f>
        <v>=WENNFEHLER(1/DHW_efficiency_distribution_1;0)</v>
      </c>
      <c r="H668" s="20">
        <v>0</v>
      </c>
      <c r="I668" s="104">
        <f>IFERROR(1/DHW_efficiency_distribution_1,0)</f>
        <v>1</v>
      </c>
      <c r="J668" s="135">
        <f>IF(IN[[#This Row],[Sim_]]=IN[[#This Row],[STAGE]],1,0)</f>
        <v>0</v>
      </c>
      <c r="K668" s="337"/>
      <c r="L668" s="130"/>
      <c r="M668" s="130">
        <f>IF(IN[[#This Row],[Sim_]]=IN[[#This Row],[Sim Var ref]],1,0)</f>
        <v>1</v>
      </c>
      <c r="N668" s="8"/>
      <c r="O668" s="8"/>
      <c r="P668" s="280"/>
      <c r="Q668" s="137">
        <f>IF(IN[[#This Row],[Sim_]]=IN[[#This Row],[Direkt alt]],1,0)</f>
        <v>1</v>
      </c>
      <c r="R668" s="10">
        <v>1.1111111111111112</v>
      </c>
      <c r="S668" s="10">
        <f>IF(IN[[#This Row],[Sim_]]=IN[[#This Row],[Buffer]],1,0)</f>
        <v>0</v>
      </c>
      <c r="U668" s="145"/>
      <c r="X668">
        <v>1.1111111111111112</v>
      </c>
      <c r="Z668" s="27">
        <v>1.1111111111111112</v>
      </c>
      <c r="AB668">
        <v>1</v>
      </c>
      <c r="AC668" s="106">
        <v>1.1111111111111112</v>
      </c>
      <c r="AD668">
        <v>1</v>
      </c>
      <c r="AE668">
        <v>1</v>
      </c>
      <c r="AF668">
        <v>1.1111111111111112</v>
      </c>
      <c r="AG668">
        <v>1.1111111111111112</v>
      </c>
      <c r="AH668">
        <v>1.1111111111111112</v>
      </c>
      <c r="AI668">
        <v>1</v>
      </c>
      <c r="AJ668">
        <v>1</v>
      </c>
    </row>
    <row r="669" spans="1:36" x14ac:dyDescent="0.25">
      <c r="A669" s="359" t="s">
        <v>107</v>
      </c>
      <c r="B669" s="15" t="s">
        <v>843</v>
      </c>
      <c r="C669" s="16"/>
      <c r="D669" s="16"/>
      <c r="E669" s="17" t="s">
        <v>78</v>
      </c>
      <c r="F669" s="18" t="s">
        <v>844</v>
      </c>
      <c r="G669" s="134" t="str">
        <f ca="1">_xlfn.FORMULATEXT(IN[[#This Row],[STAGE]])</f>
        <v>=WENNFEHLER(1/DHW_efficiency_distribution_2;0)</v>
      </c>
      <c r="H669" s="20">
        <v>0</v>
      </c>
      <c r="I669" s="104">
        <f>IFERROR(1/DHW_efficiency_distribution_2,0)</f>
        <v>0</v>
      </c>
      <c r="J669" s="135">
        <f>IF(IN[[#This Row],[Sim_]]=IN[[#This Row],[STAGE]],1,0)</f>
        <v>1</v>
      </c>
      <c r="K669" s="337"/>
      <c r="L669" s="130"/>
      <c r="M669" s="130">
        <f>IF(IN[[#This Row],[Sim_]]=IN[[#This Row],[Sim Var ref]],1,0)</f>
        <v>1</v>
      </c>
      <c r="N669" s="8"/>
      <c r="O669" s="8"/>
      <c r="P669" s="280"/>
      <c r="Q669" s="137">
        <f>IF(IN[[#This Row],[Sim_]]=IN[[#This Row],[Direkt alt]],1,0)</f>
        <v>1</v>
      </c>
      <c r="R669" s="10">
        <v>0</v>
      </c>
      <c r="S669" s="10">
        <f>IF(IN[[#This Row],[Sim_]]=IN[[#This Row],[Buffer]],1,0)</f>
        <v>1</v>
      </c>
      <c r="U669" s="145"/>
      <c r="X669">
        <v>1</v>
      </c>
      <c r="Z669" s="27">
        <v>1</v>
      </c>
      <c r="AB669">
        <v>0</v>
      </c>
      <c r="AC669" s="106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s="359" t="s">
        <v>107</v>
      </c>
      <c r="B670" s="335" t="s">
        <v>845</v>
      </c>
      <c r="C670" s="336"/>
      <c r="D670" s="336"/>
      <c r="E670" s="351"/>
      <c r="F670" s="364"/>
      <c r="G670" s="134" t="e">
        <f ca="1">_xlfn.FORMULATEXT(IN[[#This Row],[STAGE]])</f>
        <v>#N/A</v>
      </c>
      <c r="H670" s="20">
        <v>0</v>
      </c>
      <c r="I670" s="228"/>
      <c r="J670" s="135">
        <f>IF(IN[[#This Row],[Sim_]]=IN[[#This Row],[STAGE]],1,0)</f>
        <v>1</v>
      </c>
      <c r="K670" s="279"/>
      <c r="L670" s="130"/>
      <c r="M670" s="130">
        <f>IF(IN[[#This Row],[Sim_]]=IN[[#This Row],[Sim Var ref]],1,0)</f>
        <v>1</v>
      </c>
      <c r="N670" s="8"/>
      <c r="O670" s="8">
        <v>514</v>
      </c>
      <c r="P670" s="280"/>
      <c r="Q670" s="137">
        <f>IF(IN[[#This Row],[Sim_]]=IN[[#This Row],[Direkt alt]],1,0)</f>
        <v>1</v>
      </c>
      <c r="R670" s="10"/>
      <c r="S670" s="10">
        <f>IF(IN[[#This Row],[Sim_]]=IN[[#This Row],[Buffer]],1,0)</f>
        <v>1</v>
      </c>
      <c r="T670" s="11"/>
      <c r="U670" s="228" t="e">
        <f>#REF!</f>
        <v>#REF!</v>
      </c>
      <c r="V670" s="281"/>
      <c r="W670">
        <v>1</v>
      </c>
      <c r="Y670" s="11"/>
      <c r="Z670" s="177"/>
      <c r="AA670" s="130"/>
      <c r="AB670" s="130" t="e">
        <v>#REF!</v>
      </c>
      <c r="AC670" s="253" t="e">
        <v>#REF!</v>
      </c>
    </row>
    <row r="671" spans="1:36" x14ac:dyDescent="0.25">
      <c r="A671" s="359" t="s">
        <v>107</v>
      </c>
      <c r="B671" s="335" t="s">
        <v>846</v>
      </c>
      <c r="C671" s="336"/>
      <c r="D671" s="336"/>
      <c r="E671" s="351"/>
      <c r="F671" s="364"/>
      <c r="G671" s="134" t="e">
        <f ca="1">_xlfn.FORMULATEXT(IN[[#This Row],[STAGE]])</f>
        <v>#N/A</v>
      </c>
      <c r="H671" s="20">
        <v>0</v>
      </c>
      <c r="I671" s="104"/>
      <c r="J671" s="135">
        <f>IF(IN[[#This Row],[Sim_]]=IN[[#This Row],[STAGE]],1,0)</f>
        <v>1</v>
      </c>
      <c r="K671" s="279"/>
      <c r="L671" s="130"/>
      <c r="M671" s="130">
        <f>IF(IN[[#This Row],[Sim_]]=IN[[#This Row],[Sim Var ref]],1,0)</f>
        <v>1</v>
      </c>
      <c r="N671" s="8"/>
      <c r="O671" s="8">
        <v>515</v>
      </c>
      <c r="P671" s="280"/>
      <c r="Q671" s="137">
        <f>IF(IN[[#This Row],[Sim_]]=IN[[#This Row],[Direkt alt]],1,0)</f>
        <v>1</v>
      </c>
      <c r="R671" s="10"/>
      <c r="S671" s="10">
        <f>IF(IN[[#This Row],[Sim_]]=IN[[#This Row],[Buffer]],1,0)</f>
        <v>1</v>
      </c>
      <c r="T671" s="11"/>
      <c r="U671" s="104" t="e">
        <f>#REF!</f>
        <v>#REF!</v>
      </c>
      <c r="V671" s="281"/>
      <c r="Y671" s="11"/>
      <c r="Z671" s="177"/>
      <c r="AA671" s="130"/>
      <c r="AB671" s="130" t="e">
        <v>#REF!</v>
      </c>
      <c r="AC671" s="106" t="e">
        <v>#REF!</v>
      </c>
    </row>
    <row r="672" spans="1:36" x14ac:dyDescent="0.25">
      <c r="A672" s="359" t="s">
        <v>107</v>
      </c>
      <c r="B672" t="s">
        <v>847</v>
      </c>
      <c r="C672" s="16"/>
      <c r="D672" s="16"/>
      <c r="E672" s="17" t="s">
        <v>262</v>
      </c>
      <c r="F672" s="18" t="s">
        <v>848</v>
      </c>
      <c r="G672" s="134" t="str">
        <f ca="1">_xlfn.FORMULATEXT(IN[[#This Row],[STAGE]])</f>
        <v>='[ka_PEQ_Nachweistool.xlsb]💧WW'!B6</v>
      </c>
      <c r="H672" s="20">
        <v>2</v>
      </c>
      <c r="I672" s="104">
        <f>'[1]💧WW'!B6</f>
        <v>0</v>
      </c>
      <c r="J672" s="135">
        <f>IF(IN[[#This Row],[Sim_]]=IN[[#This Row],[STAGE]],1,0)</f>
        <v>0</v>
      </c>
      <c r="K672" s="275" t="s">
        <v>849</v>
      </c>
      <c r="L672" s="130"/>
      <c r="M672" s="130">
        <f>IF(IN[[#This Row],[Sim_]]=IN[[#This Row],[Sim Var ref]],1,0)</f>
        <v>0</v>
      </c>
      <c r="N672" s="8"/>
      <c r="O672" s="8">
        <v>516</v>
      </c>
      <c r="P672" s="280"/>
      <c r="Q672" s="137">
        <f>IF(IN[[#This Row],[Sim_]]=IN[[#This Row],[Direkt alt]],1,0)</f>
        <v>0</v>
      </c>
      <c r="R672" s="10" t="s">
        <v>713</v>
      </c>
      <c r="S672" s="10">
        <f>IF(IN[[#This Row],[Sim_]]=IN[[#This Row],[Buffer]],1,0)</f>
        <v>0</v>
      </c>
      <c r="T672" s="11" t="s">
        <v>849</v>
      </c>
      <c r="U672" s="104">
        <f>'[1]💧WW'!M6</f>
        <v>0</v>
      </c>
      <c r="V672" s="11" t="s">
        <v>849</v>
      </c>
      <c r="W672" s="11" t="s">
        <v>849</v>
      </c>
      <c r="X672" s="11" t="s">
        <v>849</v>
      </c>
      <c r="Y672" s="11" t="s">
        <v>849</v>
      </c>
      <c r="Z672" s="11" t="s">
        <v>849</v>
      </c>
      <c r="AA672" s="11" t="s">
        <v>849</v>
      </c>
      <c r="AB672" s="11" t="s">
        <v>849</v>
      </c>
      <c r="AC672" s="106" t="s">
        <v>849</v>
      </c>
      <c r="AD672" t="s">
        <v>849</v>
      </c>
      <c r="AE672" t="s">
        <v>849</v>
      </c>
      <c r="AF672" t="s">
        <v>713</v>
      </c>
      <c r="AG672" t="s">
        <v>713</v>
      </c>
      <c r="AH672" t="s">
        <v>713</v>
      </c>
      <c r="AI672" t="s">
        <v>849</v>
      </c>
      <c r="AJ672" t="s">
        <v>849</v>
      </c>
    </row>
    <row r="673" spans="1:36" x14ac:dyDescent="0.25">
      <c r="A673" s="359" t="s">
        <v>107</v>
      </c>
      <c r="B673" s="15" t="s">
        <v>850</v>
      </c>
      <c r="C673" s="16"/>
      <c r="D673" s="16"/>
      <c r="E673" s="17" t="s">
        <v>78</v>
      </c>
      <c r="F673" s="18" t="s">
        <v>851</v>
      </c>
      <c r="G673" s="134" t="str">
        <f ca="1">_xlfn.FORMULATEXT(IN[[#This Row],[STAGE]])</f>
        <v>=WENN(DHW_carriertype_1="Strom";WAHR;FALSCH)</v>
      </c>
      <c r="H673" s="20">
        <v>0</v>
      </c>
      <c r="I673" s="104" t="b">
        <f>IF(DHW_carriertype_1="Strom",TRUE,FALSE)</f>
        <v>1</v>
      </c>
      <c r="J673" s="135">
        <f>IF(IN[[#This Row],[Sim_]]=IN[[#This Row],[STAGE]],1,0)</f>
        <v>0</v>
      </c>
      <c r="K673" s="279"/>
      <c r="L673" s="130"/>
      <c r="M673" s="130">
        <f>IF(IN[[#This Row],[Sim_]]=IN[[#This Row],[Sim Var ref]],1,0)</f>
        <v>1</v>
      </c>
      <c r="N673" s="8"/>
      <c r="O673" s="8">
        <v>517</v>
      </c>
      <c r="P673" s="280"/>
      <c r="Q673" s="137">
        <f>IF(IN[[#This Row],[Sim_]]=IN[[#This Row],[Direkt alt]],1,0)</f>
        <v>1</v>
      </c>
      <c r="R673" s="10" t="b">
        <v>0</v>
      </c>
      <c r="S673" s="10">
        <f>IF(IN[[#This Row],[Sim_]]=IN[[#This Row],[Buffer]],1,0)</f>
        <v>1</v>
      </c>
      <c r="T673" s="8"/>
      <c r="U673" s="104" t="b">
        <f>IF(DHW_carriertype_1="Strom",TRUE,FALSE)</f>
        <v>1</v>
      </c>
      <c r="V673" s="281"/>
      <c r="X673" t="b">
        <v>1</v>
      </c>
      <c r="Y673" s="11"/>
      <c r="Z673" s="177" t="b">
        <v>1</v>
      </c>
      <c r="AA673" s="130"/>
      <c r="AB673" s="130" t="b">
        <v>1</v>
      </c>
      <c r="AC673" s="106" t="b">
        <v>1</v>
      </c>
      <c r="AD673" t="b">
        <v>1</v>
      </c>
      <c r="AE673" t="b">
        <v>1</v>
      </c>
      <c r="AF673" t="b">
        <v>0</v>
      </c>
      <c r="AG673" t="b">
        <v>0</v>
      </c>
      <c r="AH673" t="b">
        <v>0</v>
      </c>
      <c r="AI673" t="b">
        <v>1</v>
      </c>
      <c r="AJ673" t="b">
        <v>1</v>
      </c>
    </row>
    <row r="674" spans="1:36" x14ac:dyDescent="0.25">
      <c r="A674" s="359" t="s">
        <v>107</v>
      </c>
      <c r="B674" t="s">
        <v>852</v>
      </c>
      <c r="C674" s="16"/>
      <c r="D674" s="16"/>
      <c r="E674" s="17"/>
      <c r="F674" s="18" t="s">
        <v>853</v>
      </c>
      <c r="G674" s="134" t="str">
        <f ca="1">_xlfn.FORMULATEXT(IN[[#This Row],[STAGE]])</f>
        <v>='[ka_PEQ_Nachweistool.xlsb]💧WW'!B12</v>
      </c>
      <c r="H674" s="20">
        <v>2</v>
      </c>
      <c r="I674" s="104">
        <f>'[1]💧WW'!B12</f>
        <v>0</v>
      </c>
      <c r="J674" s="135">
        <f>IF(IN[[#This Row],[Sim_]]=IN[[#This Row],[STAGE]],1,0)</f>
        <v>0</v>
      </c>
      <c r="K674" s="275" t="s">
        <v>849</v>
      </c>
      <c r="L674" s="130"/>
      <c r="M674" s="130">
        <f>IF(IN[[#This Row],[Sim_]]=IN[[#This Row],[Sim Var ref]],1,0)</f>
        <v>0</v>
      </c>
      <c r="N674" s="8"/>
      <c r="O674" s="8">
        <v>518</v>
      </c>
      <c r="P674" s="280"/>
      <c r="Q674" s="137">
        <f>IF(IN[[#This Row],[Sim_]]=IN[[#This Row],[Direkt alt]],1,0)</f>
        <v>0</v>
      </c>
      <c r="R674" s="10" t="s">
        <v>849</v>
      </c>
      <c r="S674" s="10">
        <f>IF(IN[[#This Row],[Sim_]]=IN[[#This Row],[Buffer]],1,0)</f>
        <v>1</v>
      </c>
      <c r="T674" s="11" t="s">
        <v>849</v>
      </c>
      <c r="U674" s="104">
        <f>'[1]💧WW'!M12</f>
        <v>0</v>
      </c>
      <c r="V674" s="11" t="s">
        <v>849</v>
      </c>
      <c r="W674" s="11" t="s">
        <v>849</v>
      </c>
      <c r="X674" s="11" t="s">
        <v>713</v>
      </c>
      <c r="Y674" s="11" t="s">
        <v>849</v>
      </c>
      <c r="Z674" s="11" t="s">
        <v>713</v>
      </c>
      <c r="AA674" s="11" t="s">
        <v>849</v>
      </c>
      <c r="AB674" s="11" t="s">
        <v>849</v>
      </c>
      <c r="AC674" s="106" t="s">
        <v>713</v>
      </c>
      <c r="AD674" t="s">
        <v>849</v>
      </c>
      <c r="AE674" t="s">
        <v>849</v>
      </c>
      <c r="AF674" t="s">
        <v>849</v>
      </c>
      <c r="AG674" t="s">
        <v>849</v>
      </c>
      <c r="AH674" t="s">
        <v>849</v>
      </c>
      <c r="AI674" t="s">
        <v>849</v>
      </c>
      <c r="AJ674" t="s">
        <v>849</v>
      </c>
    </row>
    <row r="675" spans="1:36" x14ac:dyDescent="0.25">
      <c r="A675" s="359" t="s">
        <v>107</v>
      </c>
      <c r="B675" s="15" t="s">
        <v>854</v>
      </c>
      <c r="C675" s="16"/>
      <c r="D675" s="16"/>
      <c r="E675" s="17" t="s">
        <v>78</v>
      </c>
      <c r="F675" s="18" t="s">
        <v>855</v>
      </c>
      <c r="G675" s="134" t="str">
        <f ca="1">_xlfn.FORMULATEXT(IN[[#This Row],[STAGE]])</f>
        <v>=WENN(DHW_carriertype_2="Strom";WAHR;FALSCH)</v>
      </c>
      <c r="H675" s="20">
        <v>0</v>
      </c>
      <c r="I675" s="104" t="b">
        <f>IF(DHW_carriertype_2="Strom",TRUE,FALSE)</f>
        <v>1</v>
      </c>
      <c r="J675" s="135">
        <f>IF(IN[[#This Row],[Sim_]]=IN[[#This Row],[STAGE]],1,0)</f>
        <v>0</v>
      </c>
      <c r="K675" s="279"/>
      <c r="L675" s="130"/>
      <c r="M675" s="130">
        <f>IF(IN[[#This Row],[Sim_]]=IN[[#This Row],[Sim Var ref]],1,0)</f>
        <v>1</v>
      </c>
      <c r="N675" s="8"/>
      <c r="O675" s="8">
        <v>519</v>
      </c>
      <c r="P675" s="280"/>
      <c r="Q675" s="137">
        <f>IF(IN[[#This Row],[Sim_]]=IN[[#This Row],[Direkt alt]],1,0)</f>
        <v>1</v>
      </c>
      <c r="R675" s="10" t="b">
        <v>1</v>
      </c>
      <c r="S675" s="10">
        <f>IF(IN[[#This Row],[Sim_]]=IN[[#This Row],[Buffer]],1,0)</f>
        <v>0</v>
      </c>
      <c r="T675" s="8"/>
      <c r="U675" s="104" t="b">
        <f>IF(DHW_carriertype_2="Strom",TRUE,FALSE)</f>
        <v>1</v>
      </c>
      <c r="V675" s="281"/>
      <c r="X675" t="b">
        <v>0</v>
      </c>
      <c r="Y675" s="11"/>
      <c r="Z675" s="177" t="b">
        <v>0</v>
      </c>
      <c r="AA675" s="130"/>
      <c r="AB675" s="130" t="b">
        <v>1</v>
      </c>
      <c r="AC675" s="106" t="b">
        <v>0</v>
      </c>
      <c r="AD675" t="b">
        <v>1</v>
      </c>
      <c r="AE675" t="b">
        <v>1</v>
      </c>
      <c r="AF675" t="b">
        <v>1</v>
      </c>
      <c r="AG675" t="b">
        <v>1</v>
      </c>
      <c r="AH675" t="b">
        <v>1</v>
      </c>
      <c r="AI675" t="b">
        <v>1</v>
      </c>
      <c r="AJ675" t="b">
        <v>1</v>
      </c>
    </row>
    <row r="676" spans="1:36" x14ac:dyDescent="0.25">
      <c r="A676" s="359" t="s">
        <v>107</v>
      </c>
      <c r="B676" t="s">
        <v>856</v>
      </c>
      <c r="C676" s="16"/>
      <c r="D676" s="16"/>
      <c r="E676" s="17" t="s">
        <v>285</v>
      </c>
      <c r="F676" s="18" t="s">
        <v>857</v>
      </c>
      <c r="G676" s="134" t="str">
        <f ca="1">_xlfn.FORMULATEXT(IN[[#This Row],[STAGE]])</f>
        <v>='[ka_PEQ_Nachweistool.xlsb]💧WW'!B7</v>
      </c>
      <c r="H676" s="20">
        <v>2</v>
      </c>
      <c r="I676" s="104">
        <f>'[1]💧WW'!B7</f>
        <v>0</v>
      </c>
      <c r="J676" s="135">
        <f>IF(IN[[#This Row],[Sim_]]=IN[[#This Row],[STAGE]],1,0)</f>
        <v>0</v>
      </c>
      <c r="K676" s="210">
        <f>$K$75</f>
        <v>1.6876972780994446</v>
      </c>
      <c r="L676" s="130"/>
      <c r="M676" s="130">
        <f>IF(IN[[#This Row],[Sim_]]=IN[[#This Row],[Sim Var ref]],1,0)</f>
        <v>0</v>
      </c>
      <c r="N676" s="8"/>
      <c r="O676" s="8">
        <v>520</v>
      </c>
      <c r="P676" s="280"/>
      <c r="Q676" s="137">
        <f>IF(IN[[#This Row],[Sim_]]=IN[[#This Row],[Direkt alt]],1,0)</f>
        <v>0</v>
      </c>
      <c r="R676" s="10">
        <v>0.95</v>
      </c>
      <c r="S676" s="10">
        <f>IF(IN[[#This Row],[Sim_]]=IN[[#This Row],[Buffer]],1,0)</f>
        <v>0</v>
      </c>
      <c r="T676" s="365">
        <f>$K$75</f>
        <v>1.6876972780994446</v>
      </c>
      <c r="U676" s="104">
        <f>'[1]💧WW'!M7</f>
        <v>0</v>
      </c>
      <c r="V676" s="365">
        <f t="shared" ref="V676:AA676" si="27">$K$75</f>
        <v>1.6876972780994446</v>
      </c>
      <c r="W676" s="365">
        <f t="shared" si="27"/>
        <v>1.6876972780994446</v>
      </c>
      <c r="X676" s="365">
        <v>1.6876972780994446</v>
      </c>
      <c r="Y676" s="365">
        <f t="shared" si="27"/>
        <v>1.6876972780994446</v>
      </c>
      <c r="Z676" s="365">
        <v>1.6876972780994446</v>
      </c>
      <c r="AA676" s="365">
        <f t="shared" si="27"/>
        <v>1.6876972780994446</v>
      </c>
      <c r="AB676" s="365">
        <v>1.6876972780994446</v>
      </c>
      <c r="AC676" s="106">
        <v>1.6876972780994446</v>
      </c>
      <c r="AD676">
        <v>3</v>
      </c>
      <c r="AE676">
        <v>3</v>
      </c>
      <c r="AF676">
        <v>0.95</v>
      </c>
      <c r="AG676">
        <v>0.95</v>
      </c>
      <c r="AH676">
        <v>0.95</v>
      </c>
      <c r="AI676">
        <v>1.6876972780994446</v>
      </c>
      <c r="AJ676">
        <v>1.6876972780994446</v>
      </c>
    </row>
    <row r="677" spans="1:36" x14ac:dyDescent="0.25">
      <c r="A677" s="359" t="s">
        <v>107</v>
      </c>
      <c r="B677" s="15" t="s">
        <v>858</v>
      </c>
      <c r="C677" s="16"/>
      <c r="D677" s="16"/>
      <c r="E677" s="17" t="s">
        <v>262</v>
      </c>
      <c r="F677" s="18" t="s">
        <v>859</v>
      </c>
      <c r="G677" s="134" t="str">
        <f ca="1">_xlfn.FORMULATEXT(IN[[#This Row],[STAGE]])</f>
        <v>='[ka_PEQ_Nachweistool.xlsb]💧WW'!B13</v>
      </c>
      <c r="H677" s="20">
        <v>2</v>
      </c>
      <c r="I677" s="104">
        <f>'[1]💧WW'!B13</f>
        <v>0</v>
      </c>
      <c r="J677" s="135">
        <f>IF(IN[[#This Row],[Sim_]]=IN[[#This Row],[STAGE]],1,0)</f>
        <v>0</v>
      </c>
      <c r="K677" s="275">
        <v>1</v>
      </c>
      <c r="L677" s="130"/>
      <c r="M677" s="130">
        <f>IF(IN[[#This Row],[Sim_]]=IN[[#This Row],[Sim Var ref]],1,0)</f>
        <v>0</v>
      </c>
      <c r="N677" s="8"/>
      <c r="O677" s="8">
        <v>521</v>
      </c>
      <c r="P677" s="280"/>
      <c r="Q677" s="137">
        <f>IF(IN[[#This Row],[Sim_]]=IN[[#This Row],[Direkt alt]],1,0)</f>
        <v>0</v>
      </c>
      <c r="R677" s="10">
        <v>1</v>
      </c>
      <c r="S677" s="10">
        <f>IF(IN[[#This Row],[Sim_]]=IN[[#This Row],[Buffer]],1,0)</f>
        <v>1</v>
      </c>
      <c r="T677" s="11">
        <v>1</v>
      </c>
      <c r="U677" s="104">
        <f>'[1]💧WW'!M13</f>
        <v>0</v>
      </c>
      <c r="V677" s="11">
        <v>1</v>
      </c>
      <c r="W677" s="11">
        <v>1</v>
      </c>
      <c r="X677" s="11">
        <v>1</v>
      </c>
      <c r="Y677" s="11">
        <v>1</v>
      </c>
      <c r="Z677" s="11">
        <v>1</v>
      </c>
      <c r="AA677" s="11">
        <v>1</v>
      </c>
      <c r="AB677" s="11">
        <v>1</v>
      </c>
      <c r="AC677" s="106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25">
      <c r="A678" s="359" t="s">
        <v>107</v>
      </c>
      <c r="B678" t="s">
        <v>860</v>
      </c>
      <c r="C678" s="16"/>
      <c r="D678" s="16"/>
      <c r="E678" s="17" t="s">
        <v>78</v>
      </c>
      <c r="F678" s="18" t="s">
        <v>861</v>
      </c>
      <c r="G678" s="134" t="str">
        <f ca="1">_xlfn.FORMULATEXT(IN[[#This Row],[STAGE]])</f>
        <v>=1/I676</v>
      </c>
      <c r="H678" s="20">
        <v>0</v>
      </c>
      <c r="I678" s="104" t="e">
        <f>1/I676</f>
        <v>#DIV/0!</v>
      </c>
      <c r="J678" s="135" t="e">
        <f>IF(IN[[#This Row],[Sim_]]=IN[[#This Row],[STAGE]],1,0)</f>
        <v>#DIV/0!</v>
      </c>
      <c r="K678" s="279"/>
      <c r="L678" s="130"/>
      <c r="M678" s="130">
        <f>IF(IN[[#This Row],[Sim_]]=IN[[#This Row],[Sim Var ref]],1,0)</f>
        <v>1</v>
      </c>
      <c r="N678" s="8"/>
      <c r="O678" s="8">
        <v>522</v>
      </c>
      <c r="P678" s="280"/>
      <c r="Q678" s="137">
        <f>IF(IN[[#This Row],[Sim_]]=IN[[#This Row],[Direkt alt]],1,0)</f>
        <v>1</v>
      </c>
      <c r="R678" s="10">
        <v>1.0526315789473684</v>
      </c>
      <c r="S678" s="10">
        <f>IF(IN[[#This Row],[Sim_]]=IN[[#This Row],[Buffer]],1,0)</f>
        <v>0</v>
      </c>
      <c r="T678" s="8"/>
      <c r="U678" s="104" t="e">
        <f>1/U676</f>
        <v>#DIV/0!</v>
      </c>
      <c r="V678" s="281"/>
      <c r="X678">
        <v>0.59252332333327185</v>
      </c>
      <c r="Y678" s="11"/>
      <c r="Z678" s="177">
        <v>0.59252332333327185</v>
      </c>
      <c r="AA678" s="130"/>
      <c r="AB678" s="130">
        <v>0.59252332333327185</v>
      </c>
      <c r="AC678" s="106">
        <v>0.59252332333327185</v>
      </c>
      <c r="AD678">
        <v>0.33333333333333331</v>
      </c>
      <c r="AE678">
        <v>0.33333333333333331</v>
      </c>
      <c r="AF678">
        <v>1.0526315789473684</v>
      </c>
      <c r="AG678">
        <v>1.0526315789473684</v>
      </c>
      <c r="AH678">
        <v>1.0526315789473684</v>
      </c>
      <c r="AI678">
        <v>0.59252332333327185</v>
      </c>
      <c r="AJ678">
        <v>0.59252332333327185</v>
      </c>
    </row>
    <row r="679" spans="1:36" x14ac:dyDescent="0.25">
      <c r="A679" s="359" t="s">
        <v>107</v>
      </c>
      <c r="B679" s="15" t="s">
        <v>862</v>
      </c>
      <c r="C679" s="16"/>
      <c r="D679" s="16"/>
      <c r="E679" s="17" t="s">
        <v>78</v>
      </c>
      <c r="F679" s="18" t="s">
        <v>863</v>
      </c>
      <c r="G679" s="134" t="str">
        <f ca="1">_xlfn.FORMULATEXT(IN[[#This Row],[STAGE]])</f>
        <v>=1/I677</v>
      </c>
      <c r="H679" s="20">
        <v>0</v>
      </c>
      <c r="I679" s="104" t="e">
        <f>1/I677</f>
        <v>#DIV/0!</v>
      </c>
      <c r="J679" s="135" t="e">
        <f>IF(IN[[#This Row],[Sim_]]=IN[[#This Row],[STAGE]],1,0)</f>
        <v>#DIV/0!</v>
      </c>
      <c r="K679" s="279"/>
      <c r="L679" s="130"/>
      <c r="M679" s="130">
        <f>IF(IN[[#This Row],[Sim_]]=IN[[#This Row],[Sim Var ref]],1,0)</f>
        <v>1</v>
      </c>
      <c r="N679" s="8"/>
      <c r="O679" s="8">
        <v>523</v>
      </c>
      <c r="P679" s="280"/>
      <c r="Q679" s="137">
        <f>IF(IN[[#This Row],[Sim_]]=IN[[#This Row],[Direkt alt]],1,0)</f>
        <v>1</v>
      </c>
      <c r="R679" s="10">
        <v>1</v>
      </c>
      <c r="S679" s="10">
        <f>IF(IN[[#This Row],[Sim_]]=IN[[#This Row],[Buffer]],1,0)</f>
        <v>0</v>
      </c>
      <c r="T679" s="8"/>
      <c r="U679" s="104" t="e">
        <f>1/U677</f>
        <v>#DIV/0!</v>
      </c>
      <c r="V679" s="281"/>
      <c r="X679">
        <v>1</v>
      </c>
      <c r="Y679" s="11"/>
      <c r="Z679" s="177">
        <v>1</v>
      </c>
      <c r="AA679" s="130"/>
      <c r="AB679" s="130">
        <v>1</v>
      </c>
      <c r="AC679" s="106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25">
      <c r="A680" s="63"/>
      <c r="B680" s="15"/>
      <c r="C680" s="16"/>
      <c r="D680" s="16"/>
      <c r="E680" s="17"/>
      <c r="F680" s="18"/>
      <c r="G680" s="147"/>
      <c r="H680" s="20">
        <v>0</v>
      </c>
      <c r="I680" s="104">
        <f>IN[[#This Row],[Buffer]]</f>
        <v>0</v>
      </c>
      <c r="J680" s="135">
        <f>IF(IN[[#This Row],[Sim_]]=IN[[#This Row],[STAGE]],1,0)</f>
        <v>1</v>
      </c>
      <c r="K680" s="363"/>
      <c r="L680" s="130"/>
      <c r="M680" s="130">
        <f>IF(IN[[#This Row],[Sim_]]=IN[[#This Row],[Sim Var ref]],1,0)</f>
        <v>1</v>
      </c>
      <c r="N680" s="8"/>
      <c r="O680" s="8"/>
      <c r="P680" s="280"/>
      <c r="Q680" s="137">
        <f>IF(IN[[#This Row],[Sim_]]=IN[[#This Row],[Direkt alt]],1,0)</f>
        <v>1</v>
      </c>
      <c r="R680" s="10">
        <v>0</v>
      </c>
      <c r="S680" s="10">
        <f>IF(IN[[#This Row],[Sim_]]=IN[[#This Row],[Buffer]],1,0)</f>
        <v>1</v>
      </c>
      <c r="T680" s="8"/>
      <c r="U680" s="145"/>
      <c r="V680" s="281"/>
      <c r="X680">
        <v>0</v>
      </c>
      <c r="Y680" s="11"/>
      <c r="Z680" s="177">
        <v>0</v>
      </c>
      <c r="AA680" s="130"/>
      <c r="AB680" s="130"/>
      <c r="AC680" s="106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s="63"/>
      <c r="B681" s="15"/>
      <c r="C681" s="16"/>
      <c r="D681" s="16"/>
      <c r="E681" s="17"/>
      <c r="F681" s="18"/>
      <c r="G681" s="147"/>
      <c r="H681" s="20">
        <v>0</v>
      </c>
      <c r="I681" s="104">
        <f>IN[[#This Row],[Buffer]]</f>
        <v>0</v>
      </c>
      <c r="J681" s="135">
        <f>IF(IN[[#This Row],[Sim_]]=IN[[#This Row],[STAGE]],1,0)</f>
        <v>1</v>
      </c>
      <c r="K681" s="363"/>
      <c r="L681" s="130"/>
      <c r="M681" s="130">
        <f>IF(IN[[#This Row],[Sim_]]=IN[[#This Row],[Sim Var ref]],1,0)</f>
        <v>1</v>
      </c>
      <c r="N681" s="8"/>
      <c r="O681" s="8"/>
      <c r="P681" s="280"/>
      <c r="Q681" s="137">
        <f>IF(IN[[#This Row],[Sim_]]=IN[[#This Row],[Direkt alt]],1,0)</f>
        <v>1</v>
      </c>
      <c r="R681" s="10">
        <v>0</v>
      </c>
      <c r="S681" s="10">
        <f>IF(IN[[#This Row],[Sim_]]=IN[[#This Row],[Buffer]],1,0)</f>
        <v>1</v>
      </c>
      <c r="T681" s="8"/>
      <c r="U681" s="145"/>
      <c r="V681" s="281"/>
      <c r="X681">
        <v>0</v>
      </c>
      <c r="Y681" s="11"/>
      <c r="Z681" s="177">
        <v>0</v>
      </c>
      <c r="AA681" s="130"/>
      <c r="AB681" s="130"/>
      <c r="AC681" s="106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s="63"/>
      <c r="B682" s="15"/>
      <c r="C682" s="16"/>
      <c r="D682" s="16"/>
      <c r="E682" s="17"/>
      <c r="F682" s="18"/>
      <c r="G682" s="147"/>
      <c r="H682" s="20">
        <v>0</v>
      </c>
      <c r="I682" s="104">
        <f>IN[[#This Row],[Buffer]]</f>
        <v>0</v>
      </c>
      <c r="J682" s="135">
        <f>IF(IN[[#This Row],[Sim_]]=IN[[#This Row],[STAGE]],1,0)</f>
        <v>1</v>
      </c>
      <c r="K682" s="363"/>
      <c r="L682" s="130"/>
      <c r="M682" s="130">
        <f>IF(IN[[#This Row],[Sim_]]=IN[[#This Row],[Sim Var ref]],1,0)</f>
        <v>1</v>
      </c>
      <c r="N682" s="8"/>
      <c r="O682" s="8"/>
      <c r="P682" s="280"/>
      <c r="Q682" s="137">
        <f>IF(IN[[#This Row],[Sim_]]=IN[[#This Row],[Direkt alt]],1,0)</f>
        <v>1</v>
      </c>
      <c r="R682" s="10">
        <v>0</v>
      </c>
      <c r="S682" s="10">
        <f>IF(IN[[#This Row],[Sim_]]=IN[[#This Row],[Buffer]],1,0)</f>
        <v>1</v>
      </c>
      <c r="T682" s="8"/>
      <c r="U682" s="145"/>
      <c r="V682" s="281"/>
      <c r="X682">
        <v>0</v>
      </c>
      <c r="Y682" s="11"/>
      <c r="Z682" s="177">
        <v>0</v>
      </c>
      <c r="AA682" s="130"/>
      <c r="AB682" s="130"/>
      <c r="AC682" s="106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s="63"/>
      <c r="B683" s="15"/>
      <c r="C683" s="16"/>
      <c r="D683" s="16"/>
      <c r="E683" s="17"/>
      <c r="F683" s="18"/>
      <c r="G683" s="147"/>
      <c r="H683" s="20">
        <v>0</v>
      </c>
      <c r="I683" s="104">
        <f>IN[[#This Row],[Buffer]]</f>
        <v>0</v>
      </c>
      <c r="J683" s="135">
        <f>IF(IN[[#This Row],[Sim_]]=IN[[#This Row],[STAGE]],1,0)</f>
        <v>1</v>
      </c>
      <c r="K683" s="363"/>
      <c r="L683" s="130"/>
      <c r="M683" s="130">
        <f>IF(IN[[#This Row],[Sim_]]=IN[[#This Row],[Sim Var ref]],1,0)</f>
        <v>1</v>
      </c>
      <c r="N683" s="8"/>
      <c r="O683" s="8"/>
      <c r="P683" s="280"/>
      <c r="Q683" s="137">
        <f>IF(IN[[#This Row],[Sim_]]=IN[[#This Row],[Direkt alt]],1,0)</f>
        <v>1</v>
      </c>
      <c r="R683" s="10">
        <v>0</v>
      </c>
      <c r="S683" s="10">
        <f>IF(IN[[#This Row],[Sim_]]=IN[[#This Row],[Buffer]],1,0)</f>
        <v>1</v>
      </c>
      <c r="T683" s="8"/>
      <c r="U683" s="145"/>
      <c r="V683" s="281"/>
      <c r="X683">
        <v>0</v>
      </c>
      <c r="Y683" s="11"/>
      <c r="Z683" s="177">
        <v>0</v>
      </c>
      <c r="AA683" s="130"/>
      <c r="AB683" s="130"/>
      <c r="AC683" s="106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s="63"/>
      <c r="B684" s="15"/>
      <c r="C684" s="16"/>
      <c r="D684" s="16"/>
      <c r="E684" s="17"/>
      <c r="F684" s="18"/>
      <c r="G684" s="147"/>
      <c r="H684" s="20">
        <v>0</v>
      </c>
      <c r="I684" s="104">
        <f>IN[[#This Row],[Buffer]]</f>
        <v>0</v>
      </c>
      <c r="J684" s="135">
        <f>IF(IN[[#This Row],[Sim_]]=IN[[#This Row],[STAGE]],1,0)</f>
        <v>1</v>
      </c>
      <c r="K684" s="363"/>
      <c r="L684" s="130"/>
      <c r="M684" s="130">
        <f>IF(IN[[#This Row],[Sim_]]=IN[[#This Row],[Sim Var ref]],1,0)</f>
        <v>1</v>
      </c>
      <c r="N684" s="8"/>
      <c r="O684" s="8"/>
      <c r="P684" s="280"/>
      <c r="Q684" s="137">
        <f>IF(IN[[#This Row],[Sim_]]=IN[[#This Row],[Direkt alt]],1,0)</f>
        <v>1</v>
      </c>
      <c r="R684" s="10">
        <v>0</v>
      </c>
      <c r="S684" s="10">
        <f>IF(IN[[#This Row],[Sim_]]=IN[[#This Row],[Buffer]],1,0)</f>
        <v>1</v>
      </c>
      <c r="T684" s="8"/>
      <c r="U684" s="145"/>
      <c r="V684" s="281"/>
      <c r="X684">
        <v>0</v>
      </c>
      <c r="Y684" s="11"/>
      <c r="Z684" s="177">
        <v>0</v>
      </c>
      <c r="AA684" s="130"/>
      <c r="AB684" s="130"/>
      <c r="AC684" s="106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s="63"/>
      <c r="B685" s="15"/>
      <c r="C685" s="16"/>
      <c r="D685" s="16"/>
      <c r="E685" s="17"/>
      <c r="F685" s="18"/>
      <c r="G685" s="147"/>
      <c r="H685" s="20">
        <v>0</v>
      </c>
      <c r="I685" s="104">
        <f>IN[[#This Row],[Buffer]]</f>
        <v>0</v>
      </c>
      <c r="J685" s="135">
        <f>IF(IN[[#This Row],[Sim_]]=IN[[#This Row],[STAGE]],1,0)</f>
        <v>1</v>
      </c>
      <c r="K685" s="363"/>
      <c r="L685" s="130"/>
      <c r="M685" s="130">
        <f>IF(IN[[#This Row],[Sim_]]=IN[[#This Row],[Sim Var ref]],1,0)</f>
        <v>1</v>
      </c>
      <c r="N685" s="8"/>
      <c r="O685" s="8"/>
      <c r="P685" s="280"/>
      <c r="Q685" s="137">
        <f>IF(IN[[#This Row],[Sim_]]=IN[[#This Row],[Direkt alt]],1,0)</f>
        <v>1</v>
      </c>
      <c r="R685" s="10">
        <v>0</v>
      </c>
      <c r="S685" s="10">
        <f>IF(IN[[#This Row],[Sim_]]=IN[[#This Row],[Buffer]],1,0)</f>
        <v>1</v>
      </c>
      <c r="T685" s="8"/>
      <c r="U685" s="145"/>
      <c r="V685" s="281"/>
      <c r="X685">
        <v>0</v>
      </c>
      <c r="Y685" s="11"/>
      <c r="Z685" s="177">
        <v>0</v>
      </c>
      <c r="AA685" s="130"/>
      <c r="AB685" s="130"/>
      <c r="AC685" s="106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s="63"/>
      <c r="B686" s="15"/>
      <c r="C686" s="16"/>
      <c r="D686" s="16"/>
      <c r="E686" s="17"/>
      <c r="F686" s="18"/>
      <c r="G686" s="147"/>
      <c r="H686" s="20">
        <v>0</v>
      </c>
      <c r="I686" s="104">
        <f>IN[[#This Row],[Buffer]]</f>
        <v>0</v>
      </c>
      <c r="J686" s="135">
        <f>IF(IN[[#This Row],[Sim_]]=IN[[#This Row],[STAGE]],1,0)</f>
        <v>1</v>
      </c>
      <c r="K686" s="363"/>
      <c r="L686" s="130"/>
      <c r="M686" s="130">
        <f>IF(IN[[#This Row],[Sim_]]=IN[[#This Row],[Sim Var ref]],1,0)</f>
        <v>1</v>
      </c>
      <c r="N686" s="8"/>
      <c r="O686" s="8"/>
      <c r="P686" s="280"/>
      <c r="Q686" s="137">
        <f>IF(IN[[#This Row],[Sim_]]=IN[[#This Row],[Direkt alt]],1,0)</f>
        <v>1</v>
      </c>
      <c r="R686" s="10">
        <v>0</v>
      </c>
      <c r="S686" s="10">
        <f>IF(IN[[#This Row],[Sim_]]=IN[[#This Row],[Buffer]],1,0)</f>
        <v>1</v>
      </c>
      <c r="T686" s="8"/>
      <c r="U686" s="145"/>
      <c r="V686" s="281"/>
      <c r="X686">
        <v>0</v>
      </c>
      <c r="Y686" s="11"/>
      <c r="Z686" s="177">
        <v>0</v>
      </c>
      <c r="AA686" s="130"/>
      <c r="AB686" s="130"/>
      <c r="AC686" s="10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s="63"/>
      <c r="B687" s="15"/>
      <c r="C687" s="16"/>
      <c r="D687" s="16"/>
      <c r="E687" s="17"/>
      <c r="F687" s="18"/>
      <c r="G687" s="147"/>
      <c r="H687" s="20">
        <v>0</v>
      </c>
      <c r="I687" s="104">
        <f>IN[[#This Row],[Buffer]]</f>
        <v>0</v>
      </c>
      <c r="J687" s="135">
        <f>IF(IN[[#This Row],[Sim_]]=IN[[#This Row],[STAGE]],1,0)</f>
        <v>1</v>
      </c>
      <c r="K687" s="363"/>
      <c r="L687" s="130"/>
      <c r="M687" s="130">
        <f>IF(IN[[#This Row],[Sim_]]=IN[[#This Row],[Sim Var ref]],1,0)</f>
        <v>1</v>
      </c>
      <c r="N687" s="8"/>
      <c r="O687" s="8"/>
      <c r="P687" s="280"/>
      <c r="Q687" s="137">
        <f>IF(IN[[#This Row],[Sim_]]=IN[[#This Row],[Direkt alt]],1,0)</f>
        <v>1</v>
      </c>
      <c r="R687" s="10">
        <v>0</v>
      </c>
      <c r="S687" s="10">
        <f>IF(IN[[#This Row],[Sim_]]=IN[[#This Row],[Buffer]],1,0)</f>
        <v>1</v>
      </c>
      <c r="T687" s="8"/>
      <c r="U687" s="145"/>
      <c r="V687" s="281"/>
      <c r="X687">
        <v>0</v>
      </c>
      <c r="Y687" s="11"/>
      <c r="Z687" s="177">
        <v>0</v>
      </c>
      <c r="AA687" s="130"/>
      <c r="AB687" s="130"/>
      <c r="AC687" s="106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ht="26.25" x14ac:dyDescent="0.4">
      <c r="A688" s="359"/>
      <c r="B688" s="359"/>
      <c r="C688" s="366" t="e">
        <f>ROWS(#REF!)-1</f>
        <v>#REF!</v>
      </c>
      <c r="D688" s="366" t="s">
        <v>293</v>
      </c>
      <c r="E688" s="359"/>
      <c r="F688" s="367"/>
      <c r="G688" s="368"/>
      <c r="H688" s="359">
        <v>0</v>
      </c>
      <c r="I688" s="369"/>
      <c r="J688" s="359"/>
      <c r="K688" s="359"/>
      <c r="L688" s="359"/>
      <c r="M688" s="359"/>
      <c r="N688" s="359"/>
      <c r="O688" s="359"/>
      <c r="P688" s="359"/>
      <c r="Q688" s="359"/>
      <c r="R688" s="359"/>
      <c r="S688" s="359"/>
      <c r="T688" s="359"/>
      <c r="U688" s="359"/>
      <c r="V688" s="370"/>
      <c r="W688" s="370"/>
      <c r="X688" s="370"/>
      <c r="Y688" s="370"/>
      <c r="Z688" s="370"/>
      <c r="AA688" s="370"/>
      <c r="AB688" s="370"/>
      <c r="AC688" s="371"/>
    </row>
    <row r="689" spans="1:36" x14ac:dyDescent="0.25">
      <c r="A689" s="372" t="s">
        <v>187</v>
      </c>
      <c r="B689" s="373" t="s">
        <v>864</v>
      </c>
      <c r="C689" s="16" t="s">
        <v>512</v>
      </c>
      <c r="D689" s="16"/>
      <c r="E689" s="17" t="s">
        <v>285</v>
      </c>
      <c r="F689" s="18" t="s">
        <v>865</v>
      </c>
      <c r="G689" s="134" t="str">
        <f ca="1">_xlfn.FORMULATEXT(IN[[#This Row],[STAGE]])</f>
        <v>='[ka_PEQ_Nachweistool.xlsb]🌞PV'!B7</v>
      </c>
      <c r="H689" s="20">
        <v>2</v>
      </c>
      <c r="I689" s="104">
        <f>'[1]🌞PV'!B7</f>
        <v>0</v>
      </c>
      <c r="J689" s="135">
        <f>IF(IN[[#This Row],[Sim_]]=IN[[#This Row],[STAGE]],1,0)</f>
        <v>0</v>
      </c>
      <c r="K689" s="136" t="b">
        <f>K141</f>
        <v>1</v>
      </c>
      <c r="L689" s="130"/>
      <c r="M689" s="130">
        <f>IF(IN[[#This Row],[Sim_]]=IN[[#This Row],[Sim Var ref]],1,0)</f>
        <v>0</v>
      </c>
      <c r="N689" s="8"/>
      <c r="O689" s="8">
        <v>524</v>
      </c>
      <c r="P689" s="280"/>
      <c r="Q689" s="137">
        <f>IF(IN[[#This Row],[Sim_]]=IN[[#This Row],[Direkt alt]],1,0)</f>
        <v>0</v>
      </c>
      <c r="R689" s="10" t="b">
        <v>1</v>
      </c>
      <c r="S689" s="10">
        <f>IF(IN[[#This Row],[Sim_]]=IN[[#This Row],[Buffer]],1,0)</f>
        <v>1</v>
      </c>
      <c r="T689" s="11" t="b">
        <f>T141</f>
        <v>1</v>
      </c>
      <c r="U689" s="104">
        <f>'[1]🌞PV'!M7</f>
        <v>0</v>
      </c>
      <c r="V689" s="11" t="b">
        <f t="shared" ref="V689:AA689" si="28">V141</f>
        <v>1</v>
      </c>
      <c r="W689" s="11" t="b">
        <f t="shared" si="28"/>
        <v>1</v>
      </c>
      <c r="X689" s="11" t="b">
        <v>1</v>
      </c>
      <c r="Y689" s="11" t="b">
        <f t="shared" si="28"/>
        <v>1</v>
      </c>
      <c r="Z689" s="11" t="b">
        <v>1</v>
      </c>
      <c r="AA689" s="11" t="b">
        <f t="shared" si="28"/>
        <v>1</v>
      </c>
      <c r="AB689" s="11" t="b">
        <v>1</v>
      </c>
      <c r="AC689" s="106" t="b">
        <v>1</v>
      </c>
      <c r="AD689">
        <v>0</v>
      </c>
      <c r="AE689">
        <v>0</v>
      </c>
      <c r="AF689" t="b">
        <v>1</v>
      </c>
      <c r="AG689" t="b">
        <v>1</v>
      </c>
      <c r="AH689" t="b">
        <v>1</v>
      </c>
      <c r="AI689" t="b">
        <v>1</v>
      </c>
      <c r="AJ689" t="b">
        <v>1</v>
      </c>
    </row>
    <row r="690" spans="1:36" ht="105" x14ac:dyDescent="0.25">
      <c r="A690" s="372" t="s">
        <v>187</v>
      </c>
      <c r="B690" s="373" t="s">
        <v>866</v>
      </c>
      <c r="C690" s="16"/>
      <c r="D690" s="16"/>
      <c r="E690" s="17" t="s">
        <v>285</v>
      </c>
      <c r="F690" s="18"/>
      <c r="G690" s="134" t="str">
        <f ca="1">_xlfn.FORMULATEXT(IN[[#This Row],[STAGE]])</f>
        <v>='[ka_PEQ_Nachweistool.xlsb]🌞PV'!B8</v>
      </c>
      <c r="H690" s="20">
        <v>2</v>
      </c>
      <c r="I690" s="104">
        <f>'[1]🌞PV'!B8</f>
        <v>0</v>
      </c>
      <c r="J690" s="135">
        <f>IF(IN[[#This Row],[Sim_]]=IN[[#This Row],[STAGE]],1,0)</f>
        <v>0</v>
      </c>
      <c r="K690" s="136" t="str">
        <f>VLOOKUP(K691,[1]PVimport!$AX$10:$AY$49,2,FALSE)</f>
        <v>Var_Planstand_Pilzgasse</v>
      </c>
      <c r="L690" s="130"/>
      <c r="M690" s="130">
        <f>IF(IN[[#This Row],[Sim_]]=IN[[#This Row],[Sim Var ref]],1,0)</f>
        <v>0</v>
      </c>
      <c r="N690" s="8"/>
      <c r="O690" s="8">
        <v>525</v>
      </c>
      <c r="P690" s="280"/>
      <c r="Q690" s="137">
        <f>IF(IN[[#This Row],[Sim_]]=IN[[#This Row],[Direkt alt]],1,0)</f>
        <v>0</v>
      </c>
      <c r="R690" s="374" t="s">
        <v>867</v>
      </c>
      <c r="S690" s="10">
        <f>IF(IN[[#This Row],[Sim_]]=IN[[#This Row],[Buffer]],1,0)</f>
        <v>0</v>
      </c>
      <c r="T690" s="11" t="str">
        <f>VLOOKUP(T691,[1]PVimport!$AX$10:$AY$49,2,FALSE)</f>
        <v>Azi24Tilt27Wp460</v>
      </c>
      <c r="U690" s="104">
        <f>'[1]🌞PV'!M8</f>
        <v>0</v>
      </c>
      <c r="V690" s="11" t="str">
        <f>VLOOKUP(V691,[1]PVimport!$AX$10:$AY$49,2,FALSE)</f>
        <v>Var_Planstand_Pilzgasse</v>
      </c>
      <c r="W690" s="11" t="str">
        <f>VLOOKUP(W691,[1]PVimport!$AX$10:$AY$49,2,FALSE)</f>
        <v>MinPEQ</v>
      </c>
      <c r="X690" s="375" t="s">
        <v>868</v>
      </c>
      <c r="Y690" s="11" t="str">
        <f>VLOOKUP(Y691,[1]PVimport!$AX$10:$AY$49,2,FALSE)</f>
        <v>Azi24Tilt27Wp460</v>
      </c>
      <c r="Z690" s="375" t="s">
        <v>868</v>
      </c>
      <c r="AA690" s="11" t="str">
        <f>VLOOKUP(AA691,[1]PVimport!$AX$10:$AY$49,2,FALSE)</f>
        <v>Azi24Tilt27Wp460</v>
      </c>
      <c r="AB690" s="11" t="s">
        <v>869</v>
      </c>
      <c r="AC690" s="376" t="s">
        <v>868</v>
      </c>
      <c r="AD690" t="s">
        <v>870</v>
      </c>
      <c r="AE690" t="s">
        <v>870</v>
      </c>
      <c r="AF690" t="s">
        <v>867</v>
      </c>
      <c r="AG690" t="s">
        <v>867</v>
      </c>
      <c r="AH690" t="s">
        <v>867</v>
      </c>
      <c r="AI690" t="s">
        <v>869</v>
      </c>
      <c r="AJ690" t="s">
        <v>869</v>
      </c>
    </row>
    <row r="691" spans="1:36" x14ac:dyDescent="0.25">
      <c r="A691" s="372" t="s">
        <v>187</v>
      </c>
      <c r="B691" s="373" t="s">
        <v>871</v>
      </c>
      <c r="C691" s="16"/>
      <c r="D691" s="16"/>
      <c r="E691" s="17" t="s">
        <v>78</v>
      </c>
      <c r="F691" s="18" t="s">
        <v>872</v>
      </c>
      <c r="G691" s="134" t="str">
        <f ca="1">_xlfn.FORMULATEXT(IN[[#This Row],[STAGE]])</f>
        <v>=VERGLEICH(I690;pv_profile_names;0)</v>
      </c>
      <c r="H691" s="20">
        <v>0</v>
      </c>
      <c r="I691" s="104" t="e">
        <f>MATCH(I690,pv_profile_names,0)</f>
        <v>#N/A</v>
      </c>
      <c r="J691" s="135" t="e">
        <f>IF(IN[[#This Row],[Sim_]]=IN[[#This Row],[STAGE]],1,0)</f>
        <v>#N/A</v>
      </c>
      <c r="K691" s="136">
        <f>K129</f>
        <v>13</v>
      </c>
      <c r="L691" s="130"/>
      <c r="M691" s="130">
        <f>IF(IN[[#This Row],[Sim_]]=IN[[#This Row],[Sim Var ref]],1,0)</f>
        <v>0</v>
      </c>
      <c r="N691" s="8"/>
      <c r="O691" s="8">
        <v>526</v>
      </c>
      <c r="P691" s="280"/>
      <c r="Q691" s="137">
        <f>IF(IN[[#This Row],[Sim_]]=IN[[#This Row],[Direkt alt]],1,0)</f>
        <v>0</v>
      </c>
      <c r="R691" s="10">
        <v>11</v>
      </c>
      <c r="S691" s="10">
        <f>IF(IN[[#This Row],[Sim_]]=IN[[#This Row],[Buffer]],1,0)</f>
        <v>0</v>
      </c>
      <c r="T691" s="11">
        <f>T129</f>
        <v>4</v>
      </c>
      <c r="U691" s="104" t="e">
        <f>MATCH(U690,pv_profile_names,0)</f>
        <v>#N/A</v>
      </c>
      <c r="V691" s="11">
        <f>V129</f>
        <v>13</v>
      </c>
      <c r="W691" s="11">
        <v>14</v>
      </c>
      <c r="X691" s="11">
        <v>33</v>
      </c>
      <c r="Y691" s="11">
        <f>Y129</f>
        <v>4</v>
      </c>
      <c r="Z691" s="11">
        <v>33</v>
      </c>
      <c r="AA691" s="11">
        <f>AA129</f>
        <v>4</v>
      </c>
      <c r="AB691" s="11">
        <v>13</v>
      </c>
      <c r="AC691" s="106">
        <v>33</v>
      </c>
      <c r="AD691">
        <v>8</v>
      </c>
      <c r="AE691">
        <v>8</v>
      </c>
      <c r="AF691">
        <v>11</v>
      </c>
      <c r="AG691">
        <v>11</v>
      </c>
      <c r="AH691">
        <v>11</v>
      </c>
      <c r="AI691">
        <v>13</v>
      </c>
      <c r="AJ691">
        <v>13</v>
      </c>
    </row>
    <row r="692" spans="1:36" x14ac:dyDescent="0.25">
      <c r="A692" s="372" t="s">
        <v>187</v>
      </c>
      <c r="B692" s="373" t="s">
        <v>873</v>
      </c>
      <c r="C692" s="16"/>
      <c r="D692" s="16"/>
      <c r="E692" s="17" t="s">
        <v>262</v>
      </c>
      <c r="F692" s="18" t="s">
        <v>874</v>
      </c>
      <c r="G692" s="134" t="str">
        <f ca="1">_xlfn.FORMULATEXT(IN[[#This Row],[STAGE]])</f>
        <v>='[ka_PEQ_Nachweistool.xlsb]🌞PV'!B9</v>
      </c>
      <c r="H692" s="20">
        <v>2</v>
      </c>
      <c r="I692" s="104">
        <f>'[1]🌞PV'!B9</f>
        <v>0</v>
      </c>
      <c r="J692" s="135">
        <f>IF(IN[[#This Row],[Sim_]]=IN[[#This Row],[STAGE]],1,0)</f>
        <v>0</v>
      </c>
      <c r="K692" s="328">
        <v>1</v>
      </c>
      <c r="L692" s="130"/>
      <c r="M692" s="130">
        <f>IF(IN[[#This Row],[Sim_]]=IN[[#This Row],[Sim Var ref]],1,0)</f>
        <v>0</v>
      </c>
      <c r="N692" s="8"/>
      <c r="O692" s="8">
        <v>527</v>
      </c>
      <c r="P692" s="280"/>
      <c r="Q692" s="137">
        <f>IF(IN[[#This Row],[Sim_]]=IN[[#This Row],[Direkt alt]],1,0)</f>
        <v>0</v>
      </c>
      <c r="R692" s="10">
        <v>1</v>
      </c>
      <c r="S692" s="10">
        <f>IF(IN[[#This Row],[Sim_]]=IN[[#This Row],[Buffer]],1,0)</f>
        <v>1</v>
      </c>
      <c r="T692" s="11">
        <v>1</v>
      </c>
      <c r="U692" s="104">
        <f>'[1]🌞PV'!M9</f>
        <v>0</v>
      </c>
      <c r="V692" s="281">
        <v>1</v>
      </c>
      <c r="W692">
        <v>1</v>
      </c>
      <c r="X692">
        <v>1</v>
      </c>
      <c r="Y692" s="11">
        <v>1</v>
      </c>
      <c r="Z692" s="177">
        <v>1</v>
      </c>
      <c r="AA692" s="130">
        <v>1</v>
      </c>
      <c r="AB692" s="130">
        <v>1</v>
      </c>
      <c r="AC692" s="106">
        <v>1</v>
      </c>
      <c r="AD692">
        <v>1</v>
      </c>
      <c r="AE692">
        <v>1</v>
      </c>
      <c r="AF692">
        <v>1</v>
      </c>
      <c r="AG692">
        <v>1</v>
      </c>
      <c r="AH692">
        <v>2</v>
      </c>
      <c r="AI692">
        <v>1</v>
      </c>
      <c r="AJ692">
        <v>1</v>
      </c>
    </row>
    <row r="693" spans="1:36" x14ac:dyDescent="0.25">
      <c r="A693" s="372" t="s">
        <v>187</v>
      </c>
      <c r="B693" s="373" t="s">
        <v>875</v>
      </c>
      <c r="C693" s="16"/>
      <c r="D693" s="16"/>
      <c r="E693" s="17" t="s">
        <v>285</v>
      </c>
      <c r="F693" s="18" t="s">
        <v>876</v>
      </c>
      <c r="G693" s="377" t="str">
        <f ca="1">_xlfn.FORMULATEXT(IN[[#This Row],[STAGE]])</f>
        <v>='[ka_PEQ_Nachweistool.xlsb]🌞PV'!B60</v>
      </c>
      <c r="H693" s="20">
        <v>2</v>
      </c>
      <c r="I693" s="104">
        <f>'[1]🌞PV'!B60</f>
        <v>0</v>
      </c>
      <c r="J693" s="135">
        <f>IF(IN[[#This Row],[Sim_]]=IN[[#This Row],[STAGE]],1,0)</f>
        <v>0</v>
      </c>
      <c r="K693" s="378">
        <f>K177</f>
        <v>0.9</v>
      </c>
      <c r="L693" s="130"/>
      <c r="M693" s="130">
        <f>IF(IN[[#This Row],[Sim_]]=IN[[#This Row],[Sim Var ref]],1,0)</f>
        <v>0</v>
      </c>
      <c r="N693" s="8"/>
      <c r="O693" s="8">
        <v>528</v>
      </c>
      <c r="P693" s="280"/>
      <c r="Q693" s="137">
        <f>IF(IN[[#This Row],[Sim_]]=IN[[#This Row],[Direkt alt]],1,0)</f>
        <v>0</v>
      </c>
      <c r="R693" s="10">
        <v>1</v>
      </c>
      <c r="S693" s="10">
        <f>IF(IN[[#This Row],[Sim_]]=IN[[#This Row],[Buffer]],1,0)</f>
        <v>0</v>
      </c>
      <c r="T693" s="361">
        <f>T177</f>
        <v>0.9</v>
      </c>
      <c r="U693" s="104">
        <f>'[1]🌞PV'!M60</f>
        <v>0</v>
      </c>
      <c r="V693" s="361">
        <f t="shared" ref="V693:AA693" si="29">V177</f>
        <v>0.9</v>
      </c>
      <c r="W693" s="361">
        <f t="shared" si="29"/>
        <v>0.935751</v>
      </c>
      <c r="X693" s="361">
        <v>0.9</v>
      </c>
      <c r="Y693" s="361">
        <f t="shared" si="29"/>
        <v>0.9</v>
      </c>
      <c r="Z693" s="361">
        <v>0.9</v>
      </c>
      <c r="AA693" s="361">
        <f t="shared" si="29"/>
        <v>0.9</v>
      </c>
      <c r="AB693" s="361">
        <v>0.9</v>
      </c>
      <c r="AC693" s="106">
        <v>0.9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0.9</v>
      </c>
      <c r="AJ693">
        <v>0.9</v>
      </c>
    </row>
    <row r="694" spans="1:36" x14ac:dyDescent="0.25">
      <c r="A694" s="63"/>
      <c r="B694" s="373"/>
      <c r="C694" s="16"/>
      <c r="D694" s="16"/>
      <c r="E694" s="17"/>
      <c r="F694" s="18"/>
      <c r="G694" s="379"/>
      <c r="H694" s="20">
        <v>0</v>
      </c>
      <c r="I694" s="104">
        <f>IN[[#This Row],[Buffer]]</f>
        <v>0</v>
      </c>
      <c r="J694" s="135">
        <f>IF(IN[[#This Row],[Sim_]]=IN[[#This Row],[STAGE]],1,0)</f>
        <v>1</v>
      </c>
      <c r="K694" s="380"/>
      <c r="L694" s="130"/>
      <c r="M694" s="130">
        <f>IF(IN[[#This Row],[Sim_]]=IN[[#This Row],[Sim Var ref]],1,0)</f>
        <v>1</v>
      </c>
      <c r="N694" s="8"/>
      <c r="O694" s="8"/>
      <c r="P694" s="280"/>
      <c r="Q694" s="137">
        <f>IF(IN[[#This Row],[Sim_]]=IN[[#This Row],[Direkt alt]],1,0)</f>
        <v>1</v>
      </c>
      <c r="R694" s="10">
        <v>0</v>
      </c>
      <c r="S694" s="10">
        <f>IF(IN[[#This Row],[Sim_]]=IN[[#This Row],[Buffer]],1,0)</f>
        <v>1</v>
      </c>
      <c r="T694" s="361"/>
      <c r="U694" s="145"/>
      <c r="V694" s="361"/>
      <c r="W694" s="361"/>
      <c r="X694" s="361">
        <v>0</v>
      </c>
      <c r="Y694" s="361"/>
      <c r="Z694" s="361">
        <v>0</v>
      </c>
      <c r="AA694" s="361"/>
      <c r="AB694" s="361"/>
      <c r="AC694" s="106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s="63"/>
      <c r="B695" s="373"/>
      <c r="C695" s="16"/>
      <c r="D695" s="16"/>
      <c r="E695" s="17"/>
      <c r="F695" s="18"/>
      <c r="G695" s="379"/>
      <c r="H695" s="20">
        <v>0</v>
      </c>
      <c r="I695" s="104">
        <f>IN[[#This Row],[Buffer]]</f>
        <v>0</v>
      </c>
      <c r="J695" s="135">
        <f>IF(IN[[#This Row],[Sim_]]=IN[[#This Row],[STAGE]],1,0)</f>
        <v>1</v>
      </c>
      <c r="K695" s="380"/>
      <c r="L695" s="130"/>
      <c r="M695" s="130">
        <f>IF(IN[[#This Row],[Sim_]]=IN[[#This Row],[Sim Var ref]],1,0)</f>
        <v>1</v>
      </c>
      <c r="N695" s="8"/>
      <c r="O695" s="8"/>
      <c r="P695" s="280"/>
      <c r="Q695" s="137">
        <f>IF(IN[[#This Row],[Sim_]]=IN[[#This Row],[Direkt alt]],1,0)</f>
        <v>1</v>
      </c>
      <c r="R695" s="10">
        <v>0</v>
      </c>
      <c r="S695" s="10">
        <f>IF(IN[[#This Row],[Sim_]]=IN[[#This Row],[Buffer]],1,0)</f>
        <v>1</v>
      </c>
      <c r="T695" s="361"/>
      <c r="U695" s="145"/>
      <c r="V695" s="361"/>
      <c r="W695" s="361"/>
      <c r="X695" s="361">
        <v>0</v>
      </c>
      <c r="Y695" s="361"/>
      <c r="Z695" s="361">
        <v>0</v>
      </c>
      <c r="AA695" s="361"/>
      <c r="AB695" s="361"/>
      <c r="AC695" s="106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s="63"/>
      <c r="B696" s="373"/>
      <c r="C696" s="16"/>
      <c r="D696" s="16"/>
      <c r="E696" s="17"/>
      <c r="F696" s="18"/>
      <c r="G696" s="379"/>
      <c r="H696" s="20">
        <v>0</v>
      </c>
      <c r="I696" s="104">
        <f>IN[[#This Row],[Buffer]]</f>
        <v>0</v>
      </c>
      <c r="J696" s="135">
        <f>IF(IN[[#This Row],[Sim_]]=IN[[#This Row],[STAGE]],1,0)</f>
        <v>1</v>
      </c>
      <c r="K696" s="380"/>
      <c r="L696" s="130"/>
      <c r="M696" s="130">
        <f>IF(IN[[#This Row],[Sim_]]=IN[[#This Row],[Sim Var ref]],1,0)</f>
        <v>1</v>
      </c>
      <c r="N696" s="8"/>
      <c r="O696" s="8"/>
      <c r="P696" s="280"/>
      <c r="Q696" s="137">
        <f>IF(IN[[#This Row],[Sim_]]=IN[[#This Row],[Direkt alt]],1,0)</f>
        <v>1</v>
      </c>
      <c r="R696" s="10">
        <v>0</v>
      </c>
      <c r="S696" s="10">
        <f>IF(IN[[#This Row],[Sim_]]=IN[[#This Row],[Buffer]],1,0)</f>
        <v>1</v>
      </c>
      <c r="T696" s="361"/>
      <c r="U696" s="145"/>
      <c r="V696" s="361"/>
      <c r="W696" s="361"/>
      <c r="X696" s="361">
        <v>0</v>
      </c>
      <c r="Y696" s="361"/>
      <c r="Z696" s="361">
        <v>0</v>
      </c>
      <c r="AA696" s="361"/>
      <c r="AB696" s="361"/>
      <c r="AC696" s="10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s="63"/>
      <c r="B697" s="373"/>
      <c r="C697" s="16"/>
      <c r="D697" s="16"/>
      <c r="E697" s="17"/>
      <c r="F697" s="18"/>
      <c r="G697" s="379"/>
      <c r="H697" s="20">
        <v>0</v>
      </c>
      <c r="I697" s="104">
        <f>IN[[#This Row],[Buffer]]</f>
        <v>0</v>
      </c>
      <c r="J697" s="135">
        <f>IF(IN[[#This Row],[Sim_]]=IN[[#This Row],[STAGE]],1,0)</f>
        <v>1</v>
      </c>
      <c r="K697" s="380"/>
      <c r="L697" s="130"/>
      <c r="M697" s="130">
        <f>IF(IN[[#This Row],[Sim_]]=IN[[#This Row],[Sim Var ref]],1,0)</f>
        <v>1</v>
      </c>
      <c r="N697" s="8"/>
      <c r="O697" s="8"/>
      <c r="P697" s="280"/>
      <c r="Q697" s="137">
        <f>IF(IN[[#This Row],[Sim_]]=IN[[#This Row],[Direkt alt]],1,0)</f>
        <v>1</v>
      </c>
      <c r="R697" s="10">
        <v>0</v>
      </c>
      <c r="S697" s="10">
        <f>IF(IN[[#This Row],[Sim_]]=IN[[#This Row],[Buffer]],1,0)</f>
        <v>1</v>
      </c>
      <c r="T697" s="361"/>
      <c r="U697" s="145"/>
      <c r="V697" s="361"/>
      <c r="W697" s="361"/>
      <c r="X697" s="361">
        <v>0</v>
      </c>
      <c r="Y697" s="361"/>
      <c r="Z697" s="361">
        <v>0</v>
      </c>
      <c r="AA697" s="361"/>
      <c r="AB697" s="361"/>
      <c r="AC697" s="106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s="63"/>
      <c r="B698" s="373"/>
      <c r="C698" s="16"/>
      <c r="D698" s="16"/>
      <c r="E698" s="17"/>
      <c r="F698" s="18"/>
      <c r="G698" s="379"/>
      <c r="H698" s="20">
        <v>0</v>
      </c>
      <c r="I698" s="104">
        <f>IN[[#This Row],[Buffer]]</f>
        <v>0</v>
      </c>
      <c r="J698" s="135">
        <f>IF(IN[[#This Row],[Sim_]]=IN[[#This Row],[STAGE]],1,0)</f>
        <v>1</v>
      </c>
      <c r="K698" s="380"/>
      <c r="L698" s="130"/>
      <c r="M698" s="130">
        <f>IF(IN[[#This Row],[Sim_]]=IN[[#This Row],[Sim Var ref]],1,0)</f>
        <v>1</v>
      </c>
      <c r="N698" s="8"/>
      <c r="O698" s="8"/>
      <c r="P698" s="280"/>
      <c r="Q698" s="137">
        <f>IF(IN[[#This Row],[Sim_]]=IN[[#This Row],[Direkt alt]],1,0)</f>
        <v>1</v>
      </c>
      <c r="R698" s="10">
        <v>0</v>
      </c>
      <c r="S698" s="10">
        <f>IF(IN[[#This Row],[Sim_]]=IN[[#This Row],[Buffer]],1,0)</f>
        <v>1</v>
      </c>
      <c r="T698" s="361"/>
      <c r="U698" s="145"/>
      <c r="V698" s="361"/>
      <c r="W698" s="361"/>
      <c r="X698" s="361">
        <v>0</v>
      </c>
      <c r="Y698" s="361"/>
      <c r="Z698" s="361">
        <v>0</v>
      </c>
      <c r="AA698" s="361"/>
      <c r="AB698" s="361"/>
      <c r="AC698" s="106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s="63"/>
      <c r="B699" s="373"/>
      <c r="C699" s="16"/>
      <c r="D699" s="16"/>
      <c r="E699" s="17"/>
      <c r="F699" s="18"/>
      <c r="G699" s="379"/>
      <c r="H699" s="20">
        <v>0</v>
      </c>
      <c r="I699" s="104">
        <f>IN[[#This Row],[Buffer]]</f>
        <v>0</v>
      </c>
      <c r="J699" s="135">
        <f>IF(IN[[#This Row],[Sim_]]=IN[[#This Row],[STAGE]],1,0)</f>
        <v>1</v>
      </c>
      <c r="K699" s="380"/>
      <c r="L699" s="130"/>
      <c r="M699" s="130">
        <f>IF(IN[[#This Row],[Sim_]]=IN[[#This Row],[Sim Var ref]],1,0)</f>
        <v>1</v>
      </c>
      <c r="N699" s="8"/>
      <c r="O699" s="8"/>
      <c r="P699" s="280"/>
      <c r="Q699" s="137">
        <f>IF(IN[[#This Row],[Sim_]]=IN[[#This Row],[Direkt alt]],1,0)</f>
        <v>1</v>
      </c>
      <c r="R699" s="10">
        <v>0</v>
      </c>
      <c r="S699" s="10">
        <f>IF(IN[[#This Row],[Sim_]]=IN[[#This Row],[Buffer]],1,0)</f>
        <v>1</v>
      </c>
      <c r="T699" s="361"/>
      <c r="U699" s="145"/>
      <c r="V699" s="361"/>
      <c r="W699" s="361"/>
      <c r="X699" s="361">
        <v>0</v>
      </c>
      <c r="Y699" s="361"/>
      <c r="Z699" s="361">
        <v>0</v>
      </c>
      <c r="AA699" s="361"/>
      <c r="AB699" s="361"/>
      <c r="AC699" s="106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ht="26.25" x14ac:dyDescent="0.4">
      <c r="A700" s="372"/>
      <c r="B700" s="372"/>
      <c r="C700" s="381" t="e">
        <f>ROWS(#REF!)-1</f>
        <v>#REF!</v>
      </c>
      <c r="D700" s="381" t="s">
        <v>293</v>
      </c>
      <c r="E700" s="372"/>
      <c r="F700" s="382"/>
      <c r="G700" s="383"/>
      <c r="H700" s="384">
        <v>0</v>
      </c>
      <c r="I700" s="385"/>
      <c r="J700" s="372"/>
      <c r="K700" s="372"/>
      <c r="L700" s="372"/>
      <c r="M700" s="372"/>
      <c r="N700" s="372"/>
      <c r="O700" s="372"/>
      <c r="P700" s="372"/>
      <c r="Q700" s="372"/>
      <c r="R700" s="372"/>
      <c r="S700" s="372"/>
      <c r="T700" s="372"/>
      <c r="U700" s="372"/>
      <c r="V700" s="386"/>
      <c r="W700" s="386"/>
      <c r="X700" s="386"/>
      <c r="Y700" s="386"/>
      <c r="Z700" s="386"/>
      <c r="AA700" s="386"/>
      <c r="AB700" s="386"/>
      <c r="AC700" s="387"/>
    </row>
    <row r="701" spans="1:36" x14ac:dyDescent="0.25">
      <c r="A701" s="388" t="s">
        <v>155</v>
      </c>
      <c r="B701" s="15" t="s">
        <v>877</v>
      </c>
      <c r="C701" s="16"/>
      <c r="D701" s="16"/>
      <c r="E701" s="17" t="s">
        <v>285</v>
      </c>
      <c r="F701" s="18" t="s">
        <v>878</v>
      </c>
      <c r="G701" s="389" t="str">
        <f ca="1">_xlfn.FORMULATEXT(IN[[#This Row],[STAGE]])</f>
        <v>='[ka_PEQ_Nachweistool.xlsb]🔋'!B6</v>
      </c>
      <c r="H701" s="20">
        <v>2</v>
      </c>
      <c r="I701" s="104">
        <f>'[1]🔋'!B6</f>
        <v>0</v>
      </c>
      <c r="J701" s="135">
        <f>IF(IN[[#This Row],[Sim_]]=IN[[#This Row],[STAGE]],1,0)</f>
        <v>0</v>
      </c>
      <c r="K701" s="136" t="b">
        <f>K702</f>
        <v>1</v>
      </c>
      <c r="L701" s="130"/>
      <c r="M701" s="130">
        <f>IF(IN[[#This Row],[Sim_]]=IN[[#This Row],[Sim Var ref]],1,0)</f>
        <v>0</v>
      </c>
      <c r="N701" s="8"/>
      <c r="O701" s="8">
        <v>529</v>
      </c>
      <c r="P701" s="280"/>
      <c r="Q701" s="137">
        <f>IF(IN[[#This Row],[Sim_]]=IN[[#This Row],[Direkt alt]],1,0)</f>
        <v>0</v>
      </c>
      <c r="R701" s="10" t="b">
        <v>0</v>
      </c>
      <c r="S701" s="10">
        <f>IF(IN[[#This Row],[Sim_]]=IN[[#This Row],[Buffer]],1,0)</f>
        <v>0</v>
      </c>
      <c r="T701" s="11" t="b">
        <f>T702</f>
        <v>1</v>
      </c>
      <c r="U701" s="104">
        <f>'[1]🔋'!M6</f>
        <v>0</v>
      </c>
      <c r="V701" s="11" t="b">
        <f t="shared" ref="V701:AA701" si="30">V702</f>
        <v>1</v>
      </c>
      <c r="W701" s="11" t="b">
        <f t="shared" si="30"/>
        <v>1</v>
      </c>
      <c r="X701" s="11" t="b">
        <v>1</v>
      </c>
      <c r="Y701" s="11" t="b">
        <f>Y702</f>
        <v>1</v>
      </c>
      <c r="Z701" s="11" t="b">
        <v>1</v>
      </c>
      <c r="AA701" s="11" t="b">
        <f t="shared" si="30"/>
        <v>1</v>
      </c>
      <c r="AB701" s="11" t="b">
        <v>1</v>
      </c>
      <c r="AC701" s="106" t="b">
        <v>1</v>
      </c>
      <c r="AD701">
        <v>0</v>
      </c>
      <c r="AE701">
        <v>0</v>
      </c>
      <c r="AF701" t="b">
        <v>0</v>
      </c>
      <c r="AG701" t="b">
        <v>0</v>
      </c>
      <c r="AH701" t="b">
        <v>1</v>
      </c>
      <c r="AI701" t="b">
        <v>1</v>
      </c>
      <c r="AJ701" t="b">
        <v>1</v>
      </c>
    </row>
    <row r="702" spans="1:36" x14ac:dyDescent="0.25">
      <c r="A702" s="388" t="s">
        <v>155</v>
      </c>
      <c r="B702" s="15" t="s">
        <v>879</v>
      </c>
      <c r="C702" s="16"/>
      <c r="D702" s="16"/>
      <c r="E702" s="17" t="s">
        <v>285</v>
      </c>
      <c r="F702" s="18" t="s">
        <v>880</v>
      </c>
      <c r="G702" s="134" t="str">
        <f ca="1">_xlfn.FORMULATEXT(IN[[#This Row],[STAGE]])</f>
        <v>='[ka_PEQ_Nachweistool.xlsb]🔋'!B10</v>
      </c>
      <c r="H702" s="20">
        <v>2</v>
      </c>
      <c r="I702" s="104">
        <f>'[1]🔋'!B10</f>
        <v>0</v>
      </c>
      <c r="J702" s="135">
        <f>IF(IN[[#This Row],[Sim_]]=IN[[#This Row],[STAGE]],1,0)</f>
        <v>0</v>
      </c>
      <c r="K702" s="136" t="b">
        <f>K140</f>
        <v>1</v>
      </c>
      <c r="L702" s="130"/>
      <c r="M702" s="130">
        <f>IF(IN[[#This Row],[Sim_]]=IN[[#This Row],[Sim Var ref]],1,0)</f>
        <v>0</v>
      </c>
      <c r="N702" s="8"/>
      <c r="O702" s="8">
        <v>530</v>
      </c>
      <c r="P702" s="280"/>
      <c r="Q702" s="137">
        <f>IF(IN[[#This Row],[Sim_]]=IN[[#This Row],[Direkt alt]],1,0)</f>
        <v>0</v>
      </c>
      <c r="R702" s="10">
        <v>0</v>
      </c>
      <c r="S702" s="10">
        <f>IF(IN[[#This Row],[Sim_]]=IN[[#This Row],[Buffer]],1,0)</f>
        <v>0</v>
      </c>
      <c r="T702" s="11" t="b">
        <f>T140</f>
        <v>1</v>
      </c>
      <c r="U702" s="104">
        <f>'[1]🔋'!M10</f>
        <v>0</v>
      </c>
      <c r="V702" s="11" t="b">
        <f t="shared" ref="V702:AA702" si="31">V140</f>
        <v>1</v>
      </c>
      <c r="W702" s="11" t="b">
        <f t="shared" si="31"/>
        <v>1</v>
      </c>
      <c r="X702" s="11" t="b">
        <v>1</v>
      </c>
      <c r="Y702" s="11" t="b">
        <f t="shared" si="31"/>
        <v>1</v>
      </c>
      <c r="Z702" s="11" t="b">
        <v>1</v>
      </c>
      <c r="AA702" s="11" t="b">
        <f t="shared" si="31"/>
        <v>1</v>
      </c>
      <c r="AB702" s="11" t="b">
        <v>1</v>
      </c>
      <c r="AC702" s="106" t="b">
        <v>1</v>
      </c>
      <c r="AD702">
        <v>0</v>
      </c>
      <c r="AE702">
        <v>0</v>
      </c>
      <c r="AF702">
        <v>0</v>
      </c>
      <c r="AG702">
        <v>0</v>
      </c>
      <c r="AH702" t="b">
        <v>1</v>
      </c>
      <c r="AI702" t="b">
        <v>1</v>
      </c>
      <c r="AJ702" t="b">
        <v>1</v>
      </c>
    </row>
    <row r="703" spans="1:36" x14ac:dyDescent="0.25">
      <c r="A703" s="388" t="s">
        <v>155</v>
      </c>
      <c r="B703" s="390" t="s">
        <v>881</v>
      </c>
      <c r="C703" s="16"/>
      <c r="D703" s="16"/>
      <c r="E703" s="17" t="s">
        <v>285</v>
      </c>
      <c r="F703" s="18"/>
      <c r="G703" s="134" t="str">
        <f ca="1">_xlfn.FORMULATEXT(IN[[#This Row],[STAGE]])</f>
        <v>='[ka_PEQ_Nachweistool.xlsb]🔋'!B11</v>
      </c>
      <c r="H703" s="20">
        <v>2</v>
      </c>
      <c r="I703" s="391">
        <f>'[1]🔋'!B11</f>
        <v>0</v>
      </c>
      <c r="J703" s="135">
        <f>IF(IN[[#This Row],[Sim_]]=IN[[#This Row],[STAGE]],1,0)</f>
        <v>0</v>
      </c>
      <c r="K703" s="136" t="str">
        <f>VLOOKUP(K704,wind_id_lookups,2,FALSE)</f>
        <v>Wind AT 2020</v>
      </c>
      <c r="L703" s="130"/>
      <c r="M703" s="130">
        <f>IF(IN[[#This Row],[Sim_]]=IN[[#This Row],[Sim Var ref]],1,0)</f>
        <v>0</v>
      </c>
      <c r="N703" s="8"/>
      <c r="O703" s="8">
        <v>531</v>
      </c>
      <c r="P703" s="280"/>
      <c r="Q703" s="137">
        <f>IF(IN[[#This Row],[Sim_]]=IN[[#This Row],[Direkt alt]],1,0)</f>
        <v>0</v>
      </c>
      <c r="R703" s="10" t="s">
        <v>882</v>
      </c>
      <c r="S703" s="10">
        <f>IF(IN[[#This Row],[Sim_]]=IN[[#This Row],[Buffer]],1,0)</f>
        <v>0</v>
      </c>
      <c r="T703" s="11" t="str">
        <f t="shared" ref="T703:AA703" si="32">VLOOKUP(T704,wind_id_lookups,2,FALSE)</f>
        <v>Wind AT 2020</v>
      </c>
      <c r="U703" s="391">
        <f>'[1]🔋'!M11</f>
        <v>0</v>
      </c>
      <c r="V703" s="11" t="str">
        <f t="shared" si="32"/>
        <v>Wind AT 2020</v>
      </c>
      <c r="W703" s="11" t="str">
        <f t="shared" si="32"/>
        <v>Wind AT 2020</v>
      </c>
      <c r="X703" s="11" t="s">
        <v>883</v>
      </c>
      <c r="Y703" s="11" t="str">
        <f t="shared" si="32"/>
        <v>Wind AT 2020</v>
      </c>
      <c r="Z703" s="11" t="s">
        <v>883</v>
      </c>
      <c r="AA703" s="11" t="str">
        <f t="shared" si="32"/>
        <v>Wind AT 2020</v>
      </c>
      <c r="AB703" s="11" t="s">
        <v>883</v>
      </c>
      <c r="AC703" s="392" t="s">
        <v>883</v>
      </c>
      <c r="AD703" t="s">
        <v>882</v>
      </c>
      <c r="AE703" t="s">
        <v>882</v>
      </c>
      <c r="AF703" t="s">
        <v>882</v>
      </c>
      <c r="AG703" t="s">
        <v>882</v>
      </c>
      <c r="AH703" t="s">
        <v>882</v>
      </c>
      <c r="AI703" t="s">
        <v>883</v>
      </c>
      <c r="AJ703" t="s">
        <v>883</v>
      </c>
    </row>
    <row r="704" spans="1:36" x14ac:dyDescent="0.25">
      <c r="A704" s="388" t="s">
        <v>155</v>
      </c>
      <c r="B704" s="15" t="s">
        <v>884</v>
      </c>
      <c r="C704" s="16"/>
      <c r="D704" s="16"/>
      <c r="E704" s="17" t="s">
        <v>39</v>
      </c>
      <c r="F704" s="18" t="s">
        <v>885</v>
      </c>
      <c r="G704" s="134" t="str">
        <f ca="1">_xlfn.FORMULATEXT(IN[[#This Row],[STAGE]])</f>
        <v>=[@Buffer]</v>
      </c>
      <c r="H704" s="20">
        <v>0</v>
      </c>
      <c r="I704" s="104">
        <f>IN[[#This Row],[Buffer]]</f>
        <v>1</v>
      </c>
      <c r="J704" s="135">
        <f>IF(IN[[#This Row],[Sim_]]=IN[[#This Row],[STAGE]],1,0)</f>
        <v>0</v>
      </c>
      <c r="K704" s="136">
        <f>K130</f>
        <v>10</v>
      </c>
      <c r="L704" s="130"/>
      <c r="M704" s="130">
        <f>IF(IN[[#This Row],[Sim_]]=IN[[#This Row],[Sim Var ref]],1,0)</f>
        <v>0</v>
      </c>
      <c r="N704" s="8"/>
      <c r="O704" s="8">
        <v>532</v>
      </c>
      <c r="P704" s="280"/>
      <c r="Q704" s="137">
        <f>IF(IN[[#This Row],[Sim_]]=IN[[#This Row],[Direkt alt]],1,0)</f>
        <v>0</v>
      </c>
      <c r="R704" s="10">
        <v>1</v>
      </c>
      <c r="S704" s="10">
        <f>IF(IN[[#This Row],[Sim_]]=IN[[#This Row],[Buffer]],1,0)</f>
        <v>0</v>
      </c>
      <c r="T704" s="11">
        <f>T130</f>
        <v>10</v>
      </c>
      <c r="U704" s="104">
        <f>IN[[#This Row],[Buffer]]</f>
        <v>1</v>
      </c>
      <c r="V704" s="11">
        <f t="shared" ref="V704:AA704" si="33">V130</f>
        <v>10</v>
      </c>
      <c r="W704" s="11">
        <f t="shared" si="33"/>
        <v>10</v>
      </c>
      <c r="X704" s="11">
        <v>10</v>
      </c>
      <c r="Y704" s="11">
        <f t="shared" si="33"/>
        <v>10</v>
      </c>
      <c r="Z704" s="11">
        <v>10</v>
      </c>
      <c r="AA704" s="11">
        <f t="shared" si="33"/>
        <v>10</v>
      </c>
      <c r="AB704" s="11">
        <v>10</v>
      </c>
      <c r="AC704" s="106">
        <v>10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10</v>
      </c>
      <c r="AJ704">
        <v>10</v>
      </c>
    </row>
    <row r="705" spans="1:36" x14ac:dyDescent="0.25">
      <c r="A705" s="388" t="s">
        <v>155</v>
      </c>
      <c r="B705" s="390" t="s">
        <v>886</v>
      </c>
      <c r="C705" s="16" t="s">
        <v>658</v>
      </c>
      <c r="D705" s="16"/>
      <c r="E705" s="17" t="s">
        <v>285</v>
      </c>
      <c r="F705" s="18" t="s">
        <v>887</v>
      </c>
      <c r="G705" s="134" t="str">
        <f ca="1">_xlfn.FORMULATEXT(IN[[#This Row],[STAGE]])</f>
        <v>='[ka_PEQ_Nachweistool.xlsb]🔋'!B12</v>
      </c>
      <c r="H705" s="20">
        <v>2</v>
      </c>
      <c r="I705" s="391">
        <f>'[1]🔋'!B12</f>
        <v>0</v>
      </c>
      <c r="J705" s="135">
        <f>IF(IN[[#This Row],[Sim_]]=IN[[#This Row],[STAGE]],1,0)</f>
        <v>0</v>
      </c>
      <c r="K705" s="136">
        <f>K79</f>
        <v>58.5</v>
      </c>
      <c r="L705" s="130"/>
      <c r="M705" s="130">
        <f>IF(IN[[#This Row],[Sim_]]=IN[[#This Row],[Sim Var ref]],1,0)</f>
        <v>0</v>
      </c>
      <c r="N705" s="8"/>
      <c r="O705" s="8">
        <v>533</v>
      </c>
      <c r="P705" s="280"/>
      <c r="Q705" s="137">
        <f>IF(IN[[#This Row],[Sim_]]=IN[[#This Row],[Direkt alt]],1,0)</f>
        <v>0</v>
      </c>
      <c r="R705" s="10">
        <v>40</v>
      </c>
      <c r="S705" s="10">
        <f>IF(IN[[#This Row],[Sim_]]=IN[[#This Row],[Buffer]],1,0)</f>
        <v>0</v>
      </c>
      <c r="T705" s="11">
        <v>40</v>
      </c>
      <c r="U705" s="391">
        <f>'[1]🔋'!M12</f>
        <v>0</v>
      </c>
      <c r="V705" s="11">
        <f>V79</f>
        <v>58.5</v>
      </c>
      <c r="W705" s="11">
        <f>W79</f>
        <v>50</v>
      </c>
      <c r="X705" s="11">
        <v>15</v>
      </c>
      <c r="Y705" s="11">
        <v>40</v>
      </c>
      <c r="Z705" s="11">
        <v>15</v>
      </c>
      <c r="AA705" s="11">
        <f>AA79</f>
        <v>58.5</v>
      </c>
      <c r="AB705" s="11">
        <v>58.5</v>
      </c>
      <c r="AC705" s="392">
        <v>10</v>
      </c>
      <c r="AD705">
        <v>40</v>
      </c>
      <c r="AE705">
        <v>40</v>
      </c>
      <c r="AF705">
        <v>40</v>
      </c>
      <c r="AG705">
        <v>40</v>
      </c>
      <c r="AH705">
        <v>40</v>
      </c>
      <c r="AI705">
        <v>58.5</v>
      </c>
      <c r="AJ705">
        <v>58.5</v>
      </c>
    </row>
    <row r="706" spans="1:36" x14ac:dyDescent="0.25">
      <c r="A706" s="388" t="s">
        <v>155</v>
      </c>
      <c r="B706" s="15" t="s">
        <v>888</v>
      </c>
      <c r="C706" s="16" t="s">
        <v>824</v>
      </c>
      <c r="D706" s="16" t="s">
        <v>889</v>
      </c>
      <c r="E706" s="17" t="s">
        <v>262</v>
      </c>
      <c r="F706" s="18" t="s">
        <v>890</v>
      </c>
      <c r="G706" s="134" t="str">
        <f ca="1">_xlfn.FORMULATEXT(IN[[#This Row],[STAGE]])</f>
        <v>='[ka_PEQ_Nachweistool.xlsb]🔋'!B13</v>
      </c>
      <c r="H706" s="20">
        <v>2</v>
      </c>
      <c r="I706" s="393">
        <f>'[1]🔋'!B13</f>
        <v>0</v>
      </c>
      <c r="J706" s="135">
        <f>IF(IN[[#This Row],[Sim_]]=IN[[#This Row],[STAGE]],1,0)</f>
        <v>0</v>
      </c>
      <c r="K706" s="394" t="b">
        <v>1</v>
      </c>
      <c r="L706" s="130"/>
      <c r="M706" s="130">
        <f>IF(IN[[#This Row],[Sim_]]=IN[[#This Row],[Sim Var ref]],1,0)</f>
        <v>0</v>
      </c>
      <c r="N706" s="8"/>
      <c r="O706" s="8"/>
      <c r="P706" s="280"/>
      <c r="Q706" s="137">
        <f>IF(IN[[#This Row],[Sim_]]=IN[[#This Row],[Direkt alt]],1,0)</f>
        <v>0</v>
      </c>
      <c r="R706" s="10" t="b">
        <v>1</v>
      </c>
      <c r="S706" s="10">
        <f>IF(IN[[#This Row],[Sim_]]=IN[[#This Row],[Buffer]],1,0)</f>
        <v>1</v>
      </c>
      <c r="T706" s="11"/>
      <c r="U706" s="395"/>
      <c r="V706" s="11"/>
      <c r="W706" s="11"/>
      <c r="X706" s="11" t="b">
        <v>1</v>
      </c>
      <c r="Y706" s="11"/>
      <c r="Z706" s="361" t="b">
        <v>1</v>
      </c>
      <c r="AA706" s="11"/>
      <c r="AB706" s="11" t="b">
        <v>1</v>
      </c>
      <c r="AC706" s="396" t="b">
        <v>0</v>
      </c>
      <c r="AD706" t="b">
        <v>1</v>
      </c>
      <c r="AE706" t="b">
        <v>1</v>
      </c>
      <c r="AF706" t="b">
        <v>1</v>
      </c>
      <c r="AG706" t="b">
        <v>1</v>
      </c>
      <c r="AH706" t="b">
        <v>1</v>
      </c>
      <c r="AI706" t="b">
        <v>1</v>
      </c>
      <c r="AJ706" t="b">
        <v>1</v>
      </c>
    </row>
    <row r="707" spans="1:36" x14ac:dyDescent="0.25">
      <c r="A707" s="388" t="s">
        <v>155</v>
      </c>
      <c r="B707" s="15" t="s">
        <v>891</v>
      </c>
      <c r="C707" s="16" t="s">
        <v>824</v>
      </c>
      <c r="D707" s="16" t="s">
        <v>889</v>
      </c>
      <c r="E707" s="17" t="s">
        <v>262</v>
      </c>
      <c r="F707" s="18" t="s">
        <v>892</v>
      </c>
      <c r="G707" s="134" t="str">
        <f ca="1">_xlfn.FORMULATEXT(IN[[#This Row],[STAGE]])</f>
        <v>='[ka_PEQ_Nachweistool.xlsb]🔋'!B14</v>
      </c>
      <c r="H707" s="20">
        <v>2</v>
      </c>
      <c r="I707" s="393">
        <f>'[1]🔋'!B14</f>
        <v>0</v>
      </c>
      <c r="J707" s="135">
        <f>IF(IN[[#This Row],[Sim_]]=IN[[#This Row],[STAGE]],1,0)</f>
        <v>0</v>
      </c>
      <c r="K707" s="394" t="b">
        <v>1</v>
      </c>
      <c r="L707" s="130"/>
      <c r="M707" s="130">
        <f>IF(IN[[#This Row],[Sim_]]=IN[[#This Row],[Sim Var ref]],1,0)</f>
        <v>0</v>
      </c>
      <c r="N707" s="8"/>
      <c r="O707" s="8"/>
      <c r="P707" s="280"/>
      <c r="Q707" s="137">
        <f>IF(IN[[#This Row],[Sim_]]=IN[[#This Row],[Direkt alt]],1,0)</f>
        <v>0</v>
      </c>
      <c r="R707" s="10" t="b">
        <v>1</v>
      </c>
      <c r="S707" s="10">
        <f>IF(IN[[#This Row],[Sim_]]=IN[[#This Row],[Buffer]],1,0)</f>
        <v>1</v>
      </c>
      <c r="T707" s="11"/>
      <c r="U707" s="395"/>
      <c r="V707" s="11"/>
      <c r="W707" s="11"/>
      <c r="X707" s="11" t="b">
        <v>1</v>
      </c>
      <c r="Y707" s="11"/>
      <c r="Z707" s="361" t="b">
        <v>1</v>
      </c>
      <c r="AA707" s="11"/>
      <c r="AB707" s="11" t="b">
        <v>1</v>
      </c>
      <c r="AC707" s="396" t="b">
        <v>0</v>
      </c>
      <c r="AD707" t="b">
        <v>1</v>
      </c>
      <c r="AE707" t="b">
        <v>1</v>
      </c>
      <c r="AF707" t="b">
        <v>1</v>
      </c>
      <c r="AG707" t="b">
        <v>1</v>
      </c>
      <c r="AH707" t="b">
        <v>1</v>
      </c>
      <c r="AI707" t="b">
        <v>1</v>
      </c>
      <c r="AJ707" t="b">
        <v>1</v>
      </c>
    </row>
    <row r="708" spans="1:36" x14ac:dyDescent="0.25">
      <c r="A708" s="388" t="s">
        <v>155</v>
      </c>
      <c r="B708" s="15" t="s">
        <v>893</v>
      </c>
      <c r="C708" s="16" t="s">
        <v>824</v>
      </c>
      <c r="D708" s="16" t="s">
        <v>889</v>
      </c>
      <c r="E708" s="17" t="s">
        <v>262</v>
      </c>
      <c r="F708" s="18" t="s">
        <v>894</v>
      </c>
      <c r="G708" s="134" t="str">
        <f ca="1">_xlfn.FORMULATEXT(IN[[#This Row],[STAGE]])</f>
        <v>='[ka_PEQ_Nachweistool.xlsb]🔋'!B15</v>
      </c>
      <c r="H708" s="20">
        <v>2</v>
      </c>
      <c r="I708" s="393">
        <f>'[1]🔋'!B15</f>
        <v>0</v>
      </c>
      <c r="J708" s="135">
        <f>IF(IN[[#This Row],[Sim_]]=IN[[#This Row],[STAGE]],1,0)</f>
        <v>0</v>
      </c>
      <c r="K708" s="394" t="b">
        <v>1</v>
      </c>
      <c r="L708" s="130"/>
      <c r="M708" s="130">
        <f>IF(IN[[#This Row],[Sim_]]=IN[[#This Row],[Sim Var ref]],1,0)</f>
        <v>0</v>
      </c>
      <c r="N708" s="8"/>
      <c r="O708" s="8"/>
      <c r="P708" s="280"/>
      <c r="Q708" s="137">
        <f>IF(IN[[#This Row],[Sim_]]=IN[[#This Row],[Direkt alt]],1,0)</f>
        <v>0</v>
      </c>
      <c r="R708" s="10" t="b">
        <v>1</v>
      </c>
      <c r="S708" s="10">
        <f>IF(IN[[#This Row],[Sim_]]=IN[[#This Row],[Buffer]],1,0)</f>
        <v>1</v>
      </c>
      <c r="T708" s="11"/>
      <c r="U708" s="395"/>
      <c r="V708" s="11"/>
      <c r="W708" s="11"/>
      <c r="X708" s="11" t="b">
        <v>1</v>
      </c>
      <c r="Y708" s="11"/>
      <c r="Z708" s="361" t="b">
        <v>1</v>
      </c>
      <c r="AA708" s="11"/>
      <c r="AB708" s="11" t="b">
        <v>1</v>
      </c>
      <c r="AC708" s="396" t="b">
        <v>0</v>
      </c>
      <c r="AD708" t="b">
        <v>1</v>
      </c>
      <c r="AE708" t="b">
        <v>1</v>
      </c>
      <c r="AF708" t="b">
        <v>1</v>
      </c>
      <c r="AG708" t="b">
        <v>1</v>
      </c>
      <c r="AH708" t="b">
        <v>1</v>
      </c>
      <c r="AI708" t="b">
        <v>1</v>
      </c>
      <c r="AJ708" t="b">
        <v>1</v>
      </c>
    </row>
    <row r="709" spans="1:36" x14ac:dyDescent="0.25">
      <c r="A709" s="319" t="s">
        <v>644</v>
      </c>
      <c r="B709" s="15" t="s">
        <v>895</v>
      </c>
      <c r="C709" s="16"/>
      <c r="D709" s="16" t="s">
        <v>896</v>
      </c>
      <c r="E709" s="17" t="s">
        <v>285</v>
      </c>
      <c r="F709" s="18" t="s">
        <v>897</v>
      </c>
      <c r="G709" s="134" t="str">
        <f ca="1">_xlfn.FORMULATEXT(IN[[#This Row],[STAGE]])</f>
        <v>='[ka_PEQ_Nachweistool.xlsb]🔋'!B21</v>
      </c>
      <c r="H709" s="20">
        <v>2</v>
      </c>
      <c r="I709" s="104">
        <f>'[1]🔋'!B21</f>
        <v>0</v>
      </c>
      <c r="J709" s="135">
        <f>IF(IN[[#This Row],[Sim_]]=IN[[#This Row],[STAGE]],1,0)</f>
        <v>0</v>
      </c>
      <c r="K709" s="136">
        <f>K44-K43</f>
        <v>4</v>
      </c>
      <c r="L709" s="130"/>
      <c r="M709" s="130">
        <f>IF(IN[[#This Row],[Sim_]]=IN[[#This Row],[Sim Var ref]],1,0)</f>
        <v>0</v>
      </c>
      <c r="N709" s="8"/>
      <c r="O709" s="8">
        <v>534</v>
      </c>
      <c r="P709" s="280"/>
      <c r="Q709" s="137">
        <f>IF(IN[[#This Row],[Sim_]]=IN[[#This Row],[Direkt alt]],1,0)</f>
        <v>0</v>
      </c>
      <c r="R709" s="10">
        <v>0</v>
      </c>
      <c r="S709" s="10">
        <f>IF(IN[[#This Row],[Sim_]]=IN[[#This Row],[Buffer]],1,0)</f>
        <v>0</v>
      </c>
      <c r="T709" s="11">
        <f>T44-T43</f>
        <v>3</v>
      </c>
      <c r="U709" s="104">
        <f>'[1]🔋'!M21</f>
        <v>0</v>
      </c>
      <c r="V709" s="11">
        <f t="shared" ref="V709:AA709" si="34">V44-V43</f>
        <v>4</v>
      </c>
      <c r="W709" s="11">
        <f t="shared" si="34"/>
        <v>3</v>
      </c>
      <c r="X709" s="11">
        <v>3</v>
      </c>
      <c r="Y709" s="11">
        <f t="shared" si="34"/>
        <v>3</v>
      </c>
      <c r="Z709" s="11">
        <v>3</v>
      </c>
      <c r="AA709" s="11">
        <f t="shared" si="34"/>
        <v>4</v>
      </c>
      <c r="AB709" s="11">
        <v>4</v>
      </c>
      <c r="AC709" s="106">
        <v>1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4</v>
      </c>
      <c r="AJ709">
        <v>4</v>
      </c>
    </row>
    <row r="710" spans="1:36" x14ac:dyDescent="0.25">
      <c r="A710" s="319" t="s">
        <v>644</v>
      </c>
      <c r="B710" s="15" t="s">
        <v>898</v>
      </c>
      <c r="C710" s="16"/>
      <c r="D710" s="16" t="s">
        <v>720</v>
      </c>
      <c r="E710" s="17" t="s">
        <v>78</v>
      </c>
      <c r="F710" s="18" t="s">
        <v>899</v>
      </c>
      <c r="G710" s="134" t="str">
        <f ca="1">_xlfn.FORMULATEXT(IN[[#This Row],[STAGE]])</f>
        <v>=Tsetheat_min+I709</v>
      </c>
      <c r="H710" s="20">
        <v>0</v>
      </c>
      <c r="I710" s="104">
        <f>Tsetheat_min+I709</f>
        <v>21</v>
      </c>
      <c r="J710" s="135">
        <f>IF(IN[[#This Row],[Sim_]]=IN[[#This Row],[STAGE]],1,0)</f>
        <v>0</v>
      </c>
      <c r="K710" s="197">
        <f>K44</f>
        <v>25</v>
      </c>
      <c r="L710" s="130"/>
      <c r="M710" s="130">
        <f>IF(IN[[#This Row],[Sim_]]=IN[[#This Row],[Sim Var ref]],1,0)</f>
        <v>0</v>
      </c>
      <c r="N710" s="8"/>
      <c r="O710" s="8">
        <v>535</v>
      </c>
      <c r="P710" s="280"/>
      <c r="Q710" s="137">
        <f>IF(IN[[#This Row],[Sim_]]=IN[[#This Row],[Direkt alt]],1,0)</f>
        <v>0</v>
      </c>
      <c r="R710" s="10">
        <v>21</v>
      </c>
      <c r="S710" s="10">
        <f>IF(IN[[#This Row],[Sim_]]=IN[[#This Row],[Buffer]],1,0)</f>
        <v>0</v>
      </c>
      <c r="T710" s="11"/>
      <c r="U710" s="104">
        <f>Tsetheat_min+U709</f>
        <v>21</v>
      </c>
      <c r="V710" s="321">
        <f t="shared" ref="V710:AA710" si="35">V44</f>
        <v>25</v>
      </c>
      <c r="W710" s="321">
        <f t="shared" si="35"/>
        <v>25</v>
      </c>
      <c r="X710" s="321">
        <v>25</v>
      </c>
      <c r="Y710" s="321">
        <f t="shared" si="35"/>
        <v>25</v>
      </c>
      <c r="Z710" s="321">
        <v>25</v>
      </c>
      <c r="AA710" s="321">
        <f t="shared" si="35"/>
        <v>25</v>
      </c>
      <c r="AB710" s="321">
        <v>25</v>
      </c>
      <c r="AC710" s="106">
        <v>23</v>
      </c>
      <c r="AD710">
        <v>21</v>
      </c>
      <c r="AE710">
        <v>21</v>
      </c>
      <c r="AF710">
        <v>21</v>
      </c>
      <c r="AG710">
        <v>21</v>
      </c>
      <c r="AH710">
        <v>23</v>
      </c>
      <c r="AI710">
        <v>25</v>
      </c>
      <c r="AJ710">
        <v>25</v>
      </c>
    </row>
    <row r="711" spans="1:36" x14ac:dyDescent="0.25">
      <c r="A711" s="319" t="s">
        <v>644</v>
      </c>
      <c r="B711" s="15" t="s">
        <v>900</v>
      </c>
      <c r="C711" s="16" t="s">
        <v>901</v>
      </c>
      <c r="D711" s="16"/>
      <c r="E711" s="17" t="s">
        <v>285</v>
      </c>
      <c r="F711" s="18"/>
      <c r="G711" s="134" t="str">
        <f ca="1">_xlfn.FORMULATEXT(IN[[#This Row],[STAGE]])</f>
        <v>='[ka_PEQ_Nachweistool.xlsb]🔋'!B22</v>
      </c>
      <c r="H711" s="20">
        <v>2</v>
      </c>
      <c r="I711" s="104">
        <f>'[1]🔋'!B22</f>
        <v>0</v>
      </c>
      <c r="J711" s="135">
        <f>IF(IN[[#This Row],[Sim_]]=IN[[#This Row],[STAGE]],1,0)</f>
        <v>0</v>
      </c>
      <c r="K711" s="347" t="str">
        <f>IF(K140,"System 1","Keines")</f>
        <v>System 1</v>
      </c>
      <c r="L711" s="130"/>
      <c r="M711" s="130">
        <f>IF(IN[[#This Row],[Sim_]]=IN[[#This Row],[Sim Var ref]],1,0)</f>
        <v>0</v>
      </c>
      <c r="N711" s="8"/>
      <c r="O711" s="8"/>
      <c r="P711" s="280"/>
      <c r="Q711" s="137">
        <f>IF(IN[[#This Row],[Sim_]]=IN[[#This Row],[Direkt alt]],1,0)</f>
        <v>0</v>
      </c>
      <c r="R711" s="10" t="s">
        <v>902</v>
      </c>
      <c r="S711" s="10">
        <f>IF(IN[[#This Row],[Sim_]]=IN[[#This Row],[Buffer]],1,0)</f>
        <v>1</v>
      </c>
      <c r="T711" s="11"/>
      <c r="U711" s="145"/>
      <c r="V711" s="321"/>
      <c r="W711" s="321"/>
      <c r="X711" s="321" t="s">
        <v>902</v>
      </c>
      <c r="Y711" s="321"/>
      <c r="Z711" s="322" t="s">
        <v>902</v>
      </c>
      <c r="AA711" s="321"/>
      <c r="AB711" s="321" t="s">
        <v>902</v>
      </c>
      <c r="AC711" s="106" t="s">
        <v>902</v>
      </c>
      <c r="AD711" t="s">
        <v>902</v>
      </c>
      <c r="AE711" t="s">
        <v>902</v>
      </c>
      <c r="AF711" t="s">
        <v>902</v>
      </c>
      <c r="AG711" t="s">
        <v>902</v>
      </c>
      <c r="AH711" t="s">
        <v>902</v>
      </c>
      <c r="AI711" t="s">
        <v>902</v>
      </c>
      <c r="AJ711" t="s">
        <v>902</v>
      </c>
    </row>
    <row r="712" spans="1:36" x14ac:dyDescent="0.25">
      <c r="A712" s="319" t="s">
        <v>644</v>
      </c>
      <c r="B712" s="15" t="s">
        <v>903</v>
      </c>
      <c r="C712" s="16" t="s">
        <v>824</v>
      </c>
      <c r="D712" s="16"/>
      <c r="E712" s="17" t="s">
        <v>285</v>
      </c>
      <c r="F712" s="18" t="s">
        <v>904</v>
      </c>
      <c r="G712" s="134" t="str">
        <f ca="1">_xlfn.FORMULATEXT(IN[[#This Row],[STAGE]])</f>
        <v>=WENN(I711="System 1";WAHR;FALSCH)</v>
      </c>
      <c r="H712" s="20">
        <v>0</v>
      </c>
      <c r="I712" s="104" t="b">
        <f>IF(I711="System 1",TRUE,FALSE)</f>
        <v>0</v>
      </c>
      <c r="J712" s="135">
        <f>IF(IN[[#This Row],[Sim_]]=IN[[#This Row],[STAGE]],1,0)</f>
        <v>0</v>
      </c>
      <c r="K712" s="197" t="b">
        <f>K140</f>
        <v>1</v>
      </c>
      <c r="L712" s="130"/>
      <c r="M712" s="130">
        <f>IF(IN[[#This Row],[Sim_]]=IN[[#This Row],[Sim Var ref]],1,0)</f>
        <v>0</v>
      </c>
      <c r="N712" s="8"/>
      <c r="O712" s="8"/>
      <c r="P712" s="280"/>
      <c r="Q712" s="137">
        <f>IF(IN[[#This Row],[Sim_]]=IN[[#This Row],[Direkt alt]],1,0)</f>
        <v>0</v>
      </c>
      <c r="R712" s="10" t="b">
        <v>1</v>
      </c>
      <c r="S712" s="10">
        <f>IF(IN[[#This Row],[Sim_]]=IN[[#This Row],[Buffer]],1,0)</f>
        <v>1</v>
      </c>
      <c r="T712" s="11"/>
      <c r="U712" s="145"/>
      <c r="V712" s="321"/>
      <c r="W712" s="321"/>
      <c r="X712" s="321" t="b">
        <v>1</v>
      </c>
      <c r="Y712" s="321"/>
      <c r="Z712" s="322" t="b">
        <v>1</v>
      </c>
      <c r="AA712" s="321"/>
      <c r="AB712" s="321" t="b">
        <v>1</v>
      </c>
      <c r="AC712" s="106" t="b">
        <v>1</v>
      </c>
      <c r="AD712" t="b">
        <v>1</v>
      </c>
      <c r="AE712" t="b">
        <v>1</v>
      </c>
      <c r="AF712" t="b">
        <v>1</v>
      </c>
      <c r="AG712" t="b">
        <v>1</v>
      </c>
      <c r="AH712" t="b">
        <v>1</v>
      </c>
      <c r="AI712" t="b">
        <v>1</v>
      </c>
      <c r="AJ712" t="b">
        <v>1</v>
      </c>
    </row>
    <row r="713" spans="1:36" x14ac:dyDescent="0.25">
      <c r="A713" s="319" t="s">
        <v>644</v>
      </c>
      <c r="B713" s="15" t="s">
        <v>905</v>
      </c>
      <c r="C713" s="16" t="s">
        <v>824</v>
      </c>
      <c r="D713" s="16"/>
      <c r="E713" s="17" t="s">
        <v>262</v>
      </c>
      <c r="F713" s="18" t="s">
        <v>906</v>
      </c>
      <c r="G713" s="134" t="str">
        <f ca="1">_xlfn.FORMULATEXT(IN[[#This Row],[STAGE]])</f>
        <v>=WENN(I711="System 3";WAHR;FALSCH)</v>
      </c>
      <c r="H713" s="20">
        <v>0</v>
      </c>
      <c r="I713" s="104" t="b">
        <f>IF(I711="System 3",TRUE,FALSE)</f>
        <v>0</v>
      </c>
      <c r="J713" s="135">
        <f>IF(IN[[#This Row],[Sim_]]=IN[[#This Row],[STAGE]],1,0)</f>
        <v>1</v>
      </c>
      <c r="K713" s="394" t="b">
        <v>0</v>
      </c>
      <c r="L713" s="130"/>
      <c r="M713" s="130">
        <f>IF(IN[[#This Row],[Sim_]]=IN[[#This Row],[Sim Var ref]],1,0)</f>
        <v>1</v>
      </c>
      <c r="N713" s="8"/>
      <c r="O713" s="8"/>
      <c r="P713" s="280"/>
      <c r="Q713" s="137">
        <f>IF(IN[[#This Row],[Sim_]]=IN[[#This Row],[Direkt alt]],1,0)</f>
        <v>1</v>
      </c>
      <c r="R713" s="10" t="b">
        <v>0</v>
      </c>
      <c r="S713" s="10">
        <f>IF(IN[[#This Row],[Sim_]]=IN[[#This Row],[Buffer]],1,0)</f>
        <v>1</v>
      </c>
      <c r="T713" s="11"/>
      <c r="U713" s="145"/>
      <c r="V713" s="321"/>
      <c r="W713" s="321"/>
      <c r="X713" s="321" t="b">
        <v>0</v>
      </c>
      <c r="Y713" s="321"/>
      <c r="Z713" s="322" t="b">
        <v>0</v>
      </c>
      <c r="AA713" s="321"/>
      <c r="AB713" s="321" t="b">
        <v>0</v>
      </c>
      <c r="AC713" s="106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</row>
    <row r="714" spans="1:36" x14ac:dyDescent="0.25">
      <c r="A714" s="397" t="s">
        <v>102</v>
      </c>
      <c r="B714" s="15" t="s">
        <v>907</v>
      </c>
      <c r="C714" s="16"/>
      <c r="D714" s="16" t="s">
        <v>896</v>
      </c>
      <c r="E714" s="17" t="s">
        <v>285</v>
      </c>
      <c r="F714" s="18" t="s">
        <v>908</v>
      </c>
      <c r="G714" s="134" t="str">
        <f ca="1">_xlfn.FORMULATEXT(IN[[#This Row],[STAGE]])</f>
        <v>='[ka_PEQ_Nachweistool.xlsb]🔋'!B24</v>
      </c>
      <c r="H714" s="20">
        <v>2</v>
      </c>
      <c r="I714" s="104">
        <f>'[1]🔋'!B24</f>
        <v>0</v>
      </c>
      <c r="J714" s="135">
        <f>IF(IN[[#This Row],[Sim_]]=IN[[#This Row],[STAGE]],1,0)</f>
        <v>0</v>
      </c>
      <c r="K714" s="136">
        <f>K54-K55</f>
        <v>2</v>
      </c>
      <c r="L714" s="130"/>
      <c r="M714" s="130">
        <f>IF(IN[[#This Row],[Sim_]]=IN[[#This Row],[Sim Var ref]],1,0)</f>
        <v>0</v>
      </c>
      <c r="N714" s="8"/>
      <c r="O714" s="8">
        <v>536</v>
      </c>
      <c r="P714" s="280"/>
      <c r="Q714" s="137">
        <f>IF(IN[[#This Row],[Sim_]]=IN[[#This Row],[Direkt alt]],1,0)</f>
        <v>0</v>
      </c>
      <c r="R714" s="10">
        <v>0</v>
      </c>
      <c r="S714" s="10">
        <f>IF(IN[[#This Row],[Sim_]]=IN[[#This Row],[Buffer]],1,0)</f>
        <v>0</v>
      </c>
      <c r="T714" s="11">
        <f>T54-T55</f>
        <v>3</v>
      </c>
      <c r="U714" s="104">
        <f>'[1]🔋'!M24</f>
        <v>0</v>
      </c>
      <c r="V714" s="11">
        <f t="shared" ref="V714:AA714" si="36">V54-V55</f>
        <v>2</v>
      </c>
      <c r="W714" s="11">
        <f t="shared" si="36"/>
        <v>2</v>
      </c>
      <c r="X714" s="11">
        <v>2</v>
      </c>
      <c r="Y714" s="11">
        <f t="shared" si="36"/>
        <v>3</v>
      </c>
      <c r="Z714" s="11">
        <v>2</v>
      </c>
      <c r="AA714" s="11">
        <f t="shared" si="36"/>
        <v>2</v>
      </c>
      <c r="AB714" s="11">
        <v>2</v>
      </c>
      <c r="AC714" s="106">
        <v>2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</v>
      </c>
      <c r="AJ714">
        <v>2</v>
      </c>
    </row>
    <row r="715" spans="1:36" x14ac:dyDescent="0.25">
      <c r="A715" s="397" t="s">
        <v>102</v>
      </c>
      <c r="B715" s="15" t="s">
        <v>909</v>
      </c>
      <c r="C715" s="16"/>
      <c r="D715" s="16" t="s">
        <v>720</v>
      </c>
      <c r="E715" s="17" t="s">
        <v>285</v>
      </c>
      <c r="F715" s="18" t="s">
        <v>910</v>
      </c>
      <c r="G715" s="134" t="str">
        <f ca="1">_xlfn.FORMULATEXT(IN[[#This Row],[STAGE]])</f>
        <v>=Tsetcool_max-I714</v>
      </c>
      <c r="H715" s="20">
        <v>0</v>
      </c>
      <c r="I715" s="104">
        <f>Tsetcool_max-I714</f>
        <v>25</v>
      </c>
      <c r="J715" s="135">
        <f>IF(IN[[#This Row],[Sim_]]=IN[[#This Row],[STAGE]],1,0)</f>
        <v>0</v>
      </c>
      <c r="K715" s="279"/>
      <c r="L715" s="130"/>
      <c r="M715" s="130">
        <f>IF(IN[[#This Row],[Sim_]]=IN[[#This Row],[Sim Var ref]],1,0)</f>
        <v>1</v>
      </c>
      <c r="N715" s="8"/>
      <c r="O715" s="8">
        <v>537</v>
      </c>
      <c r="P715" s="280"/>
      <c r="Q715" s="137">
        <f>IF(IN[[#This Row],[Sim_]]=IN[[#This Row],[Direkt alt]],1,0)</f>
        <v>1</v>
      </c>
      <c r="R715" s="10">
        <v>26.000000000000004</v>
      </c>
      <c r="S715" s="10">
        <f>IF(IN[[#This Row],[Sim_]]=IN[[#This Row],[Buffer]],1,0)</f>
        <v>0</v>
      </c>
      <c r="T715" s="11"/>
      <c r="U715" s="104">
        <f>Tsetcool_max-U714</f>
        <v>25</v>
      </c>
      <c r="V715" s="281"/>
      <c r="X715">
        <v>23</v>
      </c>
      <c r="Y715" s="11"/>
      <c r="Z715" s="177">
        <v>23</v>
      </c>
      <c r="AA715" s="130"/>
      <c r="AB715" s="130">
        <v>23</v>
      </c>
      <c r="AC715" s="106">
        <v>23</v>
      </c>
      <c r="AD715">
        <v>26.000000000000004</v>
      </c>
      <c r="AE715">
        <v>26.000000000000004</v>
      </c>
      <c r="AF715">
        <v>26.000000000000004</v>
      </c>
      <c r="AG715">
        <v>26.000000000000004</v>
      </c>
      <c r="AH715">
        <v>26.000000000000004</v>
      </c>
      <c r="AI715">
        <v>23</v>
      </c>
      <c r="AJ715">
        <v>23</v>
      </c>
    </row>
    <row r="716" spans="1:36" x14ac:dyDescent="0.25">
      <c r="A716" s="397" t="s">
        <v>102</v>
      </c>
      <c r="B716" s="15" t="s">
        <v>911</v>
      </c>
      <c r="C716" s="16" t="s">
        <v>901</v>
      </c>
      <c r="D716" s="16"/>
      <c r="E716" s="17" t="s">
        <v>285</v>
      </c>
      <c r="F716" s="18"/>
      <c r="G716" s="134" t="str">
        <f ca="1">_xlfn.FORMULATEXT(IN[[#This Row],[STAGE]])</f>
        <v>='[ka_PEQ_Nachweistool.xlsb]🔋'!B25</v>
      </c>
      <c r="H716" s="20">
        <v>2</v>
      </c>
      <c r="I716" s="104">
        <f>'[1]🔋'!B25</f>
        <v>0</v>
      </c>
      <c r="J716" s="135">
        <f>IF(IN[[#This Row],[Sim_]]=IN[[#This Row],[STAGE]],1,0)</f>
        <v>0</v>
      </c>
      <c r="K716" s="363" t="str">
        <f>IF(K140,"System 1","Keines")</f>
        <v>System 1</v>
      </c>
      <c r="L716" s="130"/>
      <c r="M716" s="130">
        <f>IF(IN[[#This Row],[Sim_]]=IN[[#This Row],[Sim Var ref]],1,0)</f>
        <v>0</v>
      </c>
      <c r="N716" s="8"/>
      <c r="O716" s="8"/>
      <c r="P716" s="280"/>
      <c r="Q716" s="137">
        <f>IF(IN[[#This Row],[Sim_]]=IN[[#This Row],[Direkt alt]],1,0)</f>
        <v>0</v>
      </c>
      <c r="R716" s="10" t="s">
        <v>902</v>
      </c>
      <c r="S716" s="10">
        <f>IF(IN[[#This Row],[Sim_]]=IN[[#This Row],[Buffer]],1,0)</f>
        <v>1</v>
      </c>
      <c r="T716" s="11"/>
      <c r="U716" s="145"/>
      <c r="V716" s="281"/>
      <c r="X716" t="s">
        <v>902</v>
      </c>
      <c r="Y716" s="11"/>
      <c r="Z716" s="177" t="s">
        <v>902</v>
      </c>
      <c r="AA716" s="130"/>
      <c r="AB716" s="130" t="s">
        <v>902</v>
      </c>
      <c r="AC716" s="106" t="s">
        <v>902</v>
      </c>
      <c r="AD716" t="s">
        <v>902</v>
      </c>
      <c r="AE716" t="s">
        <v>902</v>
      </c>
      <c r="AF716" t="s">
        <v>902</v>
      </c>
      <c r="AG716" t="s">
        <v>902</v>
      </c>
      <c r="AH716" t="s">
        <v>902</v>
      </c>
      <c r="AI716" t="s">
        <v>902</v>
      </c>
      <c r="AJ716" t="s">
        <v>902</v>
      </c>
    </row>
    <row r="717" spans="1:36" x14ac:dyDescent="0.25">
      <c r="A717" s="397" t="s">
        <v>102</v>
      </c>
      <c r="B717" s="15" t="s">
        <v>912</v>
      </c>
      <c r="C717" s="16" t="s">
        <v>824</v>
      </c>
      <c r="D717" s="16"/>
      <c r="E717" s="17" t="s">
        <v>285</v>
      </c>
      <c r="F717" s="18" t="s">
        <v>913</v>
      </c>
      <c r="G717" s="134" t="str">
        <f ca="1">_xlfn.FORMULATEXT(IN[[#This Row],[STAGE]])</f>
        <v>=WENN(I716="System 1";WAHR;FALSCH)</v>
      </c>
      <c r="H717" s="20">
        <v>0</v>
      </c>
      <c r="I717" s="104" t="b">
        <f>IF(I716="System 1",TRUE,FALSE)</f>
        <v>0</v>
      </c>
      <c r="J717" s="135">
        <f>IF(IN[[#This Row],[Sim_]]=IN[[#This Row],[STAGE]],1,0)</f>
        <v>0</v>
      </c>
      <c r="K717" s="210" t="b">
        <f>K140</f>
        <v>1</v>
      </c>
      <c r="L717" s="130"/>
      <c r="M717" s="130">
        <f>IF(IN[[#This Row],[Sim_]]=IN[[#This Row],[Sim Var ref]],1,0)</f>
        <v>0</v>
      </c>
      <c r="N717" s="8"/>
      <c r="O717" s="8"/>
      <c r="P717" s="280"/>
      <c r="Q717" s="137">
        <f>IF(IN[[#This Row],[Sim_]]=IN[[#This Row],[Direkt alt]],1,0)</f>
        <v>0</v>
      </c>
      <c r="R717" s="10" t="b">
        <v>1</v>
      </c>
      <c r="S717" s="10">
        <f>IF(IN[[#This Row],[Sim_]]=IN[[#This Row],[Buffer]],1,0)</f>
        <v>1</v>
      </c>
      <c r="T717" s="11"/>
      <c r="U717" s="145"/>
      <c r="V717" s="281"/>
      <c r="X717" t="b">
        <v>1</v>
      </c>
      <c r="Y717" s="11"/>
      <c r="Z717" s="177" t="b">
        <v>1</v>
      </c>
      <c r="AA717" s="130"/>
      <c r="AB717" s="130" t="b">
        <v>1</v>
      </c>
      <c r="AC717" s="106" t="b">
        <v>1</v>
      </c>
      <c r="AD717" t="b">
        <v>1</v>
      </c>
      <c r="AE717" t="b">
        <v>1</v>
      </c>
      <c r="AF717" t="b">
        <v>1</v>
      </c>
      <c r="AG717" t="b">
        <v>1</v>
      </c>
      <c r="AH717" t="b">
        <v>1</v>
      </c>
      <c r="AI717" t="b">
        <v>1</v>
      </c>
      <c r="AJ717" t="b">
        <v>1</v>
      </c>
    </row>
    <row r="718" spans="1:36" x14ac:dyDescent="0.25">
      <c r="A718" s="397" t="s">
        <v>102</v>
      </c>
      <c r="B718" s="15" t="s">
        <v>914</v>
      </c>
      <c r="C718" s="16" t="s">
        <v>824</v>
      </c>
      <c r="D718" s="16"/>
      <c r="E718" s="17" t="s">
        <v>262</v>
      </c>
      <c r="F718" s="18" t="s">
        <v>915</v>
      </c>
      <c r="G718" s="134" t="str">
        <f ca="1">_xlfn.FORMULATEXT(IN[[#This Row],[STAGE]])</f>
        <v>=WENN(I716="System 3";WAHR;FALSCH)</v>
      </c>
      <c r="H718" s="20">
        <v>0</v>
      </c>
      <c r="I718" s="104" t="b">
        <f>IF(I716="System 3",TRUE,FALSE)</f>
        <v>0</v>
      </c>
      <c r="J718" s="135">
        <f>IF(IN[[#This Row],[Sim_]]=IN[[#This Row],[STAGE]],1,0)</f>
        <v>1</v>
      </c>
      <c r="K718" s="394" t="b">
        <v>0</v>
      </c>
      <c r="L718" s="130"/>
      <c r="M718" s="130">
        <f>IF(IN[[#This Row],[Sim_]]=IN[[#This Row],[Sim Var ref]],1,0)</f>
        <v>1</v>
      </c>
      <c r="N718" s="8"/>
      <c r="O718" s="8"/>
      <c r="P718" s="280"/>
      <c r="Q718" s="137">
        <f>IF(IN[[#This Row],[Sim_]]=IN[[#This Row],[Direkt alt]],1,0)</f>
        <v>1</v>
      </c>
      <c r="R718" s="10" t="b">
        <v>0</v>
      </c>
      <c r="S718" s="10">
        <f>IF(IN[[#This Row],[Sim_]]=IN[[#This Row],[Buffer]],1,0)</f>
        <v>1</v>
      </c>
      <c r="T718" s="11"/>
      <c r="U718" s="145"/>
      <c r="V718" s="281"/>
      <c r="X718" t="b">
        <v>0</v>
      </c>
      <c r="Y718" s="11"/>
      <c r="Z718" s="177" t="b">
        <v>0</v>
      </c>
      <c r="AA718" s="130"/>
      <c r="AB718" s="130" t="b">
        <v>0</v>
      </c>
      <c r="AC718" s="106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</row>
    <row r="719" spans="1:36" x14ac:dyDescent="0.25">
      <c r="A719" s="388" t="s">
        <v>155</v>
      </c>
      <c r="B719" s="15" t="s">
        <v>916</v>
      </c>
      <c r="C719" s="16"/>
      <c r="D719" s="16"/>
      <c r="E719" s="17" t="s">
        <v>285</v>
      </c>
      <c r="F719" s="18" t="s">
        <v>917</v>
      </c>
      <c r="G719" s="134" t="str">
        <f ca="1">_xlfn.FORMULATEXT(IN[[#This Row],[STAGE]])</f>
        <v>='[ka_PEQ_Nachweistool.xlsb]🔋'!B29</v>
      </c>
      <c r="H719" s="20">
        <v>2</v>
      </c>
      <c r="I719" s="104">
        <f>'[1]🔋'!B29</f>
        <v>0</v>
      </c>
      <c r="J719" s="135">
        <f>IF(IN[[#This Row],[Sim_]]=IN[[#This Row],[STAGE]],1,0)</f>
        <v>0</v>
      </c>
      <c r="K719" s="136" t="b">
        <f>K144</f>
        <v>0</v>
      </c>
      <c r="L719" s="130"/>
      <c r="M719" s="130">
        <f>IF(IN[[#This Row],[Sim_]]=IN[[#This Row],[Sim Var ref]],1,0)</f>
        <v>1</v>
      </c>
      <c r="N719" s="8"/>
      <c r="O719" s="8">
        <v>538</v>
      </c>
      <c r="P719" s="280"/>
      <c r="Q719" s="137">
        <f>IF(IN[[#This Row],[Sim_]]=IN[[#This Row],[Direkt alt]],1,0)</f>
        <v>1</v>
      </c>
      <c r="R719" s="10">
        <v>0</v>
      </c>
      <c r="S719" s="10">
        <f>IF(IN[[#This Row],[Sim_]]=IN[[#This Row],[Buffer]],1,0)</f>
        <v>0</v>
      </c>
      <c r="T719" s="11" t="b">
        <f>T144</f>
        <v>0</v>
      </c>
      <c r="U719" s="104">
        <f>'[1]🔋'!M29</f>
        <v>0</v>
      </c>
      <c r="V719" s="11" t="b">
        <f t="shared" ref="V719:AA719" si="37">V144</f>
        <v>0</v>
      </c>
      <c r="W719" s="11" t="b">
        <f t="shared" si="37"/>
        <v>1</v>
      </c>
      <c r="X719" s="11" t="b">
        <v>1</v>
      </c>
      <c r="Y719" s="11" t="b">
        <f t="shared" si="37"/>
        <v>0</v>
      </c>
      <c r="Z719" s="11" t="b">
        <v>1</v>
      </c>
      <c r="AA719" s="11" t="b">
        <f t="shared" si="37"/>
        <v>0</v>
      </c>
      <c r="AB719" s="11" t="b">
        <v>0</v>
      </c>
      <c r="AC719" s="106" t="b">
        <v>1</v>
      </c>
      <c r="AD719">
        <v>0</v>
      </c>
      <c r="AE719">
        <v>0</v>
      </c>
      <c r="AF719">
        <v>0</v>
      </c>
      <c r="AG719">
        <v>0</v>
      </c>
      <c r="AH719" t="b">
        <v>1</v>
      </c>
      <c r="AI719" t="b">
        <v>0</v>
      </c>
      <c r="AJ719" t="b">
        <v>0</v>
      </c>
    </row>
    <row r="720" spans="1:36" x14ac:dyDescent="0.25">
      <c r="A720" s="388" t="s">
        <v>155</v>
      </c>
      <c r="B720" s="15" t="s">
        <v>918</v>
      </c>
      <c r="C720" s="16" t="s">
        <v>156</v>
      </c>
      <c r="D720" s="16"/>
      <c r="E720" s="17" t="s">
        <v>285</v>
      </c>
      <c r="F720" s="18"/>
      <c r="G720" s="134" t="str">
        <f ca="1">_xlfn.FORMULATEXT(IN[[#This Row],[STAGE]])</f>
        <v>='[ka_PEQ_Nachweistool.xlsb]🔋'!B33</v>
      </c>
      <c r="H720" s="20">
        <v>2</v>
      </c>
      <c r="I720" s="104">
        <f>'[1]🔋'!B33</f>
        <v>0</v>
      </c>
      <c r="J720" s="135">
        <f>IF(IN[[#This Row],[Sim_]]=IN[[#This Row],[STAGE]],1,0)</f>
        <v>1</v>
      </c>
      <c r="K720" s="197">
        <f>K721*NFA_total/1000</f>
        <v>0</v>
      </c>
      <c r="L720" s="130"/>
      <c r="M720" s="130">
        <f>IF(IN[[#This Row],[Sim_]]=IN[[#This Row],[Sim Var ref]],1,0)</f>
        <v>1</v>
      </c>
      <c r="N720" s="8"/>
      <c r="O720" s="8">
        <v>539</v>
      </c>
      <c r="P720" s="280"/>
      <c r="Q720" s="137">
        <f>IF(IN[[#This Row],[Sim_]]=IN[[#This Row],[Direkt alt]],1,0)</f>
        <v>1</v>
      </c>
      <c r="R720" s="10">
        <v>516116.61076208658</v>
      </c>
      <c r="S720" s="10">
        <f>IF(IN[[#This Row],[Sim_]]=IN[[#This Row],[Buffer]],1,0)</f>
        <v>0</v>
      </c>
      <c r="T720" s="398">
        <f t="shared" ref="T720:AA720" si="38">T721*NFA_total/1000</f>
        <v>0</v>
      </c>
      <c r="U720" s="104">
        <f>'[1]🔋'!M33</f>
        <v>0</v>
      </c>
      <c r="V720" s="398">
        <f t="shared" si="38"/>
        <v>0</v>
      </c>
      <c r="W720" s="398">
        <f t="shared" si="38"/>
        <v>0</v>
      </c>
      <c r="X720" s="398">
        <v>250</v>
      </c>
      <c r="Y720" s="398">
        <f t="shared" si="38"/>
        <v>0</v>
      </c>
      <c r="Z720" s="398">
        <v>250</v>
      </c>
      <c r="AA720" s="398">
        <f t="shared" si="38"/>
        <v>0</v>
      </c>
      <c r="AB720" s="399">
        <v>4824.8639999999996</v>
      </c>
      <c r="AC720" s="106">
        <v>500</v>
      </c>
      <c r="AD720">
        <v>516116.61076208658</v>
      </c>
      <c r="AE720">
        <v>516116.61076208658</v>
      </c>
      <c r="AF720">
        <v>516116.61076208658</v>
      </c>
      <c r="AG720">
        <v>516116.61076208658</v>
      </c>
      <c r="AH720">
        <v>2000</v>
      </c>
      <c r="AI720">
        <v>4824.8639999999996</v>
      </c>
      <c r="AJ720">
        <v>4824.8639999999996</v>
      </c>
    </row>
    <row r="721" spans="1:36" x14ac:dyDescent="0.25">
      <c r="A721" s="388" t="s">
        <v>155</v>
      </c>
      <c r="B721" s="15" t="s">
        <v>919</v>
      </c>
      <c r="C721" s="16" t="s">
        <v>658</v>
      </c>
      <c r="D721" s="16"/>
      <c r="E721" s="17" t="s">
        <v>78</v>
      </c>
      <c r="F721" s="18" t="s">
        <v>920</v>
      </c>
      <c r="G721" s="134" t="str">
        <f ca="1">_xlfn.FORMULATEXT(IN[[#This Row],[STAGE]])</f>
        <v>=I720/NFA_total*1000</v>
      </c>
      <c r="H721" s="20">
        <v>0</v>
      </c>
      <c r="I721" s="104" t="e">
        <f>I720/NFA_total*1000</f>
        <v>#DIV/0!</v>
      </c>
      <c r="J721" s="135" t="e">
        <f>IF(IN[[#This Row],[Sim_]]=IN[[#This Row],[STAGE]],1,0)</f>
        <v>#DIV/0!</v>
      </c>
      <c r="K721" s="400">
        <f>K104</f>
        <v>180</v>
      </c>
      <c r="L721" s="130"/>
      <c r="M721" s="130">
        <f>IF(IN[[#This Row],[Sim_]]=IN[[#This Row],[Sim Var ref]],1,0)</f>
        <v>0</v>
      </c>
      <c r="N721" s="8"/>
      <c r="O721" s="8">
        <v>540</v>
      </c>
      <c r="P721" s="280"/>
      <c r="Q721" s="137">
        <f>IF(IN[[#This Row],[Sim_]]=IN[[#This Row],[Direkt alt]],1,0)</f>
        <v>0</v>
      </c>
      <c r="R721" s="10">
        <v>3574.3731769419596</v>
      </c>
      <c r="S721" s="10">
        <f>IF(IN[[#This Row],[Sim_]]=IN[[#This Row],[Buffer]],1,0)</f>
        <v>0</v>
      </c>
      <c r="T721" s="333">
        <f>T104</f>
        <v>180</v>
      </c>
      <c r="U721" s="104" t="e">
        <f>U720/NFA_total*1000</f>
        <v>#DIV/0!</v>
      </c>
      <c r="V721" s="333">
        <f t="shared" ref="V721:AA721" si="39">V104</f>
        <v>180</v>
      </c>
      <c r="W721" s="333">
        <f t="shared" si="39"/>
        <v>18</v>
      </c>
      <c r="X721" s="333">
        <v>32.552083333333336</v>
      </c>
      <c r="Y721" s="333">
        <f t="shared" si="39"/>
        <v>180</v>
      </c>
      <c r="Z721" s="333">
        <v>32.552083333333336</v>
      </c>
      <c r="AA721" s="333">
        <f t="shared" si="39"/>
        <v>180</v>
      </c>
      <c r="AB721" s="11">
        <v>180</v>
      </c>
      <c r="AC721" s="106">
        <v>65.104166666666671</v>
      </c>
      <c r="AD721">
        <v>3574.3731769419596</v>
      </c>
      <c r="AE721">
        <v>3574.3731769419596</v>
      </c>
      <c r="AF721">
        <v>3574.3731769419596</v>
      </c>
      <c r="AG721">
        <v>3574.3731769419596</v>
      </c>
      <c r="AH721">
        <v>13.85102940850564</v>
      </c>
      <c r="AI721">
        <v>180</v>
      </c>
      <c r="AJ721">
        <v>180</v>
      </c>
    </row>
    <row r="722" spans="1:36" x14ac:dyDescent="0.25">
      <c r="A722" s="388" t="s">
        <v>155</v>
      </c>
      <c r="B722" t="s">
        <v>921</v>
      </c>
      <c r="C722" s="401" t="s">
        <v>922</v>
      </c>
      <c r="D722" s="16"/>
      <c r="E722" s="17" t="s">
        <v>285</v>
      </c>
      <c r="F722" s="18"/>
      <c r="G722" s="134" t="str">
        <f ca="1">_xlfn.FORMULATEXT(IN[[#This Row],[STAGE]])</f>
        <v>='[ka_PEQ_Nachweistool.xlsb]🔋'!B34</v>
      </c>
      <c r="H722" s="20">
        <v>2</v>
      </c>
      <c r="I722" s="104">
        <f>'[1]🔋'!B34</f>
        <v>0</v>
      </c>
      <c r="J722" s="135">
        <f>IF(IN[[#This Row],[Sim_]]=IN[[#This Row],[STAGE]],1,0)</f>
        <v>0</v>
      </c>
      <c r="K722" s="136">
        <f>K106</f>
        <v>1.2</v>
      </c>
      <c r="L722" s="130"/>
      <c r="M722" s="130">
        <f>IF(IN[[#This Row],[Sim_]]=IN[[#This Row],[Sim Var ref]],1,0)</f>
        <v>0</v>
      </c>
      <c r="N722" s="8"/>
      <c r="O722" s="8">
        <v>541</v>
      </c>
      <c r="P722" s="280"/>
      <c r="Q722" s="137">
        <f>IF(IN[[#This Row],[Sim_]]=IN[[#This Row],[Direkt alt]],1,0)</f>
        <v>0</v>
      </c>
      <c r="R722" s="10">
        <v>501.51256487298559</v>
      </c>
      <c r="S722" s="10">
        <f>IF(IN[[#This Row],[Sim_]]=IN[[#This Row],[Buffer]],1,0)</f>
        <v>0</v>
      </c>
      <c r="T722" s="333">
        <f>T106</f>
        <v>1.2</v>
      </c>
      <c r="U722" s="104">
        <f>'[1]🔋'!M34</f>
        <v>0</v>
      </c>
      <c r="V722" s="333">
        <f t="shared" ref="V722:AA722" si="40">V106</f>
        <v>1.2</v>
      </c>
      <c r="W722" s="333">
        <f t="shared" si="40"/>
        <v>27.8</v>
      </c>
      <c r="X722" s="333">
        <v>2</v>
      </c>
      <c r="Y722" s="333">
        <f t="shared" si="40"/>
        <v>1.2</v>
      </c>
      <c r="Z722" s="333">
        <v>2</v>
      </c>
      <c r="AA722" s="333">
        <f t="shared" si="40"/>
        <v>1.2</v>
      </c>
      <c r="AB722" s="11">
        <v>1.2</v>
      </c>
      <c r="AC722" s="106">
        <v>2</v>
      </c>
      <c r="AD722">
        <v>501.51256487298559</v>
      </c>
      <c r="AE722">
        <v>501.51256487298559</v>
      </c>
      <c r="AF722">
        <v>501.51256487298559</v>
      </c>
      <c r="AG722">
        <v>501.51256487298559</v>
      </c>
      <c r="AH722">
        <v>0.8</v>
      </c>
      <c r="AI722">
        <v>1.2</v>
      </c>
      <c r="AJ722">
        <v>1.2</v>
      </c>
    </row>
    <row r="723" spans="1:36" x14ac:dyDescent="0.25">
      <c r="A723" s="388" t="s">
        <v>155</v>
      </c>
      <c r="B723" s="15" t="s">
        <v>923</v>
      </c>
      <c r="C723" s="16" t="s">
        <v>658</v>
      </c>
      <c r="D723" s="16"/>
      <c r="E723" s="17" t="s">
        <v>78</v>
      </c>
      <c r="F723" s="18" t="s">
        <v>924</v>
      </c>
      <c r="G723" s="134" t="str">
        <f ca="1">_xlfn.FORMULATEXT(IN[[#This Row],[STAGE]])</f>
        <v>=I721*I722</v>
      </c>
      <c r="H723" s="20">
        <v>0</v>
      </c>
      <c r="I723" s="104" t="e">
        <f>I721*I722</f>
        <v>#DIV/0!</v>
      </c>
      <c r="J723" s="135" t="e">
        <f>IF(IN[[#This Row],[Sim_]]=IN[[#This Row],[STAGE]],1,0)</f>
        <v>#DIV/0!</v>
      </c>
      <c r="K723" s="279"/>
      <c r="L723" s="130"/>
      <c r="M723" s="130">
        <f>IF(IN[[#This Row],[Sim_]]=IN[[#This Row],[Sim Var ref]],1,0)</f>
        <v>1</v>
      </c>
      <c r="N723" s="8"/>
      <c r="O723" s="8">
        <v>542</v>
      </c>
      <c r="P723" s="280"/>
      <c r="Q723" s="137">
        <f>IF(IN[[#This Row],[Sim_]]=IN[[#This Row],[Direkt alt]],1,0)</f>
        <v>1</v>
      </c>
      <c r="R723" s="10">
        <v>1792593.0597813642</v>
      </c>
      <c r="S723" s="10">
        <f>IF(IN[[#This Row],[Sim_]]=IN[[#This Row],[Buffer]],1,0)</f>
        <v>0</v>
      </c>
      <c r="T723" s="333"/>
      <c r="U723" s="104" t="e">
        <f>U721*U722</f>
        <v>#DIV/0!</v>
      </c>
      <c r="V723" s="281"/>
      <c r="X723">
        <v>65.104166666666671</v>
      </c>
      <c r="Y723" s="333"/>
      <c r="Z723" s="177">
        <v>65.104166666666671</v>
      </c>
      <c r="AA723" s="130"/>
      <c r="AB723" s="130">
        <v>216</v>
      </c>
      <c r="AC723" s="106">
        <v>130.20833333333334</v>
      </c>
      <c r="AD723">
        <v>1792593.0597813642</v>
      </c>
      <c r="AE723">
        <v>1792593.0597813642</v>
      </c>
      <c r="AF723">
        <v>1792593.0597813642</v>
      </c>
      <c r="AG723">
        <v>1792593.0597813642</v>
      </c>
      <c r="AH723">
        <v>11.080823526804513</v>
      </c>
      <c r="AI723">
        <v>216</v>
      </c>
      <c r="AJ723">
        <v>216</v>
      </c>
    </row>
    <row r="724" spans="1:36" x14ac:dyDescent="0.25">
      <c r="A724" s="388" t="s">
        <v>155</v>
      </c>
      <c r="B724" s="15" t="s">
        <v>160</v>
      </c>
      <c r="C724" s="401" t="s">
        <v>922</v>
      </c>
      <c r="D724" s="16"/>
      <c r="E724" s="17" t="s">
        <v>285</v>
      </c>
      <c r="F724" s="18" t="s">
        <v>925</v>
      </c>
      <c r="G724" s="134" t="str">
        <f ca="1">_xlfn.FORMULATEXT(IN[[#This Row],[STAGE]])</f>
        <v>='[ka_PEQ_Nachweistool.xlsb]🔋'!B35</v>
      </c>
      <c r="H724" s="20">
        <v>2</v>
      </c>
      <c r="I724" s="104">
        <f>'[1]🔋'!B35</f>
        <v>0</v>
      </c>
      <c r="J724" s="135">
        <f>IF(IN[[#This Row],[Sim_]]=IN[[#This Row],[STAGE]],1,0)</f>
        <v>0</v>
      </c>
      <c r="K724" s="402">
        <f>K108</f>
        <v>1</v>
      </c>
      <c r="L724" s="130"/>
      <c r="M724" s="130">
        <f>IF(IN[[#This Row],[Sim_]]=IN[[#This Row],[Sim Var ref]],1,0)</f>
        <v>0</v>
      </c>
      <c r="N724" s="8"/>
      <c r="O724" s="8">
        <v>543</v>
      </c>
      <c r="P724" s="280"/>
      <c r="Q724" s="137">
        <f>IF(IN[[#This Row],[Sim_]]=IN[[#This Row],[Direkt alt]],1,0)</f>
        <v>0</v>
      </c>
      <c r="R724" s="10">
        <v>0.89999999999999991</v>
      </c>
      <c r="S724" s="10">
        <f>IF(IN[[#This Row],[Sim_]]=IN[[#This Row],[Buffer]],1,0)</f>
        <v>0</v>
      </c>
      <c r="T724" s="403">
        <f>T108</f>
        <v>1</v>
      </c>
      <c r="U724" s="104">
        <f>'[1]🔋'!M35</f>
        <v>0</v>
      </c>
      <c r="V724" s="403">
        <f t="shared" ref="V724:AA725" si="41">V108</f>
        <v>1</v>
      </c>
      <c r="W724" s="403">
        <f t="shared" si="41"/>
        <v>0.9</v>
      </c>
      <c r="X724" s="403">
        <v>0.9</v>
      </c>
      <c r="Y724" s="403">
        <f t="shared" si="41"/>
        <v>1</v>
      </c>
      <c r="Z724" s="403">
        <v>0.9</v>
      </c>
      <c r="AA724" s="403">
        <f t="shared" si="41"/>
        <v>1</v>
      </c>
      <c r="AB724" s="404">
        <v>1</v>
      </c>
      <c r="AC724" s="106">
        <v>0.9</v>
      </c>
      <c r="AD724">
        <v>0.89999999999999991</v>
      </c>
      <c r="AE724">
        <v>0.89999999999999991</v>
      </c>
      <c r="AF724">
        <v>0.89999999999999991</v>
      </c>
      <c r="AG724">
        <v>0.89999999999999991</v>
      </c>
      <c r="AH724">
        <v>0.95</v>
      </c>
      <c r="AI724">
        <v>1</v>
      </c>
      <c r="AJ724">
        <v>1</v>
      </c>
    </row>
    <row r="725" spans="1:36" x14ac:dyDescent="0.25">
      <c r="A725" s="388" t="s">
        <v>155</v>
      </c>
      <c r="B725" s="15" t="s">
        <v>161</v>
      </c>
      <c r="C725" s="401" t="s">
        <v>922</v>
      </c>
      <c r="D725" s="16"/>
      <c r="E725" s="17" t="s">
        <v>285</v>
      </c>
      <c r="F725" s="18" t="s">
        <v>926</v>
      </c>
      <c r="G725" s="134" t="str">
        <f ca="1">_xlfn.FORMULATEXT(IN[[#This Row],[STAGE]])</f>
        <v>='[ka_PEQ_Nachweistool.xlsb]🔋'!B36</v>
      </c>
      <c r="H725" s="20">
        <v>2</v>
      </c>
      <c r="I725" s="104">
        <f>'[1]🔋'!B36</f>
        <v>0</v>
      </c>
      <c r="J725" s="135">
        <f>IF(IN[[#This Row],[Sim_]]=IN[[#This Row],[STAGE]],1,0)</f>
        <v>0</v>
      </c>
      <c r="K725" s="402">
        <f>K109</f>
        <v>0.9</v>
      </c>
      <c r="L725" s="130"/>
      <c r="M725" s="130">
        <f>IF(IN[[#This Row],[Sim_]]=IN[[#This Row],[Sim Var ref]],1,0)</f>
        <v>0</v>
      </c>
      <c r="N725" s="8"/>
      <c r="O725" s="8">
        <v>544</v>
      </c>
      <c r="P725" s="280"/>
      <c r="Q725" s="137">
        <f>IF(IN[[#This Row],[Sim_]]=IN[[#This Row],[Direkt alt]],1,0)</f>
        <v>0</v>
      </c>
      <c r="R725" s="10">
        <v>0.89999999999999991</v>
      </c>
      <c r="S725" s="10">
        <f>IF(IN[[#This Row],[Sim_]]=IN[[#This Row],[Buffer]],1,0)</f>
        <v>1</v>
      </c>
      <c r="T725" s="403">
        <f>T109</f>
        <v>0.9</v>
      </c>
      <c r="U725" s="104">
        <f>'[1]🔋'!M36</f>
        <v>0</v>
      </c>
      <c r="V725" s="403">
        <f t="shared" si="41"/>
        <v>0.9</v>
      </c>
      <c r="W725" s="403">
        <f t="shared" si="41"/>
        <v>0.9</v>
      </c>
      <c r="X725" s="403">
        <v>0.9</v>
      </c>
      <c r="Y725" s="403">
        <f t="shared" si="41"/>
        <v>0.9</v>
      </c>
      <c r="Z725" s="403">
        <v>0.9</v>
      </c>
      <c r="AA725" s="403">
        <f t="shared" si="41"/>
        <v>0.9</v>
      </c>
      <c r="AB725" s="404">
        <v>0.9</v>
      </c>
      <c r="AC725" s="106">
        <v>0.9</v>
      </c>
      <c r="AD725">
        <v>0.89999999999999991</v>
      </c>
      <c r="AE725">
        <v>0.89999999999999991</v>
      </c>
      <c r="AF725">
        <v>0.89999999999999991</v>
      </c>
      <c r="AG725">
        <v>0.89999999999999991</v>
      </c>
      <c r="AH725">
        <v>0.95</v>
      </c>
      <c r="AI725">
        <v>0.9</v>
      </c>
      <c r="AJ725">
        <v>0.9</v>
      </c>
    </row>
    <row r="726" spans="1:36" x14ac:dyDescent="0.25">
      <c r="A726" s="388" t="s">
        <v>155</v>
      </c>
      <c r="B726" s="15" t="s">
        <v>927</v>
      </c>
      <c r="C726" s="16" t="s">
        <v>928</v>
      </c>
      <c r="D726" s="16"/>
      <c r="E726" s="17" t="s">
        <v>285</v>
      </c>
      <c r="F726" s="18"/>
      <c r="G726" s="134" t="str">
        <f ca="1">_xlfn.FORMULATEXT(IN[[#This Row],[STAGE]])</f>
        <v>='[ka_PEQ_Nachweistool.xlsb]🔋'!B37</v>
      </c>
      <c r="H726" s="20">
        <v>2</v>
      </c>
      <c r="I726" s="225">
        <f>'[1]🔋'!B37</f>
        <v>0</v>
      </c>
      <c r="J726" s="135">
        <f>IF(IN[[#This Row],[Sim_]]=IN[[#This Row],[STAGE]],1,0)</f>
        <v>0</v>
      </c>
      <c r="K726" s="136">
        <f>K105*24*7</f>
        <v>0.02</v>
      </c>
      <c r="L726" s="130"/>
      <c r="M726" s="130">
        <f>IF(IN[[#This Row],[Sim_]]=IN[[#This Row],[Sim Var ref]],1,0)</f>
        <v>0</v>
      </c>
      <c r="N726" s="8"/>
      <c r="O726" s="8">
        <v>545</v>
      </c>
      <c r="P726" s="280"/>
      <c r="Q726" s="137">
        <f>IF(IN[[#This Row],[Sim_]]=IN[[#This Row],[Direkt alt]],1,0)</f>
        <v>0</v>
      </c>
      <c r="R726" s="10">
        <v>2.0000000000000004E-2</v>
      </c>
      <c r="S726" s="10">
        <f>IF(IN[[#This Row],[Sim_]]=IN[[#This Row],[Buffer]],1,0)</f>
        <v>1</v>
      </c>
      <c r="T726" s="11">
        <f>T105*24*7</f>
        <v>0.02</v>
      </c>
      <c r="U726" s="225">
        <f>'[1]🔋'!M37</f>
        <v>0</v>
      </c>
      <c r="V726" s="11">
        <f t="shared" ref="V726:AA726" si="42">V105*24*7</f>
        <v>0.02</v>
      </c>
      <c r="W726" s="11">
        <f t="shared" si="42"/>
        <v>0.02</v>
      </c>
      <c r="X726" s="11">
        <v>0.02</v>
      </c>
      <c r="Y726" s="11">
        <f t="shared" si="42"/>
        <v>0.02</v>
      </c>
      <c r="Z726" s="11">
        <v>0.02</v>
      </c>
      <c r="AA726" s="11">
        <f t="shared" si="42"/>
        <v>0.02</v>
      </c>
      <c r="AB726" s="11">
        <v>0.02</v>
      </c>
      <c r="AC726" s="227">
        <v>0.02</v>
      </c>
      <c r="AD726">
        <v>2.0000000000000004E-2</v>
      </c>
      <c r="AE726">
        <v>2.0000000000000004E-2</v>
      </c>
      <c r="AF726">
        <v>2.0000000000000004E-2</v>
      </c>
      <c r="AG726">
        <v>2.0000000000000004E-2</v>
      </c>
      <c r="AH726">
        <v>2.0000000000000004E-2</v>
      </c>
      <c r="AI726">
        <v>0.02</v>
      </c>
      <c r="AJ726">
        <v>0.02</v>
      </c>
    </row>
    <row r="727" spans="1:36" x14ac:dyDescent="0.25">
      <c r="A727" s="388" t="s">
        <v>155</v>
      </c>
      <c r="B727" s="15" t="s">
        <v>929</v>
      </c>
      <c r="C727" s="16"/>
      <c r="D727" s="16"/>
      <c r="E727" s="17" t="s">
        <v>78</v>
      </c>
      <c r="F727" s="18" t="s">
        <v>930</v>
      </c>
      <c r="G727" s="134" t="str">
        <f ca="1">_xlfn.FORMULATEXT(IN[[#This Row],[STAGE]])</f>
        <v>=I726/7/24</v>
      </c>
      <c r="H727" s="20">
        <v>0</v>
      </c>
      <c r="I727" s="225">
        <f>I726/7/24</f>
        <v>0</v>
      </c>
      <c r="J727" s="135">
        <f>IF(IN[[#This Row],[Sim_]]=IN[[#This Row],[STAGE]],1,0)</f>
        <v>1</v>
      </c>
      <c r="K727" s="279"/>
      <c r="L727" s="130"/>
      <c r="M727" s="130">
        <f>IF(IN[[#This Row],[Sim_]]=IN[[#This Row],[Sim Var ref]],1,0)</f>
        <v>1</v>
      </c>
      <c r="N727" s="8"/>
      <c r="O727" s="8">
        <v>546</v>
      </c>
      <c r="P727" s="280"/>
      <c r="Q727" s="137">
        <f>IF(IN[[#This Row],[Sim_]]=IN[[#This Row],[Direkt alt]],1,0)</f>
        <v>1</v>
      </c>
      <c r="R727" s="10">
        <v>1.1904761904761906E-4</v>
      </c>
      <c r="S727" s="10">
        <f>IF(IN[[#This Row],[Sim_]]=IN[[#This Row],[Buffer]],1,0)</f>
        <v>0</v>
      </c>
      <c r="T727" s="11"/>
      <c r="U727" s="225">
        <f>1-U726/7/24</f>
        <v>1</v>
      </c>
      <c r="V727" s="281"/>
      <c r="X727">
        <v>1.1904761904761905E-4</v>
      </c>
      <c r="Y727" s="11"/>
      <c r="Z727" s="177">
        <v>1.1904761904761905E-4</v>
      </c>
      <c r="AA727" s="130"/>
      <c r="AB727" s="130">
        <v>1.1904761904761905E-4</v>
      </c>
      <c r="AC727" s="227">
        <v>1.1904761904761905E-4</v>
      </c>
      <c r="AD727">
        <v>1.1904761904761906E-4</v>
      </c>
      <c r="AE727">
        <v>1.1904761904761906E-4</v>
      </c>
      <c r="AF727">
        <v>1.1904761904761906E-4</v>
      </c>
      <c r="AG727">
        <v>1.1904761904761906E-4</v>
      </c>
      <c r="AH727">
        <v>1.1904761904761906E-4</v>
      </c>
      <c r="AI727">
        <v>1.1904761904761905E-4</v>
      </c>
      <c r="AJ727">
        <v>1.1904761904761905E-4</v>
      </c>
    </row>
    <row r="728" spans="1:36" x14ac:dyDescent="0.25">
      <c r="A728" s="388" t="s">
        <v>155</v>
      </c>
      <c r="B728" s="15" t="s">
        <v>931</v>
      </c>
      <c r="C728" s="16" t="s">
        <v>922</v>
      </c>
      <c r="D728" s="16"/>
      <c r="E728" s="17" t="s">
        <v>78</v>
      </c>
      <c r="F728" s="18" t="s">
        <v>932</v>
      </c>
      <c r="G728" s="134" t="e">
        <f ca="1">_xlfn.FORMULATEXT(IN[[#This Row],[STAGE]])</f>
        <v>#N/A</v>
      </c>
      <c r="H728" s="20">
        <v>1</v>
      </c>
      <c r="I728" s="328">
        <v>0</v>
      </c>
      <c r="J728" s="135">
        <f>IF(IN[[#This Row],[Sim_]]=IN[[#This Row],[STAGE]],1,0)</f>
        <v>1</v>
      </c>
      <c r="K728" s="363"/>
      <c r="L728" s="130"/>
      <c r="M728" s="130">
        <f>IF(IN[[#This Row],[Sim_]]=IN[[#This Row],[Sim Var ref]],1,0)</f>
        <v>1</v>
      </c>
      <c r="N728" s="8"/>
      <c r="O728" s="8"/>
      <c r="P728" s="280"/>
      <c r="Q728" s="137">
        <f>IF(IN[[#This Row],[Sim_]]=IN[[#This Row],[Direkt alt]],1,0)</f>
        <v>1</v>
      </c>
      <c r="R728" s="10">
        <v>0.5</v>
      </c>
      <c r="S728" s="10">
        <f>IF(IN[[#This Row],[Sim_]]=IN[[#This Row],[Buffer]],1,0)</f>
        <v>0</v>
      </c>
      <c r="T728" s="11"/>
      <c r="U728" s="145"/>
      <c r="V728" s="281"/>
      <c r="X728">
        <v>0.5</v>
      </c>
      <c r="Y728" s="11"/>
      <c r="Z728" s="177">
        <v>0.5</v>
      </c>
      <c r="AA728" s="130"/>
      <c r="AB728" s="130">
        <v>0.5</v>
      </c>
      <c r="AC728" s="331">
        <v>0.5</v>
      </c>
      <c r="AD728">
        <v>0.5</v>
      </c>
      <c r="AE728">
        <v>0.5</v>
      </c>
      <c r="AF728">
        <v>0.5</v>
      </c>
      <c r="AG728">
        <v>0.5</v>
      </c>
      <c r="AH728">
        <v>0</v>
      </c>
      <c r="AI728">
        <v>0</v>
      </c>
      <c r="AJ728">
        <v>0</v>
      </c>
    </row>
    <row r="729" spans="1:36" x14ac:dyDescent="0.25">
      <c r="A729" s="388" t="s">
        <v>155</v>
      </c>
      <c r="B729" s="15" t="s">
        <v>933</v>
      </c>
      <c r="C729" s="16" t="s">
        <v>824</v>
      </c>
      <c r="D729" s="16"/>
      <c r="E729" s="17" t="s">
        <v>262</v>
      </c>
      <c r="F729" s="18" t="s">
        <v>934</v>
      </c>
      <c r="G729" s="134" t="e">
        <f ca="1">_xlfn.FORMULATEXT(IN[[#This Row],[STAGE]])</f>
        <v>#N/A</v>
      </c>
      <c r="H729" s="20">
        <v>1</v>
      </c>
      <c r="I729" s="185" t="b">
        <v>1</v>
      </c>
      <c r="J729" s="135">
        <f>IF(IN[[#This Row],[Sim_]]=IN[[#This Row],[STAGE]],1,0)</f>
        <v>0</v>
      </c>
      <c r="K729" s="363"/>
      <c r="L729" s="130"/>
      <c r="M729" s="130">
        <f>IF(IN[[#This Row],[Sim_]]=IN[[#This Row],[Sim Var ref]],1,0)</f>
        <v>1</v>
      </c>
      <c r="N729" s="8"/>
      <c r="O729" s="8"/>
      <c r="P729" s="280"/>
      <c r="Q729" s="137">
        <f>IF(IN[[#This Row],[Sim_]]=IN[[#This Row],[Direkt alt]],1,0)</f>
        <v>1</v>
      </c>
      <c r="R729" s="10" t="b">
        <v>1</v>
      </c>
      <c r="S729" s="10">
        <f>IF(IN[[#This Row],[Sim_]]=IN[[#This Row],[Buffer]],1,0)</f>
        <v>0</v>
      </c>
      <c r="T729" s="11"/>
      <c r="U729" s="145"/>
      <c r="V729" s="281"/>
      <c r="X729" t="b">
        <v>1</v>
      </c>
      <c r="Y729" s="11"/>
      <c r="Z729" s="177" t="b">
        <v>1</v>
      </c>
      <c r="AA729" s="130"/>
      <c r="AB729" s="130" t="b">
        <v>1</v>
      </c>
      <c r="AC729" s="199" t="b">
        <v>1</v>
      </c>
      <c r="AD729" t="b">
        <v>1</v>
      </c>
      <c r="AE729" t="b">
        <v>1</v>
      </c>
      <c r="AF729" t="b">
        <v>1</v>
      </c>
      <c r="AG729" t="b">
        <v>1</v>
      </c>
      <c r="AH729" t="b">
        <v>1</v>
      </c>
      <c r="AI729" t="b">
        <v>1</v>
      </c>
      <c r="AJ729" t="b">
        <v>1</v>
      </c>
    </row>
    <row r="730" spans="1:36" x14ac:dyDescent="0.25">
      <c r="A730" s="388" t="s">
        <v>155</v>
      </c>
      <c r="B730" s="15" t="s">
        <v>935</v>
      </c>
      <c r="C730" s="16" t="s">
        <v>824</v>
      </c>
      <c r="D730" s="16"/>
      <c r="E730" s="17" t="s">
        <v>262</v>
      </c>
      <c r="F730" s="18" t="s">
        <v>936</v>
      </c>
      <c r="G730" s="134" t="e">
        <f ca="1">_xlfn.FORMULATEXT(IN[[#This Row],[STAGE]])</f>
        <v>#N/A</v>
      </c>
      <c r="H730" s="20">
        <v>1</v>
      </c>
      <c r="I730" s="185" t="b">
        <v>1</v>
      </c>
      <c r="J730" s="135">
        <f>IF(IN[[#This Row],[Sim_]]=IN[[#This Row],[STAGE]],1,0)</f>
        <v>0</v>
      </c>
      <c r="K730" s="363"/>
      <c r="L730" s="130"/>
      <c r="M730" s="130">
        <f>IF(IN[[#This Row],[Sim_]]=IN[[#This Row],[Sim Var ref]],1,0)</f>
        <v>1</v>
      </c>
      <c r="N730" s="8"/>
      <c r="O730" s="8"/>
      <c r="P730" s="280"/>
      <c r="Q730" s="137">
        <f>IF(IN[[#This Row],[Sim_]]=IN[[#This Row],[Direkt alt]],1,0)</f>
        <v>1</v>
      </c>
      <c r="R730" s="10" t="b">
        <v>1</v>
      </c>
      <c r="S730" s="10">
        <f>IF(IN[[#This Row],[Sim_]]=IN[[#This Row],[Buffer]],1,0)</f>
        <v>0</v>
      </c>
      <c r="T730" s="11"/>
      <c r="U730" s="145"/>
      <c r="V730" s="281"/>
      <c r="X730" t="b">
        <v>1</v>
      </c>
      <c r="Y730" s="11"/>
      <c r="Z730" s="177" t="b">
        <v>1</v>
      </c>
      <c r="AA730" s="130"/>
      <c r="AB730" s="130" t="b">
        <v>1</v>
      </c>
      <c r="AC730" s="199" t="b">
        <v>1</v>
      </c>
      <c r="AD730" t="b">
        <v>1</v>
      </c>
      <c r="AE730" t="b">
        <v>1</v>
      </c>
      <c r="AF730" t="b">
        <v>1</v>
      </c>
      <c r="AG730" t="b">
        <v>1</v>
      </c>
      <c r="AH730" t="b">
        <v>1</v>
      </c>
      <c r="AI730" t="b">
        <v>1</v>
      </c>
      <c r="AJ730" t="b">
        <v>1</v>
      </c>
    </row>
    <row r="731" spans="1:36" x14ac:dyDescent="0.25">
      <c r="A731" s="388" t="s">
        <v>155</v>
      </c>
      <c r="B731" s="15" t="s">
        <v>937</v>
      </c>
      <c r="C731" s="16" t="s">
        <v>824</v>
      </c>
      <c r="D731" s="16"/>
      <c r="E731" s="17" t="s">
        <v>262</v>
      </c>
      <c r="F731" s="18" t="s">
        <v>938</v>
      </c>
      <c r="G731" s="134" t="e">
        <f ca="1">_xlfn.FORMULATEXT(IN[[#This Row],[STAGE]])</f>
        <v>#N/A</v>
      </c>
      <c r="H731" s="20">
        <v>1</v>
      </c>
      <c r="I731" s="185" t="b">
        <v>1</v>
      </c>
      <c r="J731" s="135">
        <f>IF(IN[[#This Row],[Sim_]]=IN[[#This Row],[STAGE]],1,0)</f>
        <v>0</v>
      </c>
      <c r="K731" s="363"/>
      <c r="L731" s="130"/>
      <c r="M731" s="130">
        <f>IF(IN[[#This Row],[Sim_]]=IN[[#This Row],[Sim Var ref]],1,0)</f>
        <v>1</v>
      </c>
      <c r="N731" s="8"/>
      <c r="O731" s="8"/>
      <c r="P731" s="280"/>
      <c r="Q731" s="137">
        <f>IF(IN[[#This Row],[Sim_]]=IN[[#This Row],[Direkt alt]],1,0)</f>
        <v>1</v>
      </c>
      <c r="R731" s="10" t="b">
        <v>1</v>
      </c>
      <c r="S731" s="10">
        <f>IF(IN[[#This Row],[Sim_]]=IN[[#This Row],[Buffer]],1,0)</f>
        <v>0</v>
      </c>
      <c r="T731" s="11"/>
      <c r="U731" s="145"/>
      <c r="V731" s="281"/>
      <c r="X731" t="b">
        <v>1</v>
      </c>
      <c r="Y731" s="11"/>
      <c r="Z731" s="177" t="b">
        <v>1</v>
      </c>
      <c r="AA731" s="130"/>
      <c r="AB731" s="130" t="b">
        <v>1</v>
      </c>
      <c r="AC731" s="199" t="b">
        <v>1</v>
      </c>
      <c r="AD731" t="b">
        <v>1</v>
      </c>
      <c r="AE731" t="b">
        <v>1</v>
      </c>
      <c r="AF731" t="b">
        <v>1</v>
      </c>
      <c r="AG731" t="b">
        <v>1</v>
      </c>
      <c r="AH731" t="b">
        <v>1</v>
      </c>
      <c r="AI731" t="b">
        <v>1</v>
      </c>
      <c r="AJ731" t="b">
        <v>1</v>
      </c>
    </row>
    <row r="732" spans="1:36" x14ac:dyDescent="0.25">
      <c r="A732" s="388" t="s">
        <v>155</v>
      </c>
      <c r="B732" s="15" t="s">
        <v>939</v>
      </c>
      <c r="C732" s="16" t="s">
        <v>824</v>
      </c>
      <c r="D732" s="16"/>
      <c r="E732" s="17" t="s">
        <v>262</v>
      </c>
      <c r="F732" s="18" t="s">
        <v>940</v>
      </c>
      <c r="G732" s="134" t="str">
        <f ca="1">_xlfn.FORMULATEXT(IN[[#This Row],[STAGE]])</f>
        <v>='[ka_PEQ_Nachweistool.xlsb]🔋'!B16</v>
      </c>
      <c r="H732" s="20">
        <v>2</v>
      </c>
      <c r="I732" s="104">
        <f>'[1]🔋'!B16</f>
        <v>0</v>
      </c>
      <c r="J732" s="135">
        <f>IF(IN[[#This Row],[Sim_]]=IN[[#This Row],[STAGE]],1,0)</f>
        <v>1</v>
      </c>
      <c r="K732" s="363"/>
      <c r="L732" s="130"/>
      <c r="M732" s="130">
        <f>IF(IN[[#This Row],[Sim_]]=IN[[#This Row],[Sim Var ref]],1,0)</f>
        <v>1</v>
      </c>
      <c r="N732" s="8"/>
      <c r="O732" s="8"/>
      <c r="P732" s="280"/>
      <c r="Q732" s="137">
        <f>IF(IN[[#This Row],[Sim_]]=IN[[#This Row],[Direkt alt]],1,0)</f>
        <v>1</v>
      </c>
      <c r="R732" s="10" t="b">
        <v>1</v>
      </c>
      <c r="S732" s="10">
        <f>IF(IN[[#This Row],[Sim_]]=IN[[#This Row],[Buffer]],1,0)</f>
        <v>0</v>
      </c>
      <c r="T732" s="11"/>
      <c r="U732" s="145"/>
      <c r="V732" s="281"/>
      <c r="X732" t="b">
        <v>1</v>
      </c>
      <c r="Y732" s="11"/>
      <c r="Z732" s="177" t="b">
        <v>1</v>
      </c>
      <c r="AA732" s="130"/>
      <c r="AB732" s="130" t="b">
        <v>1</v>
      </c>
      <c r="AC732" s="106" t="b">
        <v>1</v>
      </c>
      <c r="AD732" t="b">
        <v>1</v>
      </c>
      <c r="AE732" t="b">
        <v>1</v>
      </c>
      <c r="AF732" t="b">
        <v>1</v>
      </c>
      <c r="AG732" t="b">
        <v>1</v>
      </c>
      <c r="AH732" t="b">
        <v>1</v>
      </c>
      <c r="AI732" t="b">
        <v>1</v>
      </c>
      <c r="AJ732" t="b">
        <v>1</v>
      </c>
    </row>
    <row r="733" spans="1:36" x14ac:dyDescent="0.25">
      <c r="A733" s="359" t="s">
        <v>107</v>
      </c>
      <c r="B733" s="15" t="s">
        <v>941</v>
      </c>
      <c r="C733" s="16" t="s">
        <v>824</v>
      </c>
      <c r="D733" s="16"/>
      <c r="E733" s="17"/>
      <c r="F733" s="18"/>
      <c r="G733" s="134" t="str">
        <f ca="1">_xlfn.FORMULATEXT(IN[[#This Row],[STAGE]])</f>
        <v>='[ka_PEQ_Nachweistool.xlsb]🔋'!B41</v>
      </c>
      <c r="H733" s="20">
        <v>0</v>
      </c>
      <c r="I733" s="104">
        <f>'[1]🔋'!B41</f>
        <v>0</v>
      </c>
      <c r="J733" s="135">
        <f>IF(IN[[#This Row],[Sim_]]=IN[[#This Row],[STAGE]],1,0)</f>
        <v>1</v>
      </c>
      <c r="K733" s="363"/>
      <c r="L733" s="130"/>
      <c r="M733" s="130">
        <f>IF(IN[[#This Row],[Sim_]]=IN[[#This Row],[Sim Var ref]],1,0)</f>
        <v>1</v>
      </c>
      <c r="N733" s="8"/>
      <c r="O733" s="8"/>
      <c r="P733" s="280"/>
      <c r="Q733" s="137">
        <f>IF(IN[[#This Row],[Sim_]]=IN[[#This Row],[Direkt alt]],1,0)</f>
        <v>1</v>
      </c>
      <c r="R733" s="10" t="b">
        <v>0</v>
      </c>
      <c r="S733" s="10">
        <f>IF(IN[[#This Row],[Sim_]]=IN[[#This Row],[Buffer]],1,0)</f>
        <v>1</v>
      </c>
      <c r="T733" s="11"/>
      <c r="U733" s="145"/>
      <c r="V733" s="281"/>
      <c r="X733" t="b">
        <v>0</v>
      </c>
      <c r="Y733" s="11"/>
      <c r="Z733" s="177" t="b">
        <v>0</v>
      </c>
      <c r="AA733" s="130"/>
      <c r="AB733" s="130">
        <v>0</v>
      </c>
      <c r="AC733" s="106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</row>
    <row r="734" spans="1:36" x14ac:dyDescent="0.25">
      <c r="A734" s="63"/>
      <c r="B734" s="15" t="s">
        <v>942</v>
      </c>
      <c r="C734" s="16"/>
      <c r="D734" s="16"/>
      <c r="E734" s="17"/>
      <c r="F734" s="18"/>
      <c r="G734" s="134"/>
      <c r="H734" s="20"/>
      <c r="I734" s="104"/>
      <c r="J734" s="135">
        <f>IF(IN[[#This Row],[Sim_]]=IN[[#This Row],[STAGE]],1,0)</f>
        <v>1</v>
      </c>
      <c r="K734" s="363"/>
      <c r="L734" s="130"/>
      <c r="M734" s="130">
        <f>IF(IN[[#This Row],[Sim_]]=IN[[#This Row],[Sim Var ref]],1,0)</f>
        <v>1</v>
      </c>
      <c r="N734" s="8"/>
      <c r="O734" s="8"/>
      <c r="P734" s="280"/>
      <c r="Q734" s="137">
        <f>IF(IN[[#This Row],[Sim_]]=IN[[#This Row],[Direkt alt]],1,0)</f>
        <v>1</v>
      </c>
      <c r="R734" s="10"/>
      <c r="S734" s="10">
        <f>IF(IN[[#This Row],[Sim_]]=IN[[#This Row],[Buffer]],1,0)</f>
        <v>1</v>
      </c>
      <c r="T734" s="11"/>
      <c r="U734" s="145"/>
      <c r="V734" s="281"/>
      <c r="Y734" s="11"/>
      <c r="Z734" s="177"/>
      <c r="AA734" s="130"/>
      <c r="AB734" s="130">
        <v>0</v>
      </c>
      <c r="AC734" s="106">
        <v>0</v>
      </c>
    </row>
    <row r="735" spans="1:36" x14ac:dyDescent="0.25">
      <c r="A735" s="63"/>
      <c r="B735" s="15"/>
      <c r="C735" s="16"/>
      <c r="D735" s="16"/>
      <c r="E735" s="17"/>
      <c r="F735" s="18"/>
      <c r="G735" s="405"/>
      <c r="H735" s="20">
        <v>0</v>
      </c>
      <c r="I735" s="104">
        <f>IN[[#This Row],[Buffer]]</f>
        <v>0</v>
      </c>
      <c r="J735" s="135">
        <f>IF(IN[[#This Row],[Sim_]]=IN[[#This Row],[STAGE]],1,0)</f>
        <v>1</v>
      </c>
      <c r="K735" s="363"/>
      <c r="L735" s="130"/>
      <c r="M735" s="130">
        <f>IF(IN[[#This Row],[Sim_]]=IN[[#This Row],[Sim Var ref]],1,0)</f>
        <v>1</v>
      </c>
      <c r="N735" s="8"/>
      <c r="O735" s="8"/>
      <c r="P735" s="280"/>
      <c r="Q735" s="137">
        <f>IF(IN[[#This Row],[Sim_]]=IN[[#This Row],[Direkt alt]],1,0)</f>
        <v>1</v>
      </c>
      <c r="R735" s="10">
        <v>0</v>
      </c>
      <c r="S735" s="10">
        <f>IF(IN[[#This Row],[Sim_]]=IN[[#This Row],[Buffer]],1,0)</f>
        <v>1</v>
      </c>
      <c r="T735" s="11"/>
      <c r="U735" s="145"/>
      <c r="V735" s="281"/>
      <c r="X735">
        <v>0</v>
      </c>
      <c r="Y735" s="11"/>
      <c r="Z735" s="177">
        <v>0</v>
      </c>
      <c r="AA735" s="130"/>
      <c r="AB735" s="130">
        <v>0</v>
      </c>
      <c r="AC735" s="106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ht="26.25" x14ac:dyDescent="0.4">
      <c r="A736" s="406"/>
      <c r="B736" s="406"/>
      <c r="C736" s="407" t="e">
        <f>ROWS(#REF!)-1</f>
        <v>#REF!</v>
      </c>
      <c r="D736" s="407" t="s">
        <v>293</v>
      </c>
      <c r="E736" s="406"/>
      <c r="F736" s="408"/>
      <c r="G736" s="409"/>
      <c r="H736" s="410">
        <v>0</v>
      </c>
      <c r="I736" s="406"/>
      <c r="J736" s="406"/>
      <c r="K736" s="406"/>
      <c r="L736" s="406"/>
      <c r="M736" s="406"/>
      <c r="N736" s="406"/>
      <c r="O736" s="406"/>
      <c r="P736" s="406"/>
      <c r="Q736" s="406"/>
      <c r="R736" s="406"/>
      <c r="S736" s="406"/>
      <c r="T736" s="406"/>
      <c r="U736" s="406"/>
      <c r="V736" s="411"/>
      <c r="W736" s="411"/>
      <c r="X736" s="411"/>
      <c r="Y736" s="411"/>
      <c r="Z736" s="411"/>
      <c r="AA736" s="411"/>
      <c r="AB736" s="411"/>
      <c r="AC736" s="411"/>
    </row>
    <row r="737" spans="1:36" x14ac:dyDescent="0.25">
      <c r="A737" s="412" t="s">
        <v>162</v>
      </c>
      <c r="B737" s="15" t="s">
        <v>943</v>
      </c>
      <c r="C737" s="16" t="s">
        <v>824</v>
      </c>
      <c r="D737" s="16"/>
      <c r="E737" s="17" t="s">
        <v>285</v>
      </c>
      <c r="F737" s="18" t="s">
        <v>944</v>
      </c>
      <c r="G737" s="389" t="str">
        <f ca="1">_xlfn.FORMULATEXT(IN[[#This Row],[STAGE]])</f>
        <v>='[ka_PEQ_Nachweistool.xlsb]🚗'!B4</v>
      </c>
      <c r="H737" s="20">
        <v>2</v>
      </c>
      <c r="I737" s="104" t="str">
        <f>'[1]🚗'!B4</f>
        <v>❓</v>
      </c>
      <c r="J737" s="135">
        <f>IF(IN[[#This Row],[Sim_]]=IN[[#This Row],[STAGE]],1,0)</f>
        <v>0</v>
      </c>
      <c r="K737" s="210" t="b">
        <f>K145</f>
        <v>1</v>
      </c>
      <c r="L737" s="130"/>
      <c r="M737" s="130">
        <f>IF(IN[[#This Row],[Sim_]]=IN[[#This Row],[Sim Var ref]],1,0)</f>
        <v>0</v>
      </c>
      <c r="N737" s="8"/>
      <c r="O737" s="8">
        <v>548</v>
      </c>
      <c r="P737" s="277"/>
      <c r="Q737" s="137">
        <f>IF(IN[[#This Row],[Sim_]]=IN[[#This Row],[Direkt alt]],1,0)</f>
        <v>0</v>
      </c>
      <c r="R737" s="413" t="b">
        <v>1</v>
      </c>
      <c r="S737" s="10">
        <f>IF(IN[[#This Row],[Sim_]]=IN[[#This Row],[Buffer]],1,0)</f>
        <v>1</v>
      </c>
      <c r="T737" s="130"/>
      <c r="U737" s="145"/>
      <c r="V737" s="281"/>
      <c r="X737" t="b">
        <v>1</v>
      </c>
      <c r="Y737" s="105"/>
      <c r="Z737" s="177" t="b">
        <v>1</v>
      </c>
      <c r="AA737" s="130"/>
      <c r="AB737" s="130" t="b">
        <v>1</v>
      </c>
      <c r="AC737" s="106" t="b">
        <v>1</v>
      </c>
      <c r="AD737" t="b">
        <v>1</v>
      </c>
      <c r="AE737" t="b">
        <v>1</v>
      </c>
      <c r="AF737" t="b">
        <v>1</v>
      </c>
      <c r="AG737" t="b">
        <v>1</v>
      </c>
      <c r="AH737" t="b">
        <v>0</v>
      </c>
      <c r="AI737" t="b">
        <v>1</v>
      </c>
      <c r="AJ737" t="b">
        <v>1</v>
      </c>
    </row>
    <row r="738" spans="1:36" x14ac:dyDescent="0.25">
      <c r="A738" s="412" t="s">
        <v>162</v>
      </c>
      <c r="B738" t="s">
        <v>945</v>
      </c>
      <c r="C738" s="16" t="s">
        <v>946</v>
      </c>
      <c r="D738" s="16"/>
      <c r="E738" s="17"/>
      <c r="F738" s="18" t="s">
        <v>947</v>
      </c>
      <c r="G738" s="134" t="str">
        <f ca="1">_xlfn.FORMULATEXT(IN[[#This Row],[STAGE]])</f>
        <v>=SVERWEIS(I206;gemeinden;3;FALSCH)</v>
      </c>
      <c r="H738" s="20">
        <v>0</v>
      </c>
      <c r="I738" s="104" t="e">
        <f>VLOOKUP(I206,gemeinden,3,FALSE)</f>
        <v>#N/A</v>
      </c>
      <c r="J738" s="135" t="e">
        <f>IF(IN[[#This Row],[Sim_]]=IN[[#This Row],[STAGE]],1,0)</f>
        <v>#N/A</v>
      </c>
      <c r="K738" s="159"/>
      <c r="L738" s="130"/>
      <c r="M738" s="130">
        <f>IF(IN[[#This Row],[Sim_]]=IN[[#This Row],[Sim Var ref]],1,0)</f>
        <v>1</v>
      </c>
      <c r="N738" s="8"/>
      <c r="O738" s="8">
        <v>549</v>
      </c>
      <c r="P738" s="277"/>
      <c r="Q738" s="137">
        <f>IF(IN[[#This Row],[Sim_]]=IN[[#This Row],[Direkt alt]],1,0)</f>
        <v>1</v>
      </c>
      <c r="R738" s="413">
        <v>91</v>
      </c>
      <c r="S738" s="10">
        <f>IF(IN[[#This Row],[Sim_]]=IN[[#This Row],[Buffer]],1,0)</f>
        <v>0</v>
      </c>
      <c r="T738" s="130"/>
      <c r="U738" s="145"/>
      <c r="V738" s="281"/>
      <c r="X738">
        <v>93</v>
      </c>
      <c r="Y738" s="105"/>
      <c r="Z738" s="177">
        <v>93</v>
      </c>
      <c r="AA738" s="130"/>
      <c r="AB738" s="130">
        <v>93</v>
      </c>
      <c r="AC738" s="106">
        <v>93</v>
      </c>
      <c r="AD738">
        <v>93</v>
      </c>
      <c r="AE738">
        <v>93</v>
      </c>
      <c r="AF738">
        <v>91</v>
      </c>
      <c r="AG738">
        <v>91</v>
      </c>
      <c r="AH738">
        <v>91</v>
      </c>
      <c r="AI738">
        <v>93</v>
      </c>
      <c r="AJ738">
        <v>93</v>
      </c>
    </row>
    <row r="739" spans="1:36" x14ac:dyDescent="0.25">
      <c r="A739" s="412" t="s">
        <v>162</v>
      </c>
      <c r="B739" t="s">
        <v>948</v>
      </c>
      <c r="C739" s="401" t="s">
        <v>922</v>
      </c>
      <c r="D739" s="16"/>
      <c r="E739" s="17" t="s">
        <v>78</v>
      </c>
      <c r="F739" s="18" t="s">
        <v>949</v>
      </c>
      <c r="G739" s="134" t="str">
        <f ca="1">_xlfn.FORMULATEXT(IN[[#This Row],[STAGE]])</f>
        <v>=SVERWEIS(mobility_region; ka_PEQ_Nachweistool.xlsb!Regionstypen[#Daten]; 2;FALSCH)</v>
      </c>
      <c r="H739" s="20">
        <v>0</v>
      </c>
      <c r="I739" s="183" t="e">
        <f>VLOOKUP(mobility_region, [1]!Regionstypen[#Data], 2,FALSE)</f>
        <v>#N/A</v>
      </c>
      <c r="J739" s="135" t="e">
        <f>IF(IN[[#This Row],[Sim_]]=IN[[#This Row],[STAGE]],1,0)</f>
        <v>#N/A</v>
      </c>
      <c r="K739" s="159"/>
      <c r="L739" s="130"/>
      <c r="M739" s="130">
        <f>IF(IN[[#This Row],[Sim_]]=IN[[#This Row],[Sim Var ref]],1,0)</f>
        <v>1</v>
      </c>
      <c r="N739" s="8"/>
      <c r="O739" s="8">
        <v>550</v>
      </c>
      <c r="P739" s="277"/>
      <c r="Q739" s="137">
        <f>IF(IN[[#This Row],[Sim_]]=IN[[#This Row],[Direkt alt]],1,0)</f>
        <v>1</v>
      </c>
      <c r="R739" s="413">
        <v>0.52</v>
      </c>
      <c r="S739" s="10">
        <f>IF(IN[[#This Row],[Sim_]]=IN[[#This Row],[Buffer]],1,0)</f>
        <v>0</v>
      </c>
      <c r="T739" s="130"/>
      <c r="U739" s="145"/>
      <c r="V739" s="281"/>
      <c r="X739">
        <v>0.5</v>
      </c>
      <c r="Y739" s="105"/>
      <c r="Z739" s="177">
        <v>0.5</v>
      </c>
      <c r="AA739" s="130"/>
      <c r="AB739" s="130">
        <v>0.5</v>
      </c>
      <c r="AC739" s="184">
        <v>0.5</v>
      </c>
      <c r="AD739">
        <v>0.5</v>
      </c>
      <c r="AE739">
        <v>0.5</v>
      </c>
      <c r="AF739">
        <v>0.52</v>
      </c>
      <c r="AG739">
        <v>0.52</v>
      </c>
      <c r="AH739">
        <v>0.52</v>
      </c>
      <c r="AI739">
        <v>0.5</v>
      </c>
      <c r="AJ739">
        <v>0.5</v>
      </c>
    </row>
    <row r="740" spans="1:36" x14ac:dyDescent="0.25">
      <c r="A740" s="412" t="s">
        <v>162</v>
      </c>
      <c r="B740" t="s">
        <v>950</v>
      </c>
      <c r="C740" s="401" t="s">
        <v>922</v>
      </c>
      <c r="D740" s="16"/>
      <c r="E740" s="17" t="s">
        <v>78</v>
      </c>
      <c r="F740" s="18" t="s">
        <v>951</v>
      </c>
      <c r="G740" s="134" t="str">
        <f ca="1">_xlfn.FORMULATEXT(IN[[#This Row],[STAGE]])</f>
        <v>=SVERWEIS(mobility_region; ka_PEQ_Nachweistool.xlsb!Regionstypen[#Daten]; 3;FALSCH)</v>
      </c>
      <c r="H740" s="20">
        <v>0</v>
      </c>
      <c r="I740" s="183" t="e">
        <f>VLOOKUP(mobility_region, [1]!Regionstypen[#Data], 3,FALSE)</f>
        <v>#N/A</v>
      </c>
      <c r="J740" s="135" t="e">
        <f>IF(IN[[#This Row],[Sim_]]=IN[[#This Row],[STAGE]],1,0)</f>
        <v>#N/A</v>
      </c>
      <c r="K740" s="159"/>
      <c r="L740" s="130"/>
      <c r="M740" s="130">
        <f>IF(IN[[#This Row],[Sim_]]=IN[[#This Row],[Sim Var ref]],1,0)</f>
        <v>1</v>
      </c>
      <c r="N740" s="8"/>
      <c r="O740" s="8">
        <v>551</v>
      </c>
      <c r="P740" s="277"/>
      <c r="Q740" s="137">
        <f>IF(IN[[#This Row],[Sim_]]=IN[[#This Row],[Direkt alt]],1,0)</f>
        <v>1</v>
      </c>
      <c r="R740" s="413">
        <v>0.21</v>
      </c>
      <c r="S740" s="10">
        <f>IF(IN[[#This Row],[Sim_]]=IN[[#This Row],[Buffer]],1,0)</f>
        <v>0</v>
      </c>
      <c r="T740" s="130"/>
      <c r="U740" s="145"/>
      <c r="V740" s="281"/>
      <c r="X740">
        <v>0.17</v>
      </c>
      <c r="Y740" s="105"/>
      <c r="Z740" s="177">
        <v>0.17</v>
      </c>
      <c r="AA740" s="130"/>
      <c r="AB740" s="130">
        <v>0.17</v>
      </c>
      <c r="AC740" s="184">
        <v>0.17</v>
      </c>
      <c r="AD740">
        <v>0.17</v>
      </c>
      <c r="AE740">
        <v>0.17</v>
      </c>
      <c r="AF740">
        <v>0.21</v>
      </c>
      <c r="AG740">
        <v>0.21</v>
      </c>
      <c r="AH740">
        <v>0.21</v>
      </c>
      <c r="AI740">
        <v>0.17</v>
      </c>
      <c r="AJ740">
        <v>0.17</v>
      </c>
    </row>
    <row r="741" spans="1:36" x14ac:dyDescent="0.25">
      <c r="A741" s="412" t="s">
        <v>162</v>
      </c>
      <c r="B741" t="s">
        <v>952</v>
      </c>
      <c r="C741" s="401" t="s">
        <v>922</v>
      </c>
      <c r="D741" s="16"/>
      <c r="E741" s="17" t="s">
        <v>78</v>
      </c>
      <c r="F741" s="18" t="s">
        <v>953</v>
      </c>
      <c r="G741" s="134" t="str">
        <f ca="1">_xlfn.FORMULATEXT(IN[[#This Row],[STAGE]])</f>
        <v>=SVERWEIS(mobility_region; ka_PEQ_Nachweistool.xlsb!Regionstypen[#Daten]; 4;FALSCH)</v>
      </c>
      <c r="H741" s="20">
        <v>0</v>
      </c>
      <c r="I741" s="183" t="e">
        <f>VLOOKUP(mobility_region, [1]!Regionstypen[#Data], 4,FALSE)</f>
        <v>#N/A</v>
      </c>
      <c r="J741" s="135" t="e">
        <f>IF(IN[[#This Row],[Sim_]]=IN[[#This Row],[STAGE]],1,0)</f>
        <v>#N/A</v>
      </c>
      <c r="K741" s="159"/>
      <c r="L741" s="130"/>
      <c r="M741" s="130">
        <f>IF(IN[[#This Row],[Sim_]]=IN[[#This Row],[Sim Var ref]],1,0)</f>
        <v>1</v>
      </c>
      <c r="N741" s="8"/>
      <c r="O741" s="8">
        <v>552</v>
      </c>
      <c r="P741" s="277"/>
      <c r="Q741" s="137">
        <f>IF(IN[[#This Row],[Sim_]]=IN[[#This Row],[Direkt alt]],1,0)</f>
        <v>1</v>
      </c>
      <c r="R741" s="413">
        <v>0.02</v>
      </c>
      <c r="S741" s="10">
        <f>IF(IN[[#This Row],[Sim_]]=IN[[#This Row],[Buffer]],1,0)</f>
        <v>0</v>
      </c>
      <c r="T741" s="130"/>
      <c r="U741" s="145"/>
      <c r="V741" s="281"/>
      <c r="X741">
        <v>0.03</v>
      </c>
      <c r="Y741" s="105"/>
      <c r="Z741" s="177">
        <v>0.03</v>
      </c>
      <c r="AA741" s="130"/>
      <c r="AB741" s="130">
        <v>0.03</v>
      </c>
      <c r="AC741" s="184">
        <v>0.03</v>
      </c>
      <c r="AD741">
        <v>0.03</v>
      </c>
      <c r="AE741">
        <v>0.03</v>
      </c>
      <c r="AF741">
        <v>0.02</v>
      </c>
      <c r="AG741">
        <v>0.02</v>
      </c>
      <c r="AH741">
        <v>0.02</v>
      </c>
      <c r="AI741">
        <v>0.03</v>
      </c>
      <c r="AJ741">
        <v>0.03</v>
      </c>
    </row>
    <row r="742" spans="1:36" x14ac:dyDescent="0.25">
      <c r="A742" s="412" t="s">
        <v>162</v>
      </c>
      <c r="B742" t="s">
        <v>954</v>
      </c>
      <c r="C742" s="401" t="s">
        <v>922</v>
      </c>
      <c r="D742" s="16"/>
      <c r="E742" s="17" t="s">
        <v>78</v>
      </c>
      <c r="F742" s="18" t="s">
        <v>955</v>
      </c>
      <c r="G742" s="134" t="str">
        <f ca="1">_xlfn.FORMULATEXT(IN[[#This Row],[STAGE]])</f>
        <v>=SVERWEIS(mobility_region; ka_PEQ_Nachweistool.xlsb!Regionstypen[#Daten]; 5;FALSCH)</v>
      </c>
      <c r="H742" s="20">
        <v>0</v>
      </c>
      <c r="I742" s="183" t="e">
        <f>VLOOKUP(mobility_region, [1]!Regionstypen[#Data], 5,FALSE)</f>
        <v>#N/A</v>
      </c>
      <c r="J742" s="135" t="e">
        <f>IF(IN[[#This Row],[Sim_]]=IN[[#This Row],[STAGE]],1,0)</f>
        <v>#N/A</v>
      </c>
      <c r="K742" s="159"/>
      <c r="L742" s="130"/>
      <c r="M742" s="130">
        <f>IF(IN[[#This Row],[Sim_]]=IN[[#This Row],[Sim Var ref]],1,0)</f>
        <v>1</v>
      </c>
      <c r="N742" s="8"/>
      <c r="O742" s="8">
        <v>553</v>
      </c>
      <c r="P742" s="277"/>
      <c r="Q742" s="137">
        <f>IF(IN[[#This Row],[Sim_]]=IN[[#This Row],[Direkt alt]],1,0)</f>
        <v>1</v>
      </c>
      <c r="R742" s="413">
        <v>0.25</v>
      </c>
      <c r="S742" s="10">
        <f>IF(IN[[#This Row],[Sim_]]=IN[[#This Row],[Buffer]],1,0)</f>
        <v>0</v>
      </c>
      <c r="T742" s="130"/>
      <c r="U742" s="145"/>
      <c r="V742" s="281"/>
      <c r="X742">
        <v>0.28999999999999998</v>
      </c>
      <c r="Y742" s="105"/>
      <c r="Z742" s="177">
        <v>0.28999999999999998</v>
      </c>
      <c r="AA742" s="130"/>
      <c r="AB742" s="130">
        <v>0.28999999999999998</v>
      </c>
      <c r="AC742" s="184">
        <v>0.28999999999999998</v>
      </c>
      <c r="AD742">
        <v>0.28999999999999998</v>
      </c>
      <c r="AE742">
        <v>0.28999999999999998</v>
      </c>
      <c r="AF742">
        <v>0.25</v>
      </c>
      <c r="AG742">
        <v>0.25</v>
      </c>
      <c r="AH742">
        <v>0.25</v>
      </c>
      <c r="AI742">
        <v>0.28999999999999998</v>
      </c>
      <c r="AJ742">
        <v>0.28999999999999998</v>
      </c>
    </row>
    <row r="743" spans="1:36" x14ac:dyDescent="0.25">
      <c r="A743" s="412" t="s">
        <v>162</v>
      </c>
      <c r="B743" s="414" t="s">
        <v>956</v>
      </c>
      <c r="C743" s="401" t="s">
        <v>957</v>
      </c>
      <c r="D743" s="16"/>
      <c r="E743" s="17" t="s">
        <v>78</v>
      </c>
      <c r="F743" s="18" t="s">
        <v>958</v>
      </c>
      <c r="G743" s="134" t="str">
        <f ca="1">_xlfn.FORMULATEXT(IN[[#This Row],[STAGE]])</f>
        <v>=SVERWEIS(mobility_region; ka_PEQ_Nachweistool.xlsb!Regionstypen[#Daten]; 6;FALSCH)</v>
      </c>
      <c r="H743" s="20">
        <v>0</v>
      </c>
      <c r="I743" s="415" t="e">
        <f>VLOOKUP(mobility_region, [1]!Regionstypen[#Data], 6,FALSE)</f>
        <v>#N/A</v>
      </c>
      <c r="J743" s="135" t="e">
        <f>IF(IN[[#This Row],[Sim_]]=IN[[#This Row],[STAGE]],1,0)</f>
        <v>#N/A</v>
      </c>
      <c r="K743" s="159"/>
      <c r="L743" s="130"/>
      <c r="M743" s="130">
        <f>IF(IN[[#This Row],[Sim_]]=IN[[#This Row],[Sim Var ref]],1,0)</f>
        <v>1</v>
      </c>
      <c r="N743" s="8"/>
      <c r="O743" s="8"/>
      <c r="P743" s="277"/>
      <c r="Q743" s="137">
        <f>IF(IN[[#This Row],[Sim_]]=IN[[#This Row],[Direkt alt]],1,0)</f>
        <v>1</v>
      </c>
      <c r="R743" s="413">
        <v>363</v>
      </c>
      <c r="S743" s="10">
        <f>IF(IN[[#This Row],[Sim_]]=IN[[#This Row],[Buffer]],1,0)</f>
        <v>0</v>
      </c>
      <c r="T743" s="130"/>
      <c r="U743" s="145"/>
      <c r="V743" s="281"/>
      <c r="X743">
        <v>235</v>
      </c>
      <c r="Y743" s="105"/>
      <c r="Z743" s="177">
        <v>235</v>
      </c>
      <c r="AA743" s="130"/>
      <c r="AB743" s="130">
        <v>235</v>
      </c>
      <c r="AC743" s="416">
        <v>235</v>
      </c>
      <c r="AD743">
        <v>235</v>
      </c>
      <c r="AE743">
        <v>235</v>
      </c>
      <c r="AF743">
        <v>363</v>
      </c>
      <c r="AG743">
        <v>363</v>
      </c>
      <c r="AH743">
        <v>363</v>
      </c>
      <c r="AI743">
        <v>235</v>
      </c>
      <c r="AJ743">
        <v>235</v>
      </c>
    </row>
    <row r="744" spans="1:36" ht="30" x14ac:dyDescent="0.25">
      <c r="A744" s="412" t="s">
        <v>162</v>
      </c>
      <c r="B744" s="417" t="s">
        <v>959</v>
      </c>
      <c r="C744" s="401" t="s">
        <v>957</v>
      </c>
      <c r="D744" s="16"/>
      <c r="E744" s="17" t="s">
        <v>78</v>
      </c>
      <c r="F744" s="18" t="s">
        <v>960</v>
      </c>
      <c r="G744" s="134" t="str">
        <f ca="1">_xlfn.FORMULATEXT(IN[[#This Row],[STAGE]])</f>
        <v>=SVERWEIS(mobility_region; ka_PEQ_Nachweistool.xlsb!Regionstypen[#Daten]; 7;FALSCH)</v>
      </c>
      <c r="H744" s="20">
        <v>0</v>
      </c>
      <c r="I744" s="415" t="e">
        <f>VLOOKUP(mobility_region, [1]!Regionstypen[#Data], 7,FALSE)</f>
        <v>#N/A</v>
      </c>
      <c r="J744" s="135" t="e">
        <f>IF(IN[[#This Row],[Sim_]]=IN[[#This Row],[STAGE]],1,0)</f>
        <v>#N/A</v>
      </c>
      <c r="K744" s="159"/>
      <c r="L744" s="130"/>
      <c r="M744" s="130">
        <f>IF(IN[[#This Row],[Sim_]]=IN[[#This Row],[Sim Var ref]],1,0)</f>
        <v>1</v>
      </c>
      <c r="N744" s="8"/>
      <c r="O744" s="8"/>
      <c r="P744" s="277"/>
      <c r="Q744" s="137">
        <f>IF(IN[[#This Row],[Sim_]]=IN[[#This Row],[Direkt alt]],1,0)</f>
        <v>1</v>
      </c>
      <c r="R744" s="413">
        <v>257</v>
      </c>
      <c r="S744" s="10">
        <f>IF(IN[[#This Row],[Sim_]]=IN[[#This Row],[Buffer]],1,0)</f>
        <v>0</v>
      </c>
      <c r="T744" s="130"/>
      <c r="U744" s="145"/>
      <c r="V744" s="281"/>
      <c r="X744">
        <v>116</v>
      </c>
      <c r="Y744" s="105"/>
      <c r="Z744" s="177">
        <v>116</v>
      </c>
      <c r="AA744" s="130"/>
      <c r="AB744" s="130">
        <v>116</v>
      </c>
      <c r="AC744" s="416">
        <v>116</v>
      </c>
      <c r="AD744">
        <v>116</v>
      </c>
      <c r="AE744">
        <v>116</v>
      </c>
      <c r="AF744">
        <v>257</v>
      </c>
      <c r="AG744">
        <v>257</v>
      </c>
      <c r="AH744">
        <v>257</v>
      </c>
      <c r="AI744">
        <v>116</v>
      </c>
      <c r="AJ744">
        <v>116</v>
      </c>
    </row>
    <row r="745" spans="1:36" x14ac:dyDescent="0.25">
      <c r="A745" s="412" t="s">
        <v>162</v>
      </c>
      <c r="B745" s="417" t="s">
        <v>961</v>
      </c>
      <c r="C745" s="401" t="s">
        <v>957</v>
      </c>
      <c r="D745" s="16"/>
      <c r="E745" s="17" t="s">
        <v>78</v>
      </c>
      <c r="F745" s="18" t="s">
        <v>962</v>
      </c>
      <c r="G745" s="134" t="str">
        <f ca="1">_xlfn.FORMULATEXT(IN[[#This Row],[STAGE]])</f>
        <v>=mob_pkm_factor*SVERWEIS(mobility_region; ka_PEQ_Nachweistool.xlsb!Regionstypen[#Daten]; 8;FALSCH)</v>
      </c>
      <c r="H745" s="20">
        <v>0</v>
      </c>
      <c r="I745" s="415" t="e">
        <f>mob_pkm_factor*VLOOKUP(mobility_region, [1]!Regionstypen[#Data], 8,FALSE)</f>
        <v>#N/A</v>
      </c>
      <c r="J745" s="135" t="e">
        <f>IF(IN[[#This Row],[Sim_]]=IN[[#This Row],[STAGE]],1,0)</f>
        <v>#N/A</v>
      </c>
      <c r="K745" s="159"/>
      <c r="L745" s="130"/>
      <c r="M745" s="130">
        <f>IF(IN[[#This Row],[Sim_]]=IN[[#This Row],[Sim Var ref]],1,0)</f>
        <v>1</v>
      </c>
      <c r="N745" s="8"/>
      <c r="O745" s="8"/>
      <c r="P745" s="277"/>
      <c r="Q745" s="137">
        <f>IF(IN[[#This Row],[Sim_]]=IN[[#This Row],[Direkt alt]],1,0)</f>
        <v>1</v>
      </c>
      <c r="R745" s="413">
        <v>78</v>
      </c>
      <c r="S745" s="10">
        <f>IF(IN[[#This Row],[Sim_]]=IN[[#This Row],[Buffer]],1,0)</f>
        <v>0</v>
      </c>
      <c r="T745" s="130"/>
      <c r="U745" s="145"/>
      <c r="V745" s="281"/>
      <c r="X745">
        <v>146</v>
      </c>
      <c r="Y745" s="105"/>
      <c r="Z745" s="177">
        <v>146</v>
      </c>
      <c r="AA745" s="130"/>
      <c r="AB745" s="130">
        <v>146</v>
      </c>
      <c r="AC745" s="416">
        <v>146</v>
      </c>
      <c r="AD745">
        <v>146</v>
      </c>
      <c r="AE745">
        <v>146</v>
      </c>
      <c r="AF745">
        <v>78</v>
      </c>
      <c r="AG745">
        <v>78</v>
      </c>
      <c r="AH745">
        <v>78</v>
      </c>
      <c r="AI745">
        <v>146</v>
      </c>
      <c r="AJ745">
        <v>146</v>
      </c>
    </row>
    <row r="746" spans="1:36" ht="30" x14ac:dyDescent="0.25">
      <c r="A746" s="412" t="s">
        <v>162</v>
      </c>
      <c r="B746" s="417" t="s">
        <v>963</v>
      </c>
      <c r="C746" s="401" t="s">
        <v>957</v>
      </c>
      <c r="D746" s="16"/>
      <c r="E746" s="17" t="s">
        <v>78</v>
      </c>
      <c r="F746" s="18" t="s">
        <v>964</v>
      </c>
      <c r="G746" s="134" t="str">
        <f ca="1">_xlfn.FORMULATEXT(IN[[#This Row],[STAGE]])</f>
        <v>=mob_pkm_factor*SVERWEIS(mobility_region; ka_PEQ_Nachweistool.xlsb!Regionstypen[#Daten]; 9;FALSCH)</v>
      </c>
      <c r="H746" s="20">
        <v>0</v>
      </c>
      <c r="I746" s="415" t="e">
        <f>mob_pkm_factor*VLOOKUP(mobility_region, [1]!Regionstypen[#Data], 9,FALSE)</f>
        <v>#N/A</v>
      </c>
      <c r="J746" s="135" t="e">
        <f>IF(IN[[#This Row],[Sim_]]=IN[[#This Row],[STAGE]],1,0)</f>
        <v>#N/A</v>
      </c>
      <c r="K746" s="159"/>
      <c r="L746" s="130"/>
      <c r="M746" s="130">
        <f>IF(IN[[#This Row],[Sim_]]=IN[[#This Row],[Sim Var ref]],1,0)</f>
        <v>1</v>
      </c>
      <c r="N746" s="8"/>
      <c r="O746" s="8"/>
      <c r="P746" s="277"/>
      <c r="Q746" s="137">
        <f>IF(IN[[#This Row],[Sim_]]=IN[[#This Row],[Direkt alt]],1,0)</f>
        <v>1</v>
      </c>
      <c r="R746" s="413">
        <v>4062</v>
      </c>
      <c r="S746" s="10">
        <f>IF(IN[[#This Row],[Sim_]]=IN[[#This Row],[Buffer]],1,0)</f>
        <v>0</v>
      </c>
      <c r="T746" s="130"/>
      <c r="U746" s="145"/>
      <c r="V746" s="281"/>
      <c r="X746">
        <v>4291</v>
      </c>
      <c r="Y746" s="105"/>
      <c r="Z746" s="177">
        <v>4291</v>
      </c>
      <c r="AA746" s="130"/>
      <c r="AB746" s="130">
        <v>4291</v>
      </c>
      <c r="AC746" s="416">
        <v>4291</v>
      </c>
      <c r="AD746">
        <v>4291</v>
      </c>
      <c r="AE746">
        <v>4291</v>
      </c>
      <c r="AF746">
        <v>4062</v>
      </c>
      <c r="AG746">
        <v>4062</v>
      </c>
      <c r="AH746">
        <v>4062</v>
      </c>
      <c r="AI746">
        <v>4291</v>
      </c>
      <c r="AJ746">
        <v>4291</v>
      </c>
    </row>
    <row r="747" spans="1:36" ht="30" x14ac:dyDescent="0.25">
      <c r="A747" s="412" t="s">
        <v>162</v>
      </c>
      <c r="B747" s="417" t="s">
        <v>965</v>
      </c>
      <c r="C747" s="401" t="s">
        <v>957</v>
      </c>
      <c r="D747" s="16"/>
      <c r="E747" s="17" t="s">
        <v>78</v>
      </c>
      <c r="F747" s="18" t="s">
        <v>966</v>
      </c>
      <c r="G747" s="134" t="str">
        <f ca="1">_xlfn.FORMULATEXT(IN[[#This Row],[STAGE]])</f>
        <v>=SVERWEIS(mobility_region; ka_PEQ_Nachweistool.xlsb!Regionstypen[#Daten]; 10;FALSCH)</v>
      </c>
      <c r="H747" s="20">
        <v>0</v>
      </c>
      <c r="I747" s="415" t="e">
        <f>VLOOKUP(mobility_region, [1]!Regionstypen[#Data], 10,FALSE)</f>
        <v>#N/A</v>
      </c>
      <c r="J747" s="135" t="e">
        <f>IF(IN[[#This Row],[Sim_]]=IN[[#This Row],[STAGE]],1,0)</f>
        <v>#N/A</v>
      </c>
      <c r="K747" s="159"/>
      <c r="L747" s="130"/>
      <c r="M747" s="130">
        <f>IF(IN[[#This Row],[Sim_]]=IN[[#This Row],[Sim Var ref]],1,0)</f>
        <v>1</v>
      </c>
      <c r="N747" s="8"/>
      <c r="O747" s="8">
        <v>554</v>
      </c>
      <c r="P747" s="277"/>
      <c r="Q747" s="137">
        <f>IF(IN[[#This Row],[Sim_]]=IN[[#This Row],[Direkt alt]],1,0)</f>
        <v>1</v>
      </c>
      <c r="R747" s="413">
        <v>1855</v>
      </c>
      <c r="S747" s="10">
        <f>IF(IN[[#This Row],[Sim_]]=IN[[#This Row],[Buffer]],1,0)</f>
        <v>0</v>
      </c>
      <c r="T747" s="130"/>
      <c r="U747" s="145"/>
      <c r="V747" s="281"/>
      <c r="X747">
        <v>2035</v>
      </c>
      <c r="Y747" s="105"/>
      <c r="Z747" s="177">
        <v>2035</v>
      </c>
      <c r="AA747" s="130"/>
      <c r="AB747" s="130">
        <v>2035</v>
      </c>
      <c r="AC747" s="416">
        <v>2035</v>
      </c>
      <c r="AD747">
        <v>2035</v>
      </c>
      <c r="AE747">
        <v>2035</v>
      </c>
      <c r="AF747">
        <v>1855</v>
      </c>
      <c r="AG747">
        <v>1855</v>
      </c>
      <c r="AH747">
        <v>1855</v>
      </c>
      <c r="AI747">
        <v>2035</v>
      </c>
      <c r="AJ747">
        <v>2035</v>
      </c>
    </row>
    <row r="748" spans="1:36" ht="45" x14ac:dyDescent="0.25">
      <c r="A748" s="412" t="s">
        <v>162</v>
      </c>
      <c r="B748" s="417" t="s">
        <v>967</v>
      </c>
      <c r="C748" s="401" t="s">
        <v>957</v>
      </c>
      <c r="D748" s="16"/>
      <c r="E748" s="17" t="s">
        <v>78</v>
      </c>
      <c r="F748" s="18" t="s">
        <v>968</v>
      </c>
      <c r="G748" s="134" t="str">
        <f ca="1">_xlfn.FORMULATEXT(IN[[#This Row],[STAGE]])</f>
        <v>=SVERWEIS(mobility_region; ka_PEQ_Nachweistool.xlsb!Regionstypen[#Daten]; 11;FALSCH)</v>
      </c>
      <c r="H748" s="20">
        <v>0</v>
      </c>
      <c r="I748" s="415" t="e">
        <f>VLOOKUP(mobility_region, [1]!Regionstypen[#Data], 11,FALSE)</f>
        <v>#N/A</v>
      </c>
      <c r="J748" s="135" t="e">
        <f>IF(IN[[#This Row],[Sim_]]=IN[[#This Row],[STAGE]],1,0)</f>
        <v>#N/A</v>
      </c>
      <c r="K748" s="159"/>
      <c r="L748" s="130"/>
      <c r="M748" s="130">
        <f>IF(IN[[#This Row],[Sim_]]=IN[[#This Row],[Sim Var ref]],1,0)</f>
        <v>1</v>
      </c>
      <c r="N748" s="8"/>
      <c r="O748" s="8">
        <v>555</v>
      </c>
      <c r="P748" s="277"/>
      <c r="Q748" s="137">
        <f>IF(IN[[#This Row],[Sim_]]=IN[[#This Row],[Direkt alt]],1,0)</f>
        <v>1</v>
      </c>
      <c r="R748" s="413">
        <v>337</v>
      </c>
      <c r="S748" s="10">
        <f>IF(IN[[#This Row],[Sim_]]=IN[[#This Row],[Buffer]],1,0)</f>
        <v>0</v>
      </c>
      <c r="T748" s="130"/>
      <c r="U748" s="145"/>
      <c r="V748" s="281"/>
      <c r="X748">
        <v>165</v>
      </c>
      <c r="Y748" s="105"/>
      <c r="Z748" s="177">
        <v>165</v>
      </c>
      <c r="AA748" s="130"/>
      <c r="AB748" s="130">
        <v>165</v>
      </c>
      <c r="AC748" s="416">
        <v>165</v>
      </c>
      <c r="AD748">
        <v>165</v>
      </c>
      <c r="AE748">
        <v>165</v>
      </c>
      <c r="AF748">
        <v>337</v>
      </c>
      <c r="AG748">
        <v>337</v>
      </c>
      <c r="AH748">
        <v>337</v>
      </c>
      <c r="AI748">
        <v>165</v>
      </c>
      <c r="AJ748">
        <v>165</v>
      </c>
    </row>
    <row r="749" spans="1:36" ht="45" x14ac:dyDescent="0.25">
      <c r="A749" s="412" t="s">
        <v>162</v>
      </c>
      <c r="B749" s="417" t="s">
        <v>969</v>
      </c>
      <c r="C749" s="401" t="s">
        <v>957</v>
      </c>
      <c r="D749" s="16"/>
      <c r="E749" s="17" t="s">
        <v>78</v>
      </c>
      <c r="F749" s="18" t="s">
        <v>970</v>
      </c>
      <c r="G749" s="134" t="str">
        <f ca="1">_xlfn.FORMULATEXT(IN[[#This Row],[STAGE]])</f>
        <v>=SVERWEIS(mobility_region; ka_PEQ_Nachweistool.xlsb!Regionstypen[#Daten]; 12;FALSCH)</v>
      </c>
      <c r="H749" s="20">
        <v>0</v>
      </c>
      <c r="I749" s="415" t="e">
        <f>VLOOKUP(mobility_region, [1]!Regionstypen[#Data], 12,FALSE)</f>
        <v>#N/A</v>
      </c>
      <c r="J749" s="135" t="e">
        <f>IF(IN[[#This Row],[Sim_]]=IN[[#This Row],[STAGE]],1,0)</f>
        <v>#N/A</v>
      </c>
      <c r="K749" s="159"/>
      <c r="L749" s="130"/>
      <c r="M749" s="130">
        <f>IF(IN[[#This Row],[Sim_]]=IN[[#This Row],[Sim Var ref]],1,0)</f>
        <v>1</v>
      </c>
      <c r="N749" s="8"/>
      <c r="O749" s="8">
        <v>556</v>
      </c>
      <c r="P749" s="277"/>
      <c r="Q749" s="137">
        <f>IF(IN[[#This Row],[Sim_]]=IN[[#This Row],[Direkt alt]],1,0)</f>
        <v>1</v>
      </c>
      <c r="R749" s="413">
        <v>1808</v>
      </c>
      <c r="S749" s="10">
        <f>IF(IN[[#This Row],[Sim_]]=IN[[#This Row],[Buffer]],1,0)</f>
        <v>0</v>
      </c>
      <c r="T749" s="130"/>
      <c r="U749" s="145"/>
      <c r="V749" s="281"/>
      <c r="X749">
        <v>1978</v>
      </c>
      <c r="Y749" s="105"/>
      <c r="Z749" s="177">
        <v>1978</v>
      </c>
      <c r="AA749" s="130"/>
      <c r="AB749" s="130">
        <v>1978</v>
      </c>
      <c r="AC749" s="416">
        <v>1978</v>
      </c>
      <c r="AD749">
        <v>1978</v>
      </c>
      <c r="AE749">
        <v>1978</v>
      </c>
      <c r="AF749">
        <v>1808</v>
      </c>
      <c r="AG749">
        <v>1808</v>
      </c>
      <c r="AH749">
        <v>1808</v>
      </c>
      <c r="AI749">
        <v>1978</v>
      </c>
      <c r="AJ749">
        <v>1978</v>
      </c>
    </row>
    <row r="750" spans="1:36" ht="30" x14ac:dyDescent="0.25">
      <c r="A750" s="412" t="s">
        <v>162</v>
      </c>
      <c r="B750" s="417" t="s">
        <v>971</v>
      </c>
      <c r="C750" s="401" t="s">
        <v>957</v>
      </c>
      <c r="D750" s="16"/>
      <c r="E750" s="17" t="s">
        <v>78</v>
      </c>
      <c r="F750" s="18" t="s">
        <v>972</v>
      </c>
      <c r="G750" s="134" t="str">
        <f ca="1">_xlfn.FORMULATEXT(IN[[#This Row],[STAGE]])</f>
        <v>=SVERWEIS(mobility_region; ka_PEQ_Nachweistool.xlsb!Regionstypen[#Daten]; 13;FALSCH)</v>
      </c>
      <c r="H750" s="20">
        <v>0</v>
      </c>
      <c r="I750" s="415" t="e">
        <f>VLOOKUP(mobility_region, [1]!Regionstypen[#Data], 13,FALSE)</f>
        <v>#N/A</v>
      </c>
      <c r="J750" s="135" t="e">
        <f>IF(IN[[#This Row],[Sim_]]=IN[[#This Row],[STAGE]],1,0)</f>
        <v>#N/A</v>
      </c>
      <c r="K750" s="159"/>
      <c r="L750" s="130"/>
      <c r="M750" s="130">
        <f>IF(IN[[#This Row],[Sim_]]=IN[[#This Row],[Sim Var ref]],1,0)</f>
        <v>1</v>
      </c>
      <c r="N750" s="8"/>
      <c r="O750" s="8">
        <v>557</v>
      </c>
      <c r="P750" s="277"/>
      <c r="Q750" s="137">
        <f>IF(IN[[#This Row],[Sim_]]=IN[[#This Row],[Direkt alt]],1,0)</f>
        <v>1</v>
      </c>
      <c r="R750" s="413">
        <v>3588</v>
      </c>
      <c r="S750" s="10">
        <f>IF(IN[[#This Row],[Sim_]]=IN[[#This Row],[Buffer]],1,0)</f>
        <v>0</v>
      </c>
      <c r="T750" s="130"/>
      <c r="U750" s="145"/>
      <c r="V750" s="281"/>
      <c r="X750">
        <v>1463</v>
      </c>
      <c r="Y750" s="105"/>
      <c r="Z750" s="177">
        <v>1463</v>
      </c>
      <c r="AA750" s="130"/>
      <c r="AB750" s="130">
        <v>1463</v>
      </c>
      <c r="AC750" s="416">
        <v>1463</v>
      </c>
      <c r="AD750">
        <v>1463</v>
      </c>
      <c r="AE750">
        <v>1463</v>
      </c>
      <c r="AF750">
        <v>3588</v>
      </c>
      <c r="AG750">
        <v>3588</v>
      </c>
      <c r="AH750">
        <v>3588</v>
      </c>
      <c r="AI750">
        <v>1463</v>
      </c>
      <c r="AJ750">
        <v>1463</v>
      </c>
    </row>
    <row r="751" spans="1:36" ht="30" x14ac:dyDescent="0.25">
      <c r="A751" s="412" t="s">
        <v>162</v>
      </c>
      <c r="B751" s="417" t="s">
        <v>973</v>
      </c>
      <c r="C751" s="401" t="s">
        <v>957</v>
      </c>
      <c r="D751" s="16"/>
      <c r="E751" s="17" t="s">
        <v>78</v>
      </c>
      <c r="F751" s="18" t="s">
        <v>974</v>
      </c>
      <c r="G751" s="134" t="str">
        <f ca="1">_xlfn.FORMULATEXT(IN[[#This Row],[STAGE]])</f>
        <v>=SVERWEIS(mobility_region; ka_PEQ_Nachweistool.xlsb!Regionstypen[#Daten]; 14;FALSCH)</v>
      </c>
      <c r="H751" s="20">
        <v>0</v>
      </c>
      <c r="I751" s="415" t="e">
        <f>VLOOKUP(mobility_region, [1]!Regionstypen[#Data], 14,FALSE)</f>
        <v>#N/A</v>
      </c>
      <c r="J751" s="135" t="e">
        <f>IF(IN[[#This Row],[Sim_]]=IN[[#This Row],[STAGE]],1,0)</f>
        <v>#N/A</v>
      </c>
      <c r="K751" s="159"/>
      <c r="L751" s="130"/>
      <c r="M751" s="130">
        <f>IF(IN[[#This Row],[Sim_]]=IN[[#This Row],[Sim Var ref]],1,0)</f>
        <v>1</v>
      </c>
      <c r="N751" s="8"/>
      <c r="O751" s="8"/>
      <c r="P751" s="277"/>
      <c r="Q751" s="137">
        <f>IF(IN[[#This Row],[Sim_]]=IN[[#This Row],[Direkt alt]],1,0)</f>
        <v>1</v>
      </c>
      <c r="R751" s="413">
        <v>44</v>
      </c>
      <c r="S751" s="10">
        <f>IF(IN[[#This Row],[Sim_]]=IN[[#This Row],[Buffer]],1,0)</f>
        <v>0</v>
      </c>
      <c r="T751" s="130"/>
      <c r="U751" s="145"/>
      <c r="V751" s="281"/>
      <c r="X751">
        <v>67</v>
      </c>
      <c r="Y751" s="105"/>
      <c r="Z751" s="177">
        <v>67</v>
      </c>
      <c r="AA751" s="130"/>
      <c r="AB751" s="130">
        <v>67</v>
      </c>
      <c r="AC751" s="416">
        <v>67</v>
      </c>
      <c r="AD751">
        <v>67</v>
      </c>
      <c r="AE751">
        <v>67</v>
      </c>
      <c r="AF751">
        <v>44</v>
      </c>
      <c r="AG751">
        <v>44</v>
      </c>
      <c r="AH751">
        <v>44</v>
      </c>
      <c r="AI751">
        <v>67</v>
      </c>
      <c r="AJ751">
        <v>67</v>
      </c>
    </row>
    <row r="752" spans="1:36" x14ac:dyDescent="0.25">
      <c r="A752" s="412" t="s">
        <v>162</v>
      </c>
      <c r="B752" s="417" t="s">
        <v>975</v>
      </c>
      <c r="C752" s="16" t="s">
        <v>976</v>
      </c>
      <c r="D752" s="16"/>
      <c r="E752" s="17" t="s">
        <v>285</v>
      </c>
      <c r="F752" s="18" t="s">
        <v>977</v>
      </c>
      <c r="G752" s="134" t="str">
        <f ca="1">_xlfn.FORMULATEXT(IN[[#This Row],[STAGE]])</f>
        <v>='[ka_PEQ_Nachweistool.xlsb]🚗'!B26</v>
      </c>
      <c r="H752" s="20">
        <v>2</v>
      </c>
      <c r="I752" s="104">
        <f>'[1]🚗'!B26</f>
        <v>0</v>
      </c>
      <c r="J752" s="135">
        <f>IF(IN[[#This Row],[Sim_]]=IN[[#This Row],[STAGE]],1,0)</f>
        <v>0</v>
      </c>
      <c r="K752" s="131">
        <f>K38</f>
        <v>190</v>
      </c>
      <c r="L752" s="130"/>
      <c r="M752" s="130">
        <f>IF(IN[[#This Row],[Sim_]]=IN[[#This Row],[Sim Var ref]],1,0)</f>
        <v>0</v>
      </c>
      <c r="N752" s="8"/>
      <c r="O752" s="8">
        <v>558</v>
      </c>
      <c r="P752" s="277"/>
      <c r="Q752" s="137">
        <f>IF(IN[[#This Row],[Sim_]]=IN[[#This Row],[Direkt alt]],1,0)</f>
        <v>0</v>
      </c>
      <c r="R752" s="413">
        <v>190</v>
      </c>
      <c r="S752" s="10">
        <f>IF(IN[[#This Row],[Sim_]]=IN[[#This Row],[Buffer]],1,0)</f>
        <v>1</v>
      </c>
      <c r="T752" s="130"/>
      <c r="U752" s="145"/>
      <c r="V752" s="281"/>
      <c r="X752">
        <v>190</v>
      </c>
      <c r="Y752" s="105"/>
      <c r="Z752" s="177">
        <v>190</v>
      </c>
      <c r="AA752" s="130"/>
      <c r="AB752" s="130">
        <v>190</v>
      </c>
      <c r="AC752" s="106">
        <v>190</v>
      </c>
      <c r="AD752">
        <v>190</v>
      </c>
      <c r="AE752">
        <v>190</v>
      </c>
      <c r="AF752">
        <v>190</v>
      </c>
      <c r="AG752">
        <v>190</v>
      </c>
      <c r="AH752">
        <v>190</v>
      </c>
      <c r="AI752">
        <v>190</v>
      </c>
      <c r="AJ752">
        <v>190</v>
      </c>
    </row>
    <row r="753" spans="1:36" x14ac:dyDescent="0.25">
      <c r="A753" s="412" t="s">
        <v>162</v>
      </c>
      <c r="B753" s="15" t="s">
        <v>978</v>
      </c>
      <c r="C753" s="16" t="s">
        <v>976</v>
      </c>
      <c r="D753" s="16"/>
      <c r="E753" s="17" t="s">
        <v>285</v>
      </c>
      <c r="F753" s="18"/>
      <c r="G753" s="134" t="str">
        <f ca="1">_xlfn.FORMULATEXT(IN[[#This Row],[STAGE]])</f>
        <v>='[ka_PEQ_Nachweistool.xlsb]🚗'!B32</v>
      </c>
      <c r="H753" s="20">
        <v>2</v>
      </c>
      <c r="I753" s="104">
        <f>'[1]🚗'!B32</f>
        <v>0</v>
      </c>
      <c r="J753" s="135">
        <f>IF(IN[[#This Row],[Sim_]]=IN[[#This Row],[STAGE]],1,0)</f>
        <v>0</v>
      </c>
      <c r="K753" s="131">
        <f>K87</f>
        <v>60</v>
      </c>
      <c r="L753" s="130"/>
      <c r="M753" s="130">
        <f>IF(IN[[#This Row],[Sim_]]=IN[[#This Row],[Sim Var ref]],1,0)</f>
        <v>0</v>
      </c>
      <c r="N753" s="8"/>
      <c r="O753" s="8">
        <v>559</v>
      </c>
      <c r="P753" s="277"/>
      <c r="Q753" s="137">
        <f>IF(IN[[#This Row],[Sim_]]=IN[[#This Row],[Direkt alt]],1,0)</f>
        <v>0</v>
      </c>
      <c r="R753" s="413">
        <v>100</v>
      </c>
      <c r="S753" s="10">
        <f>IF(IN[[#This Row],[Sim_]]=IN[[#This Row],[Buffer]],1,0)</f>
        <v>0</v>
      </c>
      <c r="T753" s="130"/>
      <c r="U753" s="145"/>
      <c r="V753" s="281"/>
      <c r="X753">
        <v>100</v>
      </c>
      <c r="Y753" s="105"/>
      <c r="Z753" s="177">
        <v>100</v>
      </c>
      <c r="AA753" s="130"/>
      <c r="AB753" s="130">
        <v>150</v>
      </c>
      <c r="AC753" s="106">
        <v>100</v>
      </c>
      <c r="AD753">
        <v>100</v>
      </c>
      <c r="AE753">
        <v>100</v>
      </c>
      <c r="AF753">
        <v>100</v>
      </c>
      <c r="AG753">
        <v>100</v>
      </c>
      <c r="AH753">
        <v>100</v>
      </c>
      <c r="AI753">
        <v>150</v>
      </c>
      <c r="AJ753">
        <v>150</v>
      </c>
    </row>
    <row r="754" spans="1:36" x14ac:dyDescent="0.25">
      <c r="A754" s="412" t="s">
        <v>162</v>
      </c>
      <c r="B754" s="15" t="s">
        <v>979</v>
      </c>
      <c r="C754" s="16" t="s">
        <v>922</v>
      </c>
      <c r="D754" s="16" t="s">
        <v>980</v>
      </c>
      <c r="E754" s="17" t="s">
        <v>285</v>
      </c>
      <c r="F754" s="18" t="s">
        <v>981</v>
      </c>
      <c r="G754" s="134" t="str">
        <f ca="1">_xlfn.FORMULATEXT(IN[[#This Row],[STAGE]])</f>
        <v>='[ka_PEQ_Nachweistool.xlsb]🚗'!B30</v>
      </c>
      <c r="H754" s="20">
        <v>2</v>
      </c>
      <c r="I754" s="104">
        <f>'[1]🚗'!B30</f>
        <v>0</v>
      </c>
      <c r="J754" s="135">
        <f>IF(IN[[#This Row],[Sim_]]=IN[[#This Row],[STAGE]],1,0)</f>
        <v>0</v>
      </c>
      <c r="K754" s="418">
        <f>K97</f>
        <v>0.7</v>
      </c>
      <c r="L754" s="130"/>
      <c r="M754" s="130">
        <f>IF(IN[[#This Row],[Sim_]]=IN[[#This Row],[Sim Var ref]],1,0)</f>
        <v>0</v>
      </c>
      <c r="N754" s="8"/>
      <c r="O754" s="8">
        <v>560</v>
      </c>
      <c r="P754" s="277"/>
      <c r="Q754" s="137">
        <f>IF(IN[[#This Row],[Sim_]]=IN[[#This Row],[Direkt alt]],1,0)</f>
        <v>0</v>
      </c>
      <c r="R754" s="413">
        <v>0.7</v>
      </c>
      <c r="S754" s="10">
        <f>IF(IN[[#This Row],[Sim_]]=IN[[#This Row],[Buffer]],1,0)</f>
        <v>1</v>
      </c>
      <c r="T754" s="130"/>
      <c r="U754" s="145"/>
      <c r="V754" s="281"/>
      <c r="X754">
        <v>0.7</v>
      </c>
      <c r="Y754" s="105"/>
      <c r="Z754" s="177">
        <v>0.7</v>
      </c>
      <c r="AA754" s="130"/>
      <c r="AB754" s="130">
        <v>0.7</v>
      </c>
      <c r="AC754" s="106">
        <v>0.7</v>
      </c>
      <c r="AD754">
        <v>0.7</v>
      </c>
      <c r="AE754">
        <v>0.7</v>
      </c>
      <c r="AF754">
        <v>0.7</v>
      </c>
      <c r="AG754">
        <v>0.7</v>
      </c>
      <c r="AH754">
        <v>0.7</v>
      </c>
      <c r="AI754">
        <v>0.7</v>
      </c>
      <c r="AJ754">
        <v>0.7</v>
      </c>
    </row>
    <row r="755" spans="1:36" x14ac:dyDescent="0.25">
      <c r="A755" s="412" t="s">
        <v>162</v>
      </c>
      <c r="B755" s="15" t="s">
        <v>982</v>
      </c>
      <c r="C755" s="16" t="s">
        <v>983</v>
      </c>
      <c r="D755" s="16"/>
      <c r="E755" s="17" t="s">
        <v>285</v>
      </c>
      <c r="F755" s="18" t="s">
        <v>984</v>
      </c>
      <c r="G755" s="134" t="str">
        <f ca="1">_xlfn.FORMULATEXT(IN[[#This Row],[STAGE]])</f>
        <v>='[ka_PEQ_Nachweistool.xlsb]🚗'!B39</v>
      </c>
      <c r="H755" s="20">
        <v>2</v>
      </c>
      <c r="I755" s="228">
        <f>'[1]🚗'!B39</f>
        <v>0</v>
      </c>
      <c r="J755" s="135">
        <f>IF(IN[[#This Row],[Sim_]]=IN[[#This Row],[STAGE]],1,0)</f>
        <v>0</v>
      </c>
      <c r="K755" s="353">
        <f>K98</f>
        <v>0.17</v>
      </c>
      <c r="L755" s="130"/>
      <c r="M755" s="130">
        <f>IF(IN[[#This Row],[Sim_]]=IN[[#This Row],[Sim Var ref]],1,0)</f>
        <v>0</v>
      </c>
      <c r="N755" s="8"/>
      <c r="O755" s="8">
        <v>561</v>
      </c>
      <c r="P755" s="277"/>
      <c r="Q755" s="137">
        <f>IF(IN[[#This Row],[Sim_]]=IN[[#This Row],[Direkt alt]],1,0)</f>
        <v>0</v>
      </c>
      <c r="R755" s="413">
        <v>0.17</v>
      </c>
      <c r="S755" s="10">
        <f>IF(IN[[#This Row],[Sim_]]=IN[[#This Row],[Buffer]],1,0)</f>
        <v>1</v>
      </c>
      <c r="T755" s="130"/>
      <c r="U755" s="145"/>
      <c r="V755" s="281"/>
      <c r="X755">
        <v>0.17</v>
      </c>
      <c r="Y755" s="105"/>
      <c r="Z755" s="177">
        <v>0.17</v>
      </c>
      <c r="AA755" s="130"/>
      <c r="AB755" s="130">
        <v>0.17</v>
      </c>
      <c r="AC755" s="253">
        <v>0.17</v>
      </c>
      <c r="AD755">
        <v>0.17</v>
      </c>
      <c r="AE755">
        <v>0.17</v>
      </c>
      <c r="AF755">
        <v>0.17</v>
      </c>
      <c r="AG755">
        <v>0.17</v>
      </c>
      <c r="AH755">
        <v>0.17</v>
      </c>
      <c r="AI755">
        <v>0.17</v>
      </c>
      <c r="AJ755">
        <v>0.17</v>
      </c>
    </row>
    <row r="756" spans="1:36" x14ac:dyDescent="0.25">
      <c r="A756" s="412" t="s">
        <v>162</v>
      </c>
      <c r="B756" s="15" t="s">
        <v>985</v>
      </c>
      <c r="C756" s="16" t="s">
        <v>986</v>
      </c>
      <c r="D756" s="16"/>
      <c r="E756" s="17" t="s">
        <v>285</v>
      </c>
      <c r="F756" s="18"/>
      <c r="G756" s="134" t="str">
        <f ca="1">_xlfn.FORMULATEXT(IN[[#This Row],[STAGE]])</f>
        <v>='[ka_PEQ_Nachweistool.xlsb]🚗'!B34</v>
      </c>
      <c r="H756" s="20">
        <v>2</v>
      </c>
      <c r="I756" s="104">
        <f>'[1]🚗'!B34</f>
        <v>0</v>
      </c>
      <c r="J756" s="135">
        <f>IF(IN[[#This Row],[Sim_]]=IN[[#This Row],[STAGE]],1,0)</f>
        <v>0</v>
      </c>
      <c r="K756" s="159">
        <f>K88/1000</f>
        <v>41</v>
      </c>
      <c r="L756" s="130"/>
      <c r="M756" s="130">
        <f>IF(IN[[#This Row],[Sim_]]=IN[[#This Row],[Sim Var ref]],1,0)</f>
        <v>0</v>
      </c>
      <c r="N756" s="8"/>
      <c r="O756" s="8">
        <v>562</v>
      </c>
      <c r="P756" s="277"/>
      <c r="Q756" s="137">
        <f>IF(IN[[#This Row],[Sim_]]=IN[[#This Row],[Direkt alt]],1,0)</f>
        <v>0</v>
      </c>
      <c r="R756" s="413">
        <v>41</v>
      </c>
      <c r="S756" s="10">
        <f>IF(IN[[#This Row],[Sim_]]=IN[[#This Row],[Buffer]],1,0)</f>
        <v>1</v>
      </c>
      <c r="T756" s="130"/>
      <c r="U756" s="145"/>
      <c r="V756" s="281"/>
      <c r="X756">
        <v>41</v>
      </c>
      <c r="Y756" s="105"/>
      <c r="Z756" s="177">
        <v>41</v>
      </c>
      <c r="AA756" s="130"/>
      <c r="AB756" s="130">
        <v>41</v>
      </c>
      <c r="AC756" s="106">
        <v>41</v>
      </c>
      <c r="AD756">
        <v>41</v>
      </c>
      <c r="AE756">
        <v>41</v>
      </c>
      <c r="AF756">
        <v>41</v>
      </c>
      <c r="AG756">
        <v>41</v>
      </c>
      <c r="AH756">
        <v>41</v>
      </c>
      <c r="AI756">
        <v>41</v>
      </c>
      <c r="AJ756">
        <v>41</v>
      </c>
    </row>
    <row r="757" spans="1:36" x14ac:dyDescent="0.25">
      <c r="A757" s="412" t="s">
        <v>162</v>
      </c>
      <c r="B757" s="15" t="s">
        <v>987</v>
      </c>
      <c r="C757" s="16" t="s">
        <v>156</v>
      </c>
      <c r="D757" s="16"/>
      <c r="E757" s="17" t="s">
        <v>78</v>
      </c>
      <c r="F757" s="18" t="s">
        <v>988</v>
      </c>
      <c r="G757" s="134" t="str">
        <f ca="1">_xlfn.FORMULATEXT(IN[[#This Row],[STAGE]])</f>
        <v>=I756*I753</v>
      </c>
      <c r="H757" s="20">
        <v>0</v>
      </c>
      <c r="I757" s="104">
        <f>I756*I753</f>
        <v>0</v>
      </c>
      <c r="J757" s="135">
        <f>IF(IN[[#This Row],[Sim_]]=IN[[#This Row],[STAGE]],1,0)</f>
        <v>1</v>
      </c>
      <c r="K757" s="159"/>
      <c r="L757" s="130"/>
      <c r="M757" s="130">
        <f>IF(IN[[#This Row],[Sim_]]=IN[[#This Row],[Sim Var ref]],1,0)</f>
        <v>1</v>
      </c>
      <c r="N757" s="8"/>
      <c r="O757" s="8"/>
      <c r="P757" s="277"/>
      <c r="Q757" s="137">
        <f>IF(IN[[#This Row],[Sim_]]=IN[[#This Row],[Direkt alt]],1,0)</f>
        <v>1</v>
      </c>
      <c r="R757" s="413">
        <v>4100</v>
      </c>
      <c r="S757" s="10">
        <f>IF(IN[[#This Row],[Sim_]]=IN[[#This Row],[Buffer]],1,0)</f>
        <v>0</v>
      </c>
      <c r="T757" s="130"/>
      <c r="U757" s="145"/>
      <c r="V757" s="281"/>
      <c r="X757">
        <v>4100</v>
      </c>
      <c r="Y757" s="105"/>
      <c r="Z757" s="177">
        <v>4100</v>
      </c>
      <c r="AA757" s="130"/>
      <c r="AB757" s="130">
        <v>6150</v>
      </c>
      <c r="AC757" s="106">
        <v>4100</v>
      </c>
      <c r="AD757">
        <v>4100</v>
      </c>
      <c r="AE757">
        <v>4100</v>
      </c>
      <c r="AF757">
        <v>4100</v>
      </c>
      <c r="AG757">
        <v>4100</v>
      </c>
      <c r="AH757">
        <v>4100</v>
      </c>
      <c r="AI757">
        <v>6150</v>
      </c>
      <c r="AJ757">
        <v>6150</v>
      </c>
    </row>
    <row r="758" spans="1:36" x14ac:dyDescent="0.25">
      <c r="A758" s="412" t="s">
        <v>162</v>
      </c>
      <c r="B758" s="15" t="s">
        <v>989</v>
      </c>
      <c r="C758" s="16" t="s">
        <v>990</v>
      </c>
      <c r="D758" s="16"/>
      <c r="E758" s="17" t="s">
        <v>285</v>
      </c>
      <c r="F758" s="18"/>
      <c r="G758" s="134" t="str">
        <f ca="1">_xlfn.FORMULATEXT(IN[[#This Row],[STAGE]])</f>
        <v>='[ka_PEQ_Nachweistool.xlsb]🚗'!B36</v>
      </c>
      <c r="H758" s="20">
        <v>2</v>
      </c>
      <c r="I758" s="297">
        <f>'[1]🚗'!B36</f>
        <v>0</v>
      </c>
      <c r="J758" s="135">
        <f>IF(IN[[#This Row],[Sim_]]=IN[[#This Row],[STAGE]],1,0)</f>
        <v>0</v>
      </c>
      <c r="K758" s="419">
        <f>K89*24*7</f>
        <v>0.02</v>
      </c>
      <c r="L758" s="130"/>
      <c r="M758" s="130">
        <f>IF(IN[[#This Row],[Sim_]]=IN[[#This Row],[Sim Var ref]],1,0)</f>
        <v>0</v>
      </c>
      <c r="N758" s="8"/>
      <c r="O758" s="8"/>
      <c r="P758" s="277"/>
      <c r="Q758" s="137">
        <f>IF(IN[[#This Row],[Sim_]]=IN[[#This Row],[Direkt alt]],1,0)</f>
        <v>0</v>
      </c>
      <c r="R758" s="413">
        <v>0.02</v>
      </c>
      <c r="S758" s="10">
        <f>IF(IN[[#This Row],[Sim_]]=IN[[#This Row],[Buffer]],1,0)</f>
        <v>1</v>
      </c>
      <c r="T758" s="130"/>
      <c r="U758" s="145"/>
      <c r="V758" s="281"/>
      <c r="X758">
        <v>0.02</v>
      </c>
      <c r="Y758" s="105"/>
      <c r="Z758" s="177">
        <v>0.02</v>
      </c>
      <c r="AA758" s="130"/>
      <c r="AB758" s="130">
        <v>0.02</v>
      </c>
      <c r="AC758" s="298">
        <v>0.02</v>
      </c>
      <c r="AD758">
        <v>0.02</v>
      </c>
      <c r="AE758">
        <v>0.02</v>
      </c>
      <c r="AF758">
        <v>0.02</v>
      </c>
      <c r="AG758">
        <v>0.02</v>
      </c>
      <c r="AH758">
        <v>0.02</v>
      </c>
      <c r="AI758">
        <v>0.02</v>
      </c>
      <c r="AJ758">
        <v>0.02</v>
      </c>
    </row>
    <row r="759" spans="1:36" x14ac:dyDescent="0.25">
      <c r="A759" s="412" t="s">
        <v>162</v>
      </c>
      <c r="B759" s="15" t="s">
        <v>991</v>
      </c>
      <c r="C759" s="16" t="s">
        <v>928</v>
      </c>
      <c r="D759" s="16"/>
      <c r="E759" s="17" t="s">
        <v>78</v>
      </c>
      <c r="F759" s="18" t="s">
        <v>992</v>
      </c>
      <c r="G759" s="134" t="str">
        <f ca="1">_xlfn.FORMULATEXT(IN[[#This Row],[STAGE]])</f>
        <v>=I758/24/7</v>
      </c>
      <c r="H759" s="20">
        <v>0</v>
      </c>
      <c r="I759" s="297">
        <f>I758/24/7</f>
        <v>0</v>
      </c>
      <c r="J759" s="135">
        <f>IF(IN[[#This Row],[Sim_]]=IN[[#This Row],[STAGE]],1,0)</f>
        <v>1</v>
      </c>
      <c r="K759" s="159"/>
      <c r="L759" s="130"/>
      <c r="M759" s="130">
        <f>IF(IN[[#This Row],[Sim_]]=IN[[#This Row],[Sim Var ref]],1,0)</f>
        <v>1</v>
      </c>
      <c r="N759" s="8"/>
      <c r="O759" s="8"/>
      <c r="P759" s="277"/>
      <c r="Q759" s="137">
        <f>IF(IN[[#This Row],[Sim_]]=IN[[#This Row],[Direkt alt]],1,0)</f>
        <v>1</v>
      </c>
      <c r="R759" s="413">
        <v>1.1904761904761906E-4</v>
      </c>
      <c r="S759" s="10">
        <f>IF(IN[[#This Row],[Sim_]]=IN[[#This Row],[Buffer]],1,0)</f>
        <v>0</v>
      </c>
      <c r="T759" s="130"/>
      <c r="U759" s="145"/>
      <c r="V759" s="281"/>
      <c r="X759">
        <v>1.1904761904761906E-4</v>
      </c>
      <c r="Y759" s="105"/>
      <c r="Z759" s="177">
        <v>1.1904761904761906E-4</v>
      </c>
      <c r="AA759" s="130"/>
      <c r="AB759" s="130">
        <v>1.1904761904761906E-4</v>
      </c>
      <c r="AC759" s="298">
        <v>1.1904761904761906E-4</v>
      </c>
      <c r="AD759">
        <v>1.1904761904761906E-4</v>
      </c>
      <c r="AE759">
        <v>1.1904761904761906E-4</v>
      </c>
      <c r="AF759">
        <v>1.1904761904761906E-4</v>
      </c>
      <c r="AG759">
        <v>1.1904761904761906E-4</v>
      </c>
      <c r="AH759">
        <v>1.1904761904761906E-4</v>
      </c>
      <c r="AI759">
        <v>1.1904761904761906E-4</v>
      </c>
      <c r="AJ759">
        <v>1.1904761904761906E-4</v>
      </c>
    </row>
    <row r="760" spans="1:36" x14ac:dyDescent="0.25">
      <c r="A760" s="412" t="s">
        <v>162</v>
      </c>
      <c r="B760" s="15" t="s">
        <v>993</v>
      </c>
      <c r="C760" s="16" t="s">
        <v>922</v>
      </c>
      <c r="D760" s="16"/>
      <c r="E760" s="17" t="s">
        <v>285</v>
      </c>
      <c r="F760" s="18" t="s">
        <v>994</v>
      </c>
      <c r="G760" s="134" t="str">
        <f ca="1">_xlfn.FORMULATEXT(IN[[#This Row],[STAGE]])</f>
        <v>='[ka_PEQ_Nachweistool.xlsb]🚗'!B35</v>
      </c>
      <c r="H760" s="20">
        <v>2</v>
      </c>
      <c r="I760" s="104">
        <f>'[1]🚗'!B35</f>
        <v>0</v>
      </c>
      <c r="J760" s="135">
        <f>IF(IN[[#This Row],[Sim_]]=IN[[#This Row],[STAGE]],1,0)</f>
        <v>0</v>
      </c>
      <c r="K760" s="131">
        <f>K95</f>
        <v>0.5</v>
      </c>
      <c r="L760" s="130"/>
      <c r="M760" s="130">
        <f>IF(IN[[#This Row],[Sim_]]=IN[[#This Row],[Sim Var ref]],1,0)</f>
        <v>0</v>
      </c>
      <c r="N760" s="8"/>
      <c r="O760" s="8"/>
      <c r="P760" s="277"/>
      <c r="Q760" s="137">
        <f>IF(IN[[#This Row],[Sim_]]=IN[[#This Row],[Direkt alt]],1,0)</f>
        <v>0</v>
      </c>
      <c r="R760" s="413">
        <v>0.5</v>
      </c>
      <c r="S760" s="10">
        <f>IF(IN[[#This Row],[Sim_]]=IN[[#This Row],[Buffer]],1,0)</f>
        <v>1</v>
      </c>
      <c r="T760" s="130"/>
      <c r="U760" s="145"/>
      <c r="V760" s="281"/>
      <c r="X760">
        <v>0.5</v>
      </c>
      <c r="Y760" s="105"/>
      <c r="Z760" s="177">
        <v>0.5</v>
      </c>
      <c r="AA760" s="130"/>
      <c r="AB760" s="130">
        <v>0.5</v>
      </c>
      <c r="AC760" s="106">
        <v>0.5</v>
      </c>
      <c r="AD760">
        <v>0.5</v>
      </c>
      <c r="AE760">
        <v>0.5</v>
      </c>
      <c r="AF760">
        <v>0.5</v>
      </c>
      <c r="AG760">
        <v>0.5</v>
      </c>
      <c r="AH760">
        <v>0.5</v>
      </c>
      <c r="AI760">
        <v>0.5</v>
      </c>
      <c r="AJ760">
        <v>0.5</v>
      </c>
    </row>
    <row r="761" spans="1:36" x14ac:dyDescent="0.25">
      <c r="A761" s="412" t="s">
        <v>162</v>
      </c>
      <c r="B761" s="15" t="s">
        <v>995</v>
      </c>
      <c r="C761" s="16" t="s">
        <v>922</v>
      </c>
      <c r="D761" s="16"/>
      <c r="E761" s="17" t="s">
        <v>285</v>
      </c>
      <c r="F761" s="18" t="s">
        <v>996</v>
      </c>
      <c r="G761" s="134" t="str">
        <f ca="1">_xlfn.FORMULATEXT(IN[[#This Row],[STAGE]])</f>
        <v>='[ka_PEQ_Nachweistool.xlsb]🚗'!B37</v>
      </c>
      <c r="H761" s="20">
        <v>2</v>
      </c>
      <c r="I761" s="104">
        <f>'[1]🚗'!B37</f>
        <v>0</v>
      </c>
      <c r="J761" s="135">
        <f>IF(IN[[#This Row],[Sim_]]=IN[[#This Row],[STAGE]],1,0)</f>
        <v>0</v>
      </c>
      <c r="K761" s="131">
        <f>K96</f>
        <v>0.9</v>
      </c>
      <c r="L761" s="130"/>
      <c r="M761" s="130">
        <f>IF(IN[[#This Row],[Sim_]]=IN[[#This Row],[Sim Var ref]],1,0)</f>
        <v>0</v>
      </c>
      <c r="N761" s="8"/>
      <c r="O761" s="8"/>
      <c r="P761" s="277"/>
      <c r="Q761" s="137">
        <f>IF(IN[[#This Row],[Sim_]]=IN[[#This Row],[Direkt alt]],1,0)</f>
        <v>0</v>
      </c>
      <c r="R761" s="413">
        <v>0.9</v>
      </c>
      <c r="S761" s="10">
        <f>IF(IN[[#This Row],[Sim_]]=IN[[#This Row],[Buffer]],1,0)</f>
        <v>1</v>
      </c>
      <c r="T761" s="130"/>
      <c r="U761" s="145"/>
      <c r="V761" s="281"/>
      <c r="X761">
        <v>0.9</v>
      </c>
      <c r="Y761" s="105"/>
      <c r="Z761" s="177">
        <v>0.9</v>
      </c>
      <c r="AA761" s="130"/>
      <c r="AB761" s="130">
        <v>0.9</v>
      </c>
      <c r="AC761" s="106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</row>
    <row r="762" spans="1:36" x14ac:dyDescent="0.25">
      <c r="A762" s="412" t="s">
        <v>162</v>
      </c>
      <c r="B762" s="15" t="s">
        <v>997</v>
      </c>
      <c r="C762" s="16"/>
      <c r="D762" s="16"/>
      <c r="E762" s="17" t="s">
        <v>78</v>
      </c>
      <c r="F762" s="18" t="s">
        <v>998</v>
      </c>
      <c r="G762" s="134" t="str">
        <f ca="1">_xlfn.FORMULATEXT(IN[[#This Row],[STAGE]])</f>
        <v>=WENNFEHLER(1/I761;0)</v>
      </c>
      <c r="H762" s="20">
        <v>0</v>
      </c>
      <c r="I762" s="104">
        <f>IFERROR(1/I761,0)</f>
        <v>0</v>
      </c>
      <c r="J762" s="135">
        <f>IF(IN[[#This Row],[Sim_]]=IN[[#This Row],[STAGE]],1,0)</f>
        <v>1</v>
      </c>
      <c r="K762" s="131"/>
      <c r="L762" s="130"/>
      <c r="M762" s="130">
        <f>IF(IN[[#This Row],[Sim_]]=IN[[#This Row],[Sim Var ref]],1,0)</f>
        <v>1</v>
      </c>
      <c r="N762" s="8"/>
      <c r="O762" s="8"/>
      <c r="P762" s="277"/>
      <c r="Q762" s="137">
        <f>IF(IN[[#This Row],[Sim_]]=IN[[#This Row],[Direkt alt]],1,0)</f>
        <v>1</v>
      </c>
      <c r="R762" s="413">
        <v>1.1111111111111112</v>
      </c>
      <c r="S762" s="10">
        <f>IF(IN[[#This Row],[Sim_]]=IN[[#This Row],[Buffer]],1,0)</f>
        <v>0</v>
      </c>
      <c r="T762" s="130"/>
      <c r="U762" s="145"/>
      <c r="V762" s="281"/>
      <c r="X762">
        <v>1.1111111111111112</v>
      </c>
      <c r="Y762" s="105"/>
      <c r="Z762" s="177">
        <v>1.1111111111111112</v>
      </c>
      <c r="AA762" s="130"/>
      <c r="AB762" s="130">
        <v>1.1111111111111112</v>
      </c>
      <c r="AC762" s="106">
        <v>1.1111111111111112</v>
      </c>
      <c r="AD762">
        <v>1.1111111111111112</v>
      </c>
      <c r="AE762">
        <v>1.1111111111111112</v>
      </c>
      <c r="AF762">
        <v>1.1111111111111112</v>
      </c>
      <c r="AG762">
        <v>1.1111111111111112</v>
      </c>
      <c r="AH762">
        <v>1.1111111111111112</v>
      </c>
      <c r="AI762">
        <v>1.1111111111111112</v>
      </c>
      <c r="AJ762">
        <v>1.1111111111111112</v>
      </c>
    </row>
    <row r="763" spans="1:36" x14ac:dyDescent="0.25">
      <c r="A763" s="412" t="s">
        <v>162</v>
      </c>
      <c r="B763" s="15" t="s">
        <v>999</v>
      </c>
      <c r="C763" s="16" t="s">
        <v>922</v>
      </c>
      <c r="D763" s="16"/>
      <c r="E763" s="17" t="s">
        <v>262</v>
      </c>
      <c r="F763" s="18" t="s">
        <v>1000</v>
      </c>
      <c r="G763" s="134" t="str">
        <f ca="1">_xlfn.FORMULATEXT(IN[[#This Row],[STAGE]])</f>
        <v>='[ka_PEQ_Nachweistool.xlsb]🚗'!B38</v>
      </c>
      <c r="H763" s="20">
        <v>2</v>
      </c>
      <c r="I763" s="104">
        <f>'[1]🚗'!B38</f>
        <v>0</v>
      </c>
      <c r="J763" s="135">
        <f>IF(IN[[#This Row],[Sim_]]=IN[[#This Row],[STAGE]],1,0)</f>
        <v>0</v>
      </c>
      <c r="K763" s="328">
        <v>0.5</v>
      </c>
      <c r="L763" s="130"/>
      <c r="M763" s="130">
        <f>IF(IN[[#This Row],[Sim_]]=IN[[#This Row],[Sim Var ref]],1,0)</f>
        <v>0</v>
      </c>
      <c r="N763" s="8"/>
      <c r="O763" s="8"/>
      <c r="P763" s="277"/>
      <c r="Q763" s="137">
        <f>IF(IN[[#This Row],[Sim_]]=IN[[#This Row],[Direkt alt]],1,0)</f>
        <v>0</v>
      </c>
      <c r="R763" s="413">
        <v>1</v>
      </c>
      <c r="S763" s="10">
        <f>IF(IN[[#This Row],[Sim_]]=IN[[#This Row],[Buffer]],1,0)</f>
        <v>0</v>
      </c>
      <c r="T763" s="130"/>
      <c r="U763" s="145"/>
      <c r="V763" s="281"/>
      <c r="X763">
        <v>1</v>
      </c>
      <c r="Y763" s="105"/>
      <c r="Z763" s="177">
        <v>1</v>
      </c>
      <c r="AA763" s="130"/>
      <c r="AB763" s="130">
        <v>0.5</v>
      </c>
      <c r="AC763" s="106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0.5</v>
      </c>
      <c r="AJ763">
        <v>0.5</v>
      </c>
    </row>
    <row r="764" spans="1:36" x14ac:dyDescent="0.25">
      <c r="A764" s="412" t="s">
        <v>162</v>
      </c>
      <c r="B764" s="15" t="s">
        <v>1001</v>
      </c>
      <c r="C764" s="16" t="s">
        <v>983</v>
      </c>
      <c r="D764" s="16"/>
      <c r="E764" s="17"/>
      <c r="F764" s="18"/>
      <c r="G764" s="134" t="str">
        <f ca="1">_xlfn.FORMULATEXT(IN[[#This Row],[STAGE]])</f>
        <v>=[@Buffer]</v>
      </c>
      <c r="H764" s="20">
        <v>0</v>
      </c>
      <c r="I764" s="104">
        <f>IN[[#This Row],[Buffer]]</f>
        <v>0</v>
      </c>
      <c r="J764" s="135">
        <f>IF(IN[[#This Row],[Sim_]]=IN[[#This Row],[STAGE]],1,0)</f>
        <v>1</v>
      </c>
      <c r="K764" s="159"/>
      <c r="L764" s="130"/>
      <c r="M764" s="130">
        <f>IF(IN[[#This Row],[Sim_]]=IN[[#This Row],[Sim Var ref]],1,0)</f>
        <v>1</v>
      </c>
      <c r="N764" s="8"/>
      <c r="O764" s="8"/>
      <c r="P764" s="277"/>
      <c r="Q764" s="137">
        <f>IF(IN[[#This Row],[Sim_]]=IN[[#This Row],[Direkt alt]],1,0)</f>
        <v>1</v>
      </c>
      <c r="R764" s="413">
        <v>0</v>
      </c>
      <c r="S764" s="10">
        <f>IF(IN[[#This Row],[Sim_]]=IN[[#This Row],[Buffer]],1,0)</f>
        <v>1</v>
      </c>
      <c r="T764" s="130"/>
      <c r="U764" s="145"/>
      <c r="V764" s="281"/>
      <c r="X764">
        <v>0</v>
      </c>
      <c r="Y764" s="105"/>
      <c r="Z764" s="177">
        <v>0</v>
      </c>
      <c r="AA764" s="130"/>
      <c r="AB764" s="130">
        <v>0</v>
      </c>
      <c r="AC764" s="106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s="412" t="s">
        <v>162</v>
      </c>
      <c r="B765" s="15" t="s">
        <v>1002</v>
      </c>
      <c r="C765" s="16" t="s">
        <v>1003</v>
      </c>
      <c r="D765" s="16"/>
      <c r="E765" s="17"/>
      <c r="F765" s="18" t="s">
        <v>1004</v>
      </c>
      <c r="G765" s="134" t="e">
        <f ca="1">_xlfn.FORMULATEXT(IN[[#This Row],[STAGE]])</f>
        <v>#N/A</v>
      </c>
      <c r="H765" s="20">
        <v>1</v>
      </c>
      <c r="I765" s="185">
        <v>1.2</v>
      </c>
      <c r="J765" s="135">
        <f>IF(IN[[#This Row],[Sim_]]=IN[[#This Row],[STAGE]],1,0)</f>
        <v>0</v>
      </c>
      <c r="K765" s="159"/>
      <c r="L765" s="130"/>
      <c r="M765" s="130">
        <f>IF(IN[[#This Row],[Sim_]]=IN[[#This Row],[Sim Var ref]],1,0)</f>
        <v>1</v>
      </c>
      <c r="N765" s="8"/>
      <c r="O765" s="8">
        <v>563</v>
      </c>
      <c r="P765" s="277"/>
      <c r="Q765" s="137">
        <f>IF(IN[[#This Row],[Sim_]]=IN[[#This Row],[Direkt alt]],1,0)</f>
        <v>1</v>
      </c>
      <c r="R765" s="413">
        <v>1.2</v>
      </c>
      <c r="S765" s="10">
        <f>IF(IN[[#This Row],[Sim_]]=IN[[#This Row],[Buffer]],1,0)</f>
        <v>0</v>
      </c>
      <c r="T765" s="130"/>
      <c r="U765" s="145"/>
      <c r="V765" s="281"/>
      <c r="X765">
        <v>1.2</v>
      </c>
      <c r="Y765" s="105"/>
      <c r="Z765" s="177">
        <v>1.2</v>
      </c>
      <c r="AA765" s="130"/>
      <c r="AB765" s="130">
        <v>0</v>
      </c>
      <c r="AC765" s="199">
        <v>1.2</v>
      </c>
      <c r="AD765">
        <v>1.2</v>
      </c>
      <c r="AE765">
        <v>1.2</v>
      </c>
      <c r="AF765">
        <v>1.2</v>
      </c>
      <c r="AG765">
        <v>1.2</v>
      </c>
      <c r="AH765">
        <v>1.2</v>
      </c>
      <c r="AI765">
        <v>1.2</v>
      </c>
      <c r="AJ765">
        <v>1.2</v>
      </c>
    </row>
    <row r="766" spans="1:36" x14ac:dyDescent="0.25">
      <c r="A766" s="412" t="s">
        <v>162</v>
      </c>
      <c r="B766" s="15" t="s">
        <v>1005</v>
      </c>
      <c r="C766" s="16"/>
      <c r="D766" s="16"/>
      <c r="E766" s="17"/>
      <c r="F766" s="18" t="s">
        <v>1006</v>
      </c>
      <c r="G766" s="134" t="e">
        <f ca="1">_xlfn.FORMULATEXT(IN[[#This Row],[STAGE]])</f>
        <v>#N/A</v>
      </c>
      <c r="H766" s="20">
        <v>1</v>
      </c>
      <c r="I766" s="391">
        <v>0.25</v>
      </c>
      <c r="J766" s="135">
        <f>IF(IN[[#This Row],[Sim_]]=IN[[#This Row],[STAGE]],1,0)</f>
        <v>0</v>
      </c>
      <c r="K766" s="159"/>
      <c r="L766" s="130"/>
      <c r="M766" s="130">
        <f>IF(IN[[#This Row],[Sim_]]=IN[[#This Row],[Sim Var ref]],1,0)</f>
        <v>1</v>
      </c>
      <c r="N766" s="8"/>
      <c r="O766" s="8"/>
      <c r="P766" s="277"/>
      <c r="Q766" s="137">
        <f>IF(IN[[#This Row],[Sim_]]=IN[[#This Row],[Direkt alt]],1,0)</f>
        <v>1</v>
      </c>
      <c r="R766" s="413">
        <v>0.25</v>
      </c>
      <c r="S766" s="10">
        <f>IF(IN[[#This Row],[Sim_]]=IN[[#This Row],[Buffer]],1,0)</f>
        <v>0</v>
      </c>
      <c r="T766" s="130"/>
      <c r="U766" s="145"/>
      <c r="V766" s="281"/>
      <c r="X766">
        <v>0.25</v>
      </c>
      <c r="Y766" s="105"/>
      <c r="Z766" s="177">
        <v>0.25</v>
      </c>
      <c r="AA766" s="130"/>
      <c r="AB766" s="130"/>
      <c r="AC766" s="392">
        <v>0.25</v>
      </c>
      <c r="AD766">
        <v>0.25</v>
      </c>
      <c r="AE766">
        <v>0.25</v>
      </c>
      <c r="AF766">
        <v>0.25</v>
      </c>
      <c r="AG766">
        <v>0.25</v>
      </c>
      <c r="AH766">
        <v>0.25</v>
      </c>
      <c r="AI766">
        <v>0.25</v>
      </c>
      <c r="AJ766">
        <v>0.25</v>
      </c>
    </row>
    <row r="767" spans="1:36" x14ac:dyDescent="0.25">
      <c r="A767" s="412" t="s">
        <v>162</v>
      </c>
      <c r="B767" s="15" t="s">
        <v>1007</v>
      </c>
      <c r="C767" s="16" t="s">
        <v>922</v>
      </c>
      <c r="D767" s="16" t="s">
        <v>1008</v>
      </c>
      <c r="E767" s="17"/>
      <c r="F767" s="18" t="s">
        <v>1009</v>
      </c>
      <c r="G767" s="134" t="e">
        <f ca="1">_xlfn.FORMULATEXT(IN[[#This Row],[STAGE]])</f>
        <v>#N/A</v>
      </c>
      <c r="H767" s="20">
        <v>1</v>
      </c>
      <c r="I767" s="185">
        <v>0.9</v>
      </c>
      <c r="J767" s="135">
        <f>IF(IN[[#This Row],[Sim_]]=IN[[#This Row],[STAGE]],1,0)</f>
        <v>0</v>
      </c>
      <c r="K767" s="420">
        <f>[1]SIM!$CN$8</f>
        <v>0.7</v>
      </c>
      <c r="L767" s="130"/>
      <c r="M767" s="130">
        <f>IF(IN[[#This Row],[Sim_]]=IN[[#This Row],[Sim Var ref]],1,0)</f>
        <v>0</v>
      </c>
      <c r="N767" s="8"/>
      <c r="O767" s="8"/>
      <c r="P767" s="277"/>
      <c r="Q767" s="137">
        <f>IF(IN[[#This Row],[Sim_]]=IN[[#This Row],[Direkt alt]],1,0)</f>
        <v>0</v>
      </c>
      <c r="R767" s="413">
        <v>0.9</v>
      </c>
      <c r="S767" s="10">
        <f>IF(IN[[#This Row],[Sim_]]=IN[[#This Row],[Buffer]],1,0)</f>
        <v>0</v>
      </c>
      <c r="T767" s="130"/>
      <c r="U767" s="145"/>
      <c r="V767" s="281"/>
      <c r="X767">
        <v>0.9</v>
      </c>
      <c r="Y767" s="105"/>
      <c r="Z767" s="177">
        <v>0.9</v>
      </c>
      <c r="AA767" s="130"/>
      <c r="AB767" s="130"/>
      <c r="AC767" s="106">
        <v>0</v>
      </c>
      <c r="AD767">
        <v>0.9</v>
      </c>
      <c r="AE767">
        <v>0.9</v>
      </c>
      <c r="AF767">
        <v>0.9</v>
      </c>
      <c r="AG767">
        <v>0.9</v>
      </c>
      <c r="AH767">
        <v>0.9</v>
      </c>
      <c r="AI767">
        <v>0.9</v>
      </c>
      <c r="AJ767">
        <v>0.9</v>
      </c>
    </row>
    <row r="768" spans="1:36" x14ac:dyDescent="0.25">
      <c r="A768" s="412" t="s">
        <v>162</v>
      </c>
      <c r="B768" s="15" t="s">
        <v>1010</v>
      </c>
      <c r="C768" s="16" t="s">
        <v>489</v>
      </c>
      <c r="D768" s="16"/>
      <c r="E768" s="17"/>
      <c r="F768" s="18"/>
      <c r="G768" s="134" t="str">
        <f ca="1">_xlfn.FORMULATEXT(IN[[#This Row],[STAGE]])</f>
        <v>='[ka_PEQ_Nachweistool.xlsb]🚗'!B25</v>
      </c>
      <c r="H768" s="20">
        <v>0</v>
      </c>
      <c r="I768" s="421">
        <f>'[1]🚗'!B25</f>
        <v>0</v>
      </c>
      <c r="J768" s="135">
        <f>IF(IN[[#This Row],[Sim_]]=IN[[#This Row],[STAGE]],1,0)</f>
        <v>1</v>
      </c>
      <c r="K768" s="159"/>
      <c r="L768" s="130"/>
      <c r="M768" s="130">
        <f>IF(IN[[#This Row],[Sim_]]=IN[[#This Row],[Sim Var ref]],1,0)</f>
        <v>1</v>
      </c>
      <c r="N768" s="8"/>
      <c r="O768" s="8"/>
      <c r="P768" s="277"/>
      <c r="Q768" s="137">
        <f>IF(IN[[#This Row],[Sim_]]=IN[[#This Row],[Direkt alt]],1,0)</f>
        <v>1</v>
      </c>
      <c r="R768" s="413">
        <v>0</v>
      </c>
      <c r="S768" s="10">
        <f>IF(IN[[#This Row],[Sim_]]=IN[[#This Row],[Buffer]],1,0)</f>
        <v>1</v>
      </c>
      <c r="T768" s="130"/>
      <c r="U768" s="145"/>
      <c r="V768" s="281"/>
      <c r="X768">
        <v>0</v>
      </c>
      <c r="Y768" s="105"/>
      <c r="Z768" s="177">
        <v>0</v>
      </c>
      <c r="AA768" s="130"/>
      <c r="AB768" s="130"/>
      <c r="AC768" s="106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</row>
    <row r="769" spans="1:36" x14ac:dyDescent="0.25">
      <c r="A769" s="63"/>
      <c r="B769" s="15"/>
      <c r="C769" s="16"/>
      <c r="D769" s="16"/>
      <c r="E769" s="17"/>
      <c r="F769" s="18"/>
      <c r="G769" s="147"/>
      <c r="H769" s="20">
        <v>0</v>
      </c>
      <c r="I769" s="104">
        <f>IN[[#This Row],[Buffer]]</f>
        <v>0</v>
      </c>
      <c r="J769" s="135">
        <f>IF(IN[[#This Row],[Sim_]]=IN[[#This Row],[STAGE]],1,0)</f>
        <v>1</v>
      </c>
      <c r="K769" s="159"/>
      <c r="L769" s="130"/>
      <c r="M769" s="130">
        <f>IF(IN[[#This Row],[Sim_]]=IN[[#This Row],[Sim Var ref]],1,0)</f>
        <v>1</v>
      </c>
      <c r="N769" s="8"/>
      <c r="O769" s="8"/>
      <c r="P769" s="277"/>
      <c r="Q769" s="137">
        <f>IF(IN[[#This Row],[Sim_]]=IN[[#This Row],[Direkt alt]],1,0)</f>
        <v>1</v>
      </c>
      <c r="R769" s="413">
        <v>0</v>
      </c>
      <c r="S769" s="10">
        <f>IF(IN[[#This Row],[Sim_]]=IN[[#This Row],[Buffer]],1,0)</f>
        <v>1</v>
      </c>
      <c r="T769" s="130"/>
      <c r="U769" s="145"/>
      <c r="V769" s="281"/>
      <c r="X769">
        <v>0</v>
      </c>
      <c r="Y769" s="105"/>
      <c r="Z769" s="177">
        <v>0</v>
      </c>
      <c r="AA769" s="130"/>
      <c r="AB769" s="130"/>
      <c r="AC769" s="106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s="63"/>
      <c r="B770" s="15"/>
      <c r="C770" s="16"/>
      <c r="D770" s="16"/>
      <c r="E770" s="17"/>
      <c r="F770" s="18"/>
      <c r="G770" s="147"/>
      <c r="H770" s="20">
        <v>0</v>
      </c>
      <c r="I770" s="104">
        <f>IN[[#This Row],[Buffer]]</f>
        <v>0</v>
      </c>
      <c r="J770" s="135">
        <f>IF(IN[[#This Row],[Sim_]]=IN[[#This Row],[STAGE]],1,0)</f>
        <v>1</v>
      </c>
      <c r="K770" s="159"/>
      <c r="L770" s="130"/>
      <c r="M770" s="130">
        <f>IF(IN[[#This Row],[Sim_]]=IN[[#This Row],[Sim Var ref]],1,0)</f>
        <v>1</v>
      </c>
      <c r="N770" s="8"/>
      <c r="O770" s="8"/>
      <c r="P770" s="277"/>
      <c r="Q770" s="137">
        <f>IF(IN[[#This Row],[Sim_]]=IN[[#This Row],[Direkt alt]],1,0)</f>
        <v>1</v>
      </c>
      <c r="R770" s="413">
        <v>0</v>
      </c>
      <c r="S770" s="10">
        <f>IF(IN[[#This Row],[Sim_]]=IN[[#This Row],[Buffer]],1,0)</f>
        <v>1</v>
      </c>
      <c r="T770" s="130"/>
      <c r="U770" s="145"/>
      <c r="V770" s="281"/>
      <c r="X770">
        <v>0</v>
      </c>
      <c r="Y770" s="105"/>
      <c r="Z770" s="177">
        <v>0</v>
      </c>
      <c r="AA770" s="130"/>
      <c r="AB770" s="130"/>
      <c r="AC770" s="106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s="63"/>
      <c r="B771" s="15"/>
      <c r="C771" s="16"/>
      <c r="D771" s="16"/>
      <c r="E771" s="17"/>
      <c r="F771" s="18"/>
      <c r="G771" s="147"/>
      <c r="H771" s="20">
        <v>0</v>
      </c>
      <c r="I771" s="104">
        <f>IN[[#This Row],[Buffer]]</f>
        <v>0</v>
      </c>
      <c r="J771" s="135">
        <f>IF(IN[[#This Row],[Sim_]]=IN[[#This Row],[STAGE]],1,0)</f>
        <v>1</v>
      </c>
      <c r="K771" s="159"/>
      <c r="L771" s="130"/>
      <c r="M771" s="130">
        <f>IF(IN[[#This Row],[Sim_]]=IN[[#This Row],[Sim Var ref]],1,0)</f>
        <v>1</v>
      </c>
      <c r="N771" s="8"/>
      <c r="O771" s="8"/>
      <c r="P771" s="277"/>
      <c r="Q771" s="137">
        <f>IF(IN[[#This Row],[Sim_]]=IN[[#This Row],[Direkt alt]],1,0)</f>
        <v>1</v>
      </c>
      <c r="R771" s="413">
        <v>0</v>
      </c>
      <c r="S771" s="10">
        <f>IF(IN[[#This Row],[Sim_]]=IN[[#This Row],[Buffer]],1,0)</f>
        <v>1</v>
      </c>
      <c r="T771" s="130"/>
      <c r="U771" s="145"/>
      <c r="V771" s="281"/>
      <c r="X771">
        <v>0</v>
      </c>
      <c r="Y771" s="105"/>
      <c r="Z771" s="177">
        <v>0</v>
      </c>
      <c r="AA771" s="130"/>
      <c r="AB771" s="130"/>
      <c r="AC771" s="106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s="63"/>
      <c r="B772" s="15"/>
      <c r="C772" s="16"/>
      <c r="D772" s="16"/>
      <c r="E772" s="17"/>
      <c r="F772" s="18"/>
      <c r="G772" s="147"/>
      <c r="H772" s="20">
        <v>0</v>
      </c>
      <c r="I772" s="104">
        <f>IN[[#This Row],[Buffer]]</f>
        <v>0</v>
      </c>
      <c r="J772" s="135">
        <f>IF(IN[[#This Row],[Sim_]]=IN[[#This Row],[STAGE]],1,0)</f>
        <v>1</v>
      </c>
      <c r="K772" s="159"/>
      <c r="L772" s="130"/>
      <c r="M772" s="130">
        <f>IF(IN[[#This Row],[Sim_]]=IN[[#This Row],[Sim Var ref]],1,0)</f>
        <v>1</v>
      </c>
      <c r="N772" s="8"/>
      <c r="O772" s="8"/>
      <c r="P772" s="277"/>
      <c r="Q772" s="137">
        <f>IF(IN[[#This Row],[Sim_]]=IN[[#This Row],[Direkt alt]],1,0)</f>
        <v>1</v>
      </c>
      <c r="R772" s="413">
        <v>0</v>
      </c>
      <c r="S772" s="10">
        <f>IF(IN[[#This Row],[Sim_]]=IN[[#This Row],[Buffer]],1,0)</f>
        <v>1</v>
      </c>
      <c r="T772" s="130"/>
      <c r="U772" s="145"/>
      <c r="V772" s="281"/>
      <c r="X772">
        <v>0</v>
      </c>
      <c r="Y772" s="105"/>
      <c r="Z772" s="177">
        <v>0</v>
      </c>
      <c r="AA772" s="130"/>
      <c r="AB772" s="130"/>
      <c r="AC772" s="106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s="63"/>
      <c r="B773" s="15"/>
      <c r="C773" s="16"/>
      <c r="D773" s="16"/>
      <c r="E773" s="17"/>
      <c r="F773" s="18"/>
      <c r="G773" s="147"/>
      <c r="H773" s="20">
        <v>0</v>
      </c>
      <c r="I773" s="104">
        <f>IN[[#This Row],[Buffer]]</f>
        <v>0</v>
      </c>
      <c r="J773" s="135">
        <f>IF(IN[[#This Row],[Sim_]]=IN[[#This Row],[STAGE]],1,0)</f>
        <v>1</v>
      </c>
      <c r="K773" s="159"/>
      <c r="L773" s="130"/>
      <c r="M773" s="130">
        <f>IF(IN[[#This Row],[Sim_]]=IN[[#This Row],[Sim Var ref]],1,0)</f>
        <v>1</v>
      </c>
      <c r="N773" s="8"/>
      <c r="O773" s="8"/>
      <c r="P773" s="277"/>
      <c r="Q773" s="137">
        <f>IF(IN[[#This Row],[Sim_]]=IN[[#This Row],[Direkt alt]],1,0)</f>
        <v>1</v>
      </c>
      <c r="R773" s="413">
        <v>0</v>
      </c>
      <c r="S773" s="10">
        <f>IF(IN[[#This Row],[Sim_]]=IN[[#This Row],[Buffer]],1,0)</f>
        <v>1</v>
      </c>
      <c r="T773" s="130"/>
      <c r="U773" s="145"/>
      <c r="V773" s="281"/>
      <c r="X773">
        <v>0</v>
      </c>
      <c r="Y773" s="105"/>
      <c r="Z773" s="177">
        <v>0</v>
      </c>
      <c r="AA773" s="130"/>
      <c r="AB773" s="130"/>
      <c r="AC773" s="106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s="63"/>
      <c r="B774" s="15"/>
      <c r="C774" s="16"/>
      <c r="D774" s="16"/>
      <c r="E774" s="17"/>
      <c r="F774" s="18"/>
      <c r="G774" s="147"/>
      <c r="H774" s="20">
        <v>0</v>
      </c>
      <c r="I774" s="104">
        <f>IN[[#This Row],[Buffer]]</f>
        <v>0</v>
      </c>
      <c r="J774" s="135">
        <f>IF(IN[[#This Row],[Sim_]]=IN[[#This Row],[STAGE]],1,0)</f>
        <v>1</v>
      </c>
      <c r="K774" s="159"/>
      <c r="L774" s="130"/>
      <c r="M774" s="130">
        <f>IF(IN[[#This Row],[Sim_]]=IN[[#This Row],[Sim Var ref]],1,0)</f>
        <v>1</v>
      </c>
      <c r="N774" s="8"/>
      <c r="O774" s="8"/>
      <c r="P774" s="277"/>
      <c r="Q774" s="137">
        <f>IF(IN[[#This Row],[Sim_]]=IN[[#This Row],[Direkt alt]],1,0)</f>
        <v>1</v>
      </c>
      <c r="R774" s="413">
        <v>0</v>
      </c>
      <c r="S774" s="10">
        <f>IF(IN[[#This Row],[Sim_]]=IN[[#This Row],[Buffer]],1,0)</f>
        <v>1</v>
      </c>
      <c r="T774" s="130"/>
      <c r="U774" s="145"/>
      <c r="V774" s="281"/>
      <c r="X774">
        <v>0</v>
      </c>
      <c r="Y774" s="105"/>
      <c r="Z774" s="177">
        <v>0</v>
      </c>
      <c r="AA774" s="130"/>
      <c r="AB774" s="130"/>
      <c r="AC774" s="106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s="63"/>
      <c r="B775" s="15"/>
      <c r="C775" s="16"/>
      <c r="D775" s="16"/>
      <c r="E775" s="17"/>
      <c r="F775" s="18"/>
      <c r="G775" s="147"/>
      <c r="H775" s="20">
        <v>0</v>
      </c>
      <c r="I775" s="104">
        <f>IN[[#This Row],[Buffer]]</f>
        <v>0</v>
      </c>
      <c r="J775" s="135">
        <f>IF(IN[[#This Row],[Sim_]]=IN[[#This Row],[STAGE]],1,0)</f>
        <v>1</v>
      </c>
      <c r="K775" s="159"/>
      <c r="L775" s="130"/>
      <c r="M775" s="130">
        <f>IF(IN[[#This Row],[Sim_]]=IN[[#This Row],[Sim Var ref]],1,0)</f>
        <v>1</v>
      </c>
      <c r="N775" s="8"/>
      <c r="O775" s="8"/>
      <c r="P775" s="277"/>
      <c r="Q775" s="137">
        <f>IF(IN[[#This Row],[Sim_]]=IN[[#This Row],[Direkt alt]],1,0)</f>
        <v>1</v>
      </c>
      <c r="R775" s="413">
        <v>0</v>
      </c>
      <c r="S775" s="10">
        <f>IF(IN[[#This Row],[Sim_]]=IN[[#This Row],[Buffer]],1,0)</f>
        <v>1</v>
      </c>
      <c r="T775" s="130"/>
      <c r="U775" s="145"/>
      <c r="V775" s="281"/>
      <c r="X775">
        <v>0</v>
      </c>
      <c r="Y775" s="105"/>
      <c r="Z775" s="177">
        <v>0</v>
      </c>
      <c r="AA775" s="130"/>
      <c r="AB775" s="130"/>
      <c r="AC775" s="106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s="63"/>
      <c r="B776" s="15"/>
      <c r="C776" s="16"/>
      <c r="D776" s="16"/>
      <c r="E776" s="17"/>
      <c r="F776" s="18"/>
      <c r="G776" s="147"/>
      <c r="H776" s="20">
        <v>0</v>
      </c>
      <c r="I776" s="104">
        <f>IN[[#This Row],[Buffer]]</f>
        <v>0</v>
      </c>
      <c r="J776" s="135">
        <f>IF(IN[[#This Row],[Sim_]]=IN[[#This Row],[STAGE]],1,0)</f>
        <v>1</v>
      </c>
      <c r="K776" s="159"/>
      <c r="L776" s="130"/>
      <c r="M776" s="130">
        <f>IF(IN[[#This Row],[Sim_]]=IN[[#This Row],[Sim Var ref]],1,0)</f>
        <v>1</v>
      </c>
      <c r="N776" s="8"/>
      <c r="O776" s="8"/>
      <c r="P776" s="277"/>
      <c r="Q776" s="137">
        <f>IF(IN[[#This Row],[Sim_]]=IN[[#This Row],[Direkt alt]],1,0)</f>
        <v>1</v>
      </c>
      <c r="R776" s="413">
        <v>0</v>
      </c>
      <c r="S776" s="10">
        <f>IF(IN[[#This Row],[Sim_]]=IN[[#This Row],[Buffer]],1,0)</f>
        <v>1</v>
      </c>
      <c r="T776" s="130"/>
      <c r="U776" s="145"/>
      <c r="V776" s="281"/>
      <c r="X776">
        <v>0</v>
      </c>
      <c r="Y776" s="105"/>
      <c r="Z776" s="177">
        <v>0</v>
      </c>
      <c r="AA776" s="130"/>
      <c r="AB776" s="130"/>
      <c r="AC776" s="10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s="63"/>
      <c r="B777" s="15"/>
      <c r="C777" s="16"/>
      <c r="D777" s="16"/>
      <c r="E777" s="17"/>
      <c r="F777" s="18"/>
      <c r="G777" s="147"/>
      <c r="H777" s="20">
        <v>0</v>
      </c>
      <c r="I777" s="104">
        <f>IN[[#This Row],[Buffer]]</f>
        <v>0</v>
      </c>
      <c r="J777" s="135">
        <f>IF(IN[[#This Row],[Sim_]]=IN[[#This Row],[STAGE]],1,0)</f>
        <v>1</v>
      </c>
      <c r="K777" s="159"/>
      <c r="L777" s="130"/>
      <c r="M777" s="130">
        <f>IF(IN[[#This Row],[Sim_]]=IN[[#This Row],[Sim Var ref]],1,0)</f>
        <v>1</v>
      </c>
      <c r="N777" s="8"/>
      <c r="O777" s="8"/>
      <c r="P777" s="277"/>
      <c r="Q777" s="137">
        <f>IF(IN[[#This Row],[Sim_]]=IN[[#This Row],[Direkt alt]],1,0)</f>
        <v>1</v>
      </c>
      <c r="R777" s="413">
        <v>0</v>
      </c>
      <c r="S777" s="10">
        <f>IF(IN[[#This Row],[Sim_]]=IN[[#This Row],[Buffer]],1,0)</f>
        <v>1</v>
      </c>
      <c r="T777" s="130"/>
      <c r="U777" s="145"/>
      <c r="V777" s="281"/>
      <c r="X777">
        <v>0</v>
      </c>
      <c r="Y777" s="105"/>
      <c r="Z777" s="177">
        <v>0</v>
      </c>
      <c r="AA777" s="130"/>
      <c r="AB777" s="130"/>
      <c r="AC777" s="106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s="63"/>
      <c r="B778" s="15"/>
      <c r="C778" s="16"/>
      <c r="D778" s="16"/>
      <c r="E778" s="17"/>
      <c r="F778" s="18"/>
      <c r="G778" s="147"/>
      <c r="H778" s="20">
        <v>0</v>
      </c>
      <c r="I778" s="104">
        <f>IN[[#This Row],[Buffer]]</f>
        <v>0</v>
      </c>
      <c r="J778" s="135">
        <f>IF(IN[[#This Row],[Sim_]]=IN[[#This Row],[STAGE]],1,0)</f>
        <v>1</v>
      </c>
      <c r="K778" s="159"/>
      <c r="L778" s="130"/>
      <c r="M778" s="130">
        <f>IF(IN[[#This Row],[Sim_]]=IN[[#This Row],[Sim Var ref]],1,0)</f>
        <v>1</v>
      </c>
      <c r="N778" s="8"/>
      <c r="O778" s="8"/>
      <c r="P778" s="277"/>
      <c r="Q778" s="137">
        <f>IF(IN[[#This Row],[Sim_]]=IN[[#This Row],[Direkt alt]],1,0)</f>
        <v>1</v>
      </c>
      <c r="R778" s="413">
        <v>0</v>
      </c>
      <c r="S778" s="10">
        <f>IF(IN[[#This Row],[Sim_]]=IN[[#This Row],[Buffer]],1,0)</f>
        <v>1</v>
      </c>
      <c r="T778" s="130"/>
      <c r="U778" s="145"/>
      <c r="V778" s="281"/>
      <c r="X778">
        <v>0</v>
      </c>
      <c r="Y778" s="105"/>
      <c r="Z778" s="177">
        <v>0</v>
      </c>
      <c r="AA778" s="130"/>
      <c r="AB778" s="130"/>
      <c r="AC778" s="106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s="63"/>
      <c r="B779" s="15"/>
      <c r="C779" s="16"/>
      <c r="D779" s="16"/>
      <c r="E779" s="17"/>
      <c r="F779" s="18"/>
      <c r="G779" s="147"/>
      <c r="H779" s="20">
        <v>0</v>
      </c>
      <c r="I779" s="104">
        <f>IN[[#This Row],[Buffer]]</f>
        <v>0</v>
      </c>
      <c r="J779" s="135">
        <f>IF(IN[[#This Row],[Sim_]]=IN[[#This Row],[STAGE]],1,0)</f>
        <v>1</v>
      </c>
      <c r="K779" s="159"/>
      <c r="L779" s="130"/>
      <c r="M779" s="130">
        <f>IF(IN[[#This Row],[Sim_]]=IN[[#This Row],[Sim Var ref]],1,0)</f>
        <v>1</v>
      </c>
      <c r="N779" s="8"/>
      <c r="O779" s="8"/>
      <c r="P779" s="277"/>
      <c r="Q779" s="137">
        <f>IF(IN[[#This Row],[Sim_]]=IN[[#This Row],[Direkt alt]],1,0)</f>
        <v>1</v>
      </c>
      <c r="R779" s="413">
        <v>0</v>
      </c>
      <c r="S779" s="10">
        <f>IF(IN[[#This Row],[Sim_]]=IN[[#This Row],[Buffer]],1,0)</f>
        <v>1</v>
      </c>
      <c r="T779" s="130"/>
      <c r="U779" s="145"/>
      <c r="V779" s="281"/>
      <c r="X779">
        <v>0</v>
      </c>
      <c r="Y779" s="105"/>
      <c r="Z779" s="177">
        <v>0</v>
      </c>
      <c r="AA779" s="130"/>
      <c r="AB779" s="130"/>
      <c r="AC779" s="106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ht="26.25" x14ac:dyDescent="0.4">
      <c r="A780" s="412"/>
      <c r="B780" s="412"/>
      <c r="C780" s="422" t="e">
        <f>ROWS(#REF!)-1</f>
        <v>#REF!</v>
      </c>
      <c r="D780" s="422" t="s">
        <v>293</v>
      </c>
      <c r="E780" s="412"/>
      <c r="F780" s="423"/>
      <c r="G780" s="424"/>
      <c r="H780" s="412">
        <v>0</v>
      </c>
      <c r="I780" s="412"/>
      <c r="J780" s="412"/>
      <c r="K780" s="412"/>
      <c r="L780" s="412"/>
      <c r="M780" s="412"/>
      <c r="N780" s="412"/>
      <c r="O780" s="412"/>
      <c r="P780" s="412"/>
      <c r="Q780" s="412"/>
      <c r="R780" s="412"/>
      <c r="S780" s="412"/>
      <c r="T780" s="412"/>
      <c r="U780" s="412"/>
      <c r="V780" s="412"/>
      <c r="W780" s="412"/>
      <c r="X780" s="412"/>
      <c r="Y780" s="412"/>
      <c r="Z780" s="412"/>
      <c r="AA780" s="412"/>
      <c r="AB780" s="412"/>
      <c r="AC780" s="412"/>
      <c r="AD780" s="412"/>
      <c r="AE780" s="412"/>
      <c r="AF780" s="412"/>
      <c r="AG780" s="412"/>
    </row>
    <row r="781" spans="1:36" x14ac:dyDescent="0.25">
      <c r="A781" s="425" t="s">
        <v>1011</v>
      </c>
      <c r="B781" s="426" t="s">
        <v>1012</v>
      </c>
      <c r="C781" s="427" t="s">
        <v>1013</v>
      </c>
      <c r="D781" s="428"/>
      <c r="E781" s="429"/>
      <c r="F781" s="430"/>
      <c r="G781" s="134" t="str">
        <f ca="1">_xlfn.FORMULATEXT(IN[[#This Row],[STAGE]])</f>
        <v>='[ka_PEQ_Nachweistool.xlsb]☁'!B6</v>
      </c>
      <c r="H781" s="20">
        <v>2</v>
      </c>
      <c r="I781" s="104">
        <f>'[1]☁'!B6</f>
        <v>0</v>
      </c>
      <c r="J781" s="135">
        <f>IF(IN[[#This Row],[Sim_]]=IN[[#This Row],[STAGE]],1,0)</f>
        <v>1</v>
      </c>
      <c r="K781" s="431"/>
      <c r="L781" s="432"/>
      <c r="M781" s="432">
        <f>IF(IN[[#This Row],[Sim_]]=IN[[#This Row],[Sim Var ref]],1,0)</f>
        <v>1</v>
      </c>
      <c r="N781" s="279"/>
      <c r="O781" s="279"/>
      <c r="P781" s="433"/>
      <c r="Q781" s="137">
        <f>IF(IN[[#This Row],[Sim_]]=IN[[#This Row],[Direkt alt]],1,0)</f>
        <v>1</v>
      </c>
      <c r="R781" s="10"/>
      <c r="S781" s="10">
        <f>IF(IN[[#This Row],[Sim_]]=IN[[#This Row],[Buffer]],1,0)</f>
        <v>1</v>
      </c>
      <c r="T781" s="412"/>
      <c r="U781" s="145"/>
      <c r="V781" s="434"/>
      <c r="W781" s="434"/>
      <c r="X781" s="434"/>
      <c r="Y781" s="434"/>
      <c r="Z781" s="435"/>
      <c r="AA781" s="434"/>
      <c r="AB781" s="434"/>
      <c r="AC781" s="106"/>
      <c r="AH781">
        <v>0.08</v>
      </c>
      <c r="AI781">
        <v>0.08</v>
      </c>
      <c r="AJ781">
        <v>0.08</v>
      </c>
    </row>
    <row r="782" spans="1:36" x14ac:dyDescent="0.25">
      <c r="A782" s="425" t="s">
        <v>1011</v>
      </c>
      <c r="B782" s="426" t="s">
        <v>1014</v>
      </c>
      <c r="C782" s="427" t="s">
        <v>1013</v>
      </c>
      <c r="D782" s="428"/>
      <c r="E782" s="429"/>
      <c r="F782" s="430"/>
      <c r="G782" s="134" t="str">
        <f ca="1">_xlfn.FORMULATEXT(IN[[#This Row],[STAGE]])</f>
        <v>='[ka_PEQ_Nachweistool.xlsb]☁'!B7</v>
      </c>
      <c r="H782" s="20">
        <v>2</v>
      </c>
      <c r="I782" s="104">
        <f>'[1]☁'!B7</f>
        <v>0</v>
      </c>
      <c r="J782" s="135">
        <f>IF(IN[[#This Row],[Sim_]]=IN[[#This Row],[STAGE]],1,0)</f>
        <v>1</v>
      </c>
      <c r="K782" s="431"/>
      <c r="L782" s="432"/>
      <c r="M782" s="432">
        <f>IF(IN[[#This Row],[Sim_]]=IN[[#This Row],[Sim Var ref]],1,0)</f>
        <v>1</v>
      </c>
      <c r="N782" s="279"/>
      <c r="O782" s="279"/>
      <c r="P782" s="433"/>
      <c r="Q782" s="137">
        <f>IF(IN[[#This Row],[Sim_]]=IN[[#This Row],[Direkt alt]],1,0)</f>
        <v>1</v>
      </c>
      <c r="R782" s="10"/>
      <c r="S782" s="10">
        <f>IF(IN[[#This Row],[Sim_]]=IN[[#This Row],[Buffer]],1,0)</f>
        <v>1</v>
      </c>
      <c r="T782" s="412"/>
      <c r="U782" s="145"/>
      <c r="V782" s="434"/>
      <c r="W782" s="434"/>
      <c r="X782" s="434"/>
      <c r="Y782" s="434"/>
      <c r="Z782" s="435"/>
      <c r="AA782" s="434"/>
      <c r="AB782" s="434"/>
      <c r="AC782" s="106"/>
      <c r="AH782">
        <v>0.09</v>
      </c>
      <c r="AI782">
        <v>0.09</v>
      </c>
      <c r="AJ782">
        <v>0.09</v>
      </c>
    </row>
    <row r="783" spans="1:36" x14ac:dyDescent="0.25">
      <c r="A783" s="425" t="s">
        <v>1011</v>
      </c>
      <c r="B783" s="426" t="s">
        <v>1015</v>
      </c>
      <c r="C783" s="427" t="s">
        <v>1013</v>
      </c>
      <c r="D783" s="428"/>
      <c r="E783" s="429"/>
      <c r="F783" s="430"/>
      <c r="G783" s="134" t="str">
        <f ca="1">_xlfn.FORMULATEXT(IN[[#This Row],[STAGE]])</f>
        <v>='[ka_PEQ_Nachweistool.xlsb]☁'!B8</v>
      </c>
      <c r="H783" s="20">
        <v>2</v>
      </c>
      <c r="I783" s="104">
        <f>'[1]☁'!B8</f>
        <v>0</v>
      </c>
      <c r="J783" s="135">
        <f>IF(IN[[#This Row],[Sim_]]=IN[[#This Row],[STAGE]],1,0)</f>
        <v>1</v>
      </c>
      <c r="K783" s="431"/>
      <c r="L783" s="432"/>
      <c r="M783" s="432">
        <f>IF(IN[[#This Row],[Sim_]]=IN[[#This Row],[Sim Var ref]],1,0)</f>
        <v>1</v>
      </c>
      <c r="N783" s="279"/>
      <c r="O783" s="279"/>
      <c r="P783" s="433"/>
      <c r="Q783" s="137">
        <f>IF(IN[[#This Row],[Sim_]]=IN[[#This Row],[Direkt alt]],1,0)</f>
        <v>1</v>
      </c>
      <c r="R783" s="10"/>
      <c r="S783" s="10">
        <f>IF(IN[[#This Row],[Sim_]]=IN[[#This Row],[Buffer]],1,0)</f>
        <v>1</v>
      </c>
      <c r="T783" s="412"/>
      <c r="U783" s="145"/>
      <c r="V783" s="434"/>
      <c r="W783" s="434"/>
      <c r="X783" s="434"/>
      <c r="Y783" s="434"/>
      <c r="Z783" s="435"/>
      <c r="AA783" s="434"/>
      <c r="AB783" s="434"/>
      <c r="AC783" s="106"/>
      <c r="AH783">
        <v>-0.24</v>
      </c>
      <c r="AI783">
        <v>-0.24</v>
      </c>
      <c r="AJ783">
        <v>-0.24</v>
      </c>
    </row>
    <row r="784" spans="1:36" x14ac:dyDescent="0.25">
      <c r="A784" s="425" t="s">
        <v>1011</v>
      </c>
      <c r="B784" s="426" t="s">
        <v>1016</v>
      </c>
      <c r="C784" s="427" t="s">
        <v>1013</v>
      </c>
      <c r="D784" s="428"/>
      <c r="E784" s="429"/>
      <c r="F784" s="430"/>
      <c r="G784" s="134" t="str">
        <f ca="1">_xlfn.FORMULATEXT(IN[[#This Row],[STAGE]])</f>
        <v>='[ka_PEQ_Nachweistool.xlsb]☁'!B9</v>
      </c>
      <c r="H784" s="20">
        <v>2</v>
      </c>
      <c r="I784" s="104">
        <f>'[1]☁'!B9</f>
        <v>0</v>
      </c>
      <c r="J784" s="135">
        <f>IF(IN[[#This Row],[Sim_]]=IN[[#This Row],[STAGE]],1,0)</f>
        <v>1</v>
      </c>
      <c r="K784" s="431"/>
      <c r="L784" s="432"/>
      <c r="M784" s="432">
        <f>IF(IN[[#This Row],[Sim_]]=IN[[#This Row],[Sim Var ref]],1,0)</f>
        <v>1</v>
      </c>
      <c r="N784" s="279"/>
      <c r="O784" s="279"/>
      <c r="P784" s="433"/>
      <c r="Q784" s="137">
        <f>IF(IN[[#This Row],[Sim_]]=IN[[#This Row],[Direkt alt]],1,0)</f>
        <v>1</v>
      </c>
      <c r="R784" s="10"/>
      <c r="S784" s="10">
        <f>IF(IN[[#This Row],[Sim_]]=IN[[#This Row],[Buffer]],1,0)</f>
        <v>1</v>
      </c>
      <c r="T784" s="412"/>
      <c r="U784" s="145"/>
      <c r="V784" s="434"/>
      <c r="W784" s="434"/>
      <c r="X784" s="434"/>
      <c r="Y784" s="434"/>
      <c r="Z784" s="435"/>
      <c r="AA784" s="434"/>
      <c r="AB784" s="434"/>
      <c r="AC784" s="106"/>
      <c r="AH784">
        <v>-0.13</v>
      </c>
      <c r="AI784">
        <v>-0.13</v>
      </c>
      <c r="AJ784">
        <v>-0.13</v>
      </c>
    </row>
    <row r="785" spans="1:36" x14ac:dyDescent="0.25">
      <c r="A785" s="425" t="s">
        <v>1011</v>
      </c>
      <c r="B785" s="426" t="s">
        <v>1017</v>
      </c>
      <c r="C785" s="427" t="s">
        <v>1013</v>
      </c>
      <c r="D785" s="428"/>
      <c r="E785" s="429"/>
      <c r="F785" s="430"/>
      <c r="G785" s="134" t="str">
        <f ca="1">_xlfn.FORMULATEXT(IN[[#This Row],[STAGE]])</f>
        <v>='[ka_PEQ_Nachweistool.xlsb]☁'!B10</v>
      </c>
      <c r="H785" s="20">
        <v>2</v>
      </c>
      <c r="I785" s="104">
        <f>'[1]☁'!B10</f>
        <v>0</v>
      </c>
      <c r="J785" s="135">
        <f>IF(IN[[#This Row],[Sim_]]=IN[[#This Row],[STAGE]],1,0)</f>
        <v>1</v>
      </c>
      <c r="K785" s="431"/>
      <c r="L785" s="432"/>
      <c r="M785" s="432">
        <f>IF(IN[[#This Row],[Sim_]]=IN[[#This Row],[Sim Var ref]],1,0)</f>
        <v>1</v>
      </c>
      <c r="N785" s="279"/>
      <c r="O785" s="279"/>
      <c r="P785" s="433"/>
      <c r="Q785" s="137">
        <f>IF(IN[[#This Row],[Sim_]]=IN[[#This Row],[Direkt alt]],1,0)</f>
        <v>1</v>
      </c>
      <c r="R785" s="10"/>
      <c r="S785" s="10">
        <f>IF(IN[[#This Row],[Sim_]]=IN[[#This Row],[Buffer]],1,0)</f>
        <v>1</v>
      </c>
      <c r="T785" s="412"/>
      <c r="U785" s="145"/>
      <c r="V785" s="434"/>
      <c r="W785" s="434"/>
      <c r="X785" s="434"/>
      <c r="Y785" s="434"/>
      <c r="Z785" s="435"/>
      <c r="AA785" s="434"/>
      <c r="AB785" s="434"/>
      <c r="AC785" s="106"/>
      <c r="AH785">
        <v>0</v>
      </c>
      <c r="AI785">
        <v>0</v>
      </c>
      <c r="AJ785">
        <v>0</v>
      </c>
    </row>
    <row r="786" spans="1:36" x14ac:dyDescent="0.25">
      <c r="A786" s="425" t="s">
        <v>1011</v>
      </c>
      <c r="B786" s="426" t="s">
        <v>1018</v>
      </c>
      <c r="C786" s="427" t="s">
        <v>1013</v>
      </c>
      <c r="D786" s="428"/>
      <c r="E786" s="429"/>
      <c r="F786" s="430"/>
      <c r="G786" s="134" t="str">
        <f ca="1">_xlfn.FORMULATEXT(IN[[#This Row],[STAGE]])</f>
        <v>='[ka_PEQ_Nachweistool.xlsb]☁'!B11</v>
      </c>
      <c r="H786" s="20">
        <v>2</v>
      </c>
      <c r="I786" s="104">
        <f>'[1]☁'!B11</f>
        <v>0</v>
      </c>
      <c r="J786" s="135">
        <f>IF(IN[[#This Row],[Sim_]]=IN[[#This Row],[STAGE]],1,0)</f>
        <v>1</v>
      </c>
      <c r="K786" s="431"/>
      <c r="L786" s="432"/>
      <c r="M786" s="432">
        <f>IF(IN[[#This Row],[Sim_]]=IN[[#This Row],[Sim Var ref]],1,0)</f>
        <v>1</v>
      </c>
      <c r="N786" s="279"/>
      <c r="O786" s="279"/>
      <c r="P786" s="433"/>
      <c r="Q786" s="137">
        <f>IF(IN[[#This Row],[Sim_]]=IN[[#This Row],[Direkt alt]],1,0)</f>
        <v>1</v>
      </c>
      <c r="R786" s="10"/>
      <c r="S786" s="10">
        <f>IF(IN[[#This Row],[Sim_]]=IN[[#This Row],[Buffer]],1,0)</f>
        <v>1</v>
      </c>
      <c r="T786" s="412"/>
      <c r="U786" s="145"/>
      <c r="V786" s="434"/>
      <c r="W786" s="434"/>
      <c r="X786" s="434"/>
      <c r="Y786" s="434"/>
      <c r="Z786" s="435"/>
      <c r="AA786" s="434"/>
      <c r="AB786" s="434"/>
      <c r="AC786" s="106"/>
      <c r="AH786">
        <v>0.05</v>
      </c>
      <c r="AI786">
        <v>0.05</v>
      </c>
      <c r="AJ786">
        <v>0.05</v>
      </c>
    </row>
    <row r="787" spans="1:36" x14ac:dyDescent="0.25">
      <c r="A787" s="425" t="s">
        <v>1011</v>
      </c>
      <c r="B787" s="426" t="s">
        <v>1019</v>
      </c>
      <c r="C787" s="427" t="s">
        <v>1013</v>
      </c>
      <c r="D787" s="429"/>
      <c r="E787" s="429"/>
      <c r="F787" s="430"/>
      <c r="G787" s="134" t="str">
        <f ca="1">_xlfn.FORMULATEXT(IN[[#This Row],[STAGE]])</f>
        <v>='[ka_PEQ_Nachweistool.xlsb]☁'!B15</v>
      </c>
      <c r="H787" s="20">
        <v>2</v>
      </c>
      <c r="I787" s="436">
        <f>'[1]☁'!B15</f>
        <v>0</v>
      </c>
      <c r="J787" s="135">
        <f>IF(IN[[#This Row],[Sim_]]=IN[[#This Row],[STAGE]],1,0)</f>
        <v>1</v>
      </c>
      <c r="K787" s="431"/>
      <c r="L787" s="432"/>
      <c r="M787" s="432">
        <f>IF(IN[[#This Row],[Sim_]]=IN[[#This Row],[Sim Var ref]],1,0)</f>
        <v>1</v>
      </c>
      <c r="N787" s="279"/>
      <c r="O787" s="279"/>
      <c r="P787" s="433"/>
      <c r="Q787" s="137">
        <f>IF(IN[[#This Row],[Sim_]]=IN[[#This Row],[Direkt alt]],1,0)</f>
        <v>1</v>
      </c>
      <c r="R787" s="10"/>
      <c r="S787" s="10">
        <f>IF(IN[[#This Row],[Sim_]]=IN[[#This Row],[Buffer]],1,0)</f>
        <v>1</v>
      </c>
      <c r="T787" s="412"/>
      <c r="U787" s="145"/>
      <c r="V787" s="434"/>
      <c r="W787" s="434"/>
      <c r="X787" s="434"/>
      <c r="Y787" s="434"/>
      <c r="Z787" s="435"/>
      <c r="AA787" s="434"/>
      <c r="AB787" s="434"/>
      <c r="AC787" s="106"/>
      <c r="AH787">
        <v>1</v>
      </c>
      <c r="AI787">
        <v>1</v>
      </c>
      <c r="AJ787">
        <v>1</v>
      </c>
    </row>
    <row r="788" spans="1:36" x14ac:dyDescent="0.25">
      <c r="A788" s="425" t="s">
        <v>1011</v>
      </c>
      <c r="B788" s="426" t="s">
        <v>1020</v>
      </c>
      <c r="C788" s="427" t="s">
        <v>1013</v>
      </c>
      <c r="D788" s="429"/>
      <c r="E788" s="429"/>
      <c r="F788" s="430"/>
      <c r="G788" s="134" t="str">
        <f ca="1">_xlfn.FORMULATEXT(IN[[#This Row],[STAGE]])</f>
        <v>='[ka_PEQ_Nachweistool.xlsb]☁'!B16</v>
      </c>
      <c r="H788" s="20">
        <v>2</v>
      </c>
      <c r="I788" s="104">
        <f>'[1]☁'!B16</f>
        <v>0</v>
      </c>
      <c r="J788" s="135">
        <f>IF(IN[[#This Row],[Sim_]]=IN[[#This Row],[STAGE]],1,0)</f>
        <v>1</v>
      </c>
      <c r="K788" s="431"/>
      <c r="L788" s="432"/>
      <c r="M788" s="432">
        <f>IF(IN[[#This Row],[Sim_]]=IN[[#This Row],[Sim Var ref]],1,0)</f>
        <v>1</v>
      </c>
      <c r="N788" s="279"/>
      <c r="O788" s="279"/>
      <c r="P788" s="433"/>
      <c r="Q788" s="137">
        <f>IF(IN[[#This Row],[Sim_]]=IN[[#This Row],[Direkt alt]],1,0)</f>
        <v>1</v>
      </c>
      <c r="R788" s="10"/>
      <c r="S788" s="10">
        <f>IF(IN[[#This Row],[Sim_]]=IN[[#This Row],[Buffer]],1,0)</f>
        <v>1</v>
      </c>
      <c r="T788" s="412"/>
      <c r="U788" s="145"/>
      <c r="V788" s="434"/>
      <c r="W788" s="434"/>
      <c r="X788" s="434"/>
      <c r="Y788" s="434"/>
      <c r="Z788" s="435"/>
      <c r="AA788" s="434"/>
      <c r="AB788" s="434"/>
      <c r="AC788" s="106"/>
      <c r="AH788">
        <v>0.2</v>
      </c>
      <c r="AI788">
        <v>0.2</v>
      </c>
      <c r="AJ788">
        <v>0.2</v>
      </c>
    </row>
    <row r="789" spans="1:36" x14ac:dyDescent="0.25">
      <c r="A789" s="425" t="s">
        <v>1011</v>
      </c>
      <c r="B789" s="426" t="s">
        <v>1021</v>
      </c>
      <c r="C789" s="427" t="s">
        <v>1013</v>
      </c>
      <c r="D789" s="429"/>
      <c r="E789" s="429"/>
      <c r="F789" s="430"/>
      <c r="G789" s="134" t="str">
        <f ca="1">_xlfn.FORMULATEXT(IN[[#This Row],[STAGE]])</f>
        <v>='[ka_PEQ_Nachweistool.xlsb]☁'!B17</v>
      </c>
      <c r="H789" s="20">
        <v>2</v>
      </c>
      <c r="I789" s="104">
        <f>'[1]☁'!B17</f>
        <v>0</v>
      </c>
      <c r="J789" s="135">
        <f>IF(IN[[#This Row],[Sim_]]=IN[[#This Row],[STAGE]],1,0)</f>
        <v>1</v>
      </c>
      <c r="K789" s="431"/>
      <c r="L789" s="432"/>
      <c r="M789" s="432">
        <f>IF(IN[[#This Row],[Sim_]]=IN[[#This Row],[Sim Var ref]],1,0)</f>
        <v>1</v>
      </c>
      <c r="N789" s="279"/>
      <c r="O789" s="279"/>
      <c r="P789" s="433"/>
      <c r="Q789" s="137">
        <f>IF(IN[[#This Row],[Sim_]]=IN[[#This Row],[Direkt alt]],1,0)</f>
        <v>1</v>
      </c>
      <c r="R789" s="10"/>
      <c r="S789" s="10">
        <f>IF(IN[[#This Row],[Sim_]]=IN[[#This Row],[Buffer]],1,0)</f>
        <v>1</v>
      </c>
      <c r="T789" s="412"/>
      <c r="U789" s="145"/>
      <c r="V789" s="434"/>
      <c r="W789" s="434"/>
      <c r="X789" s="434"/>
      <c r="Y789" s="434"/>
      <c r="Z789" s="435"/>
      <c r="AA789" s="434"/>
      <c r="AB789" s="434"/>
      <c r="AC789" s="106"/>
      <c r="AH789">
        <v>0.06</v>
      </c>
      <c r="AI789">
        <v>0.06</v>
      </c>
      <c r="AJ789">
        <v>0.06</v>
      </c>
    </row>
    <row r="790" spans="1:36" x14ac:dyDescent="0.25">
      <c r="A790" s="425" t="s">
        <v>1011</v>
      </c>
      <c r="B790" s="426" t="s">
        <v>1022</v>
      </c>
      <c r="C790" s="427" t="s">
        <v>1013</v>
      </c>
      <c r="D790" s="429"/>
      <c r="E790" s="429"/>
      <c r="F790" s="430"/>
      <c r="G790" s="134" t="str">
        <f ca="1">_xlfn.FORMULATEXT(IN[[#This Row],[STAGE]])</f>
        <v>='[ka_PEQ_Nachweistool.xlsb]☁'!B18</v>
      </c>
      <c r="H790" s="20">
        <v>2</v>
      </c>
      <c r="I790" s="104">
        <f>'[1]☁'!B18</f>
        <v>0</v>
      </c>
      <c r="J790" s="135">
        <f>IF(IN[[#This Row],[Sim_]]=IN[[#This Row],[STAGE]],1,0)</f>
        <v>1</v>
      </c>
      <c r="K790" s="431"/>
      <c r="L790" s="432"/>
      <c r="M790" s="432">
        <f>IF(IN[[#This Row],[Sim_]]=IN[[#This Row],[Sim Var ref]],1,0)</f>
        <v>1</v>
      </c>
      <c r="N790" s="279"/>
      <c r="O790" s="279"/>
      <c r="P790" s="433"/>
      <c r="Q790" s="137">
        <f>IF(IN[[#This Row],[Sim_]]=IN[[#This Row],[Direkt alt]],1,0)</f>
        <v>1</v>
      </c>
      <c r="R790" s="10"/>
      <c r="S790" s="10">
        <f>IF(IN[[#This Row],[Sim_]]=IN[[#This Row],[Buffer]],1,0)</f>
        <v>1</v>
      </c>
      <c r="T790" s="412"/>
      <c r="U790" s="145"/>
      <c r="V790" s="434"/>
      <c r="W790" s="434"/>
      <c r="X790" s="434"/>
      <c r="Y790" s="434"/>
      <c r="Z790" s="435"/>
      <c r="AA790" s="434"/>
      <c r="AB790" s="434"/>
      <c r="AC790" s="106"/>
      <c r="AH790">
        <v>0</v>
      </c>
      <c r="AI790">
        <v>0</v>
      </c>
      <c r="AJ790">
        <v>0</v>
      </c>
    </row>
    <row r="791" spans="1:36" x14ac:dyDescent="0.25">
      <c r="A791" s="425" t="s">
        <v>1011</v>
      </c>
      <c r="B791" s="426" t="s">
        <v>1023</v>
      </c>
      <c r="C791" s="427" t="s">
        <v>1013</v>
      </c>
      <c r="D791" s="429"/>
      <c r="E791" s="429"/>
      <c r="F791" s="430"/>
      <c r="G791" s="134" t="str">
        <f ca="1">_xlfn.FORMULATEXT(IN[[#This Row],[STAGE]])</f>
        <v>='[ka_PEQ_Nachweistool.xlsb]☁'!B19</v>
      </c>
      <c r="H791" s="20">
        <v>2</v>
      </c>
      <c r="I791" s="104">
        <f>'[1]☁'!B19</f>
        <v>0</v>
      </c>
      <c r="J791" s="135">
        <f>IF(IN[[#This Row],[Sim_]]=IN[[#This Row],[STAGE]],1,0)</f>
        <v>1</v>
      </c>
      <c r="K791" s="431"/>
      <c r="L791" s="432"/>
      <c r="M791" s="432">
        <f>IF(IN[[#This Row],[Sim_]]=IN[[#This Row],[Sim Var ref]],1,0)</f>
        <v>1</v>
      </c>
      <c r="N791" s="279"/>
      <c r="O791" s="279"/>
      <c r="P791" s="433"/>
      <c r="Q791" s="137">
        <f>IF(IN[[#This Row],[Sim_]]=IN[[#This Row],[Direkt alt]],1,0)</f>
        <v>1</v>
      </c>
      <c r="R791" s="10"/>
      <c r="S791" s="10">
        <f>IF(IN[[#This Row],[Sim_]]=IN[[#This Row],[Buffer]],1,0)</f>
        <v>1</v>
      </c>
      <c r="T791" s="412"/>
      <c r="U791" s="145"/>
      <c r="V791" s="434"/>
      <c r="W791" s="434"/>
      <c r="X791" s="434"/>
      <c r="Y791" s="434"/>
      <c r="Z791" s="435"/>
      <c r="AA791" s="434"/>
      <c r="AB791" s="434"/>
      <c r="AC791" s="106"/>
      <c r="AH791">
        <v>0.2</v>
      </c>
      <c r="AI791">
        <v>0.2</v>
      </c>
      <c r="AJ791">
        <v>0.2</v>
      </c>
    </row>
    <row r="792" spans="1:36" x14ac:dyDescent="0.25">
      <c r="A792" s="425" t="s">
        <v>1011</v>
      </c>
      <c r="B792" s="426" t="s">
        <v>1024</v>
      </c>
      <c r="C792" s="428" t="s">
        <v>1025</v>
      </c>
      <c r="D792" s="429"/>
      <c r="E792" s="429"/>
      <c r="F792" s="430"/>
      <c r="G792" s="134" t="str">
        <f ca="1">_xlfn.FORMULATEXT(IN[[#This Row],[STAGE]])</f>
        <v>='[ka_PEQ_Nachweistool.xlsb]☁'!B22</v>
      </c>
      <c r="H792" s="20">
        <v>2</v>
      </c>
      <c r="I792" s="104">
        <f>'[1]☁'!B22</f>
        <v>0</v>
      </c>
      <c r="J792" s="135">
        <f>IF(IN[[#This Row],[Sim_]]=IN[[#This Row],[STAGE]],1,0)</f>
        <v>1</v>
      </c>
      <c r="K792" s="431"/>
      <c r="L792" s="432"/>
      <c r="M792" s="432">
        <f>IF(IN[[#This Row],[Sim_]]=IN[[#This Row],[Sim Var ref]],1,0)</f>
        <v>1</v>
      </c>
      <c r="N792" s="279"/>
      <c r="O792" s="279"/>
      <c r="P792" s="433"/>
      <c r="Q792" s="137">
        <f>IF(IN[[#This Row],[Sim_]]=IN[[#This Row],[Direkt alt]],1,0)</f>
        <v>1</v>
      </c>
      <c r="R792" s="10"/>
      <c r="S792" s="10">
        <f>IF(IN[[#This Row],[Sim_]]=IN[[#This Row],[Buffer]],1,0)</f>
        <v>1</v>
      </c>
      <c r="T792" s="412"/>
      <c r="U792" s="145"/>
      <c r="V792" s="434"/>
      <c r="W792" s="434"/>
      <c r="X792" s="434"/>
      <c r="Y792" s="434"/>
      <c r="Z792" s="435"/>
      <c r="AA792" s="434"/>
      <c r="AB792" s="434"/>
      <c r="AC792" s="106"/>
      <c r="AH792">
        <v>5</v>
      </c>
      <c r="AI792">
        <v>5</v>
      </c>
      <c r="AJ792">
        <v>5</v>
      </c>
    </row>
    <row r="793" spans="1:36" x14ac:dyDescent="0.25">
      <c r="A793" s="425" t="s">
        <v>1011</v>
      </c>
      <c r="B793" s="426"/>
      <c r="C793" s="428"/>
      <c r="D793" s="429"/>
      <c r="E793" s="429"/>
      <c r="F793" s="430"/>
      <c r="G793" s="134" t="str">
        <f ca="1">_xlfn.FORMULATEXT(IN[[#This Row],[STAGE]])</f>
        <v>=[@Buffer]</v>
      </c>
      <c r="H793" s="20">
        <v>0</v>
      </c>
      <c r="I793" s="104">
        <f>IN[[#This Row],[Buffer]]</f>
        <v>0</v>
      </c>
      <c r="J793" s="135">
        <f>IF(IN[[#This Row],[Sim_]]=IN[[#This Row],[STAGE]],1,0)</f>
        <v>1</v>
      </c>
      <c r="K793" s="431"/>
      <c r="L793" s="432"/>
      <c r="M793" s="432">
        <f>IF(IN[[#This Row],[Sim_]]=IN[[#This Row],[Sim Var ref]],1,0)</f>
        <v>1</v>
      </c>
      <c r="N793" s="279"/>
      <c r="O793" s="279"/>
      <c r="P793" s="433"/>
      <c r="Q793" s="137">
        <f>IF(IN[[#This Row],[Sim_]]=IN[[#This Row],[Direkt alt]],1,0)</f>
        <v>1</v>
      </c>
      <c r="R793" s="10"/>
      <c r="S793" s="10">
        <f>IF(IN[[#This Row],[Sim_]]=IN[[#This Row],[Buffer]],1,0)</f>
        <v>1</v>
      </c>
      <c r="T793" s="412"/>
      <c r="U793" s="145"/>
      <c r="V793" s="434"/>
      <c r="W793" s="434"/>
      <c r="X793" s="434"/>
      <c r="Y793" s="434"/>
      <c r="Z793" s="435"/>
      <c r="AA793" s="434"/>
      <c r="AB793" s="434"/>
      <c r="AC793" s="106"/>
      <c r="AH793">
        <v>0</v>
      </c>
      <c r="AI793">
        <v>0</v>
      </c>
      <c r="AJ793">
        <v>0</v>
      </c>
    </row>
    <row r="794" spans="1:36" x14ac:dyDescent="0.25">
      <c r="A794" s="425" t="s">
        <v>1011</v>
      </c>
      <c r="B794" s="426" t="s">
        <v>1026</v>
      </c>
      <c r="C794" s="428"/>
      <c r="D794" s="428"/>
      <c r="E794" s="429"/>
      <c r="F794" s="430"/>
      <c r="G794" s="134" t="e">
        <f ca="1">_xlfn.FORMULATEXT(IN[[#This Row],[STAGE]])</f>
        <v>#N/A</v>
      </c>
      <c r="H794" s="20">
        <v>1</v>
      </c>
      <c r="I794" s="391">
        <v>50</v>
      </c>
      <c r="J794" s="135">
        <f>IF(IN[[#This Row],[Sim_]]=IN[[#This Row],[STAGE]],1,0)</f>
        <v>0</v>
      </c>
      <c r="K794" s="431"/>
      <c r="L794" s="432"/>
      <c r="M794" s="432">
        <f>IF(IN[[#This Row],[Sim_]]=IN[[#This Row],[Sim Var ref]],1,0)</f>
        <v>1</v>
      </c>
      <c r="N794" s="279"/>
      <c r="O794" s="279"/>
      <c r="P794" s="433"/>
      <c r="Q794" s="137">
        <f>IF(IN[[#This Row],[Sim_]]=IN[[#This Row],[Direkt alt]],1,0)</f>
        <v>1</v>
      </c>
      <c r="R794" s="10"/>
      <c r="S794" s="10">
        <f>IF(IN[[#This Row],[Sim_]]=IN[[#This Row],[Buffer]],1,0)</f>
        <v>1</v>
      </c>
      <c r="T794" s="412"/>
      <c r="U794" s="145"/>
      <c r="V794" s="434"/>
      <c r="W794" s="434"/>
      <c r="X794" s="434"/>
      <c r="Y794" s="434"/>
      <c r="Z794" s="435"/>
      <c r="AA794" s="434"/>
      <c r="AB794" s="434"/>
      <c r="AC794" s="106"/>
      <c r="AH794">
        <v>50</v>
      </c>
      <c r="AI794">
        <v>50</v>
      </c>
      <c r="AJ794">
        <v>50</v>
      </c>
    </row>
    <row r="795" spans="1:36" x14ac:dyDescent="0.25">
      <c r="A795" s="425" t="s">
        <v>1011</v>
      </c>
      <c r="B795" s="426" t="s">
        <v>1027</v>
      </c>
      <c r="C795" s="427" t="s">
        <v>1028</v>
      </c>
      <c r="D795" s="428"/>
      <c r="E795" s="429"/>
      <c r="F795" s="430"/>
      <c r="G795" s="134" t="e">
        <f ca="1">_xlfn.FORMULATEXT(IN[[#This Row],[STAGE]])</f>
        <v>#N/A</v>
      </c>
      <c r="H795" s="20">
        <v>0</v>
      </c>
      <c r="I795" s="437">
        <v>126.75</v>
      </c>
      <c r="J795" s="135">
        <f>IF(IN[[#This Row],[Sim_]]=IN[[#This Row],[STAGE]],1,0)</f>
        <v>0</v>
      </c>
      <c r="K795" s="431"/>
      <c r="L795" s="432"/>
      <c r="M795" s="432">
        <f>IF(IN[[#This Row],[Sim_]]=IN[[#This Row],[Sim Var ref]],1,0)</f>
        <v>1</v>
      </c>
      <c r="N795" s="279"/>
      <c r="O795" s="279"/>
      <c r="P795" s="433"/>
      <c r="Q795" s="137">
        <f>IF(IN[[#This Row],[Sim_]]=IN[[#This Row],[Direkt alt]],1,0)</f>
        <v>1</v>
      </c>
      <c r="R795" s="10"/>
      <c r="S795" s="10">
        <f>IF(IN[[#This Row],[Sim_]]=IN[[#This Row],[Buffer]],1,0)</f>
        <v>1</v>
      </c>
      <c r="T795" s="412"/>
      <c r="U795" s="145"/>
      <c r="V795" s="434"/>
      <c r="W795" s="434"/>
      <c r="X795" s="434"/>
      <c r="Y795" s="434"/>
      <c r="Z795" s="435"/>
      <c r="AA795" s="434"/>
      <c r="AB795" s="434"/>
      <c r="AC795" s="106"/>
      <c r="AH795">
        <v>0</v>
      </c>
      <c r="AI795">
        <v>126.75</v>
      </c>
      <c r="AJ795">
        <v>126.75</v>
      </c>
    </row>
    <row r="796" spans="1:36" x14ac:dyDescent="0.25">
      <c r="A796" s="425" t="s">
        <v>1011</v>
      </c>
      <c r="B796" s="426" t="s">
        <v>1029</v>
      </c>
      <c r="C796" s="427" t="s">
        <v>1028</v>
      </c>
      <c r="D796" s="428"/>
      <c r="E796" s="429"/>
      <c r="F796" s="430"/>
      <c r="G796" s="134" t="e">
        <f ca="1">_xlfn.FORMULATEXT(IN[[#This Row],[STAGE]])</f>
        <v>#N/A</v>
      </c>
      <c r="H796" s="20">
        <v>0</v>
      </c>
      <c r="I796" s="437">
        <v>216.5</v>
      </c>
      <c r="J796" s="135">
        <f>IF(IN[[#This Row],[Sim_]]=IN[[#This Row],[STAGE]],1,0)</f>
        <v>0</v>
      </c>
      <c r="K796" s="431"/>
      <c r="L796" s="432"/>
      <c r="M796" s="432">
        <f>IF(IN[[#This Row],[Sim_]]=IN[[#This Row],[Sim Var ref]],1,0)</f>
        <v>1</v>
      </c>
      <c r="N796" s="279"/>
      <c r="O796" s="279"/>
      <c r="P796" s="433"/>
      <c r="Q796" s="137">
        <f>IF(IN[[#This Row],[Sim_]]=IN[[#This Row],[Direkt alt]],1,0)</f>
        <v>1</v>
      </c>
      <c r="R796" s="10"/>
      <c r="S796" s="10">
        <f>IF(IN[[#This Row],[Sim_]]=IN[[#This Row],[Buffer]],1,0)</f>
        <v>1</v>
      </c>
      <c r="T796" s="412"/>
      <c r="U796" s="145"/>
      <c r="V796" s="434"/>
      <c r="W796" s="434"/>
      <c r="X796" s="434"/>
      <c r="Y796" s="434"/>
      <c r="Z796" s="435"/>
      <c r="AA796" s="434"/>
      <c r="AB796" s="434"/>
      <c r="AC796" s="106"/>
      <c r="AH796">
        <v>0</v>
      </c>
      <c r="AI796">
        <v>216.5</v>
      </c>
      <c r="AJ796">
        <v>216.5</v>
      </c>
    </row>
    <row r="797" spans="1:36" x14ac:dyDescent="0.25">
      <c r="A797" s="425" t="s">
        <v>1011</v>
      </c>
      <c r="B797" s="426"/>
      <c r="C797" s="428"/>
      <c r="D797" s="428"/>
      <c r="E797" s="429"/>
      <c r="F797" s="430"/>
      <c r="G797" s="134" t="str">
        <f ca="1">_xlfn.FORMULATEXT(IN[[#This Row],[STAGE]])</f>
        <v>=[@Buffer]</v>
      </c>
      <c r="H797" s="20">
        <v>0</v>
      </c>
      <c r="I797" s="104">
        <f>IN[[#This Row],[Buffer]]</f>
        <v>0</v>
      </c>
      <c r="J797" s="135">
        <f>IF(IN[[#This Row],[Sim_]]=IN[[#This Row],[STAGE]],1,0)</f>
        <v>1</v>
      </c>
      <c r="K797" s="431"/>
      <c r="L797" s="432"/>
      <c r="M797" s="432">
        <f>IF(IN[[#This Row],[Sim_]]=IN[[#This Row],[Sim Var ref]],1,0)</f>
        <v>1</v>
      </c>
      <c r="N797" s="279"/>
      <c r="O797" s="279"/>
      <c r="P797" s="433"/>
      <c r="Q797" s="137">
        <f>IF(IN[[#This Row],[Sim_]]=IN[[#This Row],[Direkt alt]],1,0)</f>
        <v>1</v>
      </c>
      <c r="R797" s="10"/>
      <c r="S797" s="10">
        <f>IF(IN[[#This Row],[Sim_]]=IN[[#This Row],[Buffer]],1,0)</f>
        <v>1</v>
      </c>
      <c r="T797" s="412"/>
      <c r="U797" s="145"/>
      <c r="V797" s="434"/>
      <c r="W797" s="434"/>
      <c r="X797" s="434"/>
      <c r="Y797" s="434"/>
      <c r="Z797" s="435"/>
      <c r="AA797" s="434"/>
      <c r="AB797" s="434"/>
      <c r="AC797" s="106"/>
      <c r="AH797">
        <v>0</v>
      </c>
      <c r="AI797">
        <v>0</v>
      </c>
      <c r="AJ797">
        <v>0</v>
      </c>
    </row>
    <row r="798" spans="1:36" x14ac:dyDescent="0.25">
      <c r="A798" s="425" t="s">
        <v>1011</v>
      </c>
      <c r="B798" s="426"/>
      <c r="C798" s="428"/>
      <c r="D798" s="428"/>
      <c r="E798" s="429"/>
      <c r="F798" s="430"/>
      <c r="G798" s="134" t="str">
        <f ca="1">_xlfn.FORMULATEXT(IN[[#This Row],[STAGE]])</f>
        <v>=[@Buffer]</v>
      </c>
      <c r="H798" s="20">
        <v>0</v>
      </c>
      <c r="I798" s="104">
        <f>IN[[#This Row],[Buffer]]</f>
        <v>0</v>
      </c>
      <c r="J798" s="135">
        <f>IF(IN[[#This Row],[Sim_]]=IN[[#This Row],[STAGE]],1,0)</f>
        <v>1</v>
      </c>
      <c r="K798" s="431"/>
      <c r="L798" s="432"/>
      <c r="M798" s="432">
        <f>IF(IN[[#This Row],[Sim_]]=IN[[#This Row],[Sim Var ref]],1,0)</f>
        <v>1</v>
      </c>
      <c r="N798" s="279"/>
      <c r="O798" s="279"/>
      <c r="P798" s="433"/>
      <c r="Q798" s="137">
        <f>IF(IN[[#This Row],[Sim_]]=IN[[#This Row],[Direkt alt]],1,0)</f>
        <v>1</v>
      </c>
      <c r="R798" s="10"/>
      <c r="S798" s="10">
        <f>IF(IN[[#This Row],[Sim_]]=IN[[#This Row],[Buffer]],1,0)</f>
        <v>1</v>
      </c>
      <c r="T798" s="412"/>
      <c r="U798" s="145"/>
      <c r="V798" s="434"/>
      <c r="W798" s="434"/>
      <c r="X798" s="434"/>
      <c r="Y798" s="434"/>
      <c r="Z798" s="435"/>
      <c r="AA798" s="434"/>
      <c r="AB798" s="434"/>
      <c r="AC798" s="106"/>
      <c r="AH798">
        <v>0</v>
      </c>
      <c r="AI798">
        <v>0</v>
      </c>
      <c r="AJ798">
        <v>0</v>
      </c>
    </row>
    <row r="799" spans="1:36" x14ac:dyDescent="0.25">
      <c r="A799" s="425" t="s">
        <v>1011</v>
      </c>
      <c r="B799" s="426"/>
      <c r="C799" s="428"/>
      <c r="D799" s="428"/>
      <c r="E799" s="429"/>
      <c r="F799" s="430"/>
      <c r="G799" s="134" t="str">
        <f ca="1">_xlfn.FORMULATEXT(IN[[#This Row],[STAGE]])</f>
        <v>=[@Buffer]</v>
      </c>
      <c r="H799" s="20">
        <v>0</v>
      </c>
      <c r="I799" s="104">
        <f>IN[[#This Row],[Buffer]]</f>
        <v>0</v>
      </c>
      <c r="J799" s="135">
        <f>IF(IN[[#This Row],[Sim_]]=IN[[#This Row],[STAGE]],1,0)</f>
        <v>1</v>
      </c>
      <c r="K799" s="431"/>
      <c r="L799" s="432"/>
      <c r="M799" s="432">
        <f>IF(IN[[#This Row],[Sim_]]=IN[[#This Row],[Sim Var ref]],1,0)</f>
        <v>1</v>
      </c>
      <c r="N799" s="279"/>
      <c r="O799" s="279"/>
      <c r="P799" s="433"/>
      <c r="Q799" s="137">
        <f>IF(IN[[#This Row],[Sim_]]=IN[[#This Row],[Direkt alt]],1,0)</f>
        <v>1</v>
      </c>
      <c r="R799" s="10"/>
      <c r="S799" s="10">
        <f>IF(IN[[#This Row],[Sim_]]=IN[[#This Row],[Buffer]],1,0)</f>
        <v>1</v>
      </c>
      <c r="T799" s="412"/>
      <c r="U799" s="145"/>
      <c r="V799" s="434"/>
      <c r="W799" s="434"/>
      <c r="X799" s="434"/>
      <c r="Y799" s="434"/>
      <c r="Z799" s="435"/>
      <c r="AA799" s="434"/>
      <c r="AB799" s="434"/>
      <c r="AC799" s="106"/>
      <c r="AH799">
        <v>0</v>
      </c>
      <c r="AI799">
        <v>0</v>
      </c>
      <c r="AJ799">
        <v>0</v>
      </c>
    </row>
    <row r="800" spans="1:36" x14ac:dyDescent="0.25">
      <c r="A800" s="425" t="s">
        <v>1011</v>
      </c>
      <c r="B800" s="426"/>
      <c r="C800" s="428"/>
      <c r="D800" s="428"/>
      <c r="E800" s="429"/>
      <c r="F800" s="430"/>
      <c r="G800" s="134" t="str">
        <f ca="1">_xlfn.FORMULATEXT(IN[[#This Row],[STAGE]])</f>
        <v>=[@Buffer]</v>
      </c>
      <c r="H800" s="20">
        <v>0</v>
      </c>
      <c r="I800" s="104">
        <f>IN[[#This Row],[Buffer]]</f>
        <v>0</v>
      </c>
      <c r="J800" s="135">
        <f>IF(IN[[#This Row],[Sim_]]=IN[[#This Row],[STAGE]],1,0)</f>
        <v>1</v>
      </c>
      <c r="K800" s="431"/>
      <c r="L800" s="432"/>
      <c r="M800" s="432">
        <f>IF(IN[[#This Row],[Sim_]]=IN[[#This Row],[Sim Var ref]],1,0)</f>
        <v>1</v>
      </c>
      <c r="N800" s="279"/>
      <c r="O800" s="279"/>
      <c r="P800" s="433"/>
      <c r="Q800" s="137">
        <f>IF(IN[[#This Row],[Sim_]]=IN[[#This Row],[Direkt alt]],1,0)</f>
        <v>1</v>
      </c>
      <c r="R800" s="10"/>
      <c r="S800" s="10">
        <f>IF(IN[[#This Row],[Sim_]]=IN[[#This Row],[Buffer]],1,0)</f>
        <v>1</v>
      </c>
      <c r="T800" s="412"/>
      <c r="U800" s="145"/>
      <c r="V800" s="434"/>
      <c r="W800" s="434"/>
      <c r="X800" s="434"/>
      <c r="Y800" s="434"/>
      <c r="Z800" s="435"/>
      <c r="AA800" s="434"/>
      <c r="AB800" s="434"/>
      <c r="AC800" s="106"/>
      <c r="AH800">
        <v>0</v>
      </c>
      <c r="AI800">
        <v>0</v>
      </c>
      <c r="AJ800">
        <v>0</v>
      </c>
    </row>
    <row r="801" spans="1:36" x14ac:dyDescent="0.25">
      <c r="A801" s="425" t="s">
        <v>1011</v>
      </c>
      <c r="B801" s="426"/>
      <c r="C801" s="428"/>
      <c r="D801" s="428"/>
      <c r="E801" s="429"/>
      <c r="F801" s="430"/>
      <c r="G801" s="134" t="str">
        <f ca="1">_xlfn.FORMULATEXT(IN[[#This Row],[STAGE]])</f>
        <v>=[@Buffer]</v>
      </c>
      <c r="H801" s="20">
        <v>0</v>
      </c>
      <c r="I801" s="104">
        <f>IN[[#This Row],[Buffer]]</f>
        <v>0</v>
      </c>
      <c r="J801" s="135">
        <f>IF(IN[[#This Row],[Sim_]]=IN[[#This Row],[STAGE]],1,0)</f>
        <v>1</v>
      </c>
      <c r="K801" s="431"/>
      <c r="L801" s="432"/>
      <c r="M801" s="432">
        <f>IF(IN[[#This Row],[Sim_]]=IN[[#This Row],[Sim Var ref]],1,0)</f>
        <v>1</v>
      </c>
      <c r="N801" s="279"/>
      <c r="O801" s="279"/>
      <c r="P801" s="433"/>
      <c r="Q801" s="137">
        <f>IF(IN[[#This Row],[Sim_]]=IN[[#This Row],[Direkt alt]],1,0)</f>
        <v>1</v>
      </c>
      <c r="R801" s="10"/>
      <c r="S801" s="10">
        <f>IF(IN[[#This Row],[Sim_]]=IN[[#This Row],[Buffer]],1,0)</f>
        <v>1</v>
      </c>
      <c r="T801" s="412"/>
      <c r="U801" s="145"/>
      <c r="V801" s="434"/>
      <c r="W801" s="434"/>
      <c r="X801" s="434"/>
      <c r="Y801" s="434"/>
      <c r="Z801" s="435"/>
      <c r="AA801" s="434"/>
      <c r="AB801" s="434"/>
      <c r="AC801" s="106"/>
      <c r="AH801">
        <v>0</v>
      </c>
      <c r="AI801">
        <v>0</v>
      </c>
      <c r="AJ801">
        <v>0</v>
      </c>
    </row>
    <row r="802" spans="1:36" x14ac:dyDescent="0.25">
      <c r="A802" s="425" t="s">
        <v>1011</v>
      </c>
      <c r="B802" s="426"/>
      <c r="C802" s="428"/>
      <c r="D802" s="428"/>
      <c r="E802" s="429"/>
      <c r="F802" s="430"/>
      <c r="G802" s="134" t="str">
        <f ca="1">_xlfn.FORMULATEXT(IN[[#This Row],[STAGE]])</f>
        <v>=[@Buffer]</v>
      </c>
      <c r="H802" s="20">
        <v>0</v>
      </c>
      <c r="I802" s="104">
        <f>IN[[#This Row],[Buffer]]</f>
        <v>0</v>
      </c>
      <c r="J802" s="135">
        <f>IF(IN[[#This Row],[Sim_]]=IN[[#This Row],[STAGE]],1,0)</f>
        <v>1</v>
      </c>
      <c r="K802" s="431"/>
      <c r="L802" s="432"/>
      <c r="M802" s="432">
        <f>IF(IN[[#This Row],[Sim_]]=IN[[#This Row],[Sim Var ref]],1,0)</f>
        <v>1</v>
      </c>
      <c r="N802" s="279"/>
      <c r="O802" s="279"/>
      <c r="P802" s="433"/>
      <c r="Q802" s="137">
        <f>IF(IN[[#This Row],[Sim_]]=IN[[#This Row],[Direkt alt]],1,0)</f>
        <v>1</v>
      </c>
      <c r="R802" s="10"/>
      <c r="S802" s="10">
        <f>IF(IN[[#This Row],[Sim_]]=IN[[#This Row],[Buffer]],1,0)</f>
        <v>1</v>
      </c>
      <c r="T802" s="412"/>
      <c r="U802" s="145"/>
      <c r="V802" s="434"/>
      <c r="W802" s="434"/>
      <c r="X802" s="434"/>
      <c r="Y802" s="434"/>
      <c r="Z802" s="435"/>
      <c r="AA802" s="434"/>
      <c r="AB802" s="434"/>
      <c r="AC802" s="106"/>
      <c r="AH802">
        <v>0</v>
      </c>
      <c r="AI802">
        <v>0</v>
      </c>
      <c r="AJ802">
        <v>0</v>
      </c>
    </row>
    <row r="803" spans="1:36" x14ac:dyDescent="0.25">
      <c r="A803" s="425" t="s">
        <v>1011</v>
      </c>
      <c r="B803" s="426"/>
      <c r="C803" s="428"/>
      <c r="D803" s="428"/>
      <c r="E803" s="429"/>
      <c r="F803" s="430"/>
      <c r="G803" s="134" t="str">
        <f ca="1">_xlfn.FORMULATEXT(IN[[#This Row],[STAGE]])</f>
        <v>=[@Buffer]</v>
      </c>
      <c r="H803" s="20">
        <v>0</v>
      </c>
      <c r="I803" s="104">
        <f>IN[[#This Row],[Buffer]]</f>
        <v>0</v>
      </c>
      <c r="J803" s="135">
        <f>IF(IN[[#This Row],[Sim_]]=IN[[#This Row],[STAGE]],1,0)</f>
        <v>1</v>
      </c>
      <c r="K803" s="431"/>
      <c r="L803" s="432"/>
      <c r="M803" s="432">
        <f>IF(IN[[#This Row],[Sim_]]=IN[[#This Row],[Sim Var ref]],1,0)</f>
        <v>1</v>
      </c>
      <c r="N803" s="279"/>
      <c r="O803" s="279"/>
      <c r="P803" s="433"/>
      <c r="Q803" s="137">
        <f>IF(IN[[#This Row],[Sim_]]=IN[[#This Row],[Direkt alt]],1,0)</f>
        <v>1</v>
      </c>
      <c r="R803" s="10"/>
      <c r="S803" s="10">
        <f>IF(IN[[#This Row],[Sim_]]=IN[[#This Row],[Buffer]],1,0)</f>
        <v>1</v>
      </c>
      <c r="T803" s="412"/>
      <c r="U803" s="145"/>
      <c r="V803" s="434"/>
      <c r="W803" s="434"/>
      <c r="X803" s="434"/>
      <c r="Y803" s="434"/>
      <c r="Z803" s="435"/>
      <c r="AA803" s="434"/>
      <c r="AB803" s="434"/>
      <c r="AC803" s="106"/>
      <c r="AH803">
        <v>0</v>
      </c>
      <c r="AI803">
        <v>0</v>
      </c>
      <c r="AJ803">
        <v>0</v>
      </c>
    </row>
    <row r="804" spans="1:36" x14ac:dyDescent="0.25">
      <c r="A804" s="425" t="s">
        <v>1011</v>
      </c>
      <c r="B804" s="426"/>
      <c r="C804" s="428"/>
      <c r="D804" s="428"/>
      <c r="E804" s="429"/>
      <c r="F804" s="430"/>
      <c r="G804" s="134" t="str">
        <f ca="1">_xlfn.FORMULATEXT(IN[[#This Row],[STAGE]])</f>
        <v>=[@Buffer]</v>
      </c>
      <c r="H804" s="20">
        <v>0</v>
      </c>
      <c r="I804" s="104">
        <f>IN[[#This Row],[Buffer]]</f>
        <v>0</v>
      </c>
      <c r="J804" s="135">
        <f>IF(IN[[#This Row],[Sim_]]=IN[[#This Row],[STAGE]],1,0)</f>
        <v>1</v>
      </c>
      <c r="K804" s="431"/>
      <c r="L804" s="432"/>
      <c r="M804" s="432">
        <f>IF(IN[[#This Row],[Sim_]]=IN[[#This Row],[Sim Var ref]],1,0)</f>
        <v>1</v>
      </c>
      <c r="N804" s="279"/>
      <c r="O804" s="279"/>
      <c r="P804" s="433"/>
      <c r="Q804" s="137">
        <f>IF(IN[[#This Row],[Sim_]]=IN[[#This Row],[Direkt alt]],1,0)</f>
        <v>1</v>
      </c>
      <c r="R804" s="10"/>
      <c r="S804" s="10">
        <f>IF(IN[[#This Row],[Sim_]]=IN[[#This Row],[Buffer]],1,0)</f>
        <v>1</v>
      </c>
      <c r="T804" s="412"/>
      <c r="U804" s="145"/>
      <c r="V804" s="434"/>
      <c r="W804" s="434"/>
      <c r="X804" s="434"/>
      <c r="Y804" s="434"/>
      <c r="Z804" s="435"/>
      <c r="AA804" s="434"/>
      <c r="AB804" s="434"/>
      <c r="AC804" s="106"/>
      <c r="AH804">
        <v>0</v>
      </c>
      <c r="AI804">
        <v>0</v>
      </c>
      <c r="AJ804">
        <v>0</v>
      </c>
    </row>
    <row r="805" spans="1:36" x14ac:dyDescent="0.25">
      <c r="A805" s="425" t="s">
        <v>1011</v>
      </c>
      <c r="B805" s="426"/>
      <c r="C805" s="428"/>
      <c r="D805" s="428"/>
      <c r="E805" s="429"/>
      <c r="F805" s="430"/>
      <c r="G805" s="134" t="str">
        <f ca="1">_xlfn.FORMULATEXT(IN[[#This Row],[STAGE]])</f>
        <v>=[@Buffer]</v>
      </c>
      <c r="H805" s="20">
        <v>0</v>
      </c>
      <c r="I805" s="104">
        <f>IN[[#This Row],[Buffer]]</f>
        <v>0</v>
      </c>
      <c r="J805" s="135">
        <f>IF(IN[[#This Row],[Sim_]]=IN[[#This Row],[STAGE]],1,0)</f>
        <v>1</v>
      </c>
      <c r="K805" s="431"/>
      <c r="L805" s="432"/>
      <c r="M805" s="432">
        <f>IF(IN[[#This Row],[Sim_]]=IN[[#This Row],[Sim Var ref]],1,0)</f>
        <v>1</v>
      </c>
      <c r="N805" s="279"/>
      <c r="O805" s="279"/>
      <c r="P805" s="433"/>
      <c r="Q805" s="137">
        <f>IF(IN[[#This Row],[Sim_]]=IN[[#This Row],[Direkt alt]],1,0)</f>
        <v>1</v>
      </c>
      <c r="R805" s="10"/>
      <c r="S805" s="10">
        <f>IF(IN[[#This Row],[Sim_]]=IN[[#This Row],[Buffer]],1,0)</f>
        <v>1</v>
      </c>
      <c r="T805" s="412"/>
      <c r="U805" s="145"/>
      <c r="V805" s="434"/>
      <c r="W805" s="434"/>
      <c r="X805" s="434"/>
      <c r="Y805" s="434"/>
      <c r="Z805" s="435"/>
      <c r="AA805" s="434"/>
      <c r="AB805" s="434"/>
      <c r="AC805" s="106"/>
      <c r="AH805">
        <v>0</v>
      </c>
      <c r="AI805">
        <v>0</v>
      </c>
      <c r="AJ805">
        <v>0</v>
      </c>
    </row>
    <row r="806" spans="1:36" x14ac:dyDescent="0.25">
      <c r="A806" s="425"/>
      <c r="B806" s="426"/>
      <c r="C806" s="428" t="e">
        <f>ROWS(#REF!)-1</f>
        <v>#REF!</v>
      </c>
      <c r="D806" s="428"/>
      <c r="E806" s="429"/>
      <c r="F806" s="430"/>
      <c r="G806" s="438"/>
      <c r="H806" s="438"/>
      <c r="I806" s="438"/>
      <c r="J806" s="438"/>
      <c r="K806" s="438"/>
      <c r="L806" s="438"/>
      <c r="M806" s="438"/>
      <c r="N806" s="438"/>
      <c r="O806" s="438"/>
      <c r="P806" s="438"/>
      <c r="Q806" s="438"/>
      <c r="R806" s="438"/>
      <c r="S806" s="438"/>
      <c r="T806" s="438"/>
      <c r="U806" s="438"/>
      <c r="V806" s="438"/>
      <c r="W806" s="438"/>
      <c r="X806" s="438"/>
      <c r="Y806" s="438"/>
      <c r="Z806" s="438"/>
      <c r="AA806" s="438"/>
      <c r="AB806" s="438"/>
      <c r="AC806" s="438"/>
      <c r="AD806" s="438"/>
      <c r="AE806" s="438"/>
      <c r="AF806" s="438"/>
      <c r="AG806" s="438"/>
    </row>
    <row r="807" spans="1:36" ht="75" x14ac:dyDescent="0.25">
      <c r="A807" s="439" t="s">
        <v>1030</v>
      </c>
      <c r="B807" s="15" t="s">
        <v>1031</v>
      </c>
      <c r="C807" s="16"/>
      <c r="D807" s="16"/>
      <c r="E807" s="17"/>
      <c r="F807" s="18" t="s">
        <v>1032</v>
      </c>
      <c r="G807" s="134" t="e">
        <f ca="1">_xlfn.FORMULATEXT(IN[[#This Row],[STAGE]])</f>
        <v>#N/A</v>
      </c>
      <c r="H807" s="20">
        <v>1</v>
      </c>
      <c r="I807" s="440" t="s">
        <v>1033</v>
      </c>
      <c r="J807" s="135">
        <f>IF(IN[[#This Row],[Sim_]]=IN[[#This Row],[STAGE]],1,0)</f>
        <v>0</v>
      </c>
      <c r="K807" s="131">
        <f>K179</f>
        <v>3</v>
      </c>
      <c r="L807" s="130"/>
      <c r="M807" s="130">
        <f>IF(IN[[#This Row],[Sim_]]=IN[[#This Row],[Sim Var ref]],1,0)</f>
        <v>0</v>
      </c>
      <c r="N807" s="8"/>
      <c r="O807" s="8">
        <v>565</v>
      </c>
      <c r="P807" s="277"/>
      <c r="Q807" s="137">
        <f>IF(IN[[#This Row],[Sim_]]=IN[[#This Row],[Direkt alt]],1,0)</f>
        <v>0</v>
      </c>
      <c r="R807" s="413" t="s">
        <v>1033</v>
      </c>
      <c r="S807" s="10">
        <f>IF(IN[[#This Row],[Sim_]]=IN[[#This Row],[Buffer]],1,0)</f>
        <v>0</v>
      </c>
      <c r="T807" s="130"/>
      <c r="U807" s="145"/>
      <c r="V807" s="281"/>
      <c r="X807" t="s">
        <v>1033</v>
      </c>
      <c r="Y807" s="105"/>
      <c r="Z807" s="177" t="s">
        <v>1033</v>
      </c>
      <c r="AA807" s="130"/>
      <c r="AB807" s="130">
        <v>0</v>
      </c>
      <c r="AC807" s="441" t="s">
        <v>1033</v>
      </c>
      <c r="AD807" t="s">
        <v>1033</v>
      </c>
      <c r="AE807" t="s">
        <v>1033</v>
      </c>
      <c r="AF807" t="s">
        <v>1033</v>
      </c>
      <c r="AG807" t="s">
        <v>1033</v>
      </c>
      <c r="AH807" t="s">
        <v>1033</v>
      </c>
      <c r="AI807" t="s">
        <v>1033</v>
      </c>
      <c r="AJ807" t="s">
        <v>1033</v>
      </c>
    </row>
    <row r="808" spans="1:36" x14ac:dyDescent="0.25">
      <c r="A808" s="439" t="s">
        <v>1030</v>
      </c>
      <c r="B808" s="15" t="s">
        <v>1034</v>
      </c>
      <c r="C808" s="16"/>
      <c r="D808" s="16"/>
      <c r="E808" s="17"/>
      <c r="F808" s="18"/>
      <c r="G808" s="134" t="e">
        <f ca="1">_xlfn.FORMULATEXT(IN[[#This Row],[STAGE]])</f>
        <v>#N/A</v>
      </c>
      <c r="H808" s="20">
        <v>1</v>
      </c>
      <c r="I808" s="421">
        <v>7</v>
      </c>
      <c r="J808" s="135">
        <f>IF(IN[[#This Row],[Sim_]]=IN[[#This Row],[STAGE]],1,0)</f>
        <v>1</v>
      </c>
      <c r="K808" s="131">
        <f>K186</f>
        <v>7</v>
      </c>
      <c r="L808" s="130"/>
      <c r="M808" s="130">
        <f>IF(IN[[#This Row],[Sim_]]=IN[[#This Row],[Sim Var ref]],1,0)</f>
        <v>0</v>
      </c>
      <c r="N808" s="8"/>
      <c r="O808" s="8">
        <v>566</v>
      </c>
      <c r="P808" s="277"/>
      <c r="Q808" s="137">
        <f>IF(IN[[#This Row],[Sim_]]=IN[[#This Row],[Direkt alt]],1,0)</f>
        <v>0</v>
      </c>
      <c r="R808" s="413">
        <v>7</v>
      </c>
      <c r="S808" s="10">
        <f>IF(IN[[#This Row],[Sim_]]=IN[[#This Row],[Buffer]],1,0)</f>
        <v>1</v>
      </c>
      <c r="T808" s="130"/>
      <c r="U808" s="145"/>
      <c r="V808" s="281"/>
      <c r="X808">
        <v>7</v>
      </c>
      <c r="Y808" s="105"/>
      <c r="Z808" s="177">
        <v>7</v>
      </c>
      <c r="AA808" s="130"/>
      <c r="AB808" s="130">
        <v>0</v>
      </c>
      <c r="AC808" s="442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</row>
    <row r="809" spans="1:36" x14ac:dyDescent="0.25">
      <c r="A809" s="439" t="s">
        <v>1030</v>
      </c>
      <c r="B809" s="15"/>
      <c r="C809" s="16"/>
      <c r="D809" s="16"/>
      <c r="E809" s="17"/>
      <c r="F809" s="18"/>
      <c r="G809" s="134" t="str">
        <f ca="1">_xlfn.FORMULATEXT(IN[[#This Row],[STAGE]])</f>
        <v>=[@Buffer]</v>
      </c>
      <c r="H809" s="20">
        <v>0</v>
      </c>
      <c r="I809" s="104">
        <f>IN[[#This Row],[Buffer]]</f>
        <v>0</v>
      </c>
      <c r="J809" s="135">
        <f>IF(IN[[#This Row],[Sim_]]=IN[[#This Row],[STAGE]],1,0)</f>
        <v>1</v>
      </c>
      <c r="K809" s="159"/>
      <c r="L809" s="130"/>
      <c r="M809" s="130">
        <f>IF(IN[[#This Row],[Sim_]]=IN[[#This Row],[Sim Var ref]],1,0)</f>
        <v>1</v>
      </c>
      <c r="N809" s="8"/>
      <c r="O809" s="8">
        <v>567</v>
      </c>
      <c r="P809" s="277"/>
      <c r="Q809" s="137">
        <f>IF(IN[[#This Row],[Sim_]]=IN[[#This Row],[Direkt alt]],1,0)</f>
        <v>1</v>
      </c>
      <c r="R809" s="413">
        <v>0</v>
      </c>
      <c r="S809" s="10">
        <f>IF(IN[[#This Row],[Sim_]]=IN[[#This Row],[Buffer]],1,0)</f>
        <v>1</v>
      </c>
      <c r="T809" s="130"/>
      <c r="U809" s="145"/>
      <c r="V809" s="281"/>
      <c r="X809">
        <v>0</v>
      </c>
      <c r="Y809" s="105"/>
      <c r="Z809" s="177">
        <v>0</v>
      </c>
      <c r="AA809" s="130"/>
      <c r="AB809" s="130">
        <v>0</v>
      </c>
      <c r="AC809" s="106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s="439" t="s">
        <v>1030</v>
      </c>
      <c r="B810" s="15"/>
      <c r="C810" s="16"/>
      <c r="D810" s="16"/>
      <c r="E810" s="17"/>
      <c r="F810" s="18"/>
      <c r="G810" s="134" t="str">
        <f ca="1">_xlfn.FORMULATEXT(IN[[#This Row],[STAGE]])</f>
        <v>=[@Buffer]</v>
      </c>
      <c r="H810" s="20">
        <v>0</v>
      </c>
      <c r="I810" s="104">
        <f>IN[[#This Row],[Buffer]]</f>
        <v>0</v>
      </c>
      <c r="J810" s="135">
        <f>IF(IN[[#This Row],[Sim_]]=IN[[#This Row],[STAGE]],1,0)</f>
        <v>1</v>
      </c>
      <c r="K810" s="159"/>
      <c r="L810" s="130"/>
      <c r="M810" s="130">
        <f>IF(IN[[#This Row],[Sim_]]=IN[[#This Row],[Sim Var ref]],1,0)</f>
        <v>1</v>
      </c>
      <c r="N810" s="8"/>
      <c r="O810" s="8">
        <v>568</v>
      </c>
      <c r="P810" s="277"/>
      <c r="Q810" s="137">
        <f>IF(IN[[#This Row],[Sim_]]=IN[[#This Row],[Direkt alt]],1,0)</f>
        <v>1</v>
      </c>
      <c r="R810" s="413">
        <v>0</v>
      </c>
      <c r="S810" s="10">
        <f>IF(IN[[#This Row],[Sim_]]=IN[[#This Row],[Buffer]],1,0)</f>
        <v>1</v>
      </c>
      <c r="T810" s="130"/>
      <c r="U810" s="145"/>
      <c r="V810" s="281"/>
      <c r="X810">
        <v>0</v>
      </c>
      <c r="Y810" s="105"/>
      <c r="Z810" s="177">
        <v>0</v>
      </c>
      <c r="AA810" s="130"/>
      <c r="AB810" s="130">
        <v>0</v>
      </c>
      <c r="AC810" s="106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s="443" t="s">
        <v>1030</v>
      </c>
      <c r="B811" s="444" t="s">
        <v>1035</v>
      </c>
      <c r="C811" s="445"/>
      <c r="D811" s="445"/>
      <c r="E811" s="446"/>
      <c r="F811" s="447" t="s">
        <v>1036</v>
      </c>
      <c r="G811" s="448" t="str">
        <f ca="1">_xlfn.FORMULATEXT(IN[[#This Row],[STAGE]])</f>
        <v>=VERGLEICH(conversion_profile_grid;ka_PEQ_Nachweistool.xlsb!fPE[#Kopfzeilen];0)</v>
      </c>
      <c r="H811" s="449">
        <v>0</v>
      </c>
      <c r="I811" s="450" t="e">
        <f>MATCH(conversion_profile_grid,[1]!fPE[#Headers],0)</f>
        <v>#N/A</v>
      </c>
      <c r="J811" s="451" t="e">
        <f>IF(IN[[#This Row],[Sim_]]=IN[[#This Row],[STAGE]],1,0)</f>
        <v>#N/A</v>
      </c>
      <c r="K811" s="452"/>
      <c r="L811" s="453"/>
      <c r="M811" s="453">
        <f>IF(IN[[#This Row],[Sim_]]=IN[[#This Row],[Sim Var ref]],1,0)</f>
        <v>1</v>
      </c>
      <c r="N811" s="454"/>
      <c r="O811" s="454">
        <v>569</v>
      </c>
      <c r="P811" s="455"/>
      <c r="Q811" s="453">
        <f>IF(IN[[#This Row],[Sim_]]=IN[[#This Row],[Direkt alt]],1,0)</f>
        <v>1</v>
      </c>
      <c r="R811" s="456">
        <v>5</v>
      </c>
      <c r="S811" s="453">
        <f>IF(IN[[#This Row],[Sim_]]=IN[[#This Row],[Buffer]],1,0)</f>
        <v>0</v>
      </c>
      <c r="T811" s="453"/>
      <c r="U811" s="457"/>
      <c r="V811" s="281"/>
      <c r="X811">
        <v>5</v>
      </c>
      <c r="Y811" s="105"/>
      <c r="Z811" s="177">
        <v>5</v>
      </c>
      <c r="AA811" s="130"/>
      <c r="AB811" s="130">
        <v>0</v>
      </c>
      <c r="AC811" s="458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</row>
    <row r="812" spans="1:36" x14ac:dyDescent="0.25">
      <c r="A812" s="439" t="s">
        <v>1030</v>
      </c>
      <c r="B812" s="15" t="s">
        <v>1037</v>
      </c>
      <c r="C812" s="16"/>
      <c r="D812" s="16"/>
      <c r="E812" s="17"/>
      <c r="F812" s="18" t="s">
        <v>1038</v>
      </c>
      <c r="G812" s="134" t="str">
        <f ca="1">_xlfn.FORMULATEXT(IN[[#This Row],[STAGE]])</f>
        <v>=fPE_grid_column</v>
      </c>
      <c r="H812" s="20">
        <v>0</v>
      </c>
      <c r="I812" s="197">
        <f>fPE_grid_column</f>
        <v>0</v>
      </c>
      <c r="J812" s="135">
        <f>IF(IN[[#This Row],[Sim_]]=IN[[#This Row],[STAGE]],1,0)</f>
        <v>1</v>
      </c>
      <c r="K812" s="159"/>
      <c r="L812" s="130"/>
      <c r="M812" s="130">
        <f>IF(IN[[#This Row],[Sim_]]=IN[[#This Row],[Sim Var ref]],1,0)</f>
        <v>1</v>
      </c>
      <c r="N812" s="8"/>
      <c r="O812" s="8">
        <v>570</v>
      </c>
      <c r="P812" s="277"/>
      <c r="Q812" s="137">
        <f>IF(IN[[#This Row],[Sim_]]=IN[[#This Row],[Direkt alt]],1,0)</f>
        <v>1</v>
      </c>
      <c r="R812" s="413">
        <v>0</v>
      </c>
      <c r="S812" s="10">
        <f>IF(IN[[#This Row],[Sim_]]=IN[[#This Row],[Buffer]],1,0)</f>
        <v>1</v>
      </c>
      <c r="T812" s="130"/>
      <c r="U812" s="145"/>
      <c r="V812" s="281"/>
      <c r="X812">
        <v>0</v>
      </c>
      <c r="Y812" s="105"/>
      <c r="Z812" s="177">
        <v>0</v>
      </c>
      <c r="AA812" s="130"/>
      <c r="AB812" s="130">
        <v>0</v>
      </c>
      <c r="AC812" s="106">
        <v>0</v>
      </c>
      <c r="AD812">
        <v>0</v>
      </c>
      <c r="AE812">
        <v>0</v>
      </c>
      <c r="AF812">
        <v>0</v>
      </c>
      <c r="AG812">
        <v>0</v>
      </c>
      <c r="AH812">
        <v>5</v>
      </c>
      <c r="AI812">
        <v>5</v>
      </c>
      <c r="AJ812">
        <v>5</v>
      </c>
    </row>
    <row r="813" spans="1:36" x14ac:dyDescent="0.25">
      <c r="A813" s="439" t="s">
        <v>1030</v>
      </c>
      <c r="B813" s="15" t="s">
        <v>1039</v>
      </c>
      <c r="C813" s="16" t="s">
        <v>824</v>
      </c>
      <c r="D813" s="16"/>
      <c r="E813" s="17" t="e">
        <f>_xlfn.NUMBERVALUE(TRUE)</f>
        <v>#VALUE!</v>
      </c>
      <c r="F813" s="18" t="s">
        <v>1040</v>
      </c>
      <c r="G813" s="147"/>
      <c r="H813" s="20">
        <v>0</v>
      </c>
      <c r="I813" s="223">
        <f>--ISNUMBER(FIND("Fernwärme",heat_th2_carrier_type))</f>
        <v>1</v>
      </c>
      <c r="J813" s="135">
        <f>IF(IN[[#This Row],[Sim_]]=IN[[#This Row],[STAGE]],1,0)</f>
        <v>0</v>
      </c>
      <c r="K813" s="159"/>
      <c r="L813" s="130"/>
      <c r="M813" s="130">
        <f>IF(IN[[#This Row],[Sim_]]=IN[[#This Row],[Sim Var ref]],1,0)</f>
        <v>1</v>
      </c>
      <c r="N813" s="8"/>
      <c r="O813" s="8"/>
      <c r="P813" s="277"/>
      <c r="Q813" s="137">
        <f>IF(IN[[#This Row],[Sim_]]=IN[[#This Row],[Direkt alt]],1,0)</f>
        <v>1</v>
      </c>
      <c r="R813" s="413">
        <v>1</v>
      </c>
      <c r="S813" s="10">
        <f>IF(IN[[#This Row],[Sim_]]=IN[[#This Row],[Buffer]],1,0)</f>
        <v>0</v>
      </c>
      <c r="T813" s="130"/>
      <c r="U813" s="145"/>
      <c r="V813" s="281"/>
      <c r="X813">
        <v>1</v>
      </c>
      <c r="Y813" s="105"/>
      <c r="Z813" s="177">
        <v>1</v>
      </c>
      <c r="AA813" s="130"/>
      <c r="AB813" s="130"/>
      <c r="AC813" s="223">
        <v>1</v>
      </c>
      <c r="AD813">
        <v>1</v>
      </c>
      <c r="AE813">
        <v>0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25">
      <c r="A814" s="439" t="s">
        <v>1030</v>
      </c>
      <c r="B814" s="15" t="s">
        <v>1041</v>
      </c>
      <c r="C814" s="16" t="s">
        <v>824</v>
      </c>
      <c r="D814" s="16"/>
      <c r="E814" s="17"/>
      <c r="F814" s="18" t="s">
        <v>1042</v>
      </c>
      <c r="G814" s="147"/>
      <c r="H814" s="20">
        <v>0</v>
      </c>
      <c r="I814" s="223">
        <f>--ISNUMBER(FIND("Fernwärme",heat_th4_carrier_type))</f>
        <v>1</v>
      </c>
      <c r="J814" s="135">
        <f>IF(IN[[#This Row],[Sim_]]=IN[[#This Row],[STAGE]],1,0)</f>
        <v>0</v>
      </c>
      <c r="K814" s="159"/>
      <c r="L814" s="130"/>
      <c r="M814" s="130">
        <f>IF(IN[[#This Row],[Sim_]]=IN[[#This Row],[Sim Var ref]],1,0)</f>
        <v>1</v>
      </c>
      <c r="N814" s="8"/>
      <c r="O814" s="8"/>
      <c r="P814" s="277"/>
      <c r="Q814" s="137">
        <f>IF(IN[[#This Row],[Sim_]]=IN[[#This Row],[Direkt alt]],1,0)</f>
        <v>1</v>
      </c>
      <c r="R814" s="413">
        <v>1</v>
      </c>
      <c r="S814" s="10">
        <f>IF(IN[[#This Row],[Sim_]]=IN[[#This Row],[Buffer]],1,0)</f>
        <v>0</v>
      </c>
      <c r="T814" s="130"/>
      <c r="U814" s="145"/>
      <c r="V814" s="281"/>
      <c r="X814">
        <v>1</v>
      </c>
      <c r="Y814" s="105"/>
      <c r="Z814" s="177">
        <v>1</v>
      </c>
      <c r="AA814" s="130"/>
      <c r="AB814" s="130"/>
      <c r="AC814" s="223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25">
      <c r="A815" s="439" t="s">
        <v>1030</v>
      </c>
      <c r="B815" s="15" t="s">
        <v>1043</v>
      </c>
      <c r="C815" s="16" t="s">
        <v>824</v>
      </c>
      <c r="D815" s="16"/>
      <c r="E815" s="17"/>
      <c r="F815" s="18" t="s">
        <v>1044</v>
      </c>
      <c r="G815" s="147"/>
      <c r="H815" s="20">
        <v>0</v>
      </c>
      <c r="I815" s="223">
        <f>--ISNUMBER(FIND("Fernwärme",cool_th2_carrier_type))</f>
        <v>0</v>
      </c>
      <c r="J815" s="135">
        <f>IF(IN[[#This Row],[Sim_]]=IN[[#This Row],[STAGE]],1,0)</f>
        <v>1</v>
      </c>
      <c r="K815" s="159"/>
      <c r="L815" s="130"/>
      <c r="M815" s="130">
        <f>IF(IN[[#This Row],[Sim_]]=IN[[#This Row],[Sim Var ref]],1,0)</f>
        <v>1</v>
      </c>
      <c r="N815" s="8"/>
      <c r="O815" s="8"/>
      <c r="P815" s="277"/>
      <c r="Q815" s="137">
        <f>IF(IN[[#This Row],[Sim_]]=IN[[#This Row],[Direkt alt]],1,0)</f>
        <v>1</v>
      </c>
      <c r="R815" s="413">
        <v>1</v>
      </c>
      <c r="S815" s="10">
        <f>IF(IN[[#This Row],[Sim_]]=IN[[#This Row],[Buffer]],1,0)</f>
        <v>0</v>
      </c>
      <c r="T815" s="130"/>
      <c r="U815" s="145"/>
      <c r="V815" s="281"/>
      <c r="X815">
        <v>1</v>
      </c>
      <c r="Y815" s="105"/>
      <c r="Z815" s="177">
        <v>1</v>
      </c>
      <c r="AA815" s="130"/>
      <c r="AB815" s="130"/>
      <c r="AC815" s="223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</row>
    <row r="816" spans="1:36" x14ac:dyDescent="0.25">
      <c r="A816" s="439" t="s">
        <v>1030</v>
      </c>
      <c r="B816" s="15" t="s">
        <v>1045</v>
      </c>
      <c r="C816" s="16" t="s">
        <v>824</v>
      </c>
      <c r="D816" s="16"/>
      <c r="E816" s="17"/>
      <c r="F816" s="18" t="s">
        <v>1046</v>
      </c>
      <c r="G816" s="147"/>
      <c r="H816" s="20">
        <v>0</v>
      </c>
      <c r="I816" s="223">
        <f>--ISNUMBER(FIND("Fernwärme",DHW_carriertype_1))</f>
        <v>0</v>
      </c>
      <c r="J816" s="135">
        <f>IF(IN[[#This Row],[Sim_]]=IN[[#This Row],[STAGE]],1,0)</f>
        <v>1</v>
      </c>
      <c r="K816" s="159"/>
      <c r="L816" s="130"/>
      <c r="M816" s="130">
        <f>IF(IN[[#This Row],[Sim_]]=IN[[#This Row],[Sim Var ref]],1,0)</f>
        <v>1</v>
      </c>
      <c r="N816" s="8"/>
      <c r="O816" s="8"/>
      <c r="P816" s="277"/>
      <c r="Q816" s="137">
        <f>IF(IN[[#This Row],[Sim_]]=IN[[#This Row],[Direkt alt]],1,0)</f>
        <v>1</v>
      </c>
      <c r="R816" s="413">
        <v>1</v>
      </c>
      <c r="S816" s="10">
        <f>IF(IN[[#This Row],[Sim_]]=IN[[#This Row],[Buffer]],1,0)</f>
        <v>0</v>
      </c>
      <c r="T816" s="130"/>
      <c r="U816" s="145"/>
      <c r="V816" s="281"/>
      <c r="X816">
        <v>0</v>
      </c>
      <c r="Y816" s="105"/>
      <c r="Z816" s="177">
        <v>0</v>
      </c>
      <c r="AA816" s="130"/>
      <c r="AB816" s="130"/>
      <c r="AC816" s="223">
        <v>0</v>
      </c>
      <c r="AD816">
        <v>0</v>
      </c>
      <c r="AE816">
        <v>0</v>
      </c>
      <c r="AF816">
        <v>1</v>
      </c>
      <c r="AG816">
        <v>1</v>
      </c>
      <c r="AH816">
        <v>1</v>
      </c>
      <c r="AI816">
        <v>0</v>
      </c>
      <c r="AJ816">
        <v>0</v>
      </c>
    </row>
    <row r="817" spans="1:36" x14ac:dyDescent="0.25">
      <c r="A817" s="439" t="s">
        <v>1030</v>
      </c>
      <c r="B817" s="15" t="s">
        <v>1047</v>
      </c>
      <c r="C817" s="16" t="s">
        <v>824</v>
      </c>
      <c r="D817" s="16"/>
      <c r="E817" s="17"/>
      <c r="F817" s="18" t="s">
        <v>1048</v>
      </c>
      <c r="G817" s="147"/>
      <c r="H817" s="20">
        <v>0</v>
      </c>
      <c r="I817" s="223">
        <f>--ISNUMBER(FIND("Fernwärme",DHW_carriertype_2))</f>
        <v>0</v>
      </c>
      <c r="J817" s="135">
        <f>IF(IN[[#This Row],[Sim_]]=IN[[#This Row],[STAGE]],1,0)</f>
        <v>1</v>
      </c>
      <c r="K817" s="159"/>
      <c r="L817" s="130"/>
      <c r="M817" s="130">
        <f>IF(IN[[#This Row],[Sim_]]=IN[[#This Row],[Sim Var ref]],1,0)</f>
        <v>1</v>
      </c>
      <c r="N817" s="8"/>
      <c r="O817" s="8"/>
      <c r="P817" s="277"/>
      <c r="Q817" s="137">
        <f>IF(IN[[#This Row],[Sim_]]=IN[[#This Row],[Direkt alt]],1,0)</f>
        <v>1</v>
      </c>
      <c r="R817" s="413">
        <v>0</v>
      </c>
      <c r="S817" s="10">
        <f>IF(IN[[#This Row],[Sim_]]=IN[[#This Row],[Buffer]],1,0)</f>
        <v>1</v>
      </c>
      <c r="T817" s="130"/>
      <c r="U817" s="145"/>
      <c r="V817" s="281"/>
      <c r="X817">
        <v>1</v>
      </c>
      <c r="Y817" s="105"/>
      <c r="Z817" s="177">
        <v>1</v>
      </c>
      <c r="AA817" s="130"/>
      <c r="AB817" s="130"/>
      <c r="AC817" s="223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s="439" t="s">
        <v>1030</v>
      </c>
      <c r="B818" s="15" t="s">
        <v>1049</v>
      </c>
      <c r="C818" s="16"/>
      <c r="D818" s="16"/>
      <c r="E818" s="17"/>
      <c r="F818" s="18" t="s">
        <v>1050</v>
      </c>
      <c r="G818" s="147"/>
      <c r="H818" s="20">
        <v>0</v>
      </c>
      <c r="I818" s="223">
        <f>--ISNUMBER(FIND("Erdgas",heat_th2_carrier_type))</f>
        <v>0</v>
      </c>
      <c r="J818" s="135">
        <f>IF(IN[[#This Row],[Sim_]]=IN[[#This Row],[STAGE]],1,0)</f>
        <v>1</v>
      </c>
      <c r="K818" s="159"/>
      <c r="L818" s="130"/>
      <c r="M818" s="130">
        <f>IF(IN[[#This Row],[Sim_]]=IN[[#This Row],[Sim Var ref]],1,0)</f>
        <v>1</v>
      </c>
      <c r="N818" s="8"/>
      <c r="O818" s="8"/>
      <c r="P818" s="277"/>
      <c r="Q818" s="137">
        <f>IF(IN[[#This Row],[Sim_]]=IN[[#This Row],[Direkt alt]],1,0)</f>
        <v>1</v>
      </c>
      <c r="R818" s="413">
        <v>0</v>
      </c>
      <c r="S818" s="10">
        <f>IF(IN[[#This Row],[Sim_]]=IN[[#This Row],[Buffer]],1,0)</f>
        <v>1</v>
      </c>
      <c r="T818" s="130"/>
      <c r="U818" s="145"/>
      <c r="V818" s="281"/>
      <c r="X818">
        <v>0</v>
      </c>
      <c r="Y818" s="105"/>
      <c r="Z818" s="177">
        <v>0</v>
      </c>
      <c r="AA818" s="130"/>
      <c r="AB818" s="130"/>
      <c r="AC818" s="223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s="439" t="s">
        <v>1030</v>
      </c>
      <c r="B819" s="15" t="s">
        <v>1051</v>
      </c>
      <c r="C819" s="16"/>
      <c r="D819" s="16"/>
      <c r="E819" s="17"/>
      <c r="F819" s="18" t="s">
        <v>1052</v>
      </c>
      <c r="G819" s="147"/>
      <c r="H819" s="20">
        <v>0</v>
      </c>
      <c r="I819" s="223">
        <f>--ISNUMBER(FIND("Erdgas",heat_th4_carrier_type))</f>
        <v>0</v>
      </c>
      <c r="J819" s="135">
        <f>IF(IN[[#This Row],[Sim_]]=IN[[#This Row],[STAGE]],1,0)</f>
        <v>1</v>
      </c>
      <c r="K819" s="159"/>
      <c r="L819" s="130"/>
      <c r="M819" s="130">
        <f>IF(IN[[#This Row],[Sim_]]=IN[[#This Row],[Sim Var ref]],1,0)</f>
        <v>1</v>
      </c>
      <c r="N819" s="8"/>
      <c r="O819" s="8"/>
      <c r="P819" s="277"/>
      <c r="Q819" s="137">
        <f>IF(IN[[#This Row],[Sim_]]=IN[[#This Row],[Direkt alt]],1,0)</f>
        <v>1</v>
      </c>
      <c r="R819" s="413">
        <v>0</v>
      </c>
      <c r="S819" s="10">
        <f>IF(IN[[#This Row],[Sim_]]=IN[[#This Row],[Buffer]],1,0)</f>
        <v>1</v>
      </c>
      <c r="T819" s="130"/>
      <c r="U819" s="145"/>
      <c r="V819" s="281"/>
      <c r="X819">
        <v>0</v>
      </c>
      <c r="Y819" s="105"/>
      <c r="Z819" s="177">
        <v>0</v>
      </c>
      <c r="AA819" s="130"/>
      <c r="AB819" s="130"/>
      <c r="AC819" s="223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s="439" t="s">
        <v>1030</v>
      </c>
      <c r="B820" s="15" t="s">
        <v>1053</v>
      </c>
      <c r="C820" s="16"/>
      <c r="D820" s="16"/>
      <c r="E820" s="17"/>
      <c r="F820" s="18" t="s">
        <v>1054</v>
      </c>
      <c r="G820" s="147"/>
      <c r="H820" s="20">
        <v>0</v>
      </c>
      <c r="I820" s="223">
        <f>--ISNUMBER(FIND("Erdgas",cool_th2_carrier_type))</f>
        <v>0</v>
      </c>
      <c r="J820" s="135">
        <f>IF(IN[[#This Row],[Sim_]]=IN[[#This Row],[STAGE]],1,0)</f>
        <v>1</v>
      </c>
      <c r="K820" s="159"/>
      <c r="L820" s="130"/>
      <c r="M820" s="130">
        <f>IF(IN[[#This Row],[Sim_]]=IN[[#This Row],[Sim Var ref]],1,0)</f>
        <v>1</v>
      </c>
      <c r="N820" s="8"/>
      <c r="O820" s="8"/>
      <c r="P820" s="277"/>
      <c r="Q820" s="137">
        <f>IF(IN[[#This Row],[Sim_]]=IN[[#This Row],[Direkt alt]],1,0)</f>
        <v>1</v>
      </c>
      <c r="R820" s="413">
        <v>0</v>
      </c>
      <c r="S820" s="10">
        <f>IF(IN[[#This Row],[Sim_]]=IN[[#This Row],[Buffer]],1,0)</f>
        <v>1</v>
      </c>
      <c r="T820" s="130"/>
      <c r="U820" s="145"/>
      <c r="V820" s="281"/>
      <c r="X820">
        <v>0</v>
      </c>
      <c r="Y820" s="105"/>
      <c r="Z820" s="177">
        <v>0</v>
      </c>
      <c r="AA820" s="130"/>
      <c r="AB820" s="130"/>
      <c r="AC820" s="223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s="439" t="s">
        <v>1030</v>
      </c>
      <c r="B821" s="15" t="s">
        <v>1055</v>
      </c>
      <c r="C821" s="16"/>
      <c r="D821" s="16"/>
      <c r="E821" s="17"/>
      <c r="F821" s="18" t="s">
        <v>1056</v>
      </c>
      <c r="G821" s="147"/>
      <c r="H821" s="20">
        <v>0</v>
      </c>
      <c r="I821" s="223">
        <f>--ISNUMBER(FIND("Erdgas",DHW_carriertype_1))</f>
        <v>0</v>
      </c>
      <c r="J821" s="135">
        <f>IF(IN[[#This Row],[Sim_]]=IN[[#This Row],[STAGE]],1,0)</f>
        <v>1</v>
      </c>
      <c r="K821" s="159"/>
      <c r="L821" s="130"/>
      <c r="M821" s="130">
        <f>IF(IN[[#This Row],[Sim_]]=IN[[#This Row],[Sim Var ref]],1,0)</f>
        <v>1</v>
      </c>
      <c r="N821" s="8"/>
      <c r="O821" s="8"/>
      <c r="P821" s="277"/>
      <c r="Q821" s="137">
        <f>IF(IN[[#This Row],[Sim_]]=IN[[#This Row],[Direkt alt]],1,0)</f>
        <v>1</v>
      </c>
      <c r="R821" s="413">
        <v>0</v>
      </c>
      <c r="S821" s="10">
        <f>IF(IN[[#This Row],[Sim_]]=IN[[#This Row],[Buffer]],1,0)</f>
        <v>1</v>
      </c>
      <c r="T821" s="130"/>
      <c r="U821" s="145"/>
      <c r="V821" s="281"/>
      <c r="X821">
        <v>0</v>
      </c>
      <c r="Y821" s="105"/>
      <c r="Z821" s="177">
        <v>0</v>
      </c>
      <c r="AA821" s="130"/>
      <c r="AB821" s="130"/>
      <c r="AC821" s="223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s="439" t="s">
        <v>1030</v>
      </c>
      <c r="B822" s="15" t="s">
        <v>1057</v>
      </c>
      <c r="C822" s="16"/>
      <c r="D822" s="16"/>
      <c r="E822" s="17"/>
      <c r="F822" s="18" t="s">
        <v>1058</v>
      </c>
      <c r="G822" s="147"/>
      <c r="H822" s="20">
        <v>0</v>
      </c>
      <c r="I822" s="223">
        <f>--ISNUMBER(FIND("Erdgas",DHW_carriertype_2))</f>
        <v>0</v>
      </c>
      <c r="J822" s="135">
        <f>IF(IN[[#This Row],[Sim_]]=IN[[#This Row],[STAGE]],1,0)</f>
        <v>1</v>
      </c>
      <c r="K822" s="159"/>
      <c r="L822" s="130"/>
      <c r="M822" s="130">
        <f>IF(IN[[#This Row],[Sim_]]=IN[[#This Row],[Sim Var ref]],1,0)</f>
        <v>1</v>
      </c>
      <c r="N822" s="8"/>
      <c r="O822" s="8"/>
      <c r="P822" s="277"/>
      <c r="Q822" s="137">
        <f>IF(IN[[#This Row],[Sim_]]=IN[[#This Row],[Direkt alt]],1,0)</f>
        <v>1</v>
      </c>
      <c r="R822" s="413">
        <v>0</v>
      </c>
      <c r="S822" s="10">
        <f>IF(IN[[#This Row],[Sim_]]=IN[[#This Row],[Buffer]],1,0)</f>
        <v>1</v>
      </c>
      <c r="T822" s="130"/>
      <c r="U822" s="145"/>
      <c r="V822" s="281"/>
      <c r="X822">
        <v>0</v>
      </c>
      <c r="Y822" s="105"/>
      <c r="Z822" s="177">
        <v>0</v>
      </c>
      <c r="AA822" s="130"/>
      <c r="AB822" s="130"/>
      <c r="AC822" s="223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s="439" t="s">
        <v>1030</v>
      </c>
      <c r="B823" s="15" t="s">
        <v>1059</v>
      </c>
      <c r="C823" s="16"/>
      <c r="D823" s="16"/>
      <c r="E823" s="17"/>
      <c r="F823" s="18" t="s">
        <v>1060</v>
      </c>
      <c r="G823" s="147"/>
      <c r="H823" s="20">
        <v>0</v>
      </c>
      <c r="I823" s="223">
        <f>--ISNUMBER(FIND("Biomasse",heat_th2_carrier_type))</f>
        <v>0</v>
      </c>
      <c r="J823" s="135">
        <f>IF(IN[[#This Row],[Sim_]]=IN[[#This Row],[STAGE]],1,0)</f>
        <v>1</v>
      </c>
      <c r="K823" s="159"/>
      <c r="L823" s="130"/>
      <c r="M823" s="130">
        <f>IF(IN[[#This Row],[Sim_]]=IN[[#This Row],[Sim Var ref]],1,0)</f>
        <v>1</v>
      </c>
      <c r="N823" s="8"/>
      <c r="O823" s="8"/>
      <c r="P823" s="277"/>
      <c r="Q823" s="137">
        <f>IF(IN[[#This Row],[Sim_]]=IN[[#This Row],[Direkt alt]],1,0)</f>
        <v>1</v>
      </c>
      <c r="R823" s="413">
        <v>0</v>
      </c>
      <c r="S823" s="10">
        <f>IF(IN[[#This Row],[Sim_]]=IN[[#This Row],[Buffer]],1,0)</f>
        <v>1</v>
      </c>
      <c r="T823" s="130"/>
      <c r="U823" s="145"/>
      <c r="V823" s="281"/>
      <c r="X823">
        <v>0</v>
      </c>
      <c r="Y823" s="105"/>
      <c r="Z823" s="177">
        <v>0</v>
      </c>
      <c r="AA823" s="130"/>
      <c r="AB823" s="130"/>
      <c r="AC823" s="2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s="439" t="s">
        <v>1030</v>
      </c>
      <c r="B824" s="15" t="s">
        <v>1061</v>
      </c>
      <c r="C824" s="16"/>
      <c r="D824" s="16"/>
      <c r="E824" s="17"/>
      <c r="F824" s="18" t="s">
        <v>1062</v>
      </c>
      <c r="G824" s="147"/>
      <c r="H824" s="20">
        <v>0</v>
      </c>
      <c r="I824" s="223">
        <f>--ISNUMBER(FIND("Biomasse",heat_th4_carrier_type))</f>
        <v>0</v>
      </c>
      <c r="J824" s="135">
        <f>IF(IN[[#This Row],[Sim_]]=IN[[#This Row],[STAGE]],1,0)</f>
        <v>1</v>
      </c>
      <c r="K824" s="159"/>
      <c r="L824" s="130"/>
      <c r="M824" s="130">
        <f>IF(IN[[#This Row],[Sim_]]=IN[[#This Row],[Sim Var ref]],1,0)</f>
        <v>1</v>
      </c>
      <c r="N824" s="8"/>
      <c r="O824" s="8"/>
      <c r="P824" s="277"/>
      <c r="Q824" s="137">
        <f>IF(IN[[#This Row],[Sim_]]=IN[[#This Row],[Direkt alt]],1,0)</f>
        <v>1</v>
      </c>
      <c r="R824" s="413">
        <v>0</v>
      </c>
      <c r="S824" s="10">
        <f>IF(IN[[#This Row],[Sim_]]=IN[[#This Row],[Buffer]],1,0)</f>
        <v>1</v>
      </c>
      <c r="T824" s="130"/>
      <c r="U824" s="145"/>
      <c r="V824" s="281"/>
      <c r="X824">
        <v>0</v>
      </c>
      <c r="Y824" s="105"/>
      <c r="Z824" s="177">
        <v>0</v>
      </c>
      <c r="AA824" s="130"/>
      <c r="AB824" s="130"/>
      <c r="AC824" s="223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s="439" t="s">
        <v>1030</v>
      </c>
      <c r="B825" s="15" t="s">
        <v>1063</v>
      </c>
      <c r="C825" s="16"/>
      <c r="D825" s="16"/>
      <c r="E825" s="17"/>
      <c r="F825" s="18" t="s">
        <v>1064</v>
      </c>
      <c r="G825" s="147"/>
      <c r="H825" s="20">
        <v>0</v>
      </c>
      <c r="I825" s="223">
        <f>--ISNUMBER(FIND("Biomasse",cool_th2_carrier_type))</f>
        <v>0</v>
      </c>
      <c r="J825" s="135">
        <f>IF(IN[[#This Row],[Sim_]]=IN[[#This Row],[STAGE]],1,0)</f>
        <v>1</v>
      </c>
      <c r="K825" s="159"/>
      <c r="L825" s="130"/>
      <c r="M825" s="130">
        <f>IF(IN[[#This Row],[Sim_]]=IN[[#This Row],[Sim Var ref]],1,0)</f>
        <v>1</v>
      </c>
      <c r="N825" s="8"/>
      <c r="O825" s="8"/>
      <c r="P825" s="277"/>
      <c r="Q825" s="137">
        <f>IF(IN[[#This Row],[Sim_]]=IN[[#This Row],[Direkt alt]],1,0)</f>
        <v>1</v>
      </c>
      <c r="R825" s="413">
        <v>0</v>
      </c>
      <c r="S825" s="10">
        <f>IF(IN[[#This Row],[Sim_]]=IN[[#This Row],[Buffer]],1,0)</f>
        <v>1</v>
      </c>
      <c r="T825" s="130"/>
      <c r="U825" s="145"/>
      <c r="V825" s="281"/>
      <c r="X825">
        <v>0</v>
      </c>
      <c r="Y825" s="105"/>
      <c r="Z825" s="177">
        <v>0</v>
      </c>
      <c r="AA825" s="130"/>
      <c r="AB825" s="130"/>
      <c r="AC825" s="223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s="439" t="s">
        <v>1030</v>
      </c>
      <c r="B826" s="15" t="s">
        <v>1065</v>
      </c>
      <c r="C826" s="16"/>
      <c r="D826" s="16"/>
      <c r="E826" s="17"/>
      <c r="F826" s="18" t="s">
        <v>1066</v>
      </c>
      <c r="G826" s="147"/>
      <c r="H826" s="20">
        <v>0</v>
      </c>
      <c r="I826" s="223">
        <f>--ISNUMBER(FIND("Biomasse",DHW_carriertype_1))</f>
        <v>0</v>
      </c>
      <c r="J826" s="135">
        <f>IF(IN[[#This Row],[Sim_]]=IN[[#This Row],[STAGE]],1,0)</f>
        <v>1</v>
      </c>
      <c r="K826" s="159"/>
      <c r="L826" s="130"/>
      <c r="M826" s="130">
        <f>IF(IN[[#This Row],[Sim_]]=IN[[#This Row],[Sim Var ref]],1,0)</f>
        <v>1</v>
      </c>
      <c r="N826" s="8"/>
      <c r="O826" s="8"/>
      <c r="P826" s="277"/>
      <c r="Q826" s="137">
        <f>IF(IN[[#This Row],[Sim_]]=IN[[#This Row],[Direkt alt]],1,0)</f>
        <v>1</v>
      </c>
      <c r="R826" s="413">
        <v>0</v>
      </c>
      <c r="S826" s="10">
        <f>IF(IN[[#This Row],[Sim_]]=IN[[#This Row],[Buffer]],1,0)</f>
        <v>1</v>
      </c>
      <c r="T826" s="130"/>
      <c r="U826" s="145"/>
      <c r="V826" s="281"/>
      <c r="X826">
        <v>0</v>
      </c>
      <c r="Y826" s="105"/>
      <c r="Z826" s="177">
        <v>0</v>
      </c>
      <c r="AA826" s="130"/>
      <c r="AB826" s="130"/>
      <c r="AC826" s="223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s="439" t="s">
        <v>1030</v>
      </c>
      <c r="B827" s="15" t="s">
        <v>1067</v>
      </c>
      <c r="C827" s="16"/>
      <c r="D827" s="16"/>
      <c r="E827" s="17"/>
      <c r="F827" s="18" t="s">
        <v>1068</v>
      </c>
      <c r="G827" s="147"/>
      <c r="H827" s="20">
        <v>0</v>
      </c>
      <c r="I827" s="223">
        <f>--ISNUMBER(FIND("Biomasse",DHW_carriertype_2))</f>
        <v>0</v>
      </c>
      <c r="J827" s="135">
        <f>IF(IN[[#This Row],[Sim_]]=IN[[#This Row],[STAGE]],1,0)</f>
        <v>1</v>
      </c>
      <c r="K827" s="159"/>
      <c r="L827" s="130"/>
      <c r="M827" s="130">
        <f>IF(IN[[#This Row],[Sim_]]=IN[[#This Row],[Sim Var ref]],1,0)</f>
        <v>1</v>
      </c>
      <c r="N827" s="8"/>
      <c r="O827" s="8"/>
      <c r="P827" s="277"/>
      <c r="Q827" s="137">
        <f>IF(IN[[#This Row],[Sim_]]=IN[[#This Row],[Direkt alt]],1,0)</f>
        <v>1</v>
      </c>
      <c r="R827" s="413">
        <v>0</v>
      </c>
      <c r="S827" s="10">
        <f>IF(IN[[#This Row],[Sim_]]=IN[[#This Row],[Buffer]],1,0)</f>
        <v>1</v>
      </c>
      <c r="T827" s="130"/>
      <c r="U827" s="145"/>
      <c r="V827" s="281"/>
      <c r="X827">
        <v>0</v>
      </c>
      <c r="Y827" s="105"/>
      <c r="Z827" s="177">
        <v>0</v>
      </c>
      <c r="AA827" s="130"/>
      <c r="AB827" s="130"/>
      <c r="AC827" s="223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s="439" t="s">
        <v>1030</v>
      </c>
      <c r="B828" s="15" t="s">
        <v>1069</v>
      </c>
      <c r="C828" s="16"/>
      <c r="D828" s="16"/>
      <c r="E828" s="17"/>
      <c r="F828" s="18" t="s">
        <v>1070</v>
      </c>
      <c r="G828" s="147"/>
      <c r="H828" s="20">
        <v>0</v>
      </c>
      <c r="I828" s="223">
        <f>--NOT(OR(I813,I818,I823))</f>
        <v>0</v>
      </c>
      <c r="J828" s="135">
        <f>IF(IN[[#This Row],[Sim_]]=IN[[#This Row],[STAGE]],1,0)</f>
        <v>1</v>
      </c>
      <c r="K828" s="159"/>
      <c r="L828" s="130"/>
      <c r="M828" s="130">
        <f>IF(IN[[#This Row],[Sim_]]=IN[[#This Row],[Sim Var ref]],1,0)</f>
        <v>1</v>
      </c>
      <c r="N828" s="8"/>
      <c r="O828" s="8"/>
      <c r="P828" s="277"/>
      <c r="Q828" s="137">
        <f>IF(IN[[#This Row],[Sim_]]=IN[[#This Row],[Direkt alt]],1,0)</f>
        <v>1</v>
      </c>
      <c r="R828" s="413">
        <v>0</v>
      </c>
      <c r="S828" s="10">
        <f>IF(IN[[#This Row],[Sim_]]=IN[[#This Row],[Buffer]],1,0)</f>
        <v>1</v>
      </c>
      <c r="T828" s="130"/>
      <c r="U828" s="145"/>
      <c r="V828" s="281"/>
      <c r="X828">
        <v>0</v>
      </c>
      <c r="Y828" s="105"/>
      <c r="Z828" s="177">
        <v>0</v>
      </c>
      <c r="AA828" s="130"/>
      <c r="AB828" s="130"/>
      <c r="AC828" s="223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s="439" t="s">
        <v>1030</v>
      </c>
      <c r="B829" s="15" t="s">
        <v>1071</v>
      </c>
      <c r="C829" s="16"/>
      <c r="D829" s="16"/>
      <c r="E829" s="17"/>
      <c r="F829" s="18" t="s">
        <v>1072</v>
      </c>
      <c r="G829" s="147"/>
      <c r="H829" s="20">
        <v>0</v>
      </c>
      <c r="I829" s="223">
        <f>--NOT(OR(I814,I819,I824))</f>
        <v>0</v>
      </c>
      <c r="J829" s="135">
        <f>IF(IN[[#This Row],[Sim_]]=IN[[#This Row],[STAGE]],1,0)</f>
        <v>1</v>
      </c>
      <c r="K829" s="159"/>
      <c r="L829" s="130"/>
      <c r="M829" s="130">
        <f>IF(IN[[#This Row],[Sim_]]=IN[[#This Row],[Sim Var ref]],1,0)</f>
        <v>1</v>
      </c>
      <c r="N829" s="8"/>
      <c r="O829" s="8"/>
      <c r="P829" s="277"/>
      <c r="Q829" s="137">
        <f>IF(IN[[#This Row],[Sim_]]=IN[[#This Row],[Direkt alt]],1,0)</f>
        <v>1</v>
      </c>
      <c r="R829" s="413">
        <v>0</v>
      </c>
      <c r="S829" s="10">
        <f>IF(IN[[#This Row],[Sim_]]=IN[[#This Row],[Buffer]],1,0)</f>
        <v>1</v>
      </c>
      <c r="T829" s="130"/>
      <c r="U829" s="145"/>
      <c r="V829" s="281"/>
      <c r="X829">
        <v>0</v>
      </c>
      <c r="Y829" s="105"/>
      <c r="Z829" s="177">
        <v>0</v>
      </c>
      <c r="AA829" s="130"/>
      <c r="AB829" s="130"/>
      <c r="AC829" s="223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s="439" t="s">
        <v>1030</v>
      </c>
      <c r="B830" s="15" t="s">
        <v>1073</v>
      </c>
      <c r="C830" s="16"/>
      <c r="D830" s="16"/>
      <c r="E830" s="17"/>
      <c r="F830" s="18" t="s">
        <v>1074</v>
      </c>
      <c r="G830" s="147"/>
      <c r="H830" s="20">
        <v>0</v>
      </c>
      <c r="I830" s="223">
        <f>--NOT(OR(I815,I820,I825))</f>
        <v>1</v>
      </c>
      <c r="J830" s="135">
        <f>IF(IN[[#This Row],[Sim_]]=IN[[#This Row],[STAGE]],1,0)</f>
        <v>0</v>
      </c>
      <c r="K830" s="159"/>
      <c r="L830" s="130"/>
      <c r="M830" s="130">
        <f>IF(IN[[#This Row],[Sim_]]=IN[[#This Row],[Sim Var ref]],1,0)</f>
        <v>1</v>
      </c>
      <c r="N830" s="8"/>
      <c r="O830" s="8"/>
      <c r="P830" s="277"/>
      <c r="Q830" s="137">
        <f>IF(IN[[#This Row],[Sim_]]=IN[[#This Row],[Direkt alt]],1,0)</f>
        <v>1</v>
      </c>
      <c r="R830" s="413">
        <v>0</v>
      </c>
      <c r="S830" s="10">
        <f>IF(IN[[#This Row],[Sim_]]=IN[[#This Row],[Buffer]],1,0)</f>
        <v>1</v>
      </c>
      <c r="T830" s="130"/>
      <c r="U830" s="145"/>
      <c r="V830" s="281"/>
      <c r="X830">
        <v>0</v>
      </c>
      <c r="Y830" s="105"/>
      <c r="Z830" s="177">
        <v>0</v>
      </c>
      <c r="AA830" s="130"/>
      <c r="AB830" s="130"/>
      <c r="AC830" s="223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</row>
    <row r="831" spans="1:36" x14ac:dyDescent="0.25">
      <c r="A831" s="439" t="s">
        <v>1030</v>
      </c>
      <c r="B831" s="15" t="s">
        <v>1075</v>
      </c>
      <c r="C831" s="16"/>
      <c r="D831" s="16"/>
      <c r="E831" s="17"/>
      <c r="F831" s="18" t="s">
        <v>1076</v>
      </c>
      <c r="G831" s="147"/>
      <c r="H831" s="20">
        <v>0</v>
      </c>
      <c r="I831" s="223">
        <f>--AND(NOT(OR(I816,I821,I826)), DHW_1_is_used)</f>
        <v>1</v>
      </c>
      <c r="J831" s="135">
        <f>IF(IN[[#This Row],[Sim_]]=IN[[#This Row],[STAGE]],1,0)</f>
        <v>0</v>
      </c>
      <c r="K831" s="159"/>
      <c r="L831" s="130"/>
      <c r="M831" s="130">
        <f>IF(IN[[#This Row],[Sim_]]=IN[[#This Row],[Sim Var ref]],1,0)</f>
        <v>1</v>
      </c>
      <c r="N831" s="8"/>
      <c r="O831" s="8"/>
      <c r="P831" s="277"/>
      <c r="Q831" s="137">
        <f>IF(IN[[#This Row],[Sim_]]=IN[[#This Row],[Direkt alt]],1,0)</f>
        <v>1</v>
      </c>
      <c r="R831" s="413">
        <v>0</v>
      </c>
      <c r="S831" s="10">
        <f>IF(IN[[#This Row],[Sim_]]=IN[[#This Row],[Buffer]],1,0)</f>
        <v>1</v>
      </c>
      <c r="T831" s="130"/>
      <c r="U831" s="145"/>
      <c r="V831" s="281"/>
      <c r="X831">
        <v>1</v>
      </c>
      <c r="Y831" s="105"/>
      <c r="Z831" s="177">
        <v>1</v>
      </c>
      <c r="AA831" s="130"/>
      <c r="AB831" s="130"/>
      <c r="AC831" s="223">
        <v>1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1</v>
      </c>
      <c r="AJ831">
        <v>1</v>
      </c>
    </row>
    <row r="832" spans="1:36" x14ac:dyDescent="0.25">
      <c r="A832" s="439" t="s">
        <v>1030</v>
      </c>
      <c r="B832" s="15" t="s">
        <v>1077</v>
      </c>
      <c r="C832" s="16"/>
      <c r="D832" s="16"/>
      <c r="E832" s="17"/>
      <c r="F832" s="18" t="s">
        <v>1078</v>
      </c>
      <c r="G832" s="147"/>
      <c r="H832" s="20">
        <v>0</v>
      </c>
      <c r="I832" s="223">
        <f>--AND(NOT(OR(I817,I822,I827)),DHW_2_is_used)</f>
        <v>1</v>
      </c>
      <c r="J832" s="135">
        <f>IF(IN[[#This Row],[Sim_]]=IN[[#This Row],[STAGE]],1,0)</f>
        <v>0</v>
      </c>
      <c r="K832" s="159"/>
      <c r="L832" s="130"/>
      <c r="M832" s="130">
        <f>IF(IN[[#This Row],[Sim_]]=IN[[#This Row],[Sim Var ref]],1,0)</f>
        <v>1</v>
      </c>
      <c r="N832" s="8"/>
      <c r="O832" s="8"/>
      <c r="P832" s="277"/>
      <c r="Q832" s="137">
        <f>IF(IN[[#This Row],[Sim_]]=IN[[#This Row],[Direkt alt]],1,0)</f>
        <v>1</v>
      </c>
      <c r="R832" s="413">
        <v>1</v>
      </c>
      <c r="S832" s="10">
        <f>IF(IN[[#This Row],[Sim_]]=IN[[#This Row],[Buffer]],1,0)</f>
        <v>0</v>
      </c>
      <c r="T832" s="130"/>
      <c r="U832" s="145"/>
      <c r="V832" s="281"/>
      <c r="X832">
        <v>0</v>
      </c>
      <c r="Y832" s="105"/>
      <c r="Z832" s="177">
        <v>0</v>
      </c>
      <c r="AA832" s="130"/>
      <c r="AB832" s="130"/>
      <c r="AC832" s="223">
        <v>0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0</v>
      </c>
      <c r="AJ832">
        <v>0</v>
      </c>
    </row>
    <row r="833" spans="1:36" x14ac:dyDescent="0.25">
      <c r="A833" s="439" t="s">
        <v>1030</v>
      </c>
      <c r="B833" s="15"/>
      <c r="C833" s="16"/>
      <c r="D833" s="16"/>
      <c r="E833" s="17"/>
      <c r="F833" s="18"/>
      <c r="G833" s="147"/>
      <c r="H833" s="20">
        <v>0</v>
      </c>
      <c r="I833" s="104">
        <f>IN[[#This Row],[Buffer]]</f>
        <v>0</v>
      </c>
      <c r="J833" s="135">
        <f>IF(IN[[#This Row],[Sim_]]=IN[[#This Row],[STAGE]],1,0)</f>
        <v>1</v>
      </c>
      <c r="K833" s="159"/>
      <c r="L833" s="130"/>
      <c r="M833" s="130">
        <f>IF(IN[[#This Row],[Sim_]]=IN[[#This Row],[Sim Var ref]],1,0)</f>
        <v>1</v>
      </c>
      <c r="N833" s="8"/>
      <c r="O833" s="8"/>
      <c r="P833" s="277"/>
      <c r="Q833" s="137">
        <f>IF(IN[[#This Row],[Sim_]]=IN[[#This Row],[Direkt alt]],1,0)</f>
        <v>1</v>
      </c>
      <c r="R833" s="413">
        <v>0</v>
      </c>
      <c r="S833" s="10">
        <f>IF(IN[[#This Row],[Sim_]]=IN[[#This Row],[Buffer]],1,0)</f>
        <v>1</v>
      </c>
      <c r="T833" s="130"/>
      <c r="U833" s="145"/>
      <c r="V833" s="281"/>
      <c r="X833">
        <v>0</v>
      </c>
      <c r="Y833" s="105"/>
      <c r="Z833" s="177">
        <v>0</v>
      </c>
      <c r="AA833" s="130"/>
      <c r="AB833" s="130"/>
      <c r="AC833" s="106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s="439" t="s">
        <v>1030</v>
      </c>
      <c r="B834" s="15"/>
      <c r="C834" s="16"/>
      <c r="D834" s="16"/>
      <c r="E834" s="17"/>
      <c r="F834" s="18"/>
      <c r="G834" s="147"/>
      <c r="H834" s="20">
        <v>0</v>
      </c>
      <c r="I834" s="104">
        <f>IN[[#This Row],[Buffer]]</f>
        <v>0</v>
      </c>
      <c r="J834" s="135">
        <f>IF(IN[[#This Row],[Sim_]]=IN[[#This Row],[STAGE]],1,0)</f>
        <v>1</v>
      </c>
      <c r="K834" s="159"/>
      <c r="L834" s="130"/>
      <c r="M834" s="130">
        <f>IF(IN[[#This Row],[Sim_]]=IN[[#This Row],[Sim Var ref]],1,0)</f>
        <v>1</v>
      </c>
      <c r="N834" s="8"/>
      <c r="O834" s="8"/>
      <c r="P834" s="277"/>
      <c r="Q834" s="137">
        <f>IF(IN[[#This Row],[Sim_]]=IN[[#This Row],[Direkt alt]],1,0)</f>
        <v>1</v>
      </c>
      <c r="R834" s="413">
        <v>0</v>
      </c>
      <c r="S834" s="10">
        <f>IF(IN[[#This Row],[Sim_]]=IN[[#This Row],[Buffer]],1,0)</f>
        <v>1</v>
      </c>
      <c r="T834" s="130"/>
      <c r="U834" s="145"/>
      <c r="V834" s="281"/>
      <c r="X834">
        <v>0</v>
      </c>
      <c r="Y834" s="105"/>
      <c r="Z834" s="177">
        <v>0</v>
      </c>
      <c r="AA834" s="130"/>
      <c r="AB834" s="130"/>
      <c r="AC834" s="106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s="439" t="s">
        <v>1030</v>
      </c>
      <c r="B835" s="15"/>
      <c r="C835" s="16"/>
      <c r="D835" s="16"/>
      <c r="E835" s="17"/>
      <c r="F835" s="18"/>
      <c r="G835" s="147"/>
      <c r="H835" s="20">
        <v>0</v>
      </c>
      <c r="I835" s="104">
        <f>IN[[#This Row],[Buffer]]</f>
        <v>0</v>
      </c>
      <c r="J835" s="135">
        <f>IF(IN[[#This Row],[Sim_]]=IN[[#This Row],[STAGE]],1,0)</f>
        <v>1</v>
      </c>
      <c r="K835" s="159"/>
      <c r="L835" s="130"/>
      <c r="M835" s="130">
        <f>IF(IN[[#This Row],[Sim_]]=IN[[#This Row],[Sim Var ref]],1,0)</f>
        <v>1</v>
      </c>
      <c r="N835" s="8"/>
      <c r="O835" s="8"/>
      <c r="P835" s="277"/>
      <c r="Q835" s="137">
        <f>IF(IN[[#This Row],[Sim_]]=IN[[#This Row],[Direkt alt]],1,0)</f>
        <v>1</v>
      </c>
      <c r="R835" s="413">
        <v>0</v>
      </c>
      <c r="S835" s="10">
        <f>IF(IN[[#This Row],[Sim_]]=IN[[#This Row],[Buffer]],1,0)</f>
        <v>1</v>
      </c>
      <c r="T835" s="130"/>
      <c r="U835" s="145"/>
      <c r="V835" s="281"/>
      <c r="X835">
        <v>0</v>
      </c>
      <c r="Y835" s="105"/>
      <c r="Z835" s="177">
        <v>0</v>
      </c>
      <c r="AA835" s="130"/>
      <c r="AB835" s="130"/>
      <c r="AC835" s="106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s="439" t="s">
        <v>1030</v>
      </c>
      <c r="B836" s="15"/>
      <c r="C836" s="16"/>
      <c r="D836" s="16"/>
      <c r="E836" s="17"/>
      <c r="F836" s="18"/>
      <c r="G836" s="147"/>
      <c r="H836" s="20">
        <v>0</v>
      </c>
      <c r="I836" s="104">
        <f>IN[[#This Row],[Buffer]]</f>
        <v>0</v>
      </c>
      <c r="J836" s="135">
        <f>IF(IN[[#This Row],[Sim_]]=IN[[#This Row],[STAGE]],1,0)</f>
        <v>1</v>
      </c>
      <c r="K836" s="159"/>
      <c r="L836" s="130"/>
      <c r="M836" s="130">
        <f>IF(IN[[#This Row],[Sim_]]=IN[[#This Row],[Sim Var ref]],1,0)</f>
        <v>1</v>
      </c>
      <c r="N836" s="8"/>
      <c r="O836" s="8"/>
      <c r="P836" s="277"/>
      <c r="Q836" s="137">
        <f>IF(IN[[#This Row],[Sim_]]=IN[[#This Row],[Direkt alt]],1,0)</f>
        <v>1</v>
      </c>
      <c r="R836" s="413">
        <v>0</v>
      </c>
      <c r="S836" s="10">
        <f>IF(IN[[#This Row],[Sim_]]=IN[[#This Row],[Buffer]],1,0)</f>
        <v>1</v>
      </c>
      <c r="T836" s="130"/>
      <c r="U836" s="145"/>
      <c r="V836" s="281"/>
      <c r="X836">
        <v>0</v>
      </c>
      <c r="Y836" s="105"/>
      <c r="Z836" s="177">
        <v>0</v>
      </c>
      <c r="AA836" s="130"/>
      <c r="AB836" s="130"/>
      <c r="AC836" s="10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s="439" t="s">
        <v>1030</v>
      </c>
      <c r="B837" s="15"/>
      <c r="C837" s="16"/>
      <c r="D837" s="16"/>
      <c r="E837" s="17"/>
      <c r="F837" s="18"/>
      <c r="G837" s="147"/>
      <c r="H837" s="20">
        <v>0</v>
      </c>
      <c r="I837" s="104">
        <f>IN[[#This Row],[Buffer]]</f>
        <v>0</v>
      </c>
      <c r="J837" s="135">
        <f>IF(IN[[#This Row],[Sim_]]=IN[[#This Row],[STAGE]],1,0)</f>
        <v>1</v>
      </c>
      <c r="K837" s="159"/>
      <c r="L837" s="130"/>
      <c r="M837" s="130">
        <f>IF(IN[[#This Row],[Sim_]]=IN[[#This Row],[Sim Var ref]],1,0)</f>
        <v>1</v>
      </c>
      <c r="N837" s="8"/>
      <c r="O837" s="8"/>
      <c r="P837" s="277"/>
      <c r="Q837" s="137">
        <f>IF(IN[[#This Row],[Sim_]]=IN[[#This Row],[Direkt alt]],1,0)</f>
        <v>1</v>
      </c>
      <c r="R837" s="413">
        <v>0</v>
      </c>
      <c r="S837" s="10">
        <f>IF(IN[[#This Row],[Sim_]]=IN[[#This Row],[Buffer]],1,0)</f>
        <v>1</v>
      </c>
      <c r="T837" s="130"/>
      <c r="U837" s="145"/>
      <c r="V837" s="281"/>
      <c r="X837">
        <v>0</v>
      </c>
      <c r="Y837" s="105"/>
      <c r="Z837" s="177">
        <v>0</v>
      </c>
      <c r="AA837" s="130"/>
      <c r="AB837" s="130"/>
      <c r="AC837" s="106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s="439" t="s">
        <v>1030</v>
      </c>
      <c r="B838" s="15"/>
      <c r="C838" s="16"/>
      <c r="D838" s="16"/>
      <c r="E838" s="17"/>
      <c r="F838" s="18"/>
      <c r="G838" s="147"/>
      <c r="H838" s="20">
        <v>0</v>
      </c>
      <c r="I838" s="104">
        <f>IN[[#This Row],[Buffer]]</f>
        <v>0</v>
      </c>
      <c r="J838" s="135">
        <f>IF(IN[[#This Row],[Sim_]]=IN[[#This Row],[STAGE]],1,0)</f>
        <v>1</v>
      </c>
      <c r="K838" s="159"/>
      <c r="L838" s="130"/>
      <c r="M838" s="130">
        <f>IF(IN[[#This Row],[Sim_]]=IN[[#This Row],[Sim Var ref]],1,0)</f>
        <v>1</v>
      </c>
      <c r="N838" s="8"/>
      <c r="O838" s="8"/>
      <c r="P838" s="277"/>
      <c r="Q838" s="137">
        <f>IF(IN[[#This Row],[Sim_]]=IN[[#This Row],[Direkt alt]],1,0)</f>
        <v>1</v>
      </c>
      <c r="R838" s="413">
        <v>0</v>
      </c>
      <c r="S838" s="10">
        <f>IF(IN[[#This Row],[Sim_]]=IN[[#This Row],[Buffer]],1,0)</f>
        <v>1</v>
      </c>
      <c r="T838" s="130"/>
      <c r="U838" s="145"/>
      <c r="V838" s="281"/>
      <c r="X838">
        <v>0</v>
      </c>
      <c r="Y838" s="105"/>
      <c r="Z838" s="177">
        <v>0</v>
      </c>
      <c r="AA838" s="130"/>
      <c r="AB838" s="130"/>
      <c r="AC838" s="106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s="439" t="s">
        <v>1030</v>
      </c>
      <c r="B839" s="15"/>
      <c r="C839" s="16"/>
      <c r="D839" s="16"/>
      <c r="E839" s="17"/>
      <c r="F839" s="18"/>
      <c r="G839" s="147"/>
      <c r="H839" s="20">
        <v>0</v>
      </c>
      <c r="I839" s="104">
        <f>IN[[#This Row],[Buffer]]</f>
        <v>0</v>
      </c>
      <c r="J839" s="135">
        <f>IF(IN[[#This Row],[Sim_]]=IN[[#This Row],[STAGE]],1,0)</f>
        <v>1</v>
      </c>
      <c r="K839" s="159"/>
      <c r="L839" s="130"/>
      <c r="M839" s="130">
        <f>IF(IN[[#This Row],[Sim_]]=IN[[#This Row],[Sim Var ref]],1,0)</f>
        <v>1</v>
      </c>
      <c r="N839" s="8"/>
      <c r="O839" s="8"/>
      <c r="P839" s="277"/>
      <c r="Q839" s="137">
        <f>IF(IN[[#This Row],[Sim_]]=IN[[#This Row],[Direkt alt]],1,0)</f>
        <v>1</v>
      </c>
      <c r="R839" s="413">
        <v>0</v>
      </c>
      <c r="S839" s="10">
        <f>IF(IN[[#This Row],[Sim_]]=IN[[#This Row],[Buffer]],1,0)</f>
        <v>1</v>
      </c>
      <c r="T839" s="130"/>
      <c r="U839" s="145"/>
      <c r="V839" s="281"/>
      <c r="X839">
        <v>0</v>
      </c>
      <c r="Y839" s="105"/>
      <c r="Z839" s="177">
        <v>0</v>
      </c>
      <c r="AA839" s="130"/>
      <c r="AB839" s="130"/>
      <c r="AC839" s="106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s="439" t="s">
        <v>1030</v>
      </c>
      <c r="B840" s="15"/>
      <c r="C840" s="16"/>
      <c r="D840" s="16"/>
      <c r="E840" s="17"/>
      <c r="F840" s="18"/>
      <c r="G840" s="147"/>
      <c r="H840" s="20">
        <v>0</v>
      </c>
      <c r="I840" s="104">
        <f>IN[[#This Row],[Buffer]]</f>
        <v>0</v>
      </c>
      <c r="J840" s="135">
        <f>IF(IN[[#This Row],[Sim_]]=IN[[#This Row],[STAGE]],1,0)</f>
        <v>1</v>
      </c>
      <c r="K840" s="159"/>
      <c r="L840" s="130"/>
      <c r="M840" s="130">
        <f>IF(IN[[#This Row],[Sim_]]=IN[[#This Row],[Sim Var ref]],1,0)</f>
        <v>1</v>
      </c>
      <c r="N840" s="8"/>
      <c r="O840" s="8"/>
      <c r="P840" s="277"/>
      <c r="Q840" s="137">
        <f>IF(IN[[#This Row],[Sim_]]=IN[[#This Row],[Direkt alt]],1,0)</f>
        <v>1</v>
      </c>
      <c r="R840" s="413">
        <v>0</v>
      </c>
      <c r="S840" s="10">
        <f>IF(IN[[#This Row],[Sim_]]=IN[[#This Row],[Buffer]],1,0)</f>
        <v>1</v>
      </c>
      <c r="T840" s="130"/>
      <c r="U840" s="145"/>
      <c r="V840" s="281"/>
      <c r="X840">
        <v>0</v>
      </c>
      <c r="Y840" s="105"/>
      <c r="Z840" s="177">
        <v>0</v>
      </c>
      <c r="AA840" s="130"/>
      <c r="AB840" s="130"/>
      <c r="AC840" s="106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s="439" t="s">
        <v>1030</v>
      </c>
      <c r="B841" s="15" t="s">
        <v>1079</v>
      </c>
      <c r="C841" s="16" t="s">
        <v>1003</v>
      </c>
      <c r="D841" s="16"/>
      <c r="E841" s="17"/>
      <c r="F841" s="18"/>
      <c r="G841" s="134" t="str">
        <f ca="1">_xlfn.FORMULATEXT(IN[[#This Row],[STAGE]])</f>
        <v>=SVERWEIS(heat_th2_carrier_type;ka_PEQ_Nachweistool.xlsb!cf_constant[#Daten];2;FALSCH)</v>
      </c>
      <c r="H841" s="20">
        <v>0</v>
      </c>
      <c r="I841" s="459">
        <f>VLOOKUP(heat_th2_carrier_type,[1]!cf_constant[#Data],2,FALSE)</f>
        <v>0.33</v>
      </c>
      <c r="J841" s="135">
        <f>IF(IN[[#This Row],[Sim_]]=IN[[#This Row],[STAGE]],1,0)</f>
        <v>0</v>
      </c>
      <c r="K841" s="159"/>
      <c r="L841" s="130"/>
      <c r="M841" s="130">
        <f>IF(IN[[#This Row],[Sim_]]=IN[[#This Row],[Sim Var ref]],1,0)</f>
        <v>1</v>
      </c>
      <c r="N841" s="8"/>
      <c r="O841" s="8">
        <v>571</v>
      </c>
      <c r="P841" s="277"/>
      <c r="Q841" s="137">
        <f>IF(IN[[#This Row],[Sim_]]=IN[[#This Row],[Direkt alt]],1,0)</f>
        <v>1</v>
      </c>
      <c r="R841" s="413">
        <v>0.33</v>
      </c>
      <c r="S841" s="10">
        <f>IF(IN[[#This Row],[Sim_]]=IN[[#This Row],[Buffer]],1,0)</f>
        <v>0</v>
      </c>
      <c r="T841" s="130"/>
      <c r="U841" s="145"/>
      <c r="V841" s="281"/>
      <c r="X841">
        <v>0.85</v>
      </c>
      <c r="Y841" s="105"/>
      <c r="Z841" s="177">
        <v>0.85</v>
      </c>
      <c r="AA841" s="130"/>
      <c r="AB841" s="130">
        <v>0</v>
      </c>
      <c r="AC841" s="459">
        <v>0.85</v>
      </c>
      <c r="AD841">
        <v>0.33</v>
      </c>
      <c r="AE841">
        <v>1.1000000000000001</v>
      </c>
      <c r="AF841">
        <v>0.33</v>
      </c>
      <c r="AG841">
        <v>0.33</v>
      </c>
      <c r="AH841">
        <v>1.45</v>
      </c>
      <c r="AI841">
        <v>0.33</v>
      </c>
      <c r="AJ841">
        <v>0.33</v>
      </c>
    </row>
    <row r="842" spans="1:36" x14ac:dyDescent="0.25">
      <c r="A842" s="439" t="s">
        <v>1030</v>
      </c>
      <c r="B842" s="15" t="s">
        <v>1080</v>
      </c>
      <c r="C842" s="16" t="s">
        <v>1003</v>
      </c>
      <c r="D842" s="16"/>
      <c r="E842" s="17"/>
      <c r="F842" s="18"/>
      <c r="G842" s="134" t="str">
        <f ca="1">_xlfn.FORMULATEXT(IN[[#This Row],[STAGE]])</f>
        <v>=SVERWEIS(heat_th4_carrier_type;ka_PEQ_Nachweistool.xlsb!cf_constant[#Daten];2;FALSCH)</v>
      </c>
      <c r="H842" s="20">
        <v>0</v>
      </c>
      <c r="I842" s="459">
        <f>VLOOKUP(heat_th4_carrier_type,[1]!cf_constant[#Data],2,FALSE)</f>
        <v>0.33</v>
      </c>
      <c r="J842" s="135">
        <f>IF(IN[[#This Row],[Sim_]]=IN[[#This Row],[STAGE]],1,0)</f>
        <v>0</v>
      </c>
      <c r="K842" s="159"/>
      <c r="L842" s="130"/>
      <c r="M842" s="130">
        <f>IF(IN[[#This Row],[Sim_]]=IN[[#This Row],[Sim Var ref]],1,0)</f>
        <v>1</v>
      </c>
      <c r="N842" s="8"/>
      <c r="O842" s="8">
        <v>572</v>
      </c>
      <c r="P842" s="277"/>
      <c r="Q842" s="137">
        <f>IF(IN[[#This Row],[Sim_]]=IN[[#This Row],[Direkt alt]],1,0)</f>
        <v>1</v>
      </c>
      <c r="R842" s="413">
        <v>0.33</v>
      </c>
      <c r="S842" s="10">
        <f>IF(IN[[#This Row],[Sim_]]=IN[[#This Row],[Buffer]],1,0)</f>
        <v>0</v>
      </c>
      <c r="T842" s="130"/>
      <c r="U842" s="145"/>
      <c r="V842" s="281"/>
      <c r="X842">
        <v>0.33</v>
      </c>
      <c r="Y842" s="105"/>
      <c r="Z842" s="177">
        <v>0.33</v>
      </c>
      <c r="AA842" s="130"/>
      <c r="AB842" s="130">
        <v>0</v>
      </c>
      <c r="AC842" s="459">
        <v>0.33</v>
      </c>
      <c r="AD842">
        <v>0.33</v>
      </c>
      <c r="AE842">
        <v>0.33</v>
      </c>
      <c r="AF842">
        <v>0.33</v>
      </c>
      <c r="AG842">
        <v>0.33</v>
      </c>
      <c r="AH842">
        <v>0.33</v>
      </c>
      <c r="AI842">
        <v>0.33</v>
      </c>
      <c r="AJ842">
        <v>0.33</v>
      </c>
    </row>
    <row r="843" spans="1:36" x14ac:dyDescent="0.25">
      <c r="A843" s="439" t="s">
        <v>1030</v>
      </c>
      <c r="B843" s="15" t="s">
        <v>1081</v>
      </c>
      <c r="C843" s="16" t="s">
        <v>1003</v>
      </c>
      <c r="D843" s="16"/>
      <c r="E843" s="17"/>
      <c r="F843" s="18"/>
      <c r="G843" s="134" t="str">
        <f ca="1">_xlfn.FORMULATEXT(IN[[#This Row],[STAGE]])</f>
        <v>=SVERWEIS(cool_th2_carrier_type;ka_PEQ_Nachweistool.xlsb!cf_constant[#Daten];2;FALSCH)</v>
      </c>
      <c r="H843" s="20">
        <v>0</v>
      </c>
      <c r="I843" s="459" t="e">
        <f>VLOOKUP(cool_th2_carrier_type,[1]!cf_constant[#Data],2,FALSE)</f>
        <v>#N/A</v>
      </c>
      <c r="J843" s="135" t="e">
        <f>IF(IN[[#This Row],[Sim_]]=IN[[#This Row],[STAGE]],1,0)</f>
        <v>#N/A</v>
      </c>
      <c r="K843" s="159"/>
      <c r="L843" s="130"/>
      <c r="M843" s="130">
        <f>IF(IN[[#This Row],[Sim_]]=IN[[#This Row],[Sim Var ref]],1,0)</f>
        <v>1</v>
      </c>
      <c r="N843" s="8"/>
      <c r="O843" s="8">
        <v>573</v>
      </c>
      <c r="P843" s="277"/>
      <c r="Q843" s="137">
        <f>IF(IN[[#This Row],[Sim_]]=IN[[#This Row],[Direkt alt]],1,0)</f>
        <v>1</v>
      </c>
      <c r="R843" s="413">
        <v>0.33</v>
      </c>
      <c r="S843" s="10">
        <f>IF(IN[[#This Row],[Sim_]]=IN[[#This Row],[Buffer]],1,0)</f>
        <v>0</v>
      </c>
      <c r="T843" s="130"/>
      <c r="U843" s="145"/>
      <c r="V843" s="281"/>
      <c r="X843">
        <v>0.33</v>
      </c>
      <c r="Y843" s="105"/>
      <c r="Z843" s="177">
        <v>0.33</v>
      </c>
      <c r="AA843" s="130"/>
      <c r="AB843" s="130">
        <v>0</v>
      </c>
      <c r="AC843" s="459">
        <v>0.33</v>
      </c>
      <c r="AD843">
        <v>0.33</v>
      </c>
      <c r="AE843">
        <v>0.33</v>
      </c>
      <c r="AF843">
        <v>0.33</v>
      </c>
      <c r="AG843">
        <v>0.33</v>
      </c>
      <c r="AH843">
        <v>0.33</v>
      </c>
      <c r="AI843" t="e">
        <v>#N/A</v>
      </c>
      <c r="AJ843" t="e">
        <v>#N/A</v>
      </c>
    </row>
    <row r="844" spans="1:36" x14ac:dyDescent="0.25">
      <c r="A844" s="439" t="s">
        <v>1030</v>
      </c>
      <c r="B844" s="15" t="s">
        <v>1082</v>
      </c>
      <c r="C844" s="16" t="s">
        <v>1003</v>
      </c>
      <c r="D844" s="16"/>
      <c r="E844" s="17"/>
      <c r="F844" s="18"/>
      <c r="G844" s="134" t="str">
        <f ca="1">_xlfn.FORMULATEXT(IN[[#This Row],[STAGE]])</f>
        <v>=WENNFEHLER(SVERWEIS(DHW_carriertype_1;ka_PEQ_Nachweistool.xlsb!cf_constant[#Daten];2;FALSCH);0)</v>
      </c>
      <c r="H844" s="20">
        <v>0</v>
      </c>
      <c r="I844" s="459">
        <f>IFERROR(VLOOKUP(DHW_carriertype_1,[1]!cf_constant[#Data],2,FALSE),0)</f>
        <v>0</v>
      </c>
      <c r="J844" s="135">
        <f>IF(IN[[#This Row],[Sim_]]=IN[[#This Row],[STAGE]],1,0)</f>
        <v>1</v>
      </c>
      <c r="K844" s="159"/>
      <c r="L844" s="130"/>
      <c r="M844" s="130">
        <f>IF(IN[[#This Row],[Sim_]]=IN[[#This Row],[Sim Var ref]],1,0)</f>
        <v>1</v>
      </c>
      <c r="N844" s="8"/>
      <c r="O844" s="8">
        <v>574</v>
      </c>
      <c r="P844" s="277"/>
      <c r="Q844" s="137">
        <f>IF(IN[[#This Row],[Sim_]]=IN[[#This Row],[Direkt alt]],1,0)</f>
        <v>1</v>
      </c>
      <c r="R844" s="413">
        <v>0.33</v>
      </c>
      <c r="S844" s="10">
        <f>IF(IN[[#This Row],[Sim_]]=IN[[#This Row],[Buffer]],1,0)</f>
        <v>0</v>
      </c>
      <c r="T844" s="130"/>
      <c r="U844" s="145"/>
      <c r="V844" s="281"/>
      <c r="X844">
        <v>0</v>
      </c>
      <c r="Y844" s="105"/>
      <c r="Z844" s="177">
        <v>0</v>
      </c>
      <c r="AA844" s="130"/>
      <c r="AB844" s="130">
        <v>0</v>
      </c>
      <c r="AC844" s="459">
        <v>0</v>
      </c>
      <c r="AD844">
        <v>0</v>
      </c>
      <c r="AE844">
        <v>0</v>
      </c>
      <c r="AF844">
        <v>0.33</v>
      </c>
      <c r="AG844">
        <v>0.33</v>
      </c>
      <c r="AH844">
        <v>0.33</v>
      </c>
      <c r="AI844">
        <v>0</v>
      </c>
      <c r="AJ844">
        <v>0</v>
      </c>
    </row>
    <row r="845" spans="1:36" x14ac:dyDescent="0.25">
      <c r="A845" s="439" t="s">
        <v>1030</v>
      </c>
      <c r="B845" s="15" t="s">
        <v>1083</v>
      </c>
      <c r="C845" s="16" t="s">
        <v>1003</v>
      </c>
      <c r="D845" s="16"/>
      <c r="E845" s="17"/>
      <c r="F845" s="18"/>
      <c r="G845" s="134" t="str">
        <f ca="1">_xlfn.FORMULATEXT(IN[[#This Row],[STAGE]])</f>
        <v>=WENNFEHLER(SVERWEIS(DHW_carriertype_2;ka_PEQ_Nachweistool.xlsb!cf_constant[#Daten];2;FALSCH);0)</v>
      </c>
      <c r="H845" s="20">
        <v>0</v>
      </c>
      <c r="I845" s="459">
        <f>IFERROR(VLOOKUP(DHW_carriertype_2,[1]!cf_constant[#Data],2,FALSE),0)</f>
        <v>0</v>
      </c>
      <c r="J845" s="135">
        <f>IF(IN[[#This Row],[Sim_]]=IN[[#This Row],[STAGE]],1,0)</f>
        <v>1</v>
      </c>
      <c r="K845" s="159"/>
      <c r="L845" s="130"/>
      <c r="M845" s="130">
        <f>IF(IN[[#This Row],[Sim_]]=IN[[#This Row],[Sim Var ref]],1,0)</f>
        <v>1</v>
      </c>
      <c r="N845" s="8"/>
      <c r="O845" s="8">
        <v>575</v>
      </c>
      <c r="P845" s="277"/>
      <c r="Q845" s="137">
        <f>IF(IN[[#This Row],[Sim_]]=IN[[#This Row],[Direkt alt]],1,0)</f>
        <v>1</v>
      </c>
      <c r="R845" s="413">
        <v>0</v>
      </c>
      <c r="S845" s="10">
        <f>IF(IN[[#This Row],[Sim_]]=IN[[#This Row],[Buffer]],1,0)</f>
        <v>1</v>
      </c>
      <c r="T845" s="130"/>
      <c r="U845" s="145"/>
      <c r="V845" s="281"/>
      <c r="X845">
        <v>0.33</v>
      </c>
      <c r="Y845" s="105"/>
      <c r="Z845" s="177">
        <v>0.33</v>
      </c>
      <c r="AA845" s="130"/>
      <c r="AB845" s="130">
        <v>0</v>
      </c>
      <c r="AC845" s="459">
        <v>0.33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s="439" t="s">
        <v>1030</v>
      </c>
      <c r="B846" s="15" t="s">
        <v>1084</v>
      </c>
      <c r="C846" s="16" t="s">
        <v>1085</v>
      </c>
      <c r="D846" s="16"/>
      <c r="E846" s="17"/>
      <c r="F846" s="18"/>
      <c r="G846" s="134" t="str">
        <f ca="1">_xlfn.FORMULATEXT(IN[[#This Row],[STAGE]])</f>
        <v>=SVERWEIS(heat_th2_carrier_type;ka_PEQ_Nachweistool.xlsb!cf_constant[#Daten];5;FALSCH)</v>
      </c>
      <c r="H846" s="20">
        <v>0</v>
      </c>
      <c r="I846" s="459">
        <f>VLOOKUP(heat_th2_carrier_type,[1]!cf_constant[#Data],5,FALSE)</f>
        <v>0.02</v>
      </c>
      <c r="J846" s="135">
        <f>IF(IN[[#This Row],[Sim_]]=IN[[#This Row],[STAGE]],1,0)</f>
        <v>0</v>
      </c>
      <c r="K846" s="159"/>
      <c r="L846" s="130"/>
      <c r="M846" s="130">
        <f>IF(IN[[#This Row],[Sim_]]=IN[[#This Row],[Sim Var ref]],1,0)</f>
        <v>1</v>
      </c>
      <c r="N846" s="8"/>
      <c r="O846" s="8">
        <v>576</v>
      </c>
      <c r="P846" s="277"/>
      <c r="Q846" s="137">
        <f>IF(IN[[#This Row],[Sim_]]=IN[[#This Row],[Direkt alt]],1,0)</f>
        <v>1</v>
      </c>
      <c r="R846" s="413">
        <v>0.02</v>
      </c>
      <c r="S846" s="10">
        <f>IF(IN[[#This Row],[Sim_]]=IN[[#This Row],[Buffer]],1,0)</f>
        <v>0</v>
      </c>
      <c r="T846" s="130"/>
      <c r="U846" s="145"/>
      <c r="V846" s="281"/>
      <c r="X846">
        <v>2.5000000000000001E-2</v>
      </c>
      <c r="Y846" s="105"/>
      <c r="Z846" s="177">
        <v>2.5000000000000001E-2</v>
      </c>
      <c r="AA846" s="130"/>
      <c r="AB846" s="130">
        <v>0</v>
      </c>
      <c r="AC846" s="459">
        <v>2.5000000000000001E-2</v>
      </c>
      <c r="AD846">
        <v>0.02</v>
      </c>
      <c r="AE846">
        <v>0.247</v>
      </c>
      <c r="AF846">
        <v>0.02</v>
      </c>
      <c r="AG846">
        <v>0.02</v>
      </c>
      <c r="AH846">
        <v>0.30199999999999999</v>
      </c>
      <c r="AI846">
        <v>0.02</v>
      </c>
      <c r="AJ846">
        <v>0.02</v>
      </c>
    </row>
    <row r="847" spans="1:36" x14ac:dyDescent="0.25">
      <c r="A847" s="439" t="s">
        <v>1030</v>
      </c>
      <c r="B847" s="15" t="s">
        <v>1086</v>
      </c>
      <c r="C847" s="16" t="s">
        <v>1085</v>
      </c>
      <c r="D847" s="16"/>
      <c r="E847" s="17"/>
      <c r="F847" s="18"/>
      <c r="G847" s="134" t="str">
        <f ca="1">_xlfn.FORMULATEXT(IN[[#This Row],[STAGE]])</f>
        <v>=SVERWEIS(heat_th4_carrier_type;ka_PEQ_Nachweistool.xlsb!cf_constant[#Daten];5;FALSCH)</v>
      </c>
      <c r="H847" s="20">
        <v>0</v>
      </c>
      <c r="I847" s="459">
        <f>VLOOKUP(heat_th4_carrier_type,[1]!cf_constant[#Data],5,FALSE)</f>
        <v>0.02</v>
      </c>
      <c r="J847" s="135">
        <f>IF(IN[[#This Row],[Sim_]]=IN[[#This Row],[STAGE]],1,0)</f>
        <v>0</v>
      </c>
      <c r="K847" s="159"/>
      <c r="L847" s="130"/>
      <c r="M847" s="130">
        <f>IF(IN[[#This Row],[Sim_]]=IN[[#This Row],[Sim Var ref]],1,0)</f>
        <v>1</v>
      </c>
      <c r="N847" s="8"/>
      <c r="O847" s="8">
        <v>577</v>
      </c>
      <c r="P847" s="277"/>
      <c r="Q847" s="137">
        <f>IF(IN[[#This Row],[Sim_]]=IN[[#This Row],[Direkt alt]],1,0)</f>
        <v>1</v>
      </c>
      <c r="R847" s="413">
        <v>0.02</v>
      </c>
      <c r="S847" s="10">
        <f>IF(IN[[#This Row],[Sim_]]=IN[[#This Row],[Buffer]],1,0)</f>
        <v>0</v>
      </c>
      <c r="T847" s="130"/>
      <c r="U847" s="145"/>
      <c r="V847" s="281"/>
      <c r="X847">
        <v>0.02</v>
      </c>
      <c r="Y847" s="105"/>
      <c r="Z847" s="177">
        <v>0.02</v>
      </c>
      <c r="AA847" s="130"/>
      <c r="AB847" s="130">
        <v>0</v>
      </c>
      <c r="AC847" s="459">
        <v>0.02</v>
      </c>
      <c r="AD847">
        <v>0.02</v>
      </c>
      <c r="AE847">
        <v>0.02</v>
      </c>
      <c r="AF847">
        <v>0.02</v>
      </c>
      <c r="AG847">
        <v>0.02</v>
      </c>
      <c r="AH847">
        <v>0.02</v>
      </c>
      <c r="AI847">
        <v>0.02</v>
      </c>
      <c r="AJ847">
        <v>0.02</v>
      </c>
    </row>
    <row r="848" spans="1:36" x14ac:dyDescent="0.25">
      <c r="A848" s="439" t="s">
        <v>1030</v>
      </c>
      <c r="B848" s="15" t="s">
        <v>1087</v>
      </c>
      <c r="C848" s="16" t="s">
        <v>1085</v>
      </c>
      <c r="D848" s="16"/>
      <c r="E848" s="17"/>
      <c r="F848" s="18"/>
      <c r="G848" s="134" t="str">
        <f ca="1">_xlfn.FORMULATEXT(IN[[#This Row],[STAGE]])</f>
        <v>=SVERWEIS(cool_th2_carrier_type;ka_PEQ_Nachweistool.xlsb!cf_constant[#Daten];5;FALSCH)</v>
      </c>
      <c r="H848" s="20">
        <v>0</v>
      </c>
      <c r="I848" s="459" t="e">
        <f>VLOOKUP(cool_th2_carrier_type,[1]!cf_constant[#Data],5,FALSE)</f>
        <v>#N/A</v>
      </c>
      <c r="J848" s="135" t="e">
        <f>IF(IN[[#This Row],[Sim_]]=IN[[#This Row],[STAGE]],1,0)</f>
        <v>#N/A</v>
      </c>
      <c r="K848" s="159"/>
      <c r="L848" s="130"/>
      <c r="M848" s="130">
        <f>IF(IN[[#This Row],[Sim_]]=IN[[#This Row],[Sim Var ref]],1,0)</f>
        <v>1</v>
      </c>
      <c r="N848" s="8"/>
      <c r="O848" s="8">
        <v>578</v>
      </c>
      <c r="P848" s="277"/>
      <c r="Q848" s="137">
        <f>IF(IN[[#This Row],[Sim_]]=IN[[#This Row],[Direkt alt]],1,0)</f>
        <v>1</v>
      </c>
      <c r="R848" s="413">
        <v>0.02</v>
      </c>
      <c r="S848" s="10">
        <f>IF(IN[[#This Row],[Sim_]]=IN[[#This Row],[Buffer]],1,0)</f>
        <v>0</v>
      </c>
      <c r="T848" s="130"/>
      <c r="U848" s="145"/>
      <c r="V848" s="281"/>
      <c r="X848">
        <v>0.02</v>
      </c>
      <c r="Y848" s="105"/>
      <c r="Z848" s="177">
        <v>0.02</v>
      </c>
      <c r="AA848" s="130"/>
      <c r="AB848" s="130">
        <v>0</v>
      </c>
      <c r="AC848" s="459">
        <v>0.02</v>
      </c>
      <c r="AD848">
        <v>0.02</v>
      </c>
      <c r="AE848">
        <v>0.02</v>
      </c>
      <c r="AF848">
        <v>0.02</v>
      </c>
      <c r="AG848">
        <v>0.02</v>
      </c>
      <c r="AH848">
        <v>0.02</v>
      </c>
      <c r="AI848" t="e">
        <v>#N/A</v>
      </c>
      <c r="AJ848" t="e">
        <v>#N/A</v>
      </c>
    </row>
    <row r="849" spans="1:36" x14ac:dyDescent="0.25">
      <c r="A849" s="439" t="s">
        <v>1030</v>
      </c>
      <c r="B849" s="15" t="s">
        <v>1088</v>
      </c>
      <c r="C849" s="16" t="s">
        <v>1085</v>
      </c>
      <c r="D849" s="16"/>
      <c r="E849" s="17"/>
      <c r="F849" s="18"/>
      <c r="G849" s="134" t="str">
        <f ca="1">_xlfn.FORMULATEXT(IN[[#This Row],[STAGE]])</f>
        <v>=WENNFEHLER(SVERWEIS(DHW_carriertype_1;ka_PEQ_Nachweistool.xlsb!cf_constant[#Daten];5;FALSCH);0)</v>
      </c>
      <c r="H849" s="20">
        <v>0</v>
      </c>
      <c r="I849" s="459">
        <f>IFERROR(VLOOKUP(DHW_carriertype_1,[1]!cf_constant[#Data],5,FALSE),0)</f>
        <v>0</v>
      </c>
      <c r="J849" s="135">
        <f>IF(IN[[#This Row],[Sim_]]=IN[[#This Row],[STAGE]],1,0)</f>
        <v>1</v>
      </c>
      <c r="K849" s="159"/>
      <c r="L849" s="130"/>
      <c r="M849" s="130">
        <f>IF(IN[[#This Row],[Sim_]]=IN[[#This Row],[Sim Var ref]],1,0)</f>
        <v>1</v>
      </c>
      <c r="N849" s="8"/>
      <c r="O849" s="8">
        <v>579</v>
      </c>
      <c r="P849" s="277"/>
      <c r="Q849" s="137">
        <f>IF(IN[[#This Row],[Sim_]]=IN[[#This Row],[Direkt alt]],1,0)</f>
        <v>1</v>
      </c>
      <c r="R849" s="413">
        <v>0.02</v>
      </c>
      <c r="S849" s="10">
        <f>IF(IN[[#This Row],[Sim_]]=IN[[#This Row],[Buffer]],1,0)</f>
        <v>0</v>
      </c>
      <c r="T849" s="130"/>
      <c r="U849" s="145"/>
      <c r="V849" s="281"/>
      <c r="X849">
        <v>0</v>
      </c>
      <c r="Y849" s="105"/>
      <c r="Z849" s="177">
        <v>0</v>
      </c>
      <c r="AA849" s="130"/>
      <c r="AB849" s="130">
        <v>0</v>
      </c>
      <c r="AC849" s="459">
        <v>0</v>
      </c>
      <c r="AD849">
        <v>0</v>
      </c>
      <c r="AE849">
        <v>0</v>
      </c>
      <c r="AF849">
        <v>0.02</v>
      </c>
      <c r="AG849">
        <v>0.02</v>
      </c>
      <c r="AH849">
        <v>0.02</v>
      </c>
      <c r="AI849">
        <v>0</v>
      </c>
      <c r="AJ849">
        <v>0</v>
      </c>
    </row>
    <row r="850" spans="1:36" x14ac:dyDescent="0.25">
      <c r="A850" s="439" t="s">
        <v>1030</v>
      </c>
      <c r="B850" s="15" t="s">
        <v>1089</v>
      </c>
      <c r="C850" s="16" t="s">
        <v>1085</v>
      </c>
      <c r="D850" s="16"/>
      <c r="E850" s="17"/>
      <c r="F850" s="18"/>
      <c r="G850" s="134" t="str">
        <f ca="1">_xlfn.FORMULATEXT(IN[[#This Row],[STAGE]])</f>
        <v>=WENNFEHLER(SVERWEIS(DHW_carriertype_2;ka_PEQ_Nachweistool.xlsb!cf_constant[#Daten];5;FALSCH);0)</v>
      </c>
      <c r="H850" s="20">
        <v>0</v>
      </c>
      <c r="I850" s="459">
        <f>IFERROR(VLOOKUP(DHW_carriertype_2,[1]!cf_constant[#Data],5,FALSE),0)</f>
        <v>0</v>
      </c>
      <c r="J850" s="135">
        <f>IF(IN[[#This Row],[Sim_]]=IN[[#This Row],[STAGE]],1,0)</f>
        <v>1</v>
      </c>
      <c r="K850" s="159"/>
      <c r="L850" s="130"/>
      <c r="M850" s="130">
        <f>IF(IN[[#This Row],[Sim_]]=IN[[#This Row],[Sim Var ref]],1,0)</f>
        <v>1</v>
      </c>
      <c r="N850" s="8"/>
      <c r="O850" s="8">
        <v>580</v>
      </c>
      <c r="P850" s="277"/>
      <c r="Q850" s="137">
        <f>IF(IN[[#This Row],[Sim_]]=IN[[#This Row],[Direkt alt]],1,0)</f>
        <v>1</v>
      </c>
      <c r="R850" s="413">
        <v>0</v>
      </c>
      <c r="S850" s="10">
        <f>IF(IN[[#This Row],[Sim_]]=IN[[#This Row],[Buffer]],1,0)</f>
        <v>1</v>
      </c>
      <c r="T850" s="130"/>
      <c r="U850" s="145"/>
      <c r="V850" s="281"/>
      <c r="X850">
        <v>0.02</v>
      </c>
      <c r="Y850" s="105"/>
      <c r="Z850" s="177">
        <v>0.02</v>
      </c>
      <c r="AA850" s="130"/>
      <c r="AB850" s="130">
        <v>0</v>
      </c>
      <c r="AC850" s="459">
        <v>0.02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s="63"/>
      <c r="B851" s="15"/>
      <c r="C851" s="16"/>
      <c r="D851" s="16"/>
      <c r="E851" s="17"/>
      <c r="F851" s="18"/>
      <c r="G851" s="134" t="str">
        <f ca="1">_xlfn.FORMULATEXT(IN[[#This Row],[STAGE]])</f>
        <v>=[@Buffer]</v>
      </c>
      <c r="H851" s="20">
        <v>0</v>
      </c>
      <c r="I851" s="104">
        <f>IN[[#This Row],[Buffer]]</f>
        <v>0</v>
      </c>
      <c r="J851" s="135">
        <f>IF(IN[[#This Row],[Sim_]]=IN[[#This Row],[STAGE]],1,0)</f>
        <v>1</v>
      </c>
      <c r="K851" s="159"/>
      <c r="L851" s="130"/>
      <c r="M851" s="130">
        <f>IF(IN[[#This Row],[Sim_]]=IN[[#This Row],[Sim Var ref]],1,0)</f>
        <v>1</v>
      </c>
      <c r="N851" s="8"/>
      <c r="O851" s="8">
        <v>581</v>
      </c>
      <c r="P851" s="277"/>
      <c r="Q851" s="137">
        <f>IF(IN[[#This Row],[Sim_]]=IN[[#This Row],[Direkt alt]],1,0)</f>
        <v>1</v>
      </c>
      <c r="R851" s="413">
        <v>0</v>
      </c>
      <c r="S851" s="10">
        <f>IF(IN[[#This Row],[Sim_]]=IN[[#This Row],[Buffer]],1,0)</f>
        <v>1</v>
      </c>
      <c r="T851" s="130"/>
      <c r="U851" s="145"/>
      <c r="V851" s="281"/>
      <c r="X851">
        <v>0</v>
      </c>
      <c r="Y851" s="105"/>
      <c r="Z851" s="177">
        <v>0</v>
      </c>
      <c r="AA851" s="130"/>
      <c r="AB851" s="130">
        <v>0</v>
      </c>
      <c r="AC851" s="106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s="63"/>
      <c r="B852" s="15"/>
      <c r="C852" s="16"/>
      <c r="D852" s="16"/>
      <c r="E852" s="17"/>
      <c r="F852" s="18"/>
      <c r="G852" s="134" t="str">
        <f ca="1">_xlfn.FORMULATEXT(IN[[#This Row],[STAGE]])</f>
        <v>=[@Buffer]</v>
      </c>
      <c r="H852" s="20">
        <v>0</v>
      </c>
      <c r="I852" s="104">
        <f>IN[[#This Row],[Buffer]]</f>
        <v>0</v>
      </c>
      <c r="J852" s="135">
        <f>IF(IN[[#This Row],[Sim_]]=IN[[#This Row],[STAGE]],1,0)</f>
        <v>1</v>
      </c>
      <c r="K852" s="159"/>
      <c r="L852" s="130"/>
      <c r="M852" s="130">
        <f>IF(IN[[#This Row],[Sim_]]=IN[[#This Row],[Sim Var ref]],1,0)</f>
        <v>1</v>
      </c>
      <c r="N852" s="8"/>
      <c r="O852" s="8">
        <v>582</v>
      </c>
      <c r="P852" s="277"/>
      <c r="Q852" s="137">
        <f>IF(IN[[#This Row],[Sim_]]=IN[[#This Row],[Direkt alt]],1,0)</f>
        <v>1</v>
      </c>
      <c r="R852" s="413">
        <v>0</v>
      </c>
      <c r="S852" s="10">
        <f>IF(IN[[#This Row],[Sim_]]=IN[[#This Row],[Buffer]],1,0)</f>
        <v>1</v>
      </c>
      <c r="T852" s="130"/>
      <c r="U852" s="145"/>
      <c r="V852" s="281"/>
      <c r="X852">
        <v>0</v>
      </c>
      <c r="Y852" s="105"/>
      <c r="Z852" s="177">
        <v>0</v>
      </c>
      <c r="AA852" s="130"/>
      <c r="AB852" s="130">
        <v>0</v>
      </c>
      <c r="AC852" s="106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s="63"/>
      <c r="B853" s="15"/>
      <c r="C853" s="16"/>
      <c r="D853" s="16"/>
      <c r="E853" s="17"/>
      <c r="F853" s="18"/>
      <c r="G853" s="134" t="str">
        <f ca="1">_xlfn.FORMULATEXT(IN[[#This Row],[STAGE]])</f>
        <v>=[@Buffer]</v>
      </c>
      <c r="H853" s="20">
        <v>0</v>
      </c>
      <c r="I853" s="104">
        <f>IN[[#This Row],[Buffer]]</f>
        <v>0</v>
      </c>
      <c r="J853" s="135">
        <f>IF(IN[[#This Row],[Sim_]]=IN[[#This Row],[STAGE]],1,0)</f>
        <v>1</v>
      </c>
      <c r="K853" s="159"/>
      <c r="L853" s="130"/>
      <c r="M853" s="130">
        <f>IF(IN[[#This Row],[Sim_]]=IN[[#This Row],[Sim Var ref]],1,0)</f>
        <v>1</v>
      </c>
      <c r="N853" s="8"/>
      <c r="O853" s="8"/>
      <c r="P853" s="277"/>
      <c r="Q853" s="137">
        <f>IF(IN[[#This Row],[Sim_]]=IN[[#This Row],[Direkt alt]],1,0)</f>
        <v>1</v>
      </c>
      <c r="R853" s="413">
        <v>0</v>
      </c>
      <c r="S853" s="10">
        <f>IF(IN[[#This Row],[Sim_]]=IN[[#This Row],[Buffer]],1,0)</f>
        <v>1</v>
      </c>
      <c r="T853" s="130"/>
      <c r="U853" s="145"/>
      <c r="V853" s="281"/>
      <c r="X853">
        <v>0</v>
      </c>
      <c r="Y853" s="105"/>
      <c r="Z853" s="177">
        <v>0</v>
      </c>
      <c r="AA853" s="130"/>
      <c r="AB853" s="130"/>
      <c r="AC853" s="106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s="460" t="s">
        <v>1090</v>
      </c>
      <c r="B854" s="15" t="s">
        <v>1091</v>
      </c>
      <c r="C854" s="37" t="s">
        <v>1003</v>
      </c>
      <c r="D854" t="s">
        <v>1092</v>
      </c>
      <c r="F854" s="461"/>
      <c r="G854" s="134" t="e">
        <f ca="1">_xlfn.FORMULATEXT(IN[[#This Row],[STAGE]])</f>
        <v>#N/A</v>
      </c>
      <c r="H854" s="20">
        <v>1</v>
      </c>
      <c r="I854" s="391">
        <v>1.63</v>
      </c>
      <c r="J854" s="135">
        <f>IF(IN[[#This Row],[Sim_]]=IN[[#This Row],[STAGE]],1,0)</f>
        <v>0</v>
      </c>
      <c r="K854" s="159"/>
      <c r="L854" s="130"/>
      <c r="M854" s="130">
        <f>IF(IN[[#This Row],[Sim_]]=IN[[#This Row],[Sim Var ref]],1,0)</f>
        <v>1</v>
      </c>
      <c r="N854" s="8"/>
      <c r="O854" s="8"/>
      <c r="P854" s="277"/>
      <c r="Q854" s="137">
        <f>IF(IN[[#This Row],[Sim_]]=IN[[#This Row],[Direkt alt]],1,0)</f>
        <v>1</v>
      </c>
      <c r="R854" s="413">
        <v>1.63</v>
      </c>
      <c r="S854" s="10">
        <f>IF(IN[[#This Row],[Sim_]]=IN[[#This Row],[Buffer]],1,0)</f>
        <v>0</v>
      </c>
      <c r="T854" s="130"/>
      <c r="U854" s="145"/>
      <c r="V854" s="281"/>
      <c r="X854">
        <v>1.63</v>
      </c>
      <c r="Y854" s="105"/>
      <c r="Z854" s="177">
        <v>1.63</v>
      </c>
      <c r="AA854" s="130"/>
      <c r="AB854" s="130"/>
      <c r="AC854" s="392">
        <v>1.63</v>
      </c>
      <c r="AD854">
        <v>1.63</v>
      </c>
      <c r="AE854">
        <v>1.63</v>
      </c>
      <c r="AF854">
        <v>1.63</v>
      </c>
      <c r="AG854">
        <v>1.63</v>
      </c>
      <c r="AH854">
        <v>1.63</v>
      </c>
      <c r="AI854">
        <v>1.63</v>
      </c>
      <c r="AJ854">
        <v>1.63</v>
      </c>
    </row>
    <row r="855" spans="1:36" x14ac:dyDescent="0.25">
      <c r="A855" s="460" t="s">
        <v>1090</v>
      </c>
      <c r="B855" s="15" t="s">
        <v>1093</v>
      </c>
      <c r="C855" s="37" t="s">
        <v>1094</v>
      </c>
      <c r="D855" t="s">
        <v>1095</v>
      </c>
      <c r="F855" s="461"/>
      <c r="G855" s="134" t="e">
        <f ca="1">_xlfn.FORMULATEXT(IN[[#This Row],[STAGE]])</f>
        <v>#N/A</v>
      </c>
      <c r="H855" s="20">
        <v>1</v>
      </c>
      <c r="I855" s="391">
        <v>38</v>
      </c>
      <c r="J855" s="135">
        <f>IF(IN[[#This Row],[Sim_]]=IN[[#This Row],[STAGE]],1,0)</f>
        <v>0</v>
      </c>
      <c r="K855" s="159"/>
      <c r="L855" s="130"/>
      <c r="M855" s="130">
        <f>IF(IN[[#This Row],[Sim_]]=IN[[#This Row],[Sim Var ref]],1,0)</f>
        <v>1</v>
      </c>
      <c r="N855" s="8"/>
      <c r="O855" s="8"/>
      <c r="P855" s="277"/>
      <c r="Q855" s="137">
        <f>IF(IN[[#This Row],[Sim_]]=IN[[#This Row],[Direkt alt]],1,0)</f>
        <v>1</v>
      </c>
      <c r="R855" s="413">
        <v>38</v>
      </c>
      <c r="S855" s="10">
        <f>IF(IN[[#This Row],[Sim_]]=IN[[#This Row],[Buffer]],1,0)</f>
        <v>0</v>
      </c>
      <c r="T855" s="130"/>
      <c r="U855" s="145"/>
      <c r="V855" s="281"/>
      <c r="X855">
        <v>38</v>
      </c>
      <c r="Y855" s="105"/>
      <c r="Z855" s="177">
        <v>38</v>
      </c>
      <c r="AA855" s="130"/>
      <c r="AB855" s="130"/>
      <c r="AC855" s="392">
        <v>38</v>
      </c>
      <c r="AD855">
        <v>38</v>
      </c>
      <c r="AE855">
        <v>38</v>
      </c>
      <c r="AF855">
        <v>38</v>
      </c>
      <c r="AG855">
        <v>38</v>
      </c>
      <c r="AH855">
        <v>38</v>
      </c>
      <c r="AI855">
        <v>38</v>
      </c>
      <c r="AJ855">
        <v>38</v>
      </c>
    </row>
    <row r="856" spans="1:36" x14ac:dyDescent="0.25">
      <c r="A856" s="460" t="s">
        <v>1090</v>
      </c>
      <c r="B856" s="15" t="s">
        <v>1096</v>
      </c>
      <c r="C856" t="s">
        <v>142</v>
      </c>
      <c r="D856" t="s">
        <v>1097</v>
      </c>
      <c r="F856" s="461"/>
      <c r="G856" s="134" t="e">
        <f ca="1">_xlfn.FORMULATEXT(IN[[#This Row],[STAGE]])</f>
        <v>#N/A</v>
      </c>
      <c r="H856" s="20">
        <v>1</v>
      </c>
      <c r="I856" s="391">
        <v>0.15</v>
      </c>
      <c r="J856" s="135">
        <f>IF(IN[[#This Row],[Sim_]]=IN[[#This Row],[STAGE]],1,0)</f>
        <v>0</v>
      </c>
      <c r="K856" s="159"/>
      <c r="L856" s="130"/>
      <c r="M856" s="130">
        <f>IF(IN[[#This Row],[Sim_]]=IN[[#This Row],[Sim Var ref]],1,0)</f>
        <v>1</v>
      </c>
      <c r="N856" s="8"/>
      <c r="O856" s="8"/>
      <c r="P856" s="277"/>
      <c r="Q856" s="137">
        <f>IF(IN[[#This Row],[Sim_]]=IN[[#This Row],[Direkt alt]],1,0)</f>
        <v>1</v>
      </c>
      <c r="R856" s="413">
        <v>0.15</v>
      </c>
      <c r="S856" s="10">
        <f>IF(IN[[#This Row],[Sim_]]=IN[[#This Row],[Buffer]],1,0)</f>
        <v>0</v>
      </c>
      <c r="T856" s="130"/>
      <c r="U856" s="145"/>
      <c r="V856" s="281"/>
      <c r="X856">
        <v>0.15</v>
      </c>
      <c r="Y856" s="105"/>
      <c r="Z856" s="177">
        <v>0.15</v>
      </c>
      <c r="AA856" s="130"/>
      <c r="AB856" s="130"/>
      <c r="AC856" s="392">
        <v>0.15</v>
      </c>
      <c r="AD856">
        <v>0.15</v>
      </c>
      <c r="AE856">
        <v>0.15</v>
      </c>
      <c r="AF856">
        <v>0.15</v>
      </c>
      <c r="AG856">
        <v>0.15</v>
      </c>
      <c r="AH856">
        <v>0.15</v>
      </c>
      <c r="AI856">
        <v>0.15</v>
      </c>
      <c r="AJ856">
        <v>0.15</v>
      </c>
    </row>
    <row r="857" spans="1:36" x14ac:dyDescent="0.25">
      <c r="A857" s="460" t="s">
        <v>1090</v>
      </c>
      <c r="B857" s="15" t="s">
        <v>1098</v>
      </c>
      <c r="C857" s="17" t="s">
        <v>1099</v>
      </c>
      <c r="D857" t="s">
        <v>1100</v>
      </c>
      <c r="E857" s="17"/>
      <c r="F857" s="462"/>
      <c r="G857" s="134" t="e">
        <f ca="1">_xlfn.FORMULATEXT(IN[[#This Row],[STAGE]])</f>
        <v>#N/A</v>
      </c>
      <c r="H857" s="20">
        <v>1</v>
      </c>
      <c r="I857" s="391">
        <v>33</v>
      </c>
      <c r="J857" s="135">
        <f>IF(IN[[#This Row],[Sim_]]=IN[[#This Row],[STAGE]],1,0)</f>
        <v>0</v>
      </c>
      <c r="K857" s="159"/>
      <c r="L857" s="130"/>
      <c r="M857" s="130">
        <f>IF(IN[[#This Row],[Sim_]]=IN[[#This Row],[Sim Var ref]],1,0)</f>
        <v>1</v>
      </c>
      <c r="N857" s="8"/>
      <c r="O857" s="8"/>
      <c r="P857" s="277"/>
      <c r="Q857" s="137">
        <f>IF(IN[[#This Row],[Sim_]]=IN[[#This Row],[Direkt alt]],1,0)</f>
        <v>1</v>
      </c>
      <c r="R857" s="413">
        <v>33</v>
      </c>
      <c r="S857" s="10">
        <f>IF(IN[[#This Row],[Sim_]]=IN[[#This Row],[Buffer]],1,0)</f>
        <v>0</v>
      </c>
      <c r="T857" s="130"/>
      <c r="U857" s="145"/>
      <c r="V857" s="281"/>
      <c r="X857">
        <v>33</v>
      </c>
      <c r="Y857" s="105"/>
      <c r="Z857" s="177">
        <v>33</v>
      </c>
      <c r="AA857" s="130"/>
      <c r="AB857" s="130"/>
      <c r="AC857" s="392">
        <v>33</v>
      </c>
      <c r="AD857">
        <v>33</v>
      </c>
      <c r="AE857">
        <v>33</v>
      </c>
      <c r="AF857">
        <v>33</v>
      </c>
      <c r="AG857">
        <v>33</v>
      </c>
      <c r="AH857">
        <v>33</v>
      </c>
      <c r="AI857">
        <v>33</v>
      </c>
      <c r="AJ857">
        <v>33</v>
      </c>
    </row>
    <row r="858" spans="1:36" x14ac:dyDescent="0.25">
      <c r="A858" s="460" t="s">
        <v>1090</v>
      </c>
      <c r="B858" s="15" t="s">
        <v>1101</v>
      </c>
      <c r="C858" s="17" t="s">
        <v>1102</v>
      </c>
      <c r="D858" t="s">
        <v>1103</v>
      </c>
      <c r="F858" s="461"/>
      <c r="G858" s="134" t="e">
        <f ca="1">_xlfn.FORMULATEXT(IN[[#This Row],[STAGE]])</f>
        <v>#N/A</v>
      </c>
      <c r="H858" s="20">
        <v>1</v>
      </c>
      <c r="I858" s="391">
        <v>125</v>
      </c>
      <c r="J858" s="135">
        <f>IF(IN[[#This Row],[Sim_]]=IN[[#This Row],[STAGE]],1,0)</f>
        <v>0</v>
      </c>
      <c r="K858" s="159"/>
      <c r="L858" s="130"/>
      <c r="M858" s="130">
        <f>IF(IN[[#This Row],[Sim_]]=IN[[#This Row],[Sim Var ref]],1,0)</f>
        <v>1</v>
      </c>
      <c r="N858" s="8"/>
      <c r="O858" s="8"/>
      <c r="P858" s="277"/>
      <c r="Q858" s="137">
        <f>IF(IN[[#This Row],[Sim_]]=IN[[#This Row],[Direkt alt]],1,0)</f>
        <v>1</v>
      </c>
      <c r="R858" s="413">
        <v>125</v>
      </c>
      <c r="S858" s="10">
        <f>IF(IN[[#This Row],[Sim_]]=IN[[#This Row],[Buffer]],1,0)</f>
        <v>0</v>
      </c>
      <c r="T858" s="130"/>
      <c r="U858" s="145"/>
      <c r="V858" s="281"/>
      <c r="X858">
        <v>125</v>
      </c>
      <c r="Y858" s="105"/>
      <c r="Z858" s="177">
        <v>125</v>
      </c>
      <c r="AA858" s="130"/>
      <c r="AB858" s="130"/>
      <c r="AC858" s="392">
        <v>125</v>
      </c>
      <c r="AD858">
        <v>125</v>
      </c>
      <c r="AE858">
        <v>125</v>
      </c>
      <c r="AF858">
        <v>125</v>
      </c>
      <c r="AG858">
        <v>125</v>
      </c>
      <c r="AH858">
        <v>125</v>
      </c>
      <c r="AI858">
        <v>125</v>
      </c>
      <c r="AJ858">
        <v>125</v>
      </c>
    </row>
    <row r="859" spans="1:36" ht="16.5" x14ac:dyDescent="0.35">
      <c r="A859" s="460" t="s">
        <v>1090</v>
      </c>
      <c r="B859" s="362" t="s">
        <v>1104</v>
      </c>
      <c r="C859" s="463" t="s">
        <v>1105</v>
      </c>
      <c r="D859" s="16"/>
      <c r="E859" s="17"/>
      <c r="F859" s="18"/>
      <c r="G859" s="134" t="str">
        <f ca="1">_xlfn.FORMULATEXT(IN[[#This Row],[STAGE]])</f>
        <v>=-MIN(cfd_fPE*(cfd_A/(FSI+cfd_dx)-cfd_EUI);cfd_cutoff)</v>
      </c>
      <c r="H859" s="20">
        <v>0</v>
      </c>
      <c r="I859" s="197" t="e">
        <f>-MIN(cfd_fPE*(cfd_A/(FSI+cfd_dx)-cfd_EUI),cfd_cutoff)</f>
        <v>#DIV/0!</v>
      </c>
      <c r="J859" s="135" t="e">
        <f>IF(IN[[#This Row],[Sim_]]=IN[[#This Row],[STAGE]],1,0)</f>
        <v>#DIV/0!</v>
      </c>
      <c r="K859" s="159"/>
      <c r="L859" s="130"/>
      <c r="M859" s="130">
        <f>IF(IN[[#This Row],[Sim_]]=IN[[#This Row],[Sim Var ref]],1,0)</f>
        <v>1</v>
      </c>
      <c r="N859" s="8"/>
      <c r="O859" s="8"/>
      <c r="P859" s="277"/>
      <c r="Q859" s="137">
        <f>IF(IN[[#This Row],[Sim_]]=IN[[#This Row],[Direkt alt]],1,0)</f>
        <v>1</v>
      </c>
      <c r="R859" s="413">
        <v>37.907948717948713</v>
      </c>
      <c r="S859" s="10">
        <f>IF(IN[[#This Row],[Sim_]]=IN[[#This Row],[Buffer]],1,0)</f>
        <v>0</v>
      </c>
      <c r="T859" s="130"/>
      <c r="U859" s="145"/>
      <c r="V859" s="281"/>
      <c r="X859">
        <v>25.752727564009202</v>
      </c>
      <c r="Y859" s="105"/>
      <c r="Z859" s="177">
        <v>25.752727564009202</v>
      </c>
      <c r="AA859" s="130"/>
      <c r="AB859" s="130"/>
      <c r="AC859" s="197">
        <v>25.752727564009202</v>
      </c>
      <c r="AD859">
        <v>37.907948717948713</v>
      </c>
      <c r="AE859">
        <v>37.907948717948713</v>
      </c>
      <c r="AF859">
        <v>37.907948717948713</v>
      </c>
      <c r="AG859">
        <v>37.907948717948713</v>
      </c>
      <c r="AH859">
        <v>37.949580589476369</v>
      </c>
      <c r="AI859">
        <v>40.681552690675289</v>
      </c>
      <c r="AJ859">
        <v>40.681552690675289</v>
      </c>
    </row>
    <row r="860" spans="1:36" ht="16.5" x14ac:dyDescent="0.35">
      <c r="A860" s="464" t="s">
        <v>1090</v>
      </c>
      <c r="B860" s="15" t="s">
        <v>1106</v>
      </c>
      <c r="C860" s="463" t="s">
        <v>1105</v>
      </c>
      <c r="D860" s="16"/>
      <c r="E860" s="17"/>
      <c r="F860" s="18"/>
      <c r="G860" s="134" t="e">
        <f ca="1">_xlfn.FORMULATEXT(IN[[#This Row],[STAGE]])</f>
        <v>#N/A</v>
      </c>
      <c r="H860" s="20">
        <v>1</v>
      </c>
      <c r="I860" s="465">
        <v>14.107740396658576</v>
      </c>
      <c r="J860" s="135">
        <f>IF(IN[[#This Row],[Sim_]]=IN[[#This Row],[STAGE]],1,0)</f>
        <v>0</v>
      </c>
      <c r="K860" s="159"/>
      <c r="L860" s="130"/>
      <c r="M860" s="130">
        <f>IF(IN[[#This Row],[Sim_]]=IN[[#This Row],[Sim Var ref]],1,0)</f>
        <v>1</v>
      </c>
      <c r="N860" s="8"/>
      <c r="O860" s="8">
        <v>583</v>
      </c>
      <c r="P860" s="277"/>
      <c r="Q860" s="137">
        <f>IF(IN[[#This Row],[Sim_]]=IN[[#This Row],[Direkt alt]],1,0)</f>
        <v>1</v>
      </c>
      <c r="R860" s="413">
        <v>14.107740396658576</v>
      </c>
      <c r="S860" s="10">
        <f>IF(IN[[#This Row],[Sim_]]=IN[[#This Row],[Buffer]],1,0)</f>
        <v>0</v>
      </c>
      <c r="T860" s="130"/>
      <c r="U860" s="145"/>
      <c r="V860" s="281"/>
      <c r="X860">
        <v>14.107740396658576</v>
      </c>
      <c r="Y860" s="105"/>
      <c r="Z860" s="177">
        <v>14.107740396658576</v>
      </c>
      <c r="AA860" s="130"/>
      <c r="AB860" s="130">
        <v>0</v>
      </c>
      <c r="AC860" s="466">
        <v>14.107740396658576</v>
      </c>
      <c r="AD860">
        <v>14.107740396658576</v>
      </c>
      <c r="AE860">
        <v>14.107740396658576</v>
      </c>
      <c r="AF860">
        <v>14.107740396658576</v>
      </c>
      <c r="AG860">
        <v>14.107740396658576</v>
      </c>
      <c r="AH860">
        <v>14.107740396658576</v>
      </c>
      <c r="AI860">
        <v>14.107740396658576</v>
      </c>
      <c r="AJ860">
        <v>14.107740396658576</v>
      </c>
    </row>
    <row r="861" spans="1:36" ht="16.5" x14ac:dyDescent="0.35">
      <c r="A861" s="464" t="s">
        <v>1090</v>
      </c>
      <c r="B861" s="15" t="s">
        <v>1107</v>
      </c>
      <c r="C861" s="463" t="s">
        <v>1105</v>
      </c>
      <c r="D861" s="16"/>
      <c r="E861" s="17"/>
      <c r="F861" s="18"/>
      <c r="G861" s="134" t="e">
        <f ca="1">_xlfn.FORMULATEXT(IN[[#This Row],[STAGE]])</f>
        <v>#N/A</v>
      </c>
      <c r="H861" s="20">
        <v>1</v>
      </c>
      <c r="I861" s="465">
        <v>41.466156768133054</v>
      </c>
      <c r="J861" s="135">
        <f>IF(IN[[#This Row],[Sim_]]=IN[[#This Row],[STAGE]],1,0)</f>
        <v>0</v>
      </c>
      <c r="K861" s="159"/>
      <c r="L861" s="130"/>
      <c r="M861" s="130">
        <f>IF(IN[[#This Row],[Sim_]]=IN[[#This Row],[Sim Var ref]],1,0)</f>
        <v>1</v>
      </c>
      <c r="N861" s="8"/>
      <c r="O861" s="8">
        <v>584</v>
      </c>
      <c r="P861" s="277"/>
      <c r="Q861" s="137">
        <f>IF(IN[[#This Row],[Sim_]]=IN[[#This Row],[Direkt alt]],1,0)</f>
        <v>1</v>
      </c>
      <c r="R861" s="413">
        <v>41.466156768133054</v>
      </c>
      <c r="S861" s="10">
        <f>IF(IN[[#This Row],[Sim_]]=IN[[#This Row],[Buffer]],1,0)</f>
        <v>0</v>
      </c>
      <c r="T861" s="130"/>
      <c r="U861" s="145"/>
      <c r="V861" s="281"/>
      <c r="X861">
        <v>41.466156768133054</v>
      </c>
      <c r="Y861" s="105"/>
      <c r="Z861" s="177">
        <v>41.466156768133054</v>
      </c>
      <c r="AA861" s="130"/>
      <c r="AB861" s="130">
        <v>0</v>
      </c>
      <c r="AC861" s="466">
        <v>41.466156768133054</v>
      </c>
      <c r="AD861">
        <v>41.466156768133054</v>
      </c>
      <c r="AE861">
        <v>41.466156768133054</v>
      </c>
      <c r="AF861">
        <v>41.466156768133054</v>
      </c>
      <c r="AG861">
        <v>41.466156768133054</v>
      </c>
      <c r="AH861">
        <v>41.466156768133054</v>
      </c>
      <c r="AI861">
        <v>41.466156768133054</v>
      </c>
      <c r="AJ861">
        <v>41.466156768133054</v>
      </c>
    </row>
    <row r="862" spans="1:36" ht="16.5" x14ac:dyDescent="0.35">
      <c r="A862" s="464" t="s">
        <v>1090</v>
      </c>
      <c r="B862" s="15" t="s">
        <v>1108</v>
      </c>
      <c r="C862" s="463" t="s">
        <v>1105</v>
      </c>
      <c r="D862" s="16"/>
      <c r="E862" s="17"/>
      <c r="F862" s="18"/>
      <c r="G862" s="134" t="e">
        <f ca="1">_xlfn.FORMULATEXT(IN[[#This Row],[STAGE]])</f>
        <v>#N/A</v>
      </c>
      <c r="H862" s="20">
        <v>1</v>
      </c>
      <c r="I862" s="465">
        <v>12.934787305836236</v>
      </c>
      <c r="J862" s="135">
        <f>IF(IN[[#This Row],[Sim_]]=IN[[#This Row],[STAGE]],1,0)</f>
        <v>0</v>
      </c>
      <c r="K862" s="159"/>
      <c r="L862" s="130"/>
      <c r="M862" s="130">
        <f>IF(IN[[#This Row],[Sim_]]=IN[[#This Row],[Sim Var ref]],1,0)</f>
        <v>1</v>
      </c>
      <c r="N862" s="8"/>
      <c r="O862" s="8">
        <v>585</v>
      </c>
      <c r="P862" s="277"/>
      <c r="Q862" s="137">
        <f>IF(IN[[#This Row],[Sim_]]=IN[[#This Row],[Direkt alt]],1,0)</f>
        <v>1</v>
      </c>
      <c r="R862" s="413">
        <v>12.934787305836236</v>
      </c>
      <c r="S862" s="10">
        <f>IF(IN[[#This Row],[Sim_]]=IN[[#This Row],[Buffer]],1,0)</f>
        <v>0</v>
      </c>
      <c r="T862" s="130"/>
      <c r="U862" s="145"/>
      <c r="V862" s="281"/>
      <c r="X862">
        <v>12.934787305836236</v>
      </c>
      <c r="Y862" s="105"/>
      <c r="Z862" s="177">
        <v>12.934787305836236</v>
      </c>
      <c r="AA862" s="130"/>
      <c r="AB862" s="130">
        <v>0</v>
      </c>
      <c r="AC862" s="466">
        <v>12.934787305836236</v>
      </c>
      <c r="AD862">
        <v>12.934787305836236</v>
      </c>
      <c r="AE862">
        <v>12.934787305836236</v>
      </c>
      <c r="AF862">
        <v>12.934787305836236</v>
      </c>
      <c r="AG862">
        <v>12.934787305836236</v>
      </c>
      <c r="AH862">
        <v>12.934787305836236</v>
      </c>
      <c r="AI862">
        <v>12.934787305836236</v>
      </c>
      <c r="AJ862">
        <v>12.934787305836236</v>
      </c>
    </row>
    <row r="863" spans="1:36" ht="16.5" x14ac:dyDescent="0.35">
      <c r="A863" s="464" t="s">
        <v>1090</v>
      </c>
      <c r="B863" s="15" t="s">
        <v>1109</v>
      </c>
      <c r="C863" s="463" t="s">
        <v>1105</v>
      </c>
      <c r="D863" s="16"/>
      <c r="E863" s="17"/>
      <c r="F863" s="18"/>
      <c r="G863" s="134" t="e">
        <f ca="1">_xlfn.FORMULATEXT(IN[[#This Row],[STAGE]])</f>
        <v>#N/A</v>
      </c>
      <c r="H863" s="20">
        <v>1</v>
      </c>
      <c r="I863" s="465">
        <v>29.968109196071971</v>
      </c>
      <c r="J863" s="135">
        <f>IF(IN[[#This Row],[Sim_]]=IN[[#This Row],[STAGE]],1,0)</f>
        <v>0</v>
      </c>
      <c r="K863" s="159"/>
      <c r="L863" s="130"/>
      <c r="M863" s="130">
        <f>IF(IN[[#This Row],[Sim_]]=IN[[#This Row],[Sim Var ref]],1,0)</f>
        <v>1</v>
      </c>
      <c r="N863" s="8"/>
      <c r="O863" s="8">
        <v>586</v>
      </c>
      <c r="P863" s="277"/>
      <c r="Q863" s="137">
        <f>IF(IN[[#This Row],[Sim_]]=IN[[#This Row],[Direkt alt]],1,0)</f>
        <v>1</v>
      </c>
      <c r="R863" s="413">
        <v>29.968109196071971</v>
      </c>
      <c r="S863" s="10">
        <f>IF(IN[[#This Row],[Sim_]]=IN[[#This Row],[Buffer]],1,0)</f>
        <v>0</v>
      </c>
      <c r="T863" s="130"/>
      <c r="U863" s="145"/>
      <c r="V863" s="281"/>
      <c r="X863">
        <v>29.968109196071971</v>
      </c>
      <c r="Y863" s="105"/>
      <c r="Z863" s="177">
        <v>29.968109196071971</v>
      </c>
      <c r="AA863" s="130"/>
      <c r="AB863" s="130">
        <v>0</v>
      </c>
      <c r="AC863" s="466">
        <v>29.968109196071971</v>
      </c>
      <c r="AD863">
        <v>29.968109196071971</v>
      </c>
      <c r="AE863">
        <v>29.968109196071971</v>
      </c>
      <c r="AF863">
        <v>29.968109196071971</v>
      </c>
      <c r="AG863">
        <v>29.968109196071971</v>
      </c>
      <c r="AH863">
        <v>29.968109196071971</v>
      </c>
      <c r="AI863">
        <v>29.968109196071971</v>
      </c>
      <c r="AJ863">
        <v>29.968109196071971</v>
      </c>
    </row>
    <row r="864" spans="1:36" ht="16.5" x14ac:dyDescent="0.35">
      <c r="A864" s="464" t="s">
        <v>1090</v>
      </c>
      <c r="B864" s="362" t="s">
        <v>1110</v>
      </c>
      <c r="C864" s="463" t="s">
        <v>1105</v>
      </c>
      <c r="D864" s="16"/>
      <c r="E864" s="17"/>
      <c r="F864" s="18"/>
      <c r="G864" s="134" t="str">
        <f ca="1">_xlfn.FORMULATEXT(IN[[#This Row],[STAGE]])</f>
        <v>=per_NFA*(cfm_budget_residential*NFA_residential+cfm_budget_office*NFA_office+cfm_budget_school*(NFA_schoolprim+NFA_schoolsec)+cfm_budget_retail*(NFA_retailfood+NFA_retailother+NFA_other))</v>
      </c>
      <c r="H864" s="20">
        <v>0</v>
      </c>
      <c r="I864" s="197">
        <f>per_NFA*(cfm_budget_residential*NFA_residential+cfm_budget_office*NFA_office+cfm_budget_school*(NFA_schoolprim+NFA_schoolsec)+cfm_budget_retail*(NFA_retailfood+NFA_retailother+NFA_other))</f>
        <v>0</v>
      </c>
      <c r="J864" s="135">
        <f>IF(IN[[#This Row],[Sim_]]=IN[[#This Row],[STAGE]],1,0)</f>
        <v>1</v>
      </c>
      <c r="K864" s="159"/>
      <c r="L864" s="130"/>
      <c r="M864" s="130">
        <f>IF(IN[[#This Row],[Sim_]]=IN[[#This Row],[Sim Var ref]],1,0)</f>
        <v>1</v>
      </c>
      <c r="N864" s="8"/>
      <c r="O864" s="8">
        <v>587</v>
      </c>
      <c r="P864" s="277"/>
      <c r="Q864" s="137">
        <f>IF(IN[[#This Row],[Sim_]]=IN[[#This Row],[Direkt alt]],1,0)</f>
        <v>1</v>
      </c>
      <c r="R864" s="413">
        <v>16.686366481535043</v>
      </c>
      <c r="S864" s="10">
        <f>IF(IN[[#This Row],[Sim_]]=IN[[#This Row],[Buffer]],1,0)</f>
        <v>0</v>
      </c>
      <c r="T864" s="130"/>
      <c r="U864" s="145"/>
      <c r="V864" s="281"/>
      <c r="X864">
        <v>27.786948582395812</v>
      </c>
      <c r="Y864" s="105"/>
      <c r="Z864" s="177">
        <v>27.786948582395812</v>
      </c>
      <c r="AA864" s="130"/>
      <c r="AB864" s="130">
        <v>0</v>
      </c>
      <c r="AC864" s="197">
        <v>27.786948582395812</v>
      </c>
      <c r="AD864">
        <v>16.686366481535043</v>
      </c>
      <c r="AE864">
        <v>16.686366481535043</v>
      </c>
      <c r="AF864">
        <v>16.686366481535043</v>
      </c>
      <c r="AG864">
        <v>16.686366481535043</v>
      </c>
      <c r="AH864">
        <v>16.686366481535043</v>
      </c>
      <c r="AI864">
        <v>25.599270454823273</v>
      </c>
      <c r="AJ864">
        <v>25.599270454823273</v>
      </c>
    </row>
    <row r="865" spans="1:36" ht="16.5" x14ac:dyDescent="0.35">
      <c r="A865" s="467" t="s">
        <v>1090</v>
      </c>
      <c r="B865" s="15" t="s">
        <v>1111</v>
      </c>
      <c r="C865" s="463" t="s">
        <v>1105</v>
      </c>
      <c r="D865" s="16"/>
      <c r="E865" s="17"/>
      <c r="F865" s="18"/>
      <c r="G865" s="134" t="e">
        <f ca="1">_xlfn.FORMULATEXT(IN[[#This Row],[STAGE]])</f>
        <v>#N/A</v>
      </c>
      <c r="H865" s="20">
        <v>1</v>
      </c>
      <c r="I865" s="465">
        <v>15</v>
      </c>
      <c r="J865" s="135">
        <f>IF(IN[[#This Row],[Sim_]]=IN[[#This Row],[STAGE]],1,0)</f>
        <v>0</v>
      </c>
      <c r="K865" s="159"/>
      <c r="L865" s="130"/>
      <c r="M865" s="130">
        <f>IF(IN[[#This Row],[Sim_]]=IN[[#This Row],[Sim Var ref]],1,0)</f>
        <v>1</v>
      </c>
      <c r="N865" s="8"/>
      <c r="O865" s="8">
        <v>588</v>
      </c>
      <c r="P865" s="277"/>
      <c r="Q865" s="137">
        <f>IF(IN[[#This Row],[Sim_]]=IN[[#This Row],[Direkt alt]],1,0)</f>
        <v>1</v>
      </c>
      <c r="R865" s="413">
        <v>15</v>
      </c>
      <c r="S865" s="10">
        <f>IF(IN[[#This Row],[Sim_]]=IN[[#This Row],[Buffer]],1,0)</f>
        <v>0</v>
      </c>
      <c r="T865" s="130"/>
      <c r="U865" s="145"/>
      <c r="V865" s="281"/>
      <c r="X865">
        <v>15</v>
      </c>
      <c r="Y865" s="105"/>
      <c r="Z865" s="177">
        <v>15</v>
      </c>
      <c r="AA865" s="130"/>
      <c r="AB865" s="130">
        <v>0</v>
      </c>
      <c r="AC865" s="466">
        <v>15</v>
      </c>
      <c r="AD865">
        <v>15</v>
      </c>
      <c r="AE865">
        <v>15</v>
      </c>
      <c r="AF865">
        <v>15</v>
      </c>
      <c r="AG865">
        <v>15</v>
      </c>
      <c r="AH865">
        <v>15</v>
      </c>
      <c r="AI865">
        <v>15</v>
      </c>
      <c r="AJ865">
        <v>15</v>
      </c>
    </row>
    <row r="866" spans="1:36" ht="16.5" x14ac:dyDescent="0.35">
      <c r="A866" s="467" t="s">
        <v>1090</v>
      </c>
      <c r="B866" s="15" t="s">
        <v>1112</v>
      </c>
      <c r="C866" s="463" t="s">
        <v>1105</v>
      </c>
      <c r="D866" s="16"/>
      <c r="E866" s="17"/>
      <c r="F866" s="18" t="s">
        <v>1113</v>
      </c>
      <c r="G866" s="134" t="str">
        <f ca="1">_xlfn.FORMULATEXT(IN[[#This Row],[STAGE]])</f>
        <v>=cfr_budget*SUMMENPRODUKT(Renovation_shares;NFA_shares)</v>
      </c>
      <c r="H866" s="20">
        <v>0</v>
      </c>
      <c r="I866" s="197">
        <f>cfr_budget*SUMPRODUCT(Renovation_shares,NFA_shares)</f>
        <v>0</v>
      </c>
      <c r="J866" s="135">
        <f>IF(IN[[#This Row],[Sim_]]=IN[[#This Row],[STAGE]],1,0)</f>
        <v>1</v>
      </c>
      <c r="K866" s="159"/>
      <c r="L866" s="130"/>
      <c r="M866" s="130">
        <f>IF(IN[[#This Row],[Sim_]]=IN[[#This Row],[Sim Var ref]],1,0)</f>
        <v>1</v>
      </c>
      <c r="N866" s="8"/>
      <c r="O866" s="8">
        <v>589</v>
      </c>
      <c r="P866" s="277"/>
      <c r="Q866" s="137">
        <f>IF(IN[[#This Row],[Sim_]]=IN[[#This Row],[Direkt alt]],1,0)</f>
        <v>1</v>
      </c>
      <c r="R866" s="413">
        <v>15</v>
      </c>
      <c r="S866" s="10">
        <f>IF(IN[[#This Row],[Sim_]]=IN[[#This Row],[Buffer]],1,0)</f>
        <v>0</v>
      </c>
      <c r="T866" s="130"/>
      <c r="U866" s="145"/>
      <c r="V866" s="281"/>
      <c r="X866">
        <v>15</v>
      </c>
      <c r="Y866" s="105"/>
      <c r="Z866" s="177">
        <v>15</v>
      </c>
      <c r="AA866" s="130"/>
      <c r="AB866" s="130">
        <v>0</v>
      </c>
      <c r="AC866" s="197">
        <v>15</v>
      </c>
      <c r="AD866">
        <v>0</v>
      </c>
      <c r="AE866">
        <v>0</v>
      </c>
      <c r="AF866">
        <v>15</v>
      </c>
      <c r="AG866">
        <v>15</v>
      </c>
      <c r="AH866">
        <v>15</v>
      </c>
      <c r="AI866">
        <v>0</v>
      </c>
      <c r="AJ866">
        <v>0</v>
      </c>
    </row>
    <row r="867" spans="1:36" x14ac:dyDescent="0.25">
      <c r="A867" s="63"/>
      <c r="B867" s="15"/>
      <c r="C867" s="16"/>
      <c r="D867" s="16"/>
      <c r="E867" s="17"/>
      <c r="F867" s="18"/>
      <c r="G867" s="468"/>
      <c r="H867" s="20">
        <v>0</v>
      </c>
      <c r="I867" s="104">
        <f>IN[[#This Row],[Buffer]]</f>
        <v>0</v>
      </c>
      <c r="J867" s="135">
        <f>IF(IN[[#This Row],[Sim_]]=IN[[#This Row],[STAGE]],1,0)</f>
        <v>1</v>
      </c>
      <c r="K867" s="159"/>
      <c r="L867" s="130"/>
      <c r="M867" s="130">
        <f>IF(IN[[#This Row],[Sim_]]=IN[[#This Row],[Sim Var ref]],1,0)</f>
        <v>1</v>
      </c>
      <c r="N867" s="8"/>
      <c r="O867" s="8"/>
      <c r="P867" s="277"/>
      <c r="Q867" s="137">
        <f>IF(IN[[#This Row],[Sim_]]=IN[[#This Row],[Direkt alt]],1,0)</f>
        <v>1</v>
      </c>
      <c r="R867" s="413">
        <v>0</v>
      </c>
      <c r="S867" s="10">
        <f>IF(IN[[#This Row],[Sim_]]=IN[[#This Row],[Buffer]],1,0)</f>
        <v>1</v>
      </c>
      <c r="T867" s="130"/>
      <c r="U867" s="145"/>
      <c r="V867" s="281"/>
      <c r="X867">
        <v>0</v>
      </c>
      <c r="Y867" s="105"/>
      <c r="Z867" s="177">
        <v>0</v>
      </c>
      <c r="AA867" s="130"/>
      <c r="AB867" s="130"/>
      <c r="AC867" s="106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s="63"/>
      <c r="B868" s="15"/>
      <c r="C868" s="16"/>
      <c r="D868" s="16"/>
      <c r="E868" s="17"/>
      <c r="F868" s="18"/>
      <c r="G868" s="468"/>
      <c r="H868" s="20">
        <v>0</v>
      </c>
      <c r="I868" s="104">
        <f>IN[[#This Row],[Buffer]]</f>
        <v>0</v>
      </c>
      <c r="J868" s="135">
        <f>IF(IN[[#This Row],[Sim_]]=IN[[#This Row],[STAGE]],1,0)</f>
        <v>1</v>
      </c>
      <c r="K868" s="159"/>
      <c r="L868" s="130"/>
      <c r="M868" s="130">
        <f>IF(IN[[#This Row],[Sim_]]=IN[[#This Row],[Sim Var ref]],1,0)</f>
        <v>1</v>
      </c>
      <c r="N868" s="8"/>
      <c r="O868" s="8"/>
      <c r="P868" s="277"/>
      <c r="Q868" s="137">
        <f>IF(IN[[#This Row],[Sim_]]=IN[[#This Row],[Direkt alt]],1,0)</f>
        <v>1</v>
      </c>
      <c r="R868" s="413">
        <v>0</v>
      </c>
      <c r="S868" s="10">
        <f>IF(IN[[#This Row],[Sim_]]=IN[[#This Row],[Buffer]],1,0)</f>
        <v>1</v>
      </c>
      <c r="T868" s="130"/>
      <c r="U868" s="145"/>
      <c r="V868" s="281"/>
      <c r="X868">
        <v>0</v>
      </c>
      <c r="Y868" s="105"/>
      <c r="Z868" s="177">
        <v>0</v>
      </c>
      <c r="AA868" s="130"/>
      <c r="AB868" s="130"/>
      <c r="AC868" s="106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s="469"/>
      <c r="B869" s="444" t="s">
        <v>1114</v>
      </c>
      <c r="C869" s="445"/>
      <c r="D869" s="445"/>
      <c r="E869" s="446"/>
      <c r="F869" s="447"/>
      <c r="G869" s="445"/>
      <c r="H869" s="449">
        <v>0</v>
      </c>
      <c r="I869" s="470">
        <f>IN[[#This Row],[Buffer]]</f>
        <v>0</v>
      </c>
      <c r="J869" s="451">
        <f>IF(IN[[#This Row],[Sim_]]=IN[[#This Row],[STAGE]],1,0)</f>
        <v>1</v>
      </c>
      <c r="K869" s="452"/>
      <c r="L869" s="453"/>
      <c r="M869" s="453">
        <f>IF(IN[[#This Row],[Sim_]]=IN[[#This Row],[Sim Var ref]],1,0)</f>
        <v>1</v>
      </c>
      <c r="N869" s="454"/>
      <c r="O869" s="454"/>
      <c r="P869" s="455"/>
      <c r="Q869" s="453">
        <f>IF(IN[[#This Row],[Sim_]]=IN[[#This Row],[Direkt alt]],1,0)</f>
        <v>1</v>
      </c>
      <c r="R869" s="456">
        <v>0</v>
      </c>
      <c r="S869" s="453">
        <f>IF(IN[[#This Row],[Sim_]]=IN[[#This Row],[Buffer]],1,0)</f>
        <v>1</v>
      </c>
      <c r="T869" s="453"/>
      <c r="U869" s="457"/>
      <c r="V869" s="281"/>
      <c r="X869">
        <v>0</v>
      </c>
      <c r="Y869" s="105"/>
      <c r="Z869" s="177">
        <v>0</v>
      </c>
      <c r="AA869" s="130"/>
      <c r="AB869" s="130"/>
      <c r="AC869" s="106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s="63"/>
      <c r="B870" s="15"/>
      <c r="C870" s="16"/>
      <c r="D870" s="16"/>
      <c r="E870" s="17"/>
      <c r="F870" s="18"/>
      <c r="G870" s="468"/>
      <c r="H870" s="20">
        <v>0</v>
      </c>
      <c r="I870" s="104">
        <f>IN[[#This Row],[Buffer]]</f>
        <v>0</v>
      </c>
      <c r="J870" s="135">
        <f>IF(IN[[#This Row],[Sim_]]=IN[[#This Row],[STAGE]],1,0)</f>
        <v>1</v>
      </c>
      <c r="K870" s="159"/>
      <c r="L870" s="130"/>
      <c r="M870" s="130">
        <f>IF(IN[[#This Row],[Sim_]]=IN[[#This Row],[Sim Var ref]],1,0)</f>
        <v>1</v>
      </c>
      <c r="N870" s="8"/>
      <c r="O870" s="8"/>
      <c r="P870" s="277"/>
      <c r="Q870" s="137">
        <f>IF(IN[[#This Row],[Sim_]]=IN[[#This Row],[Direkt alt]],1,0)</f>
        <v>1</v>
      </c>
      <c r="R870" s="413">
        <v>0</v>
      </c>
      <c r="S870" s="10">
        <f>IF(IN[[#This Row],[Sim_]]=IN[[#This Row],[Buffer]],1,0)</f>
        <v>1</v>
      </c>
      <c r="T870" s="130"/>
      <c r="U870" s="145"/>
      <c r="V870" s="281"/>
      <c r="X870">
        <v>0</v>
      </c>
      <c r="Y870" s="105"/>
      <c r="Z870" s="177">
        <v>0</v>
      </c>
      <c r="AA870" s="130"/>
      <c r="AB870" s="130"/>
      <c r="AC870" s="106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s="63"/>
      <c r="B871" s="15"/>
      <c r="C871" s="16"/>
      <c r="D871" s="16"/>
      <c r="E871" s="17"/>
      <c r="F871" s="18"/>
      <c r="G871" s="468"/>
      <c r="H871" s="20">
        <v>0</v>
      </c>
      <c r="I871" s="104">
        <f>IN[[#This Row],[Buffer]]</f>
        <v>0</v>
      </c>
      <c r="J871" s="135">
        <f>IF(IN[[#This Row],[Sim_]]=IN[[#This Row],[STAGE]],1,0)</f>
        <v>1</v>
      </c>
      <c r="K871" s="159"/>
      <c r="L871" s="130"/>
      <c r="M871" s="130">
        <f>IF(IN[[#This Row],[Sim_]]=IN[[#This Row],[Sim Var ref]],1,0)</f>
        <v>1</v>
      </c>
      <c r="N871" s="8"/>
      <c r="O871" s="8"/>
      <c r="P871" s="277"/>
      <c r="Q871" s="137">
        <f>IF(IN[[#This Row],[Sim_]]=IN[[#This Row],[Direkt alt]],1,0)</f>
        <v>1</v>
      </c>
      <c r="R871" s="413">
        <v>0</v>
      </c>
      <c r="S871" s="10">
        <f>IF(IN[[#This Row],[Sim_]]=IN[[#This Row],[Buffer]],1,0)</f>
        <v>1</v>
      </c>
      <c r="T871" s="130"/>
      <c r="U871" s="145"/>
      <c r="V871" s="281"/>
      <c r="X871">
        <v>0</v>
      </c>
      <c r="Y871" s="105"/>
      <c r="Z871" s="177">
        <v>0</v>
      </c>
      <c r="AA871" s="130"/>
      <c r="AB871" s="130"/>
      <c r="AC871" s="106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s="63"/>
      <c r="B872" s="15"/>
      <c r="C872" s="16"/>
      <c r="D872" s="16"/>
      <c r="E872" s="17"/>
      <c r="F872" s="18"/>
      <c r="G872" s="468"/>
      <c r="H872" s="20">
        <v>0</v>
      </c>
      <c r="I872" s="104">
        <f>IN[[#This Row],[Buffer]]</f>
        <v>0</v>
      </c>
      <c r="J872" s="135">
        <f>IF(IN[[#This Row],[Sim_]]=IN[[#This Row],[STAGE]],1,0)</f>
        <v>1</v>
      </c>
      <c r="K872" s="159"/>
      <c r="L872" s="130"/>
      <c r="M872" s="130">
        <f>IF(IN[[#This Row],[Sim_]]=IN[[#This Row],[Sim Var ref]],1,0)</f>
        <v>1</v>
      </c>
      <c r="N872" s="8"/>
      <c r="O872" s="8"/>
      <c r="P872" s="277"/>
      <c r="Q872" s="137">
        <f>IF(IN[[#This Row],[Sim_]]=IN[[#This Row],[Direkt alt]],1,0)</f>
        <v>1</v>
      </c>
      <c r="R872" s="413">
        <v>0</v>
      </c>
      <c r="S872" s="10">
        <f>IF(IN[[#This Row],[Sim_]]=IN[[#This Row],[Buffer]],1,0)</f>
        <v>1</v>
      </c>
      <c r="T872" s="130"/>
      <c r="U872" s="145"/>
      <c r="V872" s="281"/>
      <c r="X872">
        <v>0</v>
      </c>
      <c r="Y872" s="105"/>
      <c r="Z872" s="177">
        <v>0</v>
      </c>
      <c r="AA872" s="130"/>
      <c r="AB872" s="130"/>
      <c r="AC872" s="106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ht="15.75" x14ac:dyDescent="0.25">
      <c r="A873" s="471" t="s">
        <v>1115</v>
      </c>
      <c r="B873" s="15" t="s">
        <v>1116</v>
      </c>
      <c r="C873" s="16"/>
      <c r="D873" s="16"/>
      <c r="E873" s="17"/>
      <c r="F873" s="18"/>
      <c r="G873" s="468"/>
      <c r="H873" s="20">
        <v>0</v>
      </c>
      <c r="I873" s="185">
        <v>1E-3</v>
      </c>
      <c r="J873" s="135">
        <f>IF(IN[[#This Row],[Sim_]]=IN[[#This Row],[STAGE]],1,0)</f>
        <v>0</v>
      </c>
      <c r="K873" s="159"/>
      <c r="L873" s="130"/>
      <c r="M873" s="130">
        <f>IF(IN[[#This Row],[Sim_]]=IN[[#This Row],[Sim Var ref]],1,0)</f>
        <v>1</v>
      </c>
      <c r="N873" s="8"/>
      <c r="O873" s="8"/>
      <c r="P873" s="277"/>
      <c r="Q873" s="137">
        <f>IF(IN[[#This Row],[Sim_]]=IN[[#This Row],[Direkt alt]],1,0)</f>
        <v>1</v>
      </c>
      <c r="R873" s="413">
        <v>0</v>
      </c>
      <c r="S873" s="10">
        <f>IF(IN[[#This Row],[Sim_]]=IN[[#This Row],[Buffer]],1,0)</f>
        <v>1</v>
      </c>
      <c r="T873" s="130"/>
      <c r="U873" s="145"/>
      <c r="V873" s="281"/>
      <c r="X873">
        <v>0</v>
      </c>
      <c r="Y873" s="105"/>
      <c r="Z873" s="177">
        <v>0</v>
      </c>
      <c r="AA873" s="130"/>
      <c r="AB873" s="130"/>
      <c r="AC873" s="106">
        <v>0</v>
      </c>
      <c r="AD873">
        <v>0</v>
      </c>
      <c r="AE873">
        <v>0</v>
      </c>
      <c r="AF873">
        <v>0</v>
      </c>
      <c r="AG873">
        <v>0</v>
      </c>
      <c r="AH873">
        <v>1E-3</v>
      </c>
      <c r="AI873">
        <v>1E-3</v>
      </c>
      <c r="AJ873">
        <v>1E-3</v>
      </c>
    </row>
    <row r="874" spans="1:36" x14ac:dyDescent="0.25">
      <c r="A874" s="63"/>
      <c r="B874" s="15"/>
      <c r="C874" s="16"/>
      <c r="D874" s="16"/>
      <c r="E874" s="17"/>
      <c r="F874" s="18"/>
      <c r="G874" s="468"/>
      <c r="H874" s="20">
        <v>0</v>
      </c>
      <c r="I874" s="104">
        <f>IN[[#This Row],[Buffer]]</f>
        <v>0</v>
      </c>
      <c r="J874" s="135">
        <f>IF(IN[[#This Row],[Sim_]]=IN[[#This Row],[STAGE]],1,0)</f>
        <v>1</v>
      </c>
      <c r="K874" s="159"/>
      <c r="L874" s="130"/>
      <c r="M874" s="130">
        <f>IF(IN[[#This Row],[Sim_]]=IN[[#This Row],[Sim Var ref]],1,0)</f>
        <v>1</v>
      </c>
      <c r="N874" s="8"/>
      <c r="O874" s="8"/>
      <c r="P874" s="277"/>
      <c r="Q874" s="137">
        <f>IF(IN[[#This Row],[Sim_]]=IN[[#This Row],[Direkt alt]],1,0)</f>
        <v>1</v>
      </c>
      <c r="R874" s="413">
        <v>0</v>
      </c>
      <c r="S874" s="10">
        <f>IF(IN[[#This Row],[Sim_]]=IN[[#This Row],[Buffer]],1,0)</f>
        <v>1</v>
      </c>
      <c r="T874" s="130"/>
      <c r="U874" s="145"/>
      <c r="V874" s="281"/>
      <c r="X874">
        <v>0</v>
      </c>
      <c r="Y874" s="105"/>
      <c r="Z874" s="177">
        <v>0</v>
      </c>
      <c r="AA874" s="130"/>
      <c r="AB874" s="130"/>
      <c r="AC874" s="106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s="63"/>
      <c r="B875" s="15"/>
      <c r="C875" s="16"/>
      <c r="D875" s="16"/>
      <c r="E875" s="17"/>
      <c r="F875" s="18"/>
      <c r="G875" s="468"/>
      <c r="H875" s="20">
        <v>0</v>
      </c>
      <c r="I875" s="104">
        <f>IN[[#This Row],[Buffer]]</f>
        <v>0</v>
      </c>
      <c r="J875" s="135">
        <f>IF(IN[[#This Row],[Sim_]]=IN[[#This Row],[STAGE]],1,0)</f>
        <v>1</v>
      </c>
      <c r="K875" s="159"/>
      <c r="L875" s="130"/>
      <c r="M875" s="130">
        <f>IF(IN[[#This Row],[Sim_]]=IN[[#This Row],[Sim Var ref]],1,0)</f>
        <v>1</v>
      </c>
      <c r="N875" s="8"/>
      <c r="O875" s="8"/>
      <c r="P875" s="277"/>
      <c r="Q875" s="137">
        <f>IF(IN[[#This Row],[Sim_]]=IN[[#This Row],[Direkt alt]],1,0)</f>
        <v>1</v>
      </c>
      <c r="R875" s="413">
        <v>0</v>
      </c>
      <c r="S875" s="10">
        <f>IF(IN[[#This Row],[Sim_]]=IN[[#This Row],[Buffer]],1,0)</f>
        <v>1</v>
      </c>
      <c r="T875" s="130"/>
      <c r="U875" s="145"/>
      <c r="V875" s="281"/>
      <c r="X875">
        <v>0</v>
      </c>
      <c r="Y875" s="105"/>
      <c r="Z875" s="177">
        <v>0</v>
      </c>
      <c r="AA875" s="130"/>
      <c r="AB875" s="130"/>
      <c r="AC875" s="106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s="63"/>
      <c r="B876" s="15"/>
      <c r="C876" s="16"/>
      <c r="D876" s="16"/>
      <c r="E876" s="17"/>
      <c r="F876" s="18"/>
      <c r="G876" s="468"/>
      <c r="H876" s="20">
        <v>0</v>
      </c>
      <c r="I876" s="104">
        <f>IN[[#This Row],[Buffer]]</f>
        <v>0</v>
      </c>
      <c r="J876" s="135">
        <f>IF(IN[[#This Row],[Sim_]]=IN[[#This Row],[STAGE]],1,0)</f>
        <v>1</v>
      </c>
      <c r="K876" s="159"/>
      <c r="L876" s="130"/>
      <c r="M876" s="130">
        <f>IF(IN[[#This Row],[Sim_]]=IN[[#This Row],[Sim Var ref]],1,0)</f>
        <v>1</v>
      </c>
      <c r="N876" s="8"/>
      <c r="O876" s="8"/>
      <c r="P876" s="277"/>
      <c r="Q876" s="137">
        <f>IF(IN[[#This Row],[Sim_]]=IN[[#This Row],[Direkt alt]],1,0)</f>
        <v>1</v>
      </c>
      <c r="R876" s="413">
        <v>0</v>
      </c>
      <c r="S876" s="10">
        <f>IF(IN[[#This Row],[Sim_]]=IN[[#This Row],[Buffer]],1,0)</f>
        <v>1</v>
      </c>
      <c r="T876" s="130"/>
      <c r="U876" s="145"/>
      <c r="V876" s="281"/>
      <c r="X876">
        <v>0</v>
      </c>
      <c r="Y876" s="105"/>
      <c r="Z876" s="177">
        <v>0</v>
      </c>
      <c r="AA876" s="130"/>
      <c r="AB876" s="130"/>
      <c r="AC876" s="10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s="63"/>
      <c r="B877" s="15"/>
      <c r="C877" s="16"/>
      <c r="D877" s="16"/>
      <c r="E877" s="17"/>
      <c r="F877" s="18"/>
      <c r="G877" s="468"/>
      <c r="H877" s="20">
        <v>0</v>
      </c>
      <c r="I877" s="104">
        <f>IN[[#This Row],[Buffer]]</f>
        <v>0</v>
      </c>
      <c r="J877" s="135">
        <f>IF(IN[[#This Row],[Sim_]]=IN[[#This Row],[STAGE]],1,0)</f>
        <v>1</v>
      </c>
      <c r="K877" s="159"/>
      <c r="L877" s="130"/>
      <c r="M877" s="130">
        <f>IF(IN[[#This Row],[Sim_]]=IN[[#This Row],[Sim Var ref]],1,0)</f>
        <v>1</v>
      </c>
      <c r="N877" s="8"/>
      <c r="O877" s="8"/>
      <c r="P877" s="277"/>
      <c r="Q877" s="137">
        <f>IF(IN[[#This Row],[Sim_]]=IN[[#This Row],[Direkt alt]],1,0)</f>
        <v>1</v>
      </c>
      <c r="R877" s="413">
        <v>0</v>
      </c>
      <c r="S877" s="10">
        <f>IF(IN[[#This Row],[Sim_]]=IN[[#This Row],[Buffer]],1,0)</f>
        <v>1</v>
      </c>
      <c r="T877" s="130"/>
      <c r="U877" s="145"/>
      <c r="V877" s="281"/>
      <c r="X877">
        <v>0</v>
      </c>
      <c r="Y877" s="105"/>
      <c r="Z877" s="177">
        <v>0</v>
      </c>
      <c r="AA877" s="130"/>
      <c r="AB877" s="130"/>
      <c r="AC877" s="106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s="63"/>
      <c r="B878" s="15"/>
      <c r="C878" s="16"/>
      <c r="D878" s="16"/>
      <c r="E878" s="17"/>
      <c r="F878" s="18"/>
      <c r="G878" s="468"/>
      <c r="H878" s="20">
        <v>0</v>
      </c>
      <c r="I878" s="104">
        <f>IN[[#This Row],[Buffer]]</f>
        <v>0</v>
      </c>
      <c r="J878" s="135">
        <f>IF(IN[[#This Row],[Sim_]]=IN[[#This Row],[STAGE]],1,0)</f>
        <v>1</v>
      </c>
      <c r="K878" s="159"/>
      <c r="L878" s="130"/>
      <c r="M878" s="130">
        <f>IF(IN[[#This Row],[Sim_]]=IN[[#This Row],[Sim Var ref]],1,0)</f>
        <v>1</v>
      </c>
      <c r="N878" s="8"/>
      <c r="O878" s="8"/>
      <c r="P878" s="277"/>
      <c r="Q878" s="137">
        <f>IF(IN[[#This Row],[Sim_]]=IN[[#This Row],[Direkt alt]],1,0)</f>
        <v>1</v>
      </c>
      <c r="R878" s="413">
        <v>0</v>
      </c>
      <c r="S878" s="10">
        <f>IF(IN[[#This Row],[Sim_]]=IN[[#This Row],[Buffer]],1,0)</f>
        <v>1</v>
      </c>
      <c r="T878" s="130"/>
      <c r="U878" s="145"/>
      <c r="V878" s="281"/>
      <c r="X878">
        <v>0</v>
      </c>
      <c r="Y878" s="105"/>
      <c r="Z878" s="177">
        <v>0</v>
      </c>
      <c r="AA878" s="130"/>
      <c r="AB878" s="130"/>
      <c r="AC878" s="106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s="63"/>
      <c r="B879" s="15"/>
      <c r="C879" s="16"/>
      <c r="D879" s="16"/>
      <c r="E879" s="17"/>
      <c r="F879" s="18"/>
      <c r="G879" s="468"/>
      <c r="H879" s="20">
        <v>0</v>
      </c>
      <c r="I879" s="104">
        <f>IN[[#This Row],[Buffer]]</f>
        <v>0</v>
      </c>
      <c r="J879" s="135">
        <f>IF(IN[[#This Row],[Sim_]]=IN[[#This Row],[STAGE]],1,0)</f>
        <v>1</v>
      </c>
      <c r="K879" s="159"/>
      <c r="L879" s="130"/>
      <c r="M879" s="130">
        <f>IF(IN[[#This Row],[Sim_]]=IN[[#This Row],[Sim Var ref]],1,0)</f>
        <v>1</v>
      </c>
      <c r="N879" s="8"/>
      <c r="O879" s="8"/>
      <c r="P879" s="277"/>
      <c r="Q879" s="137">
        <f>IF(IN[[#This Row],[Sim_]]=IN[[#This Row],[Direkt alt]],1,0)</f>
        <v>1</v>
      </c>
      <c r="R879" s="413">
        <v>0</v>
      </c>
      <c r="S879" s="10">
        <f>IF(IN[[#This Row],[Sim_]]=IN[[#This Row],[Buffer]],1,0)</f>
        <v>1</v>
      </c>
      <c r="T879" s="130"/>
      <c r="U879" s="145"/>
      <c r="V879" s="281"/>
      <c r="X879">
        <v>0</v>
      </c>
      <c r="Y879" s="105"/>
      <c r="Z879" s="177">
        <v>0</v>
      </c>
      <c r="AA879" s="130"/>
      <c r="AB879" s="130"/>
      <c r="AC879" s="106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s="63"/>
      <c r="B880" s="15"/>
      <c r="C880" s="16"/>
      <c r="D880" s="16"/>
      <c r="E880" s="17"/>
      <c r="F880" s="18"/>
      <c r="G880" s="468"/>
      <c r="H880" s="20"/>
      <c r="I880" s="104">
        <f>IN[[#This Row],[Buffer]]</f>
        <v>0</v>
      </c>
      <c r="J880" s="135">
        <f>IF(IN[[#This Row],[Sim_]]=IN[[#This Row],[STAGE]],1,0)</f>
        <v>1</v>
      </c>
      <c r="K880" s="159"/>
      <c r="L880" s="130"/>
      <c r="M880" s="130">
        <f>IF(IN[[#This Row],[Sim_]]=IN[[#This Row],[Sim Var ref]],1,0)</f>
        <v>1</v>
      </c>
      <c r="N880" s="8"/>
      <c r="O880" s="8"/>
      <c r="P880" s="277"/>
      <c r="Q880" s="137">
        <f>IF(IN[[#This Row],[Sim_]]=IN[[#This Row],[Direkt alt]],1,0)</f>
        <v>1</v>
      </c>
      <c r="R880" s="413"/>
      <c r="S880" s="10">
        <f>IF(IN[[#This Row],[Sim_]]=IN[[#This Row],[Buffer]],1,0)</f>
        <v>1</v>
      </c>
      <c r="T880" s="130"/>
      <c r="U880" s="145"/>
      <c r="V880" s="281"/>
      <c r="Y880" s="105"/>
      <c r="Z880" s="177"/>
      <c r="AA880" s="130"/>
      <c r="AB880" s="130"/>
      <c r="AC880" s="106"/>
    </row>
  </sheetData>
  <conditionalFormatting sqref="H2:H805 H807:H879">
    <cfRule type="iconSet" priority="2">
      <iconSet>
        <cfvo type="percent" val="0"/>
        <cfvo type="percent" val="33"/>
        <cfvo type="percent" val="67"/>
      </iconSet>
    </cfRule>
  </conditionalFormatting>
  <conditionalFormatting sqref="A873">
    <cfRule type="expression" dxfId="88" priority="1">
      <formula>$H873</formula>
    </cfRule>
  </conditionalFormatting>
  <dataValidations count="11">
    <dataValidation type="whole" errorStyle="warning" operator="equal" allowBlank="1" showErrorMessage="1" errorTitle="Deklarationswert" error="Dieser Wert ist ein Deklarationswert. Deklarationen mit geänderten Deklarationswerten sind nur mit entsprechender Begründung möglich." sqref="I794" xr:uid="{7ABA00B0-B34B-4C8D-B0EC-0D3893D48CBC}">
      <formula1>50</formula1>
    </dataValidation>
    <dataValidation type="whole" allowBlank="1" showInputMessage="1" showErrorMessage="1" sqref="H2:H805 H807:H879" xr:uid="{643ECF6D-698A-4D39-BBEF-BF77F18C2D7B}">
      <formula1>0</formula1>
      <formula2>99</formula2>
    </dataValidation>
    <dataValidation type="decimal" operator="equal" allowBlank="1" showInputMessage="1" sqref="I854 AC854" xr:uid="{B6D002AE-3A79-45AB-BB9F-46D7DC661340}">
      <formula1>1.63</formula1>
    </dataValidation>
    <dataValidation type="decimal" operator="equal" allowBlank="1" showInputMessage="1" sqref="I855 AC855" xr:uid="{EEC0E3C7-A8EB-4876-B37A-D8ED14735B7C}">
      <formula1>38</formula1>
    </dataValidation>
    <dataValidation type="decimal" operator="equal" allowBlank="1" showInputMessage="1" sqref="I856 AC856" xr:uid="{9078E91D-63B1-4216-9ECF-ECDCD9EBD99F}">
      <formula1>0.15</formula1>
    </dataValidation>
    <dataValidation type="decimal" operator="equal" allowBlank="1" showInputMessage="1" sqref="I857 AC857" xr:uid="{CE0D7A46-2E5E-42A1-9B07-3E04E8B945FC}">
      <formula1>33</formula1>
    </dataValidation>
    <dataValidation type="decimal" operator="equal" allowBlank="1" showInputMessage="1" sqref="I858 AC858" xr:uid="{DD048564-351D-4945-8924-F2D81EFCD999}">
      <formula1>125</formula1>
    </dataValidation>
    <dataValidation type="decimal" allowBlank="1" showInputMessage="1" showErrorMessage="1" sqref="AA414:AB420" xr:uid="{2160B2E8-1D44-44F7-8032-EDFCE97B0751}">
      <formula1>0</formula1>
      <formula2>1</formula2>
    </dataValidation>
    <dataValidation type="list" allowBlank="1" showInputMessage="1" showErrorMessage="1" sqref="E672:E673 E641:E669 E724:E726 E719:E720 E722 E227:E267 E219:E225 E285:E304 E306:E343 E714:E717 E345:E387 E482:E541 E543:E584 E709 E389:E420 E689:E699 E2:E200 E202:E217 E711:E712 E701:E705 E675:E687 E586:E639 E422:E480 E269:E283" xr:uid="{6CC4B4C2-B09E-40E5-B04D-673A988D72DA}">
      <formula1>variable_types</formula1>
    </dataValidation>
    <dataValidation type="list" allowBlank="1" showInputMessage="1" showErrorMessage="1" sqref="J586:J597 J550:J554 N689:N699 N701:N735 Q701:Q735 O867:O880 Q737:Q779 J389:J417 Q807:Q880 J543:J548 J202:J217 N807:N880 J219:J225 N737:N779 J269:J283 J1:J200 J422:J480 J285:J304 J306:J343 J227:J267 Q641:Q687 J345:J387 N641:N687 J482:J541 N555:N584 Q555:Q584 Q586:Q639 N586:N639 Q689:Q699" xr:uid="{562B554F-7F77-4F5C-88C2-EA298B59BFBC}">
      <formula1>"WAHR,FALSCH"</formula1>
    </dataValidation>
    <dataValidation type="list" allowBlank="1" showInputMessage="1" showErrorMessage="1" sqref="Z137:AB137" xr:uid="{A85B1AE8-EBDE-4E25-9A48-A2B6786D9BF8}">
      <formula1>"1,2"</formula1>
    </dataValidation>
  </dataValidations>
  <hyperlinks>
    <hyperlink ref="B194" location="use_internal_gains_summer_scales" display="Innere Wärmen Sommer" xr:uid="{00822A3F-54FF-4246-A790-7F5FBF0CDB19}"/>
    <hyperlink ref="B195" location="use_internal_gains_winter_scales" display="Innere Wärmen Winter" xr:uid="{12782DDA-705F-4A40-AA32-CBD8A217E2D8}"/>
    <hyperlink ref="B199" location="use_plugloads_scales" display="Nutzerstrom" xr:uid="{49315505-0214-4FF6-BC52-40E9391C9985}"/>
    <hyperlink ref="B198" location="use_lighting_scales" display="Beleuchtung" xr:uid="{F2B561BE-E099-4B2B-B9AD-D363F28C694E}"/>
    <hyperlink ref="B197" location="use_lift_common_scales" display="Strombedarf Aufzug, Regelung, Etc" xr:uid="{A9A5D7D8-3590-40B2-B939-4AB301F738E0}"/>
    <hyperlink ref="B196" location="use_dhw_scales" display="Warmwasser Wärmebedarf" xr:uid="{54C32C50-ECE0-4763-A2C7-ACE99758D258}"/>
    <hyperlink ref="K194" location="use_internal_gains_summer_scales" display="Innere Wärmen Sommer" xr:uid="{39AA1F77-CD74-4C6F-8883-159547316D8E}"/>
    <hyperlink ref="K195" location="use_internal_gains_winter_scales" display="Innere Wärmen Winter" xr:uid="{649A11A7-E668-435B-80F7-75639181344C}"/>
    <hyperlink ref="K199" location="use_plugloads_scales" display="Nutzerstrom" xr:uid="{D8246592-3A42-46EE-82F2-F460FF2C0009}"/>
    <hyperlink ref="K198" location="use_lighting_scales" display="Beleuchtung" xr:uid="{712D3A5D-E0EC-4326-B6AB-2E59D267F4FD}"/>
    <hyperlink ref="K197" location="use_lift_common_scales" display="Strombedarf Aufzug, Regelung, Etc" xr:uid="{6692C038-325F-4E85-B080-B7A9B6D790B0}"/>
    <hyperlink ref="K196" location="use_dhw_scales" display="Warmwasser Wärmebedarf" xr:uid="{30F392F9-805D-43C4-A311-D73F271274EA}"/>
    <hyperlink ref="G209" location="'🏙️'!A1" display="'🏙️'!A1" xr:uid="{5A995533-6355-40F3-ABB4-F1F28C342857}"/>
    <hyperlink ref="F1" location="IN!H1" display="var_name" xr:uid="{01D804EB-27CC-423C-A1FC-F38C5BB77496}"/>
    <hyperlink ref="H1" location="IN!J1" display="ka" xr:uid="{9466346A-8D13-4970-9E6E-A2F132729785}"/>
  </hyperlinks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ShowColumnSelectionDialog">
                <anchor moveWithCells="1" siz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4</xdr:col>
                    <xdr:colOff>219075</xdr:colOff>
                    <xdr:row>1</xdr:row>
                    <xdr:rowOff>200025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1F79-E9CD-4C8C-86A3-C8283C316EB6}">
  <sheetPr codeName="Tabelle3"/>
  <dimension ref="A1:AI351"/>
  <sheetViews>
    <sheetView tabSelected="1" workbookViewId="0"/>
  </sheetViews>
  <sheetFormatPr baseColWidth="10" defaultRowHeight="15" x14ac:dyDescent="0.25"/>
  <cols>
    <col min="1" max="1" width="5.28515625" bestFit="1" customWidth="1"/>
    <col min="2" max="2" width="34.42578125" bestFit="1" customWidth="1"/>
    <col min="3" max="3" width="15.140625" bestFit="1" customWidth="1"/>
    <col min="4" max="4" width="51.5703125" bestFit="1" customWidth="1"/>
    <col min="5" max="5" width="10" bestFit="1" customWidth="1"/>
    <col min="6" max="6" width="19.140625" bestFit="1" customWidth="1"/>
    <col min="7" max="7" width="20" bestFit="1" customWidth="1"/>
    <col min="8" max="8" width="26.42578125" bestFit="1" customWidth="1"/>
    <col min="9" max="9" width="24.140625" bestFit="1" customWidth="1"/>
    <col min="10" max="10" width="24.5703125" bestFit="1" customWidth="1"/>
    <col min="11" max="11" width="147.5703125" bestFit="1" customWidth="1"/>
    <col min="12" max="12" width="30.85546875" bestFit="1" customWidth="1"/>
    <col min="13" max="13" width="13.7109375" bestFit="1" customWidth="1"/>
    <col min="14" max="18" width="10" bestFit="1" customWidth="1"/>
    <col min="19" max="22" width="14.42578125" bestFit="1" customWidth="1"/>
    <col min="23" max="23" width="18.140625" bestFit="1" customWidth="1"/>
    <col min="24" max="26" width="14.42578125" bestFit="1" customWidth="1"/>
    <col min="27" max="27" width="25.42578125" bestFit="1" customWidth="1"/>
    <col min="28" max="28" width="26.42578125" bestFit="1" customWidth="1"/>
    <col min="29" max="29" width="33.42578125" bestFit="1" customWidth="1"/>
    <col min="30" max="30" width="36.85546875" bestFit="1" customWidth="1"/>
    <col min="31" max="31" width="38.28515625" bestFit="1" customWidth="1"/>
    <col min="32" max="32" width="34.28515625" bestFit="1" customWidth="1"/>
    <col min="33" max="33" width="27.140625" bestFit="1" customWidth="1"/>
    <col min="34" max="34" width="43.42578125" bestFit="1" customWidth="1"/>
    <col min="35" max="35" width="42.140625" bestFit="1" customWidth="1"/>
  </cols>
  <sheetData>
    <row r="1" spans="1:35" x14ac:dyDescent="0.25">
      <c r="A1" t="s">
        <v>1117</v>
      </c>
      <c r="B1" t="s">
        <v>1118</v>
      </c>
      <c r="C1" t="s">
        <v>1119</v>
      </c>
      <c r="D1" t="s">
        <v>1</v>
      </c>
      <c r="E1" t="s">
        <v>1120</v>
      </c>
      <c r="F1" t="s">
        <v>1121</v>
      </c>
      <c r="G1" t="s">
        <v>1122</v>
      </c>
      <c r="H1" t="s">
        <v>5</v>
      </c>
      <c r="I1" s="27" t="s">
        <v>1123</v>
      </c>
      <c r="J1" t="s">
        <v>2</v>
      </c>
      <c r="K1" s="472" t="s">
        <v>6</v>
      </c>
      <c r="L1" s="13" t="s">
        <v>1124</v>
      </c>
      <c r="M1" s="13" t="s">
        <v>3</v>
      </c>
      <c r="N1" s="13" t="s">
        <v>1125</v>
      </c>
      <c r="O1" s="13" t="s">
        <v>1126</v>
      </c>
      <c r="P1" s="13" t="s">
        <v>1127</v>
      </c>
      <c r="Q1" s="13" t="s">
        <v>1128</v>
      </c>
      <c r="R1" s="13" t="s">
        <v>1129</v>
      </c>
      <c r="S1" s="13" t="s">
        <v>1130</v>
      </c>
      <c r="T1" s="13" t="s">
        <v>1131</v>
      </c>
      <c r="U1" s="13" t="s">
        <v>1132</v>
      </c>
      <c r="V1" s="13" t="s">
        <v>1133</v>
      </c>
      <c r="W1" s="13" t="s">
        <v>1134</v>
      </c>
      <c r="X1" s="13" t="s">
        <v>1135</v>
      </c>
      <c r="Y1" s="13" t="s">
        <v>1136</v>
      </c>
      <c r="Z1" s="13" t="s">
        <v>1137</v>
      </c>
      <c r="AA1" s="13" t="s">
        <v>25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1138</v>
      </c>
      <c r="AH1" s="13" t="s">
        <v>1139</v>
      </c>
      <c r="AI1" s="13" t="s">
        <v>1140</v>
      </c>
    </row>
    <row r="2" spans="1:35" ht="15.75" x14ac:dyDescent="0.25">
      <c r="A2" s="473"/>
      <c r="B2" s="474" t="s">
        <v>1141</v>
      </c>
      <c r="C2" s="473"/>
      <c r="D2" s="133" t="s">
        <v>261</v>
      </c>
      <c r="E2" s="133" t="str">
        <f>LEFT(OUT[[#This Row],[Label]],1)</f>
        <v/>
      </c>
      <c r="F2" s="133"/>
      <c r="G2" s="133"/>
      <c r="H2" s="475"/>
      <c r="I2" s="476" t="str">
        <f>project_name</f>
        <v>WieNeu+ Alliiertenviertel</v>
      </c>
      <c r="J2" s="477"/>
      <c r="K2" s="478" t="str">
        <f ca="1">IFERROR(_xlfn.FORMULATEXT(OUT[[#This Row],[Live]]),"")</f>
        <v>=project_name</v>
      </c>
      <c r="L2" s="13"/>
      <c r="M2" s="13"/>
      <c r="N2" s="13"/>
      <c r="O2" s="13"/>
      <c r="P2" s="13"/>
      <c r="Q2" s="13"/>
      <c r="R2" s="13"/>
      <c r="S2" t="s">
        <v>265</v>
      </c>
      <c r="T2" t="s">
        <v>265</v>
      </c>
      <c r="U2" t="s">
        <v>265</v>
      </c>
      <c r="V2" t="s">
        <v>265</v>
      </c>
      <c r="W2" t="s">
        <v>265</v>
      </c>
      <c r="X2" t="s">
        <v>265</v>
      </c>
      <c r="Y2" t="s">
        <v>265</v>
      </c>
      <c r="Z2" t="s">
        <v>265</v>
      </c>
      <c r="AA2" t="s">
        <v>265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</row>
    <row r="3" spans="1:35" x14ac:dyDescent="0.25">
      <c r="A3" s="479"/>
      <c r="B3" s="480" t="s">
        <v>1141</v>
      </c>
      <c r="C3" s="479"/>
      <c r="D3" s="140" t="s">
        <v>271</v>
      </c>
      <c r="E3" s="140" t="str">
        <f>LEFT(OUT[[#This Row],[Label]],1)</f>
        <v/>
      </c>
      <c r="F3" s="140"/>
      <c r="G3" s="140"/>
      <c r="H3" s="481"/>
      <c r="I3" s="482">
        <f>location_address</f>
        <v>1020</v>
      </c>
      <c r="J3" s="483"/>
      <c r="K3" s="478" t="str">
        <f ca="1">IFERROR(_xlfn.FORMULATEXT(OUT[[#This Row],[Live]]),"")</f>
        <v>=location_address</v>
      </c>
      <c r="L3" s="483"/>
      <c r="M3" s="483"/>
      <c r="N3" s="483"/>
      <c r="O3" s="483"/>
      <c r="P3" s="483"/>
      <c r="Q3" s="483"/>
      <c r="R3" s="483"/>
      <c r="S3" t="s">
        <v>273</v>
      </c>
      <c r="T3" t="s">
        <v>273</v>
      </c>
      <c r="U3" t="s">
        <v>273</v>
      </c>
      <c r="V3" t="s">
        <v>273</v>
      </c>
      <c r="W3" t="s">
        <v>273</v>
      </c>
      <c r="X3" t="s">
        <v>273</v>
      </c>
      <c r="Y3" t="s">
        <v>273</v>
      </c>
      <c r="Z3" t="s">
        <v>273</v>
      </c>
      <c r="AA3" t="s">
        <v>273</v>
      </c>
      <c r="AB3" t="s">
        <v>273</v>
      </c>
      <c r="AC3" t="s">
        <v>273</v>
      </c>
      <c r="AD3">
        <v>1020</v>
      </c>
      <c r="AE3">
        <v>1020</v>
      </c>
      <c r="AF3">
        <v>1020</v>
      </c>
      <c r="AG3">
        <v>1020</v>
      </c>
      <c r="AH3">
        <v>1020</v>
      </c>
      <c r="AI3">
        <v>1020</v>
      </c>
    </row>
    <row r="4" spans="1:35" ht="15.75" x14ac:dyDescent="0.25">
      <c r="A4" s="484"/>
      <c r="B4" s="480" t="s">
        <v>1141</v>
      </c>
      <c r="C4" s="479"/>
      <c r="D4" s="133" t="s">
        <v>280</v>
      </c>
      <c r="E4" s="133" t="str">
        <f>LEFT(OUT[[#This Row],[Label]],1)</f>
        <v/>
      </c>
      <c r="F4" s="133"/>
      <c r="G4" s="133"/>
      <c r="H4" s="475"/>
      <c r="I4" s="485">
        <f>[1]IN!K207</f>
        <v>45350</v>
      </c>
      <c r="J4" s="483"/>
      <c r="K4" s="478" t="str">
        <f ca="1">IFERROR(_xlfn.FORMULATEXT(OUT[[#This Row],[Live]]),"")</f>
        <v>=[ka_PEQ_Nachweistool.xlsb]IN!K207</v>
      </c>
      <c r="L4" s="483"/>
      <c r="M4" s="483"/>
      <c r="N4" s="483"/>
      <c r="O4" s="483"/>
      <c r="P4" s="483"/>
      <c r="Q4" s="483"/>
      <c r="R4" s="483"/>
      <c r="S4">
        <v>45350</v>
      </c>
      <c r="T4">
        <v>45350</v>
      </c>
      <c r="U4">
        <v>45350</v>
      </c>
      <c r="V4">
        <v>45350</v>
      </c>
      <c r="W4">
        <v>45350</v>
      </c>
      <c r="X4">
        <v>45350</v>
      </c>
      <c r="Y4">
        <v>45350</v>
      </c>
      <c r="Z4">
        <v>45350</v>
      </c>
      <c r="AA4">
        <v>45350</v>
      </c>
      <c r="AB4">
        <v>45350</v>
      </c>
      <c r="AC4">
        <v>45350</v>
      </c>
      <c r="AD4">
        <v>45350</v>
      </c>
      <c r="AE4">
        <v>45350</v>
      </c>
      <c r="AF4" s="142">
        <v>45350</v>
      </c>
      <c r="AG4" s="142">
        <v>45350</v>
      </c>
      <c r="AH4" s="142">
        <v>45350</v>
      </c>
      <c r="AI4" s="142">
        <v>45350</v>
      </c>
    </row>
    <row r="5" spans="1:35" ht="15.75" x14ac:dyDescent="0.25">
      <c r="A5" s="479"/>
      <c r="B5" s="480" t="s">
        <v>1141</v>
      </c>
      <c r="C5" s="479"/>
      <c r="D5" s="133" t="s">
        <v>284</v>
      </c>
      <c r="E5" s="133" t="str">
        <f>LEFT(OUT[[#This Row],[Label]],1)</f>
        <v/>
      </c>
      <c r="F5" s="133"/>
      <c r="G5" s="133"/>
      <c r="H5" s="475"/>
      <c r="I5" s="482" t="str">
        <f>project_scenario_name</f>
        <v>WP Flex Kühlung</v>
      </c>
      <c r="J5" s="483"/>
      <c r="K5" s="478" t="str">
        <f ca="1">IFERROR(_xlfn.FORMULATEXT(OUT[[#This Row],[Live]]),"")</f>
        <v>=project_scenario_name</v>
      </c>
      <c r="L5" s="483"/>
      <c r="M5" s="483"/>
      <c r="N5" s="483"/>
      <c r="O5" s="483"/>
      <c r="P5" s="483"/>
      <c r="Q5" s="483"/>
      <c r="R5" s="483"/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287</v>
      </c>
      <c r="AE5" t="s">
        <v>287</v>
      </c>
      <c r="AF5" t="s">
        <v>289</v>
      </c>
      <c r="AG5" t="s">
        <v>1142</v>
      </c>
      <c r="AH5" t="s">
        <v>1142</v>
      </c>
      <c r="AI5" t="s">
        <v>1143</v>
      </c>
    </row>
    <row r="6" spans="1:35" x14ac:dyDescent="0.25">
      <c r="A6" s="479"/>
      <c r="B6" s="480"/>
      <c r="C6" s="479"/>
      <c r="D6" s="486"/>
      <c r="E6" s="486" t="str">
        <f>LEFT(OUT[[#This Row],[Label]],1)</f>
        <v/>
      </c>
      <c r="F6" s="486"/>
      <c r="G6" s="486"/>
      <c r="H6" s="487"/>
      <c r="I6" s="482"/>
      <c r="J6" s="477"/>
      <c r="K6" s="488" t="str">
        <f ca="1">IFERROR(_xlfn.FORMULATEXT(OUT[[#This Row],[Live]]),"")</f>
        <v/>
      </c>
      <c r="L6" s="483"/>
      <c r="M6" s="483"/>
      <c r="N6" s="483"/>
      <c r="O6" s="483"/>
      <c r="P6" s="483"/>
      <c r="Q6" s="483"/>
      <c r="R6" s="483"/>
    </row>
    <row r="7" spans="1:35" x14ac:dyDescent="0.25">
      <c r="A7" s="479"/>
      <c r="B7" s="480"/>
      <c r="C7" s="479"/>
      <c r="D7" s="486"/>
      <c r="E7" s="486" t="str">
        <f>LEFT(OUT[[#This Row],[Label]],1)</f>
        <v/>
      </c>
      <c r="F7" s="486"/>
      <c r="G7" s="486"/>
      <c r="H7" s="487"/>
      <c r="I7" s="482"/>
      <c r="J7" s="477"/>
      <c r="K7" s="488" t="str">
        <f ca="1">IFERROR(_xlfn.FORMULATEXT(OUT[[#This Row],[Live]]),"")</f>
        <v/>
      </c>
      <c r="L7" s="483"/>
      <c r="M7" s="483"/>
      <c r="N7" s="483"/>
      <c r="O7" s="483"/>
      <c r="P7" s="483"/>
      <c r="Q7" s="483"/>
      <c r="R7" s="483"/>
    </row>
    <row r="8" spans="1:35" x14ac:dyDescent="0.25">
      <c r="A8" s="479"/>
      <c r="B8" s="480"/>
      <c r="C8" s="479"/>
      <c r="D8" t="s">
        <v>344</v>
      </c>
      <c r="E8" t="str">
        <f>LEFT(OUT[[#This Row],[Label]],1)</f>
        <v/>
      </c>
      <c r="G8" s="486"/>
      <c r="H8" s="487"/>
      <c r="I8" s="489">
        <f>FSI</f>
        <v>0</v>
      </c>
      <c r="J8" s="490"/>
      <c r="K8" s="488" t="str">
        <f ca="1">IFERROR(_xlfn.FORMULATEXT(OUT[[#This Row],[Live]]),"")</f>
        <v>=FSI</v>
      </c>
      <c r="L8" s="483"/>
      <c r="M8" s="483"/>
      <c r="N8" s="483"/>
      <c r="O8" s="483"/>
      <c r="P8" s="483"/>
      <c r="Q8" s="483"/>
      <c r="R8" s="483"/>
      <c r="AF8">
        <v>3.7602500000000001</v>
      </c>
      <c r="AG8">
        <v>3.7602500000000001</v>
      </c>
      <c r="AH8">
        <v>3.7602500000000001</v>
      </c>
      <c r="AI8">
        <v>3.7602500000000001</v>
      </c>
    </row>
    <row r="9" spans="1:35" x14ac:dyDescent="0.25">
      <c r="A9" s="479"/>
      <c r="B9" s="480"/>
      <c r="C9" s="479"/>
      <c r="D9" t="s">
        <v>1144</v>
      </c>
      <c r="E9" t="str">
        <f>LEFT(OUT[[#This Row],[Label]],1)</f>
        <v/>
      </c>
      <c r="G9" s="486"/>
      <c r="H9" s="487"/>
      <c r="I9" s="491">
        <f>renovation_share</f>
        <v>1</v>
      </c>
      <c r="J9" s="490"/>
      <c r="K9" s="488" t="str">
        <f ca="1">IFERROR(_xlfn.FORMULATEXT(OUT[[#This Row],[Live]]),"")</f>
        <v>=renovation_share</v>
      </c>
      <c r="L9" s="483"/>
      <c r="M9" s="483"/>
      <c r="N9" s="483"/>
      <c r="O9" s="483"/>
      <c r="P9" s="483"/>
      <c r="Q9" s="483"/>
      <c r="R9" s="483"/>
      <c r="AF9">
        <v>1</v>
      </c>
      <c r="AG9">
        <v>1</v>
      </c>
      <c r="AH9">
        <v>1</v>
      </c>
      <c r="AI9">
        <v>1</v>
      </c>
    </row>
    <row r="10" spans="1:35" x14ac:dyDescent="0.25">
      <c r="A10" s="479"/>
      <c r="B10" s="480"/>
      <c r="C10" s="479"/>
      <c r="D10" t="s">
        <v>1145</v>
      </c>
      <c r="E10" t="str">
        <f>LEFT(OUT[[#This Row],[Label]],1)</f>
        <v/>
      </c>
      <c r="G10" s="486"/>
      <c r="H10" s="487"/>
      <c r="I10" s="492">
        <f>rh_avg</f>
        <v>0</v>
      </c>
      <c r="J10" s="490" t="s">
        <v>359</v>
      </c>
      <c r="K10" s="488" t="str">
        <f ca="1">IFERROR(_xlfn.FORMULATEXT(OUT[[#This Row],[Live]]),"")</f>
        <v>=rh_avg</v>
      </c>
      <c r="L10" s="483"/>
      <c r="M10" s="483"/>
      <c r="N10" s="483"/>
      <c r="O10" s="483"/>
      <c r="P10" s="483"/>
      <c r="Q10" s="483"/>
      <c r="R10" s="483"/>
      <c r="AF10">
        <v>3.2282760454756998</v>
      </c>
      <c r="AG10">
        <v>3.2282760454756998</v>
      </c>
      <c r="AH10">
        <v>3.2282760454756998</v>
      </c>
      <c r="AI10">
        <v>3.2282760454756998</v>
      </c>
    </row>
    <row r="11" spans="1:35" ht="18" x14ac:dyDescent="0.35">
      <c r="A11" s="479"/>
      <c r="B11" s="480"/>
      <c r="C11" s="479"/>
      <c r="D11" t="s">
        <v>1146</v>
      </c>
      <c r="E11" t="str">
        <f>LEFT(OUT[[#This Row],[Label]],1)</f>
        <v/>
      </c>
      <c r="G11" s="486"/>
      <c r="H11" s="487"/>
      <c r="I11" s="489">
        <f>lc</f>
        <v>2.4799394008555433</v>
      </c>
      <c r="J11" s="490" t="s">
        <v>383</v>
      </c>
      <c r="K11" s="488" t="str">
        <f ca="1">IFERROR(_xlfn.FORMULATEXT(OUT[[#This Row],[Live]]),"")</f>
        <v>=lc</v>
      </c>
      <c r="L11" s="483"/>
      <c r="M11" s="483"/>
      <c r="N11" s="483"/>
      <c r="O11" s="483"/>
      <c r="P11" s="483"/>
      <c r="Q11" s="483"/>
      <c r="R11" s="483"/>
      <c r="AF11">
        <v>2.4799394008555433</v>
      </c>
      <c r="AG11">
        <v>2.4799394008555433</v>
      </c>
      <c r="AH11">
        <v>2.4799394008555433</v>
      </c>
      <c r="AI11">
        <v>2.4799394008555433</v>
      </c>
    </row>
    <row r="12" spans="1:35" x14ac:dyDescent="0.25">
      <c r="A12" s="479"/>
      <c r="B12" s="480"/>
      <c r="C12" s="479"/>
      <c r="D12" s="486"/>
      <c r="E12" s="486" t="str">
        <f>LEFT(OUT[[#This Row],[Label]],1)</f>
        <v/>
      </c>
      <c r="F12" s="486"/>
      <c r="G12" s="486"/>
      <c r="H12" s="487"/>
      <c r="I12" s="482"/>
      <c r="J12" s="477"/>
      <c r="K12" s="488" t="str">
        <f ca="1">IFERROR(_xlfn.FORMULATEXT(OUT[[#This Row],[Live]]),"")</f>
        <v/>
      </c>
      <c r="L12" s="483"/>
      <c r="M12" s="483"/>
      <c r="N12" s="483"/>
      <c r="O12" s="483"/>
      <c r="P12" s="483"/>
      <c r="Q12" s="483"/>
      <c r="R12" s="483"/>
    </row>
    <row r="13" spans="1:35" x14ac:dyDescent="0.25">
      <c r="A13" s="479"/>
      <c r="B13" s="480"/>
      <c r="C13" s="479"/>
      <c r="D13" s="486"/>
      <c r="E13" s="486" t="str">
        <f>LEFT(OUT[[#This Row],[Label]],1)</f>
        <v/>
      </c>
      <c r="F13" s="486"/>
      <c r="G13" s="486"/>
      <c r="H13" s="487"/>
      <c r="I13" s="482"/>
      <c r="J13" s="477"/>
      <c r="K13" s="488" t="str">
        <f ca="1">IFERROR(_xlfn.FORMULATEXT(OUT[[#This Row],[Live]]),"")</f>
        <v/>
      </c>
      <c r="L13" s="483"/>
      <c r="M13" s="483"/>
      <c r="N13" s="483"/>
      <c r="O13" s="483"/>
      <c r="P13" s="483"/>
      <c r="Q13" s="483"/>
      <c r="R13" s="483"/>
    </row>
    <row r="14" spans="1:35" x14ac:dyDescent="0.25">
      <c r="A14" s="479"/>
      <c r="B14" s="480"/>
      <c r="C14" s="479"/>
      <c r="D14" s="486"/>
      <c r="E14" s="486" t="str">
        <f>LEFT(OUT[[#This Row],[Label]],1)</f>
        <v/>
      </c>
      <c r="F14" s="486"/>
      <c r="G14" s="486"/>
      <c r="H14" s="487"/>
      <c r="I14" s="482"/>
      <c r="J14" s="477"/>
      <c r="K14" s="488" t="str">
        <f ca="1">IFERROR(_xlfn.FORMULATEXT(OUT[[#This Row],[Live]]),"")</f>
        <v/>
      </c>
      <c r="L14" s="483"/>
      <c r="M14" s="483"/>
      <c r="N14" s="483"/>
      <c r="O14" s="483"/>
      <c r="P14" s="483"/>
      <c r="Q14" s="483"/>
      <c r="R14" s="483"/>
    </row>
    <row r="15" spans="1:35" x14ac:dyDescent="0.25">
      <c r="A15" s="484"/>
      <c r="B15" s="493" t="s">
        <v>1147</v>
      </c>
      <c r="C15" s="484"/>
      <c r="D15" s="15" t="s">
        <v>295</v>
      </c>
      <c r="E15" s="15" t="str">
        <f>LEFT(OUT[[#This Row],[Label]],1)</f>
        <v/>
      </c>
      <c r="F15" s="15"/>
      <c r="G15" s="15"/>
      <c r="H15" s="18"/>
      <c r="I15" s="482" t="str">
        <f>[1]IN!K219</f>
        <v>Wien 2050</v>
      </c>
      <c r="J15" s="483"/>
      <c r="K15" s="478" t="str">
        <f ca="1">IFERROR(_xlfn.FORMULATEXT(OUT[[#This Row],[Live]]),"")</f>
        <v>=[ka_PEQ_Nachweistool.xlsb]IN!K219</v>
      </c>
      <c r="L15" s="483"/>
      <c r="M15" s="483"/>
      <c r="N15" s="483"/>
      <c r="O15" s="483"/>
      <c r="P15" s="483"/>
      <c r="Q15" s="483"/>
      <c r="R15" s="483"/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 t="s">
        <v>299</v>
      </c>
      <c r="AG15" t="s">
        <v>299</v>
      </c>
      <c r="AH15" t="s">
        <v>299</v>
      </c>
      <c r="AI15" t="s">
        <v>299</v>
      </c>
    </row>
    <row r="16" spans="1:35" x14ac:dyDescent="0.25">
      <c r="A16" s="479"/>
      <c r="B16" s="493" t="s">
        <v>1147</v>
      </c>
      <c r="C16" s="484"/>
      <c r="D16" s="15" t="s">
        <v>300</v>
      </c>
      <c r="E16" s="15" t="str">
        <f>LEFT(OUT[[#This Row],[Label]],1)</f>
        <v/>
      </c>
      <c r="F16" s="15"/>
      <c r="G16" s="15"/>
      <c r="H16" s="18"/>
      <c r="I16" s="482">
        <f ca="1">weather_index</f>
        <v>7</v>
      </c>
      <c r="J16" s="483"/>
      <c r="K16" s="478" t="str">
        <f ca="1">IFERROR(_xlfn.FORMULATEXT(OUT[[#This Row],[Live]]),"")</f>
        <v>=weather_index</v>
      </c>
      <c r="L16" s="483"/>
      <c r="M16" s="483"/>
      <c r="N16" s="483"/>
      <c r="O16" s="483"/>
      <c r="P16" s="483"/>
      <c r="Q16" s="483"/>
      <c r="R16" s="483"/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7</v>
      </c>
      <c r="AG16">
        <v>7</v>
      </c>
      <c r="AH16">
        <v>7</v>
      </c>
      <c r="AI16">
        <v>7</v>
      </c>
    </row>
    <row r="17" spans="1:35" x14ac:dyDescent="0.25">
      <c r="A17" s="484"/>
      <c r="B17" s="493" t="s">
        <v>1148</v>
      </c>
      <c r="C17" s="484"/>
      <c r="D17" s="483" t="s">
        <v>1149</v>
      </c>
      <c r="E17" s="483" t="str">
        <f>LEFT(OUT[[#This Row],[Label]],1)</f>
        <v/>
      </c>
      <c r="F17" s="483"/>
      <c r="G17" s="483"/>
      <c r="H17" s="494"/>
      <c r="I17" s="482">
        <f ca="1">AVERAGE([1]!sim[Ta])</f>
        <v>11.727739726027375</v>
      </c>
      <c r="J17" s="483" t="s">
        <v>720</v>
      </c>
      <c r="K17" s="478" t="str">
        <f ca="1">IFERROR(_xlfn.FORMULATEXT(OUT[[#This Row],[Live]]),"")</f>
        <v>=MITTELWERT(ka_PEQ_Nachweistool.xlsb!sim[Ta])</v>
      </c>
      <c r="L17" s="483"/>
      <c r="M17" s="483"/>
      <c r="N17" s="483"/>
      <c r="O17" s="483"/>
      <c r="P17" s="483"/>
      <c r="Q17" s="483"/>
      <c r="R17" s="483"/>
      <c r="S17">
        <v>11.056472602739678</v>
      </c>
      <c r="T17">
        <v>11.056472602739678</v>
      </c>
      <c r="U17">
        <v>11.056472602739678</v>
      </c>
      <c r="V17">
        <v>11.056472602739678</v>
      </c>
      <c r="W17">
        <v>11.056472602739678</v>
      </c>
      <c r="X17">
        <v>11.056472602739678</v>
      </c>
      <c r="Y17">
        <v>11.056472602739678</v>
      </c>
      <c r="Z17">
        <v>11.056472602739678</v>
      </c>
      <c r="AA17">
        <v>11.056472602739678</v>
      </c>
      <c r="AB17">
        <v>11.056472602739678</v>
      </c>
      <c r="AC17">
        <v>11.056472602739678</v>
      </c>
      <c r="AD17">
        <v>11.056472602739678</v>
      </c>
      <c r="AE17">
        <v>11.056472602739678</v>
      </c>
      <c r="AF17">
        <v>11.727739726027375</v>
      </c>
      <c r="AG17">
        <v>11.727739726027375</v>
      </c>
      <c r="AH17">
        <v>11.727739726027375</v>
      </c>
      <c r="AI17">
        <v>11.727739726027375</v>
      </c>
    </row>
    <row r="18" spans="1:35" x14ac:dyDescent="0.25">
      <c r="A18" s="479"/>
      <c r="B18" s="493" t="s">
        <v>1148</v>
      </c>
      <c r="C18" s="484"/>
      <c r="D18" s="483" t="s">
        <v>1150</v>
      </c>
      <c r="E18" s="483" t="str">
        <f>LEFT(OUT[[#This Row],[Label]],1)</f>
        <v/>
      </c>
      <c r="F18" s="483"/>
      <c r="G18" s="483"/>
      <c r="H18" s="494"/>
      <c r="I18" s="495" cm="1">
        <f t="array" aca="1" ref="I18" ca="1">AVERAGEIF(is_heating_period,1,[1]!sim[Ta])</f>
        <v>5.5541666666666627</v>
      </c>
      <c r="J18" s="483" t="s">
        <v>720</v>
      </c>
      <c r="K18" s="478" t="str">
        <f ca="1">IFERROR(_xlfn.FORMULATEXT(OUT[[#This Row],[Live]]),"")</f>
        <v>=MITTELWERTWENN(is_heating_period;1;ka_PEQ_Nachweistool.xlsb!sim[Ta])</v>
      </c>
      <c r="L18" s="483"/>
      <c r="M18" s="483"/>
      <c r="N18" s="483"/>
      <c r="O18" s="483"/>
      <c r="P18" s="483"/>
      <c r="Q18" s="483"/>
      <c r="R18" s="483"/>
      <c r="S18">
        <v>4.9332188644688655</v>
      </c>
      <c r="T18">
        <v>4.9332188644688655</v>
      </c>
      <c r="U18">
        <v>4.9332188644688655</v>
      </c>
      <c r="V18">
        <v>4.9332188644688655</v>
      </c>
      <c r="W18">
        <v>4.9332188644688655</v>
      </c>
      <c r="X18">
        <v>4.9332188644688655</v>
      </c>
      <c r="Y18">
        <v>4.9332188644688655</v>
      </c>
      <c r="Z18">
        <v>4.9332188644688655</v>
      </c>
      <c r="AA18">
        <v>4.9332188644688655</v>
      </c>
      <c r="AB18">
        <v>4.9332188644688655</v>
      </c>
      <c r="AC18">
        <v>4.9332188644688655</v>
      </c>
      <c r="AD18">
        <v>4.9332188644688655</v>
      </c>
      <c r="AE18">
        <v>4.9332188644688655</v>
      </c>
      <c r="AF18">
        <v>5.5541666666666627</v>
      </c>
      <c r="AG18">
        <v>5.5541666666666627</v>
      </c>
      <c r="AH18">
        <v>5.5541666666666627</v>
      </c>
      <c r="AI18">
        <v>5.5541666666666627</v>
      </c>
    </row>
    <row r="19" spans="1:35" x14ac:dyDescent="0.25">
      <c r="A19" s="484"/>
      <c r="B19" s="493" t="s">
        <v>1148</v>
      </c>
      <c r="C19" s="484"/>
      <c r="D19" s="483" t="s">
        <v>1151</v>
      </c>
      <c r="E19" s="483" t="str">
        <f>LEFT(OUT[[#This Row],[Label]],1)</f>
        <v/>
      </c>
      <c r="F19" s="483"/>
      <c r="G19" s="483"/>
      <c r="H19" s="494"/>
      <c r="I19" s="496" cm="1">
        <f t="array" aca="1" ref="I19" ca="1">AVERAGEIF(is_cooling_period,1,[1]!sim[Ta])</f>
        <v>19.575372628726292</v>
      </c>
      <c r="J19" s="483" t="s">
        <v>720</v>
      </c>
      <c r="K19" s="478" t="str">
        <f ca="1">IFERROR(_xlfn.FORMULATEXT(OUT[[#This Row],[Live]]),"")</f>
        <v>=MITTELWERTWENN(is_cooling_period;1;ka_PEQ_Nachweistool.xlsb!sim[Ta])</v>
      </c>
      <c r="L19" s="483"/>
      <c r="M19" s="483"/>
      <c r="N19" s="483"/>
      <c r="O19" s="483"/>
      <c r="P19" s="483"/>
      <c r="Q19" s="483"/>
      <c r="R19" s="483"/>
      <c r="S19">
        <v>18.40190631808273</v>
      </c>
      <c r="T19">
        <v>18.40190631808273</v>
      </c>
      <c r="U19">
        <v>18.40190631808273</v>
      </c>
      <c r="V19">
        <v>18.40190631808273</v>
      </c>
      <c r="W19">
        <v>18.40190631808273</v>
      </c>
      <c r="X19">
        <v>18.40190631808273</v>
      </c>
      <c r="Y19">
        <v>18.40190631808273</v>
      </c>
      <c r="Z19">
        <v>18.40190631808273</v>
      </c>
      <c r="AA19">
        <v>18.40190631808273</v>
      </c>
      <c r="AB19">
        <v>18.935331978319752</v>
      </c>
      <c r="AC19">
        <v>18.935331978319752</v>
      </c>
      <c r="AD19">
        <v>18.935331978319752</v>
      </c>
      <c r="AE19">
        <v>18.935331978319752</v>
      </c>
      <c r="AF19">
        <v>19.575372628726292</v>
      </c>
      <c r="AG19">
        <v>19.575372628726292</v>
      </c>
      <c r="AH19">
        <v>19.575372628726292</v>
      </c>
      <c r="AI19">
        <v>19.575372628726292</v>
      </c>
    </row>
    <row r="20" spans="1:35" x14ac:dyDescent="0.25">
      <c r="A20" s="479"/>
      <c r="B20" s="480"/>
      <c r="C20" s="479"/>
      <c r="D20" s="483"/>
      <c r="E20" s="483" t="str">
        <f>LEFT(OUT[[#This Row],[Label]],1)</f>
        <v/>
      </c>
      <c r="F20" s="483"/>
      <c r="G20" s="483"/>
      <c r="H20" s="494"/>
      <c r="I20" s="482"/>
      <c r="J20" s="483"/>
      <c r="K20" s="478" t="str">
        <f ca="1">IFERROR(_xlfn.FORMULATEXT(OUT[[#This Row],[Live]]),"")</f>
        <v/>
      </c>
      <c r="L20" s="483"/>
      <c r="M20" s="483"/>
      <c r="N20" s="483"/>
      <c r="O20" s="483"/>
      <c r="P20" s="483"/>
      <c r="Q20" s="483"/>
      <c r="R20" s="483"/>
    </row>
    <row r="21" spans="1:35" x14ac:dyDescent="0.25">
      <c r="A21" s="484"/>
      <c r="B21" s="493"/>
      <c r="C21" s="484"/>
      <c r="D21" s="483"/>
      <c r="E21" s="483" t="str">
        <f>LEFT(OUT[[#This Row],[Label]],1)</f>
        <v/>
      </c>
      <c r="F21" s="483"/>
      <c r="G21" s="483"/>
      <c r="H21" s="494"/>
      <c r="I21" s="482"/>
      <c r="J21" s="483"/>
      <c r="K21" s="478" t="str">
        <f ca="1">IFERROR(_xlfn.FORMULATEXT(OUT[[#This Row],[Live]]),"")</f>
        <v/>
      </c>
      <c r="L21" s="483"/>
      <c r="M21" s="483"/>
      <c r="N21" s="483"/>
      <c r="O21" s="483"/>
      <c r="P21" s="483"/>
      <c r="Q21" s="483"/>
      <c r="R21" s="483"/>
    </row>
    <row r="22" spans="1:35" x14ac:dyDescent="0.25">
      <c r="A22" s="479"/>
      <c r="B22" s="493"/>
      <c r="C22" s="484"/>
      <c r="D22" s="483"/>
      <c r="E22" s="483" t="str">
        <f>LEFT(OUT[[#This Row],[Label]],1)</f>
        <v/>
      </c>
      <c r="F22" s="483"/>
      <c r="G22" s="483"/>
      <c r="H22" s="494"/>
      <c r="I22" s="482"/>
      <c r="J22" s="483"/>
      <c r="K22" s="478" t="str">
        <f ca="1">IFERROR(_xlfn.FORMULATEXT(OUT[[#This Row],[Live]]),"")</f>
        <v/>
      </c>
      <c r="L22" s="483"/>
      <c r="M22" s="483"/>
      <c r="N22" s="483"/>
      <c r="O22" s="483"/>
      <c r="P22" s="483"/>
      <c r="Q22" s="483"/>
      <c r="R22" s="483"/>
    </row>
    <row r="23" spans="1:35" x14ac:dyDescent="0.25">
      <c r="A23" s="484"/>
      <c r="B23" s="493"/>
      <c r="C23" s="484"/>
      <c r="D23" s="483"/>
      <c r="E23" s="483" t="str">
        <f>LEFT(OUT[[#This Row],[Label]],1)</f>
        <v/>
      </c>
      <c r="F23" s="483"/>
      <c r="G23" s="483"/>
      <c r="H23" s="494"/>
      <c r="I23" s="482"/>
      <c r="J23" s="483"/>
      <c r="K23" s="478" t="str">
        <f ca="1">IFERROR(_xlfn.FORMULATEXT(OUT[[#This Row],[Live]]),"")</f>
        <v/>
      </c>
      <c r="L23" s="483"/>
      <c r="M23" s="483"/>
      <c r="N23" s="483"/>
      <c r="O23" s="483"/>
      <c r="P23" s="483"/>
      <c r="Q23" s="483"/>
      <c r="R23" s="483"/>
    </row>
    <row r="24" spans="1:35" x14ac:dyDescent="0.25">
      <c r="A24" s="479"/>
      <c r="B24" s="493"/>
      <c r="C24" s="484"/>
      <c r="D24" s="483"/>
      <c r="E24" s="483" t="str">
        <f>LEFT(OUT[[#This Row],[Label]],1)</f>
        <v/>
      </c>
      <c r="F24" s="483"/>
      <c r="G24" s="483"/>
      <c r="H24" s="494"/>
      <c r="I24" s="482"/>
      <c r="J24" s="483"/>
      <c r="K24" s="478" t="str">
        <f ca="1">IFERROR(_xlfn.FORMULATEXT(OUT[[#This Row],[Live]]),"")</f>
        <v/>
      </c>
      <c r="L24" s="483"/>
      <c r="M24" s="483"/>
      <c r="N24" s="483"/>
      <c r="O24" s="483"/>
      <c r="P24" s="483"/>
      <c r="Q24" s="483"/>
      <c r="R24" s="483"/>
    </row>
    <row r="25" spans="1:35" x14ac:dyDescent="0.25">
      <c r="A25" s="484"/>
      <c r="B25" s="493"/>
      <c r="C25" s="484"/>
      <c r="D25" s="483"/>
      <c r="E25" s="483" t="str">
        <f>LEFT(OUT[[#This Row],[Label]],1)</f>
        <v/>
      </c>
      <c r="F25" s="483"/>
      <c r="G25" s="483"/>
      <c r="H25" s="494"/>
      <c r="I25" s="482"/>
      <c r="J25" s="483"/>
      <c r="K25" s="478" t="str">
        <f ca="1">IFERROR(_xlfn.FORMULATEXT(OUT[[#This Row],[Live]]),"")</f>
        <v/>
      </c>
      <c r="L25" s="483"/>
      <c r="M25" s="483"/>
      <c r="N25" s="483"/>
      <c r="O25" s="483"/>
      <c r="P25" s="483"/>
      <c r="Q25" s="483"/>
      <c r="R25" s="483"/>
    </row>
    <row r="26" spans="1:35" x14ac:dyDescent="0.25">
      <c r="A26" s="479"/>
      <c r="B26" s="493"/>
      <c r="C26" s="484"/>
      <c r="D26" s="483"/>
      <c r="E26" s="483" t="str">
        <f>LEFT(OUT[[#This Row],[Label]],1)</f>
        <v/>
      </c>
      <c r="F26" s="483"/>
      <c r="G26" s="483"/>
      <c r="H26" s="494"/>
      <c r="I26" s="482"/>
      <c r="J26" s="483"/>
      <c r="K26" s="478" t="str">
        <f ca="1">IFERROR(_xlfn.FORMULATEXT(OUT[[#This Row],[Live]]),"")</f>
        <v/>
      </c>
      <c r="L26" s="483"/>
      <c r="M26" s="483"/>
      <c r="N26" s="483"/>
      <c r="O26" s="483"/>
      <c r="P26" s="483"/>
      <c r="Q26" s="483"/>
      <c r="R26" s="483"/>
    </row>
    <row r="27" spans="1:35" x14ac:dyDescent="0.25">
      <c r="A27" s="484"/>
      <c r="B27" s="493"/>
      <c r="C27" s="484"/>
      <c r="D27" s="483"/>
      <c r="E27" s="483" t="str">
        <f>LEFT(OUT[[#This Row],[Label]],1)</f>
        <v/>
      </c>
      <c r="F27" s="483"/>
      <c r="G27" s="483"/>
      <c r="H27" s="494"/>
      <c r="I27" s="482"/>
      <c r="J27" s="483"/>
      <c r="K27" s="478" t="str">
        <f ca="1">IFERROR(_xlfn.FORMULATEXT(OUT[[#This Row],[Live]]),"")</f>
        <v/>
      </c>
      <c r="L27" s="483"/>
      <c r="M27" s="483"/>
      <c r="N27" s="483"/>
      <c r="O27" s="483"/>
      <c r="P27" s="483"/>
      <c r="Q27" s="483"/>
      <c r="R27" s="483"/>
    </row>
    <row r="28" spans="1:35" x14ac:dyDescent="0.25">
      <c r="A28" s="479"/>
      <c r="B28" s="480"/>
      <c r="C28" s="479"/>
      <c r="D28" s="483"/>
      <c r="E28" s="483" t="str">
        <f>LEFT(OUT[[#This Row],[Label]],1)</f>
        <v/>
      </c>
      <c r="F28" s="483"/>
      <c r="G28" s="483"/>
      <c r="H28" s="494"/>
      <c r="I28" s="482"/>
      <c r="J28" s="483"/>
      <c r="K28" s="478" t="str">
        <f ca="1">IFERROR(_xlfn.FORMULATEXT(OUT[[#This Row],[Live]]),"")</f>
        <v/>
      </c>
      <c r="L28" s="483"/>
      <c r="M28" s="483"/>
      <c r="N28" s="483"/>
      <c r="O28" s="483"/>
      <c r="P28" s="483"/>
      <c r="Q28" s="483"/>
      <c r="R28" s="483"/>
    </row>
    <row r="29" spans="1:35" x14ac:dyDescent="0.25">
      <c r="A29" s="484"/>
      <c r="B29" s="493" t="s">
        <v>1152</v>
      </c>
      <c r="C29" s="484" t="s">
        <v>1153</v>
      </c>
      <c r="D29" t="s">
        <v>1154</v>
      </c>
      <c r="E29" t="str">
        <f>LEFT(OUT[[#This Row],[Label]],1)</f>
        <v>🧱</v>
      </c>
      <c r="F29" s="497" t="s">
        <v>1155</v>
      </c>
      <c r="G29" s="483" t="s">
        <v>1156</v>
      </c>
      <c r="H29" s="494" t="s">
        <v>1156</v>
      </c>
      <c r="I29" s="482" cm="1">
        <f t="array" aca="1" ref="I29" ca="1">-0.001*SUM([1]!sim[QT_u]*NFAfrac_uncooled,[1]!sim[QT_c]*NFAfrac_cooled)</f>
        <v>0</v>
      </c>
      <c r="J29" s="498" t="s">
        <v>1157</v>
      </c>
      <c r="K29" s="478" t="str">
        <f ca="1">IFERROR(_xlfn.FORMULATEXT(OUT[[#This Row],[Live]]),"")</f>
        <v>=-0,001*SUMME(ka_PEQ_Nachweistool.xlsb!sim[QT_u]*NFAfrac_uncooled;ka_PEQ_Nachweistool.xlsb!sim[QT_c]*NFAfrac_cooled)</v>
      </c>
      <c r="L29" t="s">
        <v>1158</v>
      </c>
      <c r="M29" s="483"/>
      <c r="N29" s="483"/>
      <c r="O29" s="483"/>
      <c r="P29" s="483"/>
      <c r="Q29" s="483"/>
      <c r="R29" s="483"/>
      <c r="AF29">
        <v>45.352004053098376</v>
      </c>
      <c r="AG29">
        <v>46.746672117451055</v>
      </c>
      <c r="AH29">
        <v>46.746672117451055</v>
      </c>
      <c r="AI29">
        <v>45.789402270395158</v>
      </c>
    </row>
    <row r="30" spans="1:35" x14ac:dyDescent="0.25">
      <c r="A30" s="479"/>
      <c r="B30" s="493" t="s">
        <v>1152</v>
      </c>
      <c r="C30" s="484" t="s">
        <v>1153</v>
      </c>
      <c r="D30" t="s">
        <v>1159</v>
      </c>
      <c r="E30" t="str">
        <f>LEFT(OUT[[#This Row],[Label]],1)</f>
        <v>💨</v>
      </c>
      <c r="F30" s="497" t="s">
        <v>1155</v>
      </c>
      <c r="G30" s="483" t="s">
        <v>1160</v>
      </c>
      <c r="H30" s="494" t="s">
        <v>1160</v>
      </c>
      <c r="I30" s="499">
        <f ca="1">QV_u*NFAfrac_uncooled+QV_c*NFAfrac_cooled</f>
        <v>0</v>
      </c>
      <c r="J30" s="498" t="s">
        <v>1157</v>
      </c>
      <c r="K30" s="478" t="str">
        <f ca="1">IFERROR(_xlfn.FORMULATEXT(OUT[[#This Row],[Live]]),"")</f>
        <v>=QV_u*NFAfrac_uncooled+QV_c*NFAfrac_cooled</v>
      </c>
      <c r="L30" t="s">
        <v>1161</v>
      </c>
      <c r="M30" s="483"/>
      <c r="N30" s="483"/>
      <c r="O30" s="483"/>
      <c r="P30" s="483"/>
      <c r="Q30" s="483"/>
      <c r="R30" s="483"/>
      <c r="AF30">
        <v>46.837116264899791</v>
      </c>
      <c r="AG30">
        <v>48.270423397755017</v>
      </c>
      <c r="AH30">
        <v>48.270423397755017</v>
      </c>
      <c r="AI30">
        <v>45.940583031063809</v>
      </c>
    </row>
    <row r="31" spans="1:35" x14ac:dyDescent="0.25">
      <c r="A31" s="484"/>
      <c r="B31" s="493" t="s">
        <v>1152</v>
      </c>
      <c r="C31" s="484" t="s">
        <v>1153</v>
      </c>
      <c r="D31" t="s">
        <v>1162</v>
      </c>
      <c r="E31" t="str">
        <f>LEFT(OUT[[#This Row],[Label]],1)</f>
        <v>🌒</v>
      </c>
      <c r="F31" s="497" t="s">
        <v>1155</v>
      </c>
      <c r="G31" s="483"/>
      <c r="H31" s="494" t="s">
        <v>1163</v>
      </c>
      <c r="I31" s="499">
        <f ca="1">-0.001*NFAfrac_uncooled*SUM([1]!sim[Qv_nightvent])</f>
        <v>0</v>
      </c>
      <c r="J31" s="498" t="s">
        <v>1157</v>
      </c>
      <c r="K31" s="478" t="str">
        <f ca="1">IFERROR(_xlfn.FORMULATEXT(OUT[[#This Row],[Live]]),"")</f>
        <v>=-0,001*NFAfrac_uncooled*SUMME(ka_PEQ_Nachweistool.xlsb!sim[Qv_nightvent])</v>
      </c>
      <c r="L31" t="s">
        <v>1164</v>
      </c>
      <c r="M31" s="483"/>
      <c r="N31" s="483"/>
      <c r="O31" s="483"/>
      <c r="P31" s="483"/>
      <c r="Q31" s="483"/>
      <c r="R31" s="483"/>
      <c r="AF31">
        <v>14.797963357953726</v>
      </c>
      <c r="AG31">
        <v>14.800556116529853</v>
      </c>
      <c r="AH31">
        <v>14.800556116529853</v>
      </c>
      <c r="AI31">
        <v>8.2511252931672576</v>
      </c>
    </row>
    <row r="32" spans="1:35" x14ac:dyDescent="0.25">
      <c r="A32" s="479"/>
      <c r="B32" s="493" t="s">
        <v>1152</v>
      </c>
      <c r="C32" s="484" t="s">
        <v>1165</v>
      </c>
      <c r="D32" t="s">
        <v>1166</v>
      </c>
      <c r="E32" t="str">
        <f>LEFT(OUT[[#This Row],[Label]],1)</f>
        <v>🌞</v>
      </c>
      <c r="F32" s="497" t="s">
        <v>1155</v>
      </c>
      <c r="G32" s="483" t="s">
        <v>1167</v>
      </c>
      <c r="H32" s="494" t="s">
        <v>1167</v>
      </c>
      <c r="I32" s="500">
        <f ca="1">SUM([1]!sim[QS_u])/1000</f>
        <v>33.395000456542732</v>
      </c>
      <c r="J32" s="498" t="s">
        <v>1157</v>
      </c>
      <c r="K32" s="478" t="str">
        <f ca="1">IFERROR(_xlfn.FORMULATEXT(OUT[[#This Row],[Live]]),"")</f>
        <v>=SUMME(ka_PEQ_Nachweistool.xlsb!sim[QS_u])/1000</v>
      </c>
      <c r="L32" t="s">
        <v>1168</v>
      </c>
      <c r="M32" s="483"/>
      <c r="N32" s="483"/>
      <c r="O32" s="483"/>
      <c r="P32" s="483"/>
      <c r="Q32" s="483"/>
      <c r="R32" s="483"/>
      <c r="AF32">
        <v>33.395000456542732</v>
      </c>
      <c r="AG32">
        <v>33.395000456542732</v>
      </c>
      <c r="AH32">
        <v>33.395000456542732</v>
      </c>
      <c r="AI32">
        <v>33.395000456542732</v>
      </c>
    </row>
    <row r="33" spans="1:35" x14ac:dyDescent="0.25">
      <c r="A33" s="484"/>
      <c r="B33" s="493" t="s">
        <v>1152</v>
      </c>
      <c r="C33" s="484" t="s">
        <v>1165</v>
      </c>
      <c r="D33" t="s">
        <v>1169</v>
      </c>
      <c r="E33" t="str">
        <f>LEFT(OUT[[#This Row],[Label]],1)</f>
        <v>👤</v>
      </c>
      <c r="F33" s="497" t="s">
        <v>1155</v>
      </c>
      <c r="G33" s="483" t="s">
        <v>1170</v>
      </c>
      <c r="H33" s="494" t="s">
        <v>1170</v>
      </c>
      <c r="I33" s="500" cm="1">
        <f t="array" ref="I33">0.001*SUM([1]!sim[QI_u]*NFAfrac_uncooled,[1]!sim[QI_c]*NFAfrac_cooled)</f>
        <v>0</v>
      </c>
      <c r="J33" s="498" t="s">
        <v>1157</v>
      </c>
      <c r="K33" s="478" t="str">
        <f ca="1">IFERROR(_xlfn.FORMULATEXT(OUT[[#This Row],[Live]]),"")</f>
        <v>=0,001*SUMME(ka_PEQ_Nachweistool.xlsb!sim[QI_u]*NFAfrac_uncooled;ka_PEQ_Nachweistool.xlsb!sim[QI_c]*NFAfrac_cooled)</v>
      </c>
      <c r="L33" t="s">
        <v>1171</v>
      </c>
      <c r="M33" s="483"/>
      <c r="N33" s="483"/>
      <c r="O33" s="483"/>
      <c r="P33" s="483"/>
      <c r="Q33" s="483"/>
      <c r="R33" s="483"/>
      <c r="AF33">
        <v>43.959216427991599</v>
      </c>
      <c r="AG33">
        <v>43.959216427991599</v>
      </c>
      <c r="AH33">
        <v>43.959216427991599</v>
      </c>
      <c r="AI33">
        <v>43.959216427991876</v>
      </c>
    </row>
    <row r="34" spans="1:35" ht="15.75" x14ac:dyDescent="0.25">
      <c r="A34" s="479"/>
      <c r="B34" s="493" t="s">
        <v>1152</v>
      </c>
      <c r="C34" s="484" t="s">
        <v>1165</v>
      </c>
      <c r="D34" t="s">
        <v>1172</v>
      </c>
      <c r="E34" t="str">
        <f>LEFT(OUT[[#This Row],[Label]],1)</f>
        <v>♨</v>
      </c>
      <c r="F34" s="497" t="s">
        <v>1155</v>
      </c>
      <c r="G34" s="483" t="s">
        <v>1173</v>
      </c>
      <c r="H34" s="494" t="s">
        <v>1174</v>
      </c>
      <c r="I34" s="501">
        <f ca="1">QH_u*NFAfrac_uncooled+QH_c*NFAfrac_cooled</f>
        <v>0</v>
      </c>
      <c r="J34" s="498" t="s">
        <v>1157</v>
      </c>
      <c r="K34" s="478" t="str">
        <f ca="1">IFERROR(_xlfn.FORMULATEXT(OUT[[#This Row],[Live]]),"")</f>
        <v>=QH_u*NFAfrac_uncooled+QH_c*NFAfrac_cooled</v>
      </c>
      <c r="L34" s="502" t="s">
        <v>1175</v>
      </c>
      <c r="M34" s="483"/>
      <c r="N34" s="483"/>
      <c r="O34" s="483"/>
      <c r="P34" s="483"/>
      <c r="Q34" s="483"/>
      <c r="R34" s="483"/>
      <c r="AF34">
        <v>31.691211685671821</v>
      </c>
      <c r="AG34">
        <v>34.798988121692339</v>
      </c>
      <c r="AH34">
        <v>34.798988121692339</v>
      </c>
      <c r="AI34">
        <v>33.646362277288688</v>
      </c>
    </row>
    <row r="35" spans="1:35" ht="15.75" x14ac:dyDescent="0.25">
      <c r="A35" s="484"/>
      <c r="B35" s="493" t="s">
        <v>1152</v>
      </c>
      <c r="C35" s="484" t="s">
        <v>1153</v>
      </c>
      <c r="D35" t="s">
        <v>1176</v>
      </c>
      <c r="E35" t="str">
        <f>LEFT(OUT[[#This Row],[Label]],1)</f>
        <v>❄</v>
      </c>
      <c r="F35" s="497" t="s">
        <v>1155</v>
      </c>
      <c r="G35" s="483" t="s">
        <v>1177</v>
      </c>
      <c r="H35" s="494" t="s">
        <v>1178</v>
      </c>
      <c r="I35" s="503">
        <f ca="1">QC_c*NFAfrac_cooled</f>
        <v>0</v>
      </c>
      <c r="J35" s="498" t="s">
        <v>1157</v>
      </c>
      <c r="K35" s="478" t="str">
        <f ca="1">IFERROR(_xlfn.FORMULATEXT(OUT[[#This Row],[Live]]),"")</f>
        <v>=QC_c*NFAfrac_cooled</v>
      </c>
      <c r="L35" s="504" t="s">
        <v>1179</v>
      </c>
      <c r="M35" s="483"/>
      <c r="N35" s="483"/>
      <c r="O35" s="483"/>
      <c r="P35" s="483"/>
      <c r="Q35" s="483"/>
      <c r="R35" s="483"/>
      <c r="AF35">
        <v>0.62558834894486381</v>
      </c>
      <c r="AG35">
        <v>3.6397323794101761</v>
      </c>
      <c r="AH35">
        <v>3.6397323794101761</v>
      </c>
      <c r="AI35">
        <v>14.912821914847621</v>
      </c>
    </row>
    <row r="36" spans="1:35" ht="15.75" x14ac:dyDescent="0.25">
      <c r="A36" s="479"/>
      <c r="B36" s="493" t="s">
        <v>1152</v>
      </c>
      <c r="C36" s="484" t="s">
        <v>1180</v>
      </c>
      <c r="D36" s="486" t="s">
        <v>1152</v>
      </c>
      <c r="E36" s="505" t="s">
        <v>1115</v>
      </c>
      <c r="F36" s="486"/>
      <c r="G36" s="486" t="s">
        <v>28</v>
      </c>
      <c r="H36" s="487"/>
      <c r="I36" s="506" t="b">
        <f ca="1">ABS((QT+QV+QVn+QC)-(QS+QI+QH))&lt;e_kWhm2a</f>
        <v>0</v>
      </c>
      <c r="J36" s="507"/>
      <c r="K36" s="508" t="str">
        <f ca="1">IFERROR(_xlfn.FORMULATEXT(OUT[[#This Row],[Live]]),"")</f>
        <v>=ABS((QT+QV+QVn+QC)-(QS+QI+QH))&lt;e_kWhm2a</v>
      </c>
      <c r="L36" s="486" t="s">
        <v>1181</v>
      </c>
      <c r="M36" s="483"/>
      <c r="N36" s="483"/>
      <c r="O36" s="483"/>
      <c r="P36" s="483"/>
      <c r="Q36" s="483"/>
      <c r="R36" s="483"/>
      <c r="AF36" t="b">
        <v>0</v>
      </c>
      <c r="AG36" t="b">
        <v>0</v>
      </c>
      <c r="AH36" t="b">
        <v>0</v>
      </c>
      <c r="AI36" t="b">
        <v>0</v>
      </c>
    </row>
    <row r="37" spans="1:35" x14ac:dyDescent="0.25">
      <c r="A37" s="479"/>
      <c r="B37" s="493" t="s">
        <v>1152</v>
      </c>
      <c r="C37" s="484" t="s">
        <v>1153</v>
      </c>
      <c r="D37" s="483" t="s">
        <v>1154</v>
      </c>
      <c r="E37" t="str">
        <f>LEFT(OUT[[#This Row],[Label]],1)</f>
        <v>🧱</v>
      </c>
      <c r="F37" s="509" t="s">
        <v>1182</v>
      </c>
      <c r="G37" s="483"/>
      <c r="H37" s="494" t="s">
        <v>1156</v>
      </c>
      <c r="I37" s="482"/>
      <c r="J37" s="498" t="s">
        <v>1157</v>
      </c>
      <c r="K37" s="478" t="str">
        <f ca="1">IFERROR(_xlfn.FORMULATEXT(OUT[[#This Row],[Live]]),"")</f>
        <v/>
      </c>
      <c r="L37" t="s">
        <v>1158</v>
      </c>
      <c r="M37" s="483"/>
      <c r="N37" s="483"/>
      <c r="O37" s="483"/>
      <c r="P37" s="483"/>
      <c r="Q37" s="483"/>
      <c r="R37" s="483"/>
    </row>
    <row r="38" spans="1:35" x14ac:dyDescent="0.25">
      <c r="A38" s="484"/>
      <c r="B38" s="493" t="s">
        <v>1152</v>
      </c>
      <c r="C38" s="484" t="s">
        <v>1153</v>
      </c>
      <c r="D38" s="483" t="s">
        <v>1159</v>
      </c>
      <c r="E38" t="str">
        <f>LEFT(OUT[[#This Row],[Label]],1)</f>
        <v>💨</v>
      </c>
      <c r="F38" s="509" t="s">
        <v>1182</v>
      </c>
      <c r="G38" s="483"/>
      <c r="H38" s="494" t="s">
        <v>1160</v>
      </c>
      <c r="I38" s="499">
        <f ca="1">-SUM([1]!sim[Qvinf_u],[1]!sim[Qvmechvent_u],[1]!sim[Qvwindow_u])/1000</f>
        <v>48.120712604770496</v>
      </c>
      <c r="J38" s="498" t="s">
        <v>1157</v>
      </c>
      <c r="K38" s="478" t="str">
        <f ca="1">IFERROR(_xlfn.FORMULATEXT(OUT[[#This Row],[Live]]),"")</f>
        <v>=-SUMME(ka_PEQ_Nachweistool.xlsb!sim[Qvinf_u];ka_PEQ_Nachweistool.xlsb!sim[Qvmechvent_u];ka_PEQ_Nachweistool.xlsb!sim[Qvwindow_u])/1000</v>
      </c>
      <c r="L38" t="s">
        <v>1161</v>
      </c>
      <c r="M38" s="483"/>
      <c r="N38" s="483"/>
      <c r="O38" s="483"/>
      <c r="P38" s="483"/>
      <c r="Q38" s="483"/>
      <c r="R38" s="483"/>
      <c r="AF38">
        <v>49.08940069374178</v>
      </c>
      <c r="AG38">
        <v>50.76154893280863</v>
      </c>
      <c r="AH38">
        <v>50.76154893280863</v>
      </c>
      <c r="AI38">
        <v>48.120712604770496</v>
      </c>
    </row>
    <row r="39" spans="1:35" x14ac:dyDescent="0.25">
      <c r="A39" s="479"/>
      <c r="B39" s="493" t="s">
        <v>1152</v>
      </c>
      <c r="C39" s="484" t="s">
        <v>1153</v>
      </c>
      <c r="D39" s="483" t="s">
        <v>1162</v>
      </c>
      <c r="E39" t="str">
        <f>LEFT(OUT[[#This Row],[Label]],1)</f>
        <v>🌒</v>
      </c>
      <c r="F39" s="509" t="s">
        <v>1182</v>
      </c>
      <c r="G39" s="483"/>
      <c r="H39" s="494" t="s">
        <v>1163</v>
      </c>
      <c r="I39" s="482"/>
      <c r="J39" s="498" t="s">
        <v>1157</v>
      </c>
      <c r="K39" s="478" t="str">
        <f ca="1">IFERROR(_xlfn.FORMULATEXT(OUT[[#This Row],[Live]]),"")</f>
        <v/>
      </c>
      <c r="L39" t="s">
        <v>1164</v>
      </c>
      <c r="M39" s="483"/>
      <c r="N39" s="483"/>
      <c r="O39" s="483"/>
      <c r="P39" s="483"/>
      <c r="Q39" s="483"/>
      <c r="R39" s="483"/>
    </row>
    <row r="40" spans="1:35" x14ac:dyDescent="0.25">
      <c r="A40" s="484"/>
      <c r="B40" s="493" t="s">
        <v>1152</v>
      </c>
      <c r="C40" s="484" t="s">
        <v>1165</v>
      </c>
      <c r="D40" s="483" t="s">
        <v>1166</v>
      </c>
      <c r="E40" t="str">
        <f>LEFT(OUT[[#This Row],[Label]],1)</f>
        <v>🌞</v>
      </c>
      <c r="F40" s="509" t="s">
        <v>1182</v>
      </c>
      <c r="G40" s="483"/>
      <c r="H40" s="494" t="s">
        <v>1167</v>
      </c>
      <c r="I40" s="482"/>
      <c r="J40" s="498" t="s">
        <v>1157</v>
      </c>
      <c r="K40" s="478" t="str">
        <f ca="1">IFERROR(_xlfn.FORMULATEXT(OUT[[#This Row],[Live]]),"")</f>
        <v/>
      </c>
      <c r="L40" t="s">
        <v>1168</v>
      </c>
      <c r="M40" s="483"/>
      <c r="N40" s="483"/>
      <c r="O40" s="483"/>
      <c r="P40" s="483"/>
      <c r="Q40" s="483"/>
      <c r="R40" s="483"/>
    </row>
    <row r="41" spans="1:35" x14ac:dyDescent="0.25">
      <c r="A41" s="479"/>
      <c r="B41" s="493" t="s">
        <v>1152</v>
      </c>
      <c r="C41" s="484" t="s">
        <v>1165</v>
      </c>
      <c r="D41" s="483" t="s">
        <v>1169</v>
      </c>
      <c r="E41" t="str">
        <f>LEFT(OUT[[#This Row],[Label]],1)</f>
        <v>👤</v>
      </c>
      <c r="F41" s="509" t="s">
        <v>1182</v>
      </c>
      <c r="G41" s="483"/>
      <c r="H41" s="494" t="s">
        <v>1170</v>
      </c>
      <c r="I41" s="482"/>
      <c r="J41" s="498" t="s">
        <v>1157</v>
      </c>
      <c r="K41" s="478" t="str">
        <f ca="1">IFERROR(_xlfn.FORMULATEXT(OUT[[#This Row],[Live]]),"")</f>
        <v/>
      </c>
      <c r="L41" t="s">
        <v>1171</v>
      </c>
      <c r="M41" s="483"/>
      <c r="N41" s="483"/>
      <c r="O41" s="483"/>
      <c r="P41" s="483"/>
      <c r="Q41" s="483"/>
      <c r="R41" s="483"/>
    </row>
    <row r="42" spans="1:35" ht="15.75" x14ac:dyDescent="0.25">
      <c r="A42" s="484"/>
      <c r="B42" s="493" t="s">
        <v>1152</v>
      </c>
      <c r="C42" s="484" t="s">
        <v>1165</v>
      </c>
      <c r="D42" s="497" t="s">
        <v>1172</v>
      </c>
      <c r="E42" t="str">
        <f>LEFT(OUT[[#This Row],[Label]],1)</f>
        <v>♨</v>
      </c>
      <c r="F42" s="509" t="s">
        <v>1182</v>
      </c>
      <c r="G42" s="483"/>
      <c r="H42" s="494" t="s">
        <v>1174</v>
      </c>
      <c r="I42" s="510">
        <f ca="1">QH_min_u+QH_flex_u</f>
        <v>36.048711592048704</v>
      </c>
      <c r="J42" s="498" t="s">
        <v>1157</v>
      </c>
      <c r="K42" s="478" t="str">
        <f ca="1">IFERROR(_xlfn.FORMULATEXT(OUT[[#This Row],[Live]]),"")</f>
        <v>=QH_min_u+QH_flex_u</v>
      </c>
      <c r="L42" s="502" t="s">
        <v>1175</v>
      </c>
      <c r="M42" s="483"/>
      <c r="N42" s="483"/>
      <c r="O42" s="483"/>
      <c r="P42" s="483"/>
      <c r="Q42" s="483"/>
      <c r="R42" s="483"/>
      <c r="AF42">
        <v>34.114355774614438</v>
      </c>
      <c r="AG42">
        <v>37.319570021648268</v>
      </c>
      <c r="AH42">
        <v>37.319570021648268</v>
      </c>
      <c r="AI42">
        <v>36.048711592048704</v>
      </c>
    </row>
    <row r="43" spans="1:35" x14ac:dyDescent="0.25">
      <c r="A43" s="484"/>
      <c r="B43" s="493" t="s">
        <v>1152</v>
      </c>
      <c r="C43" s="484"/>
      <c r="D43" s="483" t="s">
        <v>1183</v>
      </c>
      <c r="E43" t="str">
        <f>LEFT(OUT[[#This Row],[Label]],1)</f>
        <v>🧱</v>
      </c>
      <c r="F43" s="509" t="s">
        <v>1182</v>
      </c>
      <c r="G43" s="483"/>
      <c r="H43" s="494" t="s">
        <v>1184</v>
      </c>
      <c r="I43" s="482"/>
      <c r="J43" s="498" t="s">
        <v>1157</v>
      </c>
      <c r="K43" s="478" t="str">
        <f ca="1">IFERROR(_xlfn.FORMULATEXT(OUT[[#This Row],[Live]]),"")</f>
        <v/>
      </c>
      <c r="L43" t="s">
        <v>1185</v>
      </c>
      <c r="M43" s="483"/>
      <c r="N43" s="483"/>
      <c r="O43" s="483"/>
      <c r="P43" s="483"/>
      <c r="Q43" s="483"/>
      <c r="R43" s="483"/>
    </row>
    <row r="44" spans="1:35" x14ac:dyDescent="0.25">
      <c r="A44" s="479"/>
      <c r="B44" s="493" t="s">
        <v>1152</v>
      </c>
      <c r="C44" s="484"/>
      <c r="D44" s="483" t="s">
        <v>1186</v>
      </c>
      <c r="E44" t="str">
        <f>LEFT(OUT[[#This Row],[Label]],1)</f>
        <v>🧱</v>
      </c>
      <c r="F44" s="509" t="s">
        <v>1182</v>
      </c>
      <c r="G44" s="483"/>
      <c r="H44" s="494" t="s">
        <v>1187</v>
      </c>
      <c r="I44" s="482"/>
      <c r="J44" s="498" t="s">
        <v>1157</v>
      </c>
      <c r="K44" s="478" t="str">
        <f ca="1">IFERROR(_xlfn.FORMULATEXT(OUT[[#This Row],[Live]]),"")</f>
        <v/>
      </c>
      <c r="L44" t="s">
        <v>1188</v>
      </c>
      <c r="M44" s="483"/>
      <c r="N44" s="483"/>
      <c r="O44" s="483"/>
      <c r="P44" s="483"/>
      <c r="Q44" s="483"/>
      <c r="R44" s="483"/>
    </row>
    <row r="45" spans="1:35" x14ac:dyDescent="0.25">
      <c r="A45" s="484"/>
      <c r="B45" s="493" t="s">
        <v>1152</v>
      </c>
      <c r="C45" s="484"/>
      <c r="D45" s="483" t="s">
        <v>1189</v>
      </c>
      <c r="E45" t="str">
        <f>LEFT(OUT[[#This Row],[Label]],1)</f>
        <v>🧱</v>
      </c>
      <c r="F45" s="509" t="s">
        <v>1182</v>
      </c>
      <c r="G45" s="483"/>
      <c r="H45" s="494" t="s">
        <v>1190</v>
      </c>
      <c r="I45" s="482"/>
      <c r="J45" s="498" t="s">
        <v>1157</v>
      </c>
      <c r="K45" s="478" t="str">
        <f ca="1">IFERROR(_xlfn.FORMULATEXT(OUT[[#This Row],[Live]]),"")</f>
        <v/>
      </c>
      <c r="L45" t="s">
        <v>1191</v>
      </c>
      <c r="M45" s="483"/>
      <c r="N45" s="483"/>
      <c r="O45" s="483"/>
      <c r="P45" s="483"/>
      <c r="Q45" s="483"/>
      <c r="R45" s="483"/>
    </row>
    <row r="46" spans="1:35" x14ac:dyDescent="0.25">
      <c r="A46" s="479"/>
      <c r="B46" s="493" t="s">
        <v>1152</v>
      </c>
      <c r="C46" s="484"/>
      <c r="D46" s="483" t="s">
        <v>1192</v>
      </c>
      <c r="E46" t="str">
        <f>LEFT(OUT[[#This Row],[Label]],1)</f>
        <v>🧱</v>
      </c>
      <c r="F46" s="509" t="s">
        <v>1182</v>
      </c>
      <c r="G46" s="483"/>
      <c r="H46" s="494" t="s">
        <v>1193</v>
      </c>
      <c r="I46" s="482"/>
      <c r="J46" s="498" t="s">
        <v>1157</v>
      </c>
      <c r="K46" s="478" t="str">
        <f ca="1">IFERROR(_xlfn.FORMULATEXT(OUT[[#This Row],[Live]]),"")</f>
        <v/>
      </c>
      <c r="L46" t="s">
        <v>1194</v>
      </c>
      <c r="M46" s="483"/>
      <c r="N46" s="483"/>
      <c r="O46" s="483"/>
      <c r="P46" s="483"/>
      <c r="Q46" s="483"/>
      <c r="R46" s="483"/>
    </row>
    <row r="47" spans="1:35" x14ac:dyDescent="0.25">
      <c r="A47" s="484"/>
      <c r="B47" s="493" t="s">
        <v>1152</v>
      </c>
      <c r="C47" s="484"/>
      <c r="D47" s="483" t="s">
        <v>1195</v>
      </c>
      <c r="E47" t="str">
        <f>LEFT(OUT[[#This Row],[Label]],1)</f>
        <v>🧱</v>
      </c>
      <c r="F47" s="509" t="s">
        <v>1182</v>
      </c>
      <c r="G47" s="483"/>
      <c r="H47" s="494" t="s">
        <v>1196</v>
      </c>
      <c r="I47" s="482"/>
      <c r="J47" s="498" t="s">
        <v>1157</v>
      </c>
      <c r="K47" s="478" t="str">
        <f ca="1">IFERROR(_xlfn.FORMULATEXT(OUT[[#This Row],[Live]]),"")</f>
        <v/>
      </c>
      <c r="L47" t="s">
        <v>1197</v>
      </c>
      <c r="M47" s="483"/>
      <c r="N47" s="483"/>
      <c r="O47" s="483"/>
      <c r="P47" s="483"/>
      <c r="Q47" s="483"/>
      <c r="R47" s="483"/>
    </row>
    <row r="48" spans="1:35" x14ac:dyDescent="0.25">
      <c r="A48" s="479"/>
      <c r="B48" s="493" t="s">
        <v>1152</v>
      </c>
      <c r="C48" s="484"/>
      <c r="D48" s="483" t="s">
        <v>1198</v>
      </c>
      <c r="E48" t="str">
        <f>LEFT(OUT[[#This Row],[Label]],1)</f>
        <v>💨</v>
      </c>
      <c r="F48" s="509" t="s">
        <v>1182</v>
      </c>
      <c r="G48" s="483"/>
      <c r="H48" s="494" t="s">
        <v>1199</v>
      </c>
      <c r="I48" s="482"/>
      <c r="J48" s="498" t="s">
        <v>1157</v>
      </c>
      <c r="K48" s="478" t="str">
        <f ca="1">IFERROR(_xlfn.FORMULATEXT(OUT[[#This Row],[Live]]),"")</f>
        <v/>
      </c>
      <c r="L48" t="s">
        <v>1200</v>
      </c>
      <c r="M48" s="483"/>
      <c r="N48" s="483"/>
      <c r="O48" s="483"/>
      <c r="P48" s="483"/>
      <c r="Q48" s="483"/>
      <c r="R48" s="483"/>
    </row>
    <row r="49" spans="1:35" x14ac:dyDescent="0.25">
      <c r="A49" s="484"/>
      <c r="B49" s="493" t="s">
        <v>1152</v>
      </c>
      <c r="C49" s="484"/>
      <c r="D49" s="483" t="s">
        <v>1201</v>
      </c>
      <c r="E49" t="str">
        <f>LEFT(OUT[[#This Row],[Label]],1)</f>
        <v>💨</v>
      </c>
      <c r="F49" s="509" t="s">
        <v>1182</v>
      </c>
      <c r="G49" s="483"/>
      <c r="H49" s="494" t="s">
        <v>1202</v>
      </c>
      <c r="I49" s="482"/>
      <c r="J49" s="498" t="s">
        <v>1157</v>
      </c>
      <c r="K49" s="478" t="str">
        <f ca="1">IFERROR(_xlfn.FORMULATEXT(OUT[[#This Row],[Live]]),"")</f>
        <v/>
      </c>
      <c r="L49" t="s">
        <v>1203</v>
      </c>
      <c r="M49" s="483"/>
      <c r="N49" s="483"/>
      <c r="O49" s="483"/>
      <c r="P49" s="483"/>
      <c r="Q49" s="483"/>
      <c r="R49" s="483"/>
    </row>
    <row r="50" spans="1:35" x14ac:dyDescent="0.25">
      <c r="A50" s="479"/>
      <c r="B50" s="493" t="s">
        <v>1152</v>
      </c>
      <c r="C50" s="484"/>
      <c r="D50" s="483" t="s">
        <v>1204</v>
      </c>
      <c r="E50" t="str">
        <f>LEFT(OUT[[#This Row],[Label]],1)</f>
        <v>💨</v>
      </c>
      <c r="F50" s="509" t="s">
        <v>1182</v>
      </c>
      <c r="G50" s="483"/>
      <c r="H50" s="494" t="s">
        <v>1205</v>
      </c>
      <c r="I50" s="482"/>
      <c r="J50" s="498" t="s">
        <v>1157</v>
      </c>
      <c r="K50" s="478" t="str">
        <f ca="1">IFERROR(_xlfn.FORMULATEXT(OUT[[#This Row],[Live]]),"")</f>
        <v/>
      </c>
      <c r="L50" t="s">
        <v>1206</v>
      </c>
      <c r="M50" s="483"/>
      <c r="N50" s="483"/>
      <c r="O50" s="483"/>
      <c r="P50" s="483"/>
      <c r="Q50" s="483"/>
      <c r="R50" s="483"/>
    </row>
    <row r="51" spans="1:35" x14ac:dyDescent="0.25">
      <c r="A51" s="484"/>
      <c r="B51" s="493" t="s">
        <v>1152</v>
      </c>
      <c r="C51" s="484"/>
      <c r="D51" s="483" t="s">
        <v>1207</v>
      </c>
      <c r="E51" t="str">
        <f>LEFT(OUT[[#This Row],[Label]],1)</f>
        <v>🔀</v>
      </c>
      <c r="F51" s="509" t="s">
        <v>1182</v>
      </c>
      <c r="G51" s="483"/>
      <c r="H51" s="494" t="s">
        <v>1208</v>
      </c>
      <c r="I51" s="482"/>
      <c r="J51" s="498" t="s">
        <v>1157</v>
      </c>
      <c r="K51" s="478" t="str">
        <f ca="1">IFERROR(_xlfn.FORMULATEXT(OUT[[#This Row],[Live]]),"")</f>
        <v/>
      </c>
      <c r="L51" t="s">
        <v>1209</v>
      </c>
      <c r="M51" s="483"/>
      <c r="N51" s="483"/>
      <c r="O51" s="483"/>
      <c r="P51" s="483"/>
      <c r="Q51" s="483"/>
      <c r="R51" s="483"/>
    </row>
    <row r="52" spans="1:35" x14ac:dyDescent="0.25">
      <c r="A52" s="479"/>
      <c r="B52" s="493" t="s">
        <v>1152</v>
      </c>
      <c r="C52" s="484"/>
      <c r="D52" s="483" t="s">
        <v>1162</v>
      </c>
      <c r="E52" t="str">
        <f>LEFT(OUT[[#This Row],[Label]],1)</f>
        <v>🌒</v>
      </c>
      <c r="F52" s="509" t="s">
        <v>1182</v>
      </c>
      <c r="G52" s="483"/>
      <c r="H52" s="494" t="s">
        <v>1163</v>
      </c>
      <c r="I52" s="482"/>
      <c r="J52" s="498" t="s">
        <v>1157</v>
      </c>
      <c r="K52" s="478" t="str">
        <f ca="1">IFERROR(_xlfn.FORMULATEXT(OUT[[#This Row],[Live]]),"")</f>
        <v/>
      </c>
      <c r="L52" t="s">
        <v>1164</v>
      </c>
      <c r="M52" s="483"/>
      <c r="N52" s="483"/>
      <c r="O52" s="483"/>
      <c r="P52" s="483"/>
      <c r="Q52" s="483"/>
      <c r="R52" s="483"/>
    </row>
    <row r="53" spans="1:35" ht="15.75" x14ac:dyDescent="0.25">
      <c r="A53" s="484"/>
      <c r="B53" s="493" t="s">
        <v>1152</v>
      </c>
      <c r="C53" s="484"/>
      <c r="D53" s="497" t="s">
        <v>1210</v>
      </c>
      <c r="E53" t="str">
        <f>LEFT(OUT[[#This Row],[Label]],1)</f>
        <v>♨</v>
      </c>
      <c r="F53" s="509" t="s">
        <v>1182</v>
      </c>
      <c r="G53" s="483"/>
      <c r="H53" s="494" t="s">
        <v>1211</v>
      </c>
      <c r="I53" s="510">
        <f ca="1">SUM([1]!sim[Qh_to_room_uncooled_min])/1000</f>
        <v>15.255019624670133</v>
      </c>
      <c r="J53" s="498" t="s">
        <v>1157</v>
      </c>
      <c r="K53" s="478" t="str">
        <f ca="1">IFERROR(_xlfn.FORMULATEXT(OUT[[#This Row],[Live]]),"")</f>
        <v>=SUMME(ka_PEQ_Nachweistool.xlsb!sim[Qh_to_room_uncooled_min])/1000</v>
      </c>
      <c r="L53" s="502" t="s">
        <v>1212</v>
      </c>
      <c r="M53" s="483"/>
      <c r="N53" s="483"/>
      <c r="O53" s="483"/>
      <c r="P53" s="483"/>
      <c r="Q53" s="483"/>
      <c r="R53" s="483"/>
      <c r="AF53">
        <v>34.114355774614438</v>
      </c>
      <c r="AG53">
        <v>16.077095714079608</v>
      </c>
      <c r="AH53">
        <v>16.077095714079608</v>
      </c>
      <c r="AI53">
        <v>15.255019624670133</v>
      </c>
    </row>
    <row r="54" spans="1:35" ht="15.75" x14ac:dyDescent="0.25">
      <c r="A54" s="479"/>
      <c r="B54" s="493" t="s">
        <v>1152</v>
      </c>
      <c r="C54" s="484"/>
      <c r="D54" s="497" t="s">
        <v>1213</v>
      </c>
      <c r="E54" t="str">
        <f>LEFT(OUT[[#This Row],[Label]],1)</f>
        <v>♨</v>
      </c>
      <c r="F54" s="509" t="s">
        <v>1182</v>
      </c>
      <c r="G54" s="483"/>
      <c r="H54" s="494" t="s">
        <v>1214</v>
      </c>
      <c r="I54" s="510">
        <f ca="1">SUM([1]!sim[Qh_u])/1000-QH_min_u</f>
        <v>20.793691967378571</v>
      </c>
      <c r="J54" s="498" t="s">
        <v>1157</v>
      </c>
      <c r="K54" s="478" t="str">
        <f ca="1">IFERROR(_xlfn.FORMULATEXT(OUT[[#This Row],[Live]]),"")</f>
        <v>=SUMME(ka_PEQ_Nachweistool.xlsb!sim[Qh_u])/1000-QH_min_u</v>
      </c>
      <c r="L54" s="502" t="s">
        <v>1215</v>
      </c>
      <c r="M54" s="483"/>
      <c r="N54" s="483"/>
      <c r="O54" s="483"/>
      <c r="P54" s="483"/>
      <c r="Q54" s="483"/>
      <c r="R54" s="483"/>
      <c r="AF54">
        <v>0</v>
      </c>
      <c r="AG54">
        <v>21.24247430756866</v>
      </c>
      <c r="AH54">
        <v>21.24247430756866</v>
      </c>
      <c r="AI54">
        <v>20.793691967378571</v>
      </c>
    </row>
    <row r="55" spans="1:35" x14ac:dyDescent="0.25">
      <c r="A55" s="484"/>
      <c r="B55" s="493" t="s">
        <v>1152</v>
      </c>
      <c r="C55" s="484"/>
      <c r="D55" s="483" t="s">
        <v>1216</v>
      </c>
      <c r="E55" t="str">
        <f>LEFT(OUT[[#This Row],[Label]],1)</f>
        <v>F</v>
      </c>
      <c r="F55" s="509" t="s">
        <v>1182</v>
      </c>
      <c r="G55" s="483"/>
      <c r="H55" s="494"/>
      <c r="I55" s="482"/>
      <c r="J55" s="498" t="s">
        <v>1157</v>
      </c>
      <c r="K55" s="478" t="str">
        <f ca="1">IFERROR(_xlfn.FORMULATEXT(OUT[[#This Row],[Live]]),"")</f>
        <v/>
      </c>
      <c r="L55" t="s">
        <v>1216</v>
      </c>
      <c r="M55" s="483"/>
      <c r="N55" s="483"/>
      <c r="O55" s="483"/>
      <c r="P55" s="483"/>
      <c r="Q55" s="483"/>
      <c r="R55" s="483"/>
    </row>
    <row r="56" spans="1:35" x14ac:dyDescent="0.25">
      <c r="A56" s="479"/>
      <c r="B56" s="493" t="s">
        <v>1152</v>
      </c>
      <c r="C56" s="484"/>
      <c r="D56" s="483" t="s">
        <v>1154</v>
      </c>
      <c r="E56" t="str">
        <f>LEFT(OUT[[#This Row],[Label]],1)</f>
        <v>🧱</v>
      </c>
      <c r="F56" s="511" t="s">
        <v>1217</v>
      </c>
      <c r="G56" s="483"/>
      <c r="H56" s="494" t="s">
        <v>1156</v>
      </c>
      <c r="I56" s="482"/>
      <c r="J56" s="498" t="s">
        <v>1157</v>
      </c>
      <c r="K56" s="478" t="str">
        <f ca="1">IFERROR(_xlfn.FORMULATEXT(OUT[[#This Row],[Live]]),"")</f>
        <v/>
      </c>
      <c r="L56" t="s">
        <v>1158</v>
      </c>
      <c r="M56" s="483"/>
      <c r="N56" s="483"/>
      <c r="O56" s="483"/>
      <c r="P56" s="483"/>
      <c r="Q56" s="483"/>
      <c r="R56" s="483"/>
    </row>
    <row r="57" spans="1:35" x14ac:dyDescent="0.25">
      <c r="A57" s="484"/>
      <c r="B57" s="493" t="s">
        <v>1152</v>
      </c>
      <c r="C57" s="484"/>
      <c r="D57" s="483" t="s">
        <v>1159</v>
      </c>
      <c r="E57" t="str">
        <f>LEFT(OUT[[#This Row],[Label]],1)</f>
        <v>💨</v>
      </c>
      <c r="F57" s="511" t="s">
        <v>1217</v>
      </c>
      <c r="G57" s="483"/>
      <c r="H57" s="494" t="s">
        <v>1160</v>
      </c>
      <c r="I57" s="499">
        <f ca="1">-SUM([1]!sim[Qvinf_c],[1]!sim[Qvmechvent_c],[1]!sim[Qvwindow_c])/1000</f>
        <v>44.136024223598788</v>
      </c>
      <c r="J57" s="498" t="s">
        <v>1157</v>
      </c>
      <c r="K57" s="478" t="str">
        <f ca="1">IFERROR(_xlfn.FORMULATEXT(OUT[[#This Row],[Live]]),"")</f>
        <v>=-SUMME(ka_PEQ_Nachweistool.xlsb!sim[Qvinf_c];ka_PEQ_Nachweistool.xlsb!sim[Qvmechvent_c];ka_PEQ_Nachweistool.xlsb!sim[Qvwindow_c])/1000</v>
      </c>
      <c r="L57" t="s">
        <v>1161</v>
      </c>
      <c r="M57" s="483"/>
      <c r="N57" s="483"/>
      <c r="O57" s="483"/>
      <c r="P57" s="483"/>
      <c r="Q57" s="483"/>
      <c r="R57" s="483"/>
      <c r="AF57">
        <v>25.193367239089266</v>
      </c>
      <c r="AG57">
        <v>24.331486031744941</v>
      </c>
      <c r="AH57">
        <v>24.331486031744941</v>
      </c>
      <c r="AI57">
        <v>44.136024223598788</v>
      </c>
    </row>
    <row r="58" spans="1:35" x14ac:dyDescent="0.25">
      <c r="A58" s="479"/>
      <c r="B58" s="493" t="s">
        <v>1152</v>
      </c>
      <c r="C58" s="484"/>
      <c r="D58" s="483" t="s">
        <v>1162</v>
      </c>
      <c r="E58" t="str">
        <f>LEFT(OUT[[#This Row],[Label]],1)</f>
        <v>🌒</v>
      </c>
      <c r="F58" s="511" t="s">
        <v>1217</v>
      </c>
      <c r="G58" s="483"/>
      <c r="H58" s="494" t="s">
        <v>1163</v>
      </c>
      <c r="I58" s="482"/>
      <c r="J58" s="498" t="s">
        <v>1157</v>
      </c>
      <c r="K58" s="478" t="str">
        <f ca="1">IFERROR(_xlfn.FORMULATEXT(OUT[[#This Row],[Live]]),"")</f>
        <v/>
      </c>
      <c r="L58" t="s">
        <v>1164</v>
      </c>
      <c r="M58" s="483"/>
      <c r="N58" s="483"/>
      <c r="O58" s="483"/>
      <c r="P58" s="483"/>
      <c r="Q58" s="483"/>
      <c r="R58" s="483"/>
    </row>
    <row r="59" spans="1:35" x14ac:dyDescent="0.25">
      <c r="A59" s="484"/>
      <c r="B59" s="493" t="s">
        <v>1152</v>
      </c>
      <c r="C59" s="484"/>
      <c r="D59" s="483" t="s">
        <v>1166</v>
      </c>
      <c r="E59" t="str">
        <f>LEFT(OUT[[#This Row],[Label]],1)</f>
        <v>🌞</v>
      </c>
      <c r="F59" s="511" t="s">
        <v>1217</v>
      </c>
      <c r="G59" s="483"/>
      <c r="H59" s="494" t="s">
        <v>1167</v>
      </c>
      <c r="I59" s="482"/>
      <c r="J59" s="498" t="s">
        <v>1157</v>
      </c>
      <c r="K59" s="478" t="str">
        <f ca="1">IFERROR(_xlfn.FORMULATEXT(OUT[[#This Row],[Live]]),"")</f>
        <v/>
      </c>
      <c r="L59" t="s">
        <v>1168</v>
      </c>
      <c r="M59" s="483"/>
      <c r="N59" s="483"/>
      <c r="O59" s="483"/>
      <c r="P59" s="483"/>
      <c r="Q59" s="483"/>
      <c r="R59" s="483"/>
    </row>
    <row r="60" spans="1:35" x14ac:dyDescent="0.25">
      <c r="A60" s="479"/>
      <c r="B60" s="493" t="s">
        <v>1152</v>
      </c>
      <c r="C60" s="484"/>
      <c r="D60" s="483" t="s">
        <v>1169</v>
      </c>
      <c r="E60" t="str">
        <f>LEFT(OUT[[#This Row],[Label]],1)</f>
        <v>👤</v>
      </c>
      <c r="F60" s="511" t="s">
        <v>1217</v>
      </c>
      <c r="G60" s="483"/>
      <c r="H60" s="494" t="s">
        <v>1170</v>
      </c>
      <c r="I60" s="482"/>
      <c r="J60" s="498" t="s">
        <v>1157</v>
      </c>
      <c r="K60" s="478" t="str">
        <f ca="1">IFERROR(_xlfn.FORMULATEXT(OUT[[#This Row],[Live]]),"")</f>
        <v/>
      </c>
      <c r="L60" t="s">
        <v>1171</v>
      </c>
      <c r="M60" s="483"/>
      <c r="N60" s="483"/>
      <c r="O60" s="483"/>
      <c r="P60" s="483"/>
      <c r="Q60" s="483"/>
      <c r="R60" s="483"/>
    </row>
    <row r="61" spans="1:35" ht="15.75" x14ac:dyDescent="0.25">
      <c r="A61" s="484"/>
      <c r="B61" s="493" t="s">
        <v>1152</v>
      </c>
      <c r="C61" s="484"/>
      <c r="D61" s="497" t="s">
        <v>1172</v>
      </c>
      <c r="E61" t="str">
        <f>LEFT(OUT[[#This Row],[Label]],1)</f>
        <v>♨</v>
      </c>
      <c r="F61" s="511" t="s">
        <v>1217</v>
      </c>
      <c r="G61" s="483"/>
      <c r="H61" s="494" t="s">
        <v>1174</v>
      </c>
      <c r="I61" s="510">
        <f ca="1">QH_min_c+QH_flex_c</f>
        <v>31.657865507719627</v>
      </c>
      <c r="J61" s="498" t="s">
        <v>1157</v>
      </c>
      <c r="K61" s="478" t="str">
        <f ca="1">IFERROR(_xlfn.FORMULATEXT(OUT[[#This Row],[Live]]),"")</f>
        <v>=QH_min_c+QH_flex_c</v>
      </c>
      <c r="L61" s="502" t="s">
        <v>1175</v>
      </c>
      <c r="M61" s="483"/>
      <c r="N61" s="483"/>
      <c r="O61" s="483"/>
      <c r="P61" s="483"/>
      <c r="Q61" s="483"/>
      <c r="R61" s="483"/>
      <c r="AF61">
        <v>8.4055547576011111</v>
      </c>
      <c r="AG61">
        <v>10.576984300578179</v>
      </c>
      <c r="AH61">
        <v>10.576984300578179</v>
      </c>
      <c r="AI61">
        <v>31.657865507719627</v>
      </c>
    </row>
    <row r="62" spans="1:35" ht="15.75" x14ac:dyDescent="0.25">
      <c r="A62" s="479"/>
      <c r="B62" s="493" t="s">
        <v>1152</v>
      </c>
      <c r="C62" s="484"/>
      <c r="D62" s="497" t="s">
        <v>1176</v>
      </c>
      <c r="E62" t="str">
        <f>LEFT(OUT[[#This Row],[Label]],1)</f>
        <v>❄</v>
      </c>
      <c r="F62" s="511" t="s">
        <v>1217</v>
      </c>
      <c r="G62" s="483"/>
      <c r="H62" s="494" t="s">
        <v>1178</v>
      </c>
      <c r="I62" s="512">
        <f ca="1">QC_min_c+QC_flex_c</f>
        <v>27.256613061554969</v>
      </c>
      <c r="J62" s="498" t="s">
        <v>1157</v>
      </c>
      <c r="K62" s="478" t="str">
        <f ca="1">IFERROR(_xlfn.FORMULATEXT(OUT[[#This Row],[Live]]),"")</f>
        <v>=QC_min_c+QC_flex_c</v>
      </c>
      <c r="L62" s="504" t="s">
        <v>1179</v>
      </c>
      <c r="M62" s="483"/>
      <c r="N62" s="483"/>
      <c r="O62" s="483"/>
      <c r="P62" s="483"/>
      <c r="Q62" s="483"/>
      <c r="R62" s="483"/>
      <c r="AF62">
        <v>6.6372967480458716</v>
      </c>
      <c r="AG62">
        <v>38.616422326857602</v>
      </c>
      <c r="AH62">
        <v>38.616422326857602</v>
      </c>
      <c r="AI62">
        <v>27.256613061554969</v>
      </c>
    </row>
    <row r="63" spans="1:35" x14ac:dyDescent="0.25">
      <c r="A63" s="484"/>
      <c r="B63" s="493" t="s">
        <v>1152</v>
      </c>
      <c r="C63" s="484"/>
      <c r="D63" s="483" t="s">
        <v>1183</v>
      </c>
      <c r="E63" t="str">
        <f>LEFT(OUT[[#This Row],[Label]],1)</f>
        <v>🧱</v>
      </c>
      <c r="F63" s="511" t="s">
        <v>1217</v>
      </c>
      <c r="G63" s="483"/>
      <c r="H63" s="494" t="s">
        <v>1184</v>
      </c>
      <c r="I63" s="482"/>
      <c r="J63" s="498" t="s">
        <v>1157</v>
      </c>
      <c r="K63" s="478" t="str">
        <f ca="1">IFERROR(_xlfn.FORMULATEXT(OUT[[#This Row],[Live]]),"")</f>
        <v/>
      </c>
      <c r="L63" t="s">
        <v>1185</v>
      </c>
      <c r="M63" s="483"/>
      <c r="N63" s="483"/>
      <c r="O63" s="483"/>
      <c r="P63" s="483"/>
      <c r="Q63" s="483"/>
      <c r="R63" s="483"/>
    </row>
    <row r="64" spans="1:35" x14ac:dyDescent="0.25">
      <c r="A64" s="479"/>
      <c r="B64" s="493" t="s">
        <v>1152</v>
      </c>
      <c r="C64" s="484"/>
      <c r="D64" s="483" t="s">
        <v>1186</v>
      </c>
      <c r="E64" t="str">
        <f>LEFT(OUT[[#This Row],[Label]],1)</f>
        <v>🧱</v>
      </c>
      <c r="F64" s="511" t="s">
        <v>1217</v>
      </c>
      <c r="G64" s="483"/>
      <c r="H64" s="494" t="s">
        <v>1187</v>
      </c>
      <c r="I64" s="482"/>
      <c r="J64" s="498" t="s">
        <v>1157</v>
      </c>
      <c r="K64" s="478" t="str">
        <f ca="1">IFERROR(_xlfn.FORMULATEXT(OUT[[#This Row],[Live]]),"")</f>
        <v/>
      </c>
      <c r="L64" t="s">
        <v>1188</v>
      </c>
      <c r="M64" s="483"/>
      <c r="N64" s="483"/>
      <c r="O64" s="483"/>
      <c r="P64" s="483"/>
      <c r="Q64" s="483"/>
      <c r="R64" s="483"/>
    </row>
    <row r="65" spans="1:35" x14ac:dyDescent="0.25">
      <c r="A65" s="484"/>
      <c r="B65" s="493" t="s">
        <v>1152</v>
      </c>
      <c r="C65" s="484"/>
      <c r="D65" s="483" t="s">
        <v>1189</v>
      </c>
      <c r="E65" t="str">
        <f>LEFT(OUT[[#This Row],[Label]],1)</f>
        <v>🧱</v>
      </c>
      <c r="F65" s="511" t="s">
        <v>1217</v>
      </c>
      <c r="G65" s="483"/>
      <c r="H65" s="494" t="s">
        <v>1190</v>
      </c>
      <c r="I65" s="482"/>
      <c r="J65" s="498" t="s">
        <v>1157</v>
      </c>
      <c r="K65" s="478" t="str">
        <f ca="1">IFERROR(_xlfn.FORMULATEXT(OUT[[#This Row],[Live]]),"")</f>
        <v/>
      </c>
      <c r="L65" t="s">
        <v>1191</v>
      </c>
      <c r="M65" s="483"/>
      <c r="N65" s="483"/>
      <c r="O65" s="483"/>
      <c r="P65" s="483"/>
      <c r="Q65" s="483"/>
      <c r="R65" s="483"/>
    </row>
    <row r="66" spans="1:35" x14ac:dyDescent="0.25">
      <c r="A66" s="479"/>
      <c r="B66" s="493" t="s">
        <v>1152</v>
      </c>
      <c r="C66" s="484"/>
      <c r="D66" s="483" t="s">
        <v>1192</v>
      </c>
      <c r="E66" t="str">
        <f>LEFT(OUT[[#This Row],[Label]],1)</f>
        <v>🧱</v>
      </c>
      <c r="F66" s="511" t="s">
        <v>1217</v>
      </c>
      <c r="G66" s="483"/>
      <c r="H66" s="494" t="s">
        <v>1193</v>
      </c>
      <c r="I66" s="482"/>
      <c r="J66" s="498" t="s">
        <v>1157</v>
      </c>
      <c r="K66" s="478" t="str">
        <f ca="1">IFERROR(_xlfn.FORMULATEXT(OUT[[#This Row],[Live]]),"")</f>
        <v/>
      </c>
      <c r="L66" t="s">
        <v>1194</v>
      </c>
      <c r="M66" s="483"/>
      <c r="N66" s="483"/>
      <c r="O66" s="483"/>
      <c r="P66" s="483"/>
      <c r="Q66" s="483"/>
      <c r="R66" s="483"/>
    </row>
    <row r="67" spans="1:35" x14ac:dyDescent="0.25">
      <c r="A67" s="484"/>
      <c r="B67" s="493" t="s">
        <v>1152</v>
      </c>
      <c r="C67" s="484"/>
      <c r="D67" s="483" t="s">
        <v>1195</v>
      </c>
      <c r="E67" t="str">
        <f>LEFT(OUT[[#This Row],[Label]],1)</f>
        <v>🧱</v>
      </c>
      <c r="F67" s="511" t="s">
        <v>1217</v>
      </c>
      <c r="G67" s="483"/>
      <c r="H67" s="494" t="s">
        <v>1196</v>
      </c>
      <c r="I67" s="482"/>
      <c r="J67" s="498" t="s">
        <v>1157</v>
      </c>
      <c r="K67" s="478" t="str">
        <f ca="1">IFERROR(_xlfn.FORMULATEXT(OUT[[#This Row],[Live]]),"")</f>
        <v/>
      </c>
      <c r="L67" t="s">
        <v>1197</v>
      </c>
      <c r="M67" s="483"/>
      <c r="N67" s="483"/>
      <c r="O67" s="483"/>
      <c r="P67" s="483"/>
      <c r="Q67" s="483"/>
      <c r="R67" s="483"/>
    </row>
    <row r="68" spans="1:35" x14ac:dyDescent="0.25">
      <c r="A68" s="479"/>
      <c r="B68" s="493" t="s">
        <v>1152</v>
      </c>
      <c r="C68" s="484"/>
      <c r="D68" s="483" t="s">
        <v>1198</v>
      </c>
      <c r="E68" t="str">
        <f>LEFT(OUT[[#This Row],[Label]],1)</f>
        <v>💨</v>
      </c>
      <c r="F68" s="511" t="s">
        <v>1217</v>
      </c>
      <c r="G68" s="483"/>
      <c r="H68" s="494" t="s">
        <v>1199</v>
      </c>
      <c r="I68" s="482"/>
      <c r="J68" s="498" t="s">
        <v>1157</v>
      </c>
      <c r="K68" s="478" t="str">
        <f ca="1">IFERROR(_xlfn.FORMULATEXT(OUT[[#This Row],[Live]]),"")</f>
        <v/>
      </c>
      <c r="L68" t="s">
        <v>1200</v>
      </c>
      <c r="M68" s="483"/>
      <c r="N68" s="483"/>
      <c r="O68" s="483"/>
      <c r="P68" s="483"/>
      <c r="Q68" s="483"/>
      <c r="R68" s="483"/>
    </row>
    <row r="69" spans="1:35" x14ac:dyDescent="0.25">
      <c r="A69" s="484"/>
      <c r="B69" s="493" t="s">
        <v>1152</v>
      </c>
      <c r="C69" s="484"/>
      <c r="D69" s="483" t="s">
        <v>1201</v>
      </c>
      <c r="E69" t="str">
        <f>LEFT(OUT[[#This Row],[Label]],1)</f>
        <v>💨</v>
      </c>
      <c r="F69" s="511" t="s">
        <v>1217</v>
      </c>
      <c r="G69" s="483"/>
      <c r="H69" s="494" t="s">
        <v>1202</v>
      </c>
      <c r="I69" s="482"/>
      <c r="J69" s="498" t="s">
        <v>1157</v>
      </c>
      <c r="K69" s="478" t="str">
        <f ca="1">IFERROR(_xlfn.FORMULATEXT(OUT[[#This Row],[Live]]),"")</f>
        <v/>
      </c>
      <c r="L69" t="s">
        <v>1203</v>
      </c>
      <c r="M69" s="483"/>
      <c r="N69" s="483"/>
      <c r="O69" s="483"/>
      <c r="P69" s="483"/>
      <c r="Q69" s="483"/>
      <c r="R69" s="483"/>
    </row>
    <row r="70" spans="1:35" x14ac:dyDescent="0.25">
      <c r="A70" s="479"/>
      <c r="B70" s="493" t="s">
        <v>1152</v>
      </c>
      <c r="C70" s="484"/>
      <c r="D70" s="483" t="s">
        <v>1204</v>
      </c>
      <c r="E70" t="str">
        <f>LEFT(OUT[[#This Row],[Label]],1)</f>
        <v>💨</v>
      </c>
      <c r="F70" s="511" t="s">
        <v>1217</v>
      </c>
      <c r="G70" s="483"/>
      <c r="H70" s="494" t="s">
        <v>1205</v>
      </c>
      <c r="I70" s="482"/>
      <c r="J70" s="498" t="s">
        <v>1157</v>
      </c>
      <c r="K70" s="478" t="str">
        <f ca="1">IFERROR(_xlfn.FORMULATEXT(OUT[[#This Row],[Live]]),"")</f>
        <v/>
      </c>
      <c r="L70" t="s">
        <v>1206</v>
      </c>
      <c r="M70" s="483"/>
      <c r="N70" s="483"/>
      <c r="O70" s="483"/>
      <c r="P70" s="483"/>
      <c r="Q70" s="483"/>
      <c r="R70" s="483"/>
    </row>
    <row r="71" spans="1:35" x14ac:dyDescent="0.25">
      <c r="A71" s="484"/>
      <c r="B71" s="493" t="s">
        <v>1152</v>
      </c>
      <c r="C71" s="484"/>
      <c r="D71" s="483" t="s">
        <v>1207</v>
      </c>
      <c r="E71" t="str">
        <f>LEFT(OUT[[#This Row],[Label]],1)</f>
        <v>🔀</v>
      </c>
      <c r="F71" s="511" t="s">
        <v>1217</v>
      </c>
      <c r="G71" s="483"/>
      <c r="H71" s="494" t="s">
        <v>1208</v>
      </c>
      <c r="I71" s="482"/>
      <c r="J71" s="498" t="s">
        <v>1157</v>
      </c>
      <c r="K71" s="478" t="str">
        <f ca="1">IFERROR(_xlfn.FORMULATEXT(OUT[[#This Row],[Live]]),"")</f>
        <v/>
      </c>
      <c r="L71" t="s">
        <v>1209</v>
      </c>
      <c r="M71" s="483"/>
      <c r="N71" s="483"/>
      <c r="O71" s="483"/>
      <c r="P71" s="483"/>
      <c r="Q71" s="483"/>
      <c r="R71" s="483"/>
    </row>
    <row r="72" spans="1:35" x14ac:dyDescent="0.25">
      <c r="A72" s="479"/>
      <c r="B72" s="493" t="s">
        <v>1152</v>
      </c>
      <c r="C72" s="484"/>
      <c r="D72" s="483" t="s">
        <v>1162</v>
      </c>
      <c r="E72" t="str">
        <f>LEFT(OUT[[#This Row],[Label]],1)</f>
        <v>🌒</v>
      </c>
      <c r="F72" s="511" t="s">
        <v>1217</v>
      </c>
      <c r="G72" s="483"/>
      <c r="H72" s="494" t="s">
        <v>1163</v>
      </c>
      <c r="I72" s="482"/>
      <c r="J72" s="498" t="s">
        <v>1157</v>
      </c>
      <c r="K72" s="478" t="str">
        <f ca="1">IFERROR(_xlfn.FORMULATEXT(OUT[[#This Row],[Live]]),"")</f>
        <v/>
      </c>
      <c r="L72" t="s">
        <v>1164</v>
      </c>
      <c r="M72" s="483"/>
      <c r="N72" s="483"/>
      <c r="O72" s="483"/>
      <c r="P72" s="483"/>
      <c r="Q72" s="483"/>
      <c r="R72" s="483"/>
    </row>
    <row r="73" spans="1:35" ht="15.75" x14ac:dyDescent="0.25">
      <c r="A73" s="484"/>
      <c r="B73" s="493" t="s">
        <v>1152</v>
      </c>
      <c r="C73" s="484"/>
      <c r="D73" s="497" t="s">
        <v>1210</v>
      </c>
      <c r="E73" t="str">
        <f>LEFT(OUT[[#This Row],[Label]],1)</f>
        <v>♨</v>
      </c>
      <c r="F73" s="511" t="s">
        <v>1217</v>
      </c>
      <c r="G73" s="483"/>
      <c r="H73" s="494" t="s">
        <v>1211</v>
      </c>
      <c r="I73" s="510">
        <f ca="1">SUM([1]!sim[Qh_to_room_cooled_min])/1000</f>
        <v>12.462270146346173</v>
      </c>
      <c r="J73" s="498" t="s">
        <v>1157</v>
      </c>
      <c r="K73" s="478" t="str">
        <f ca="1">IFERROR(_xlfn.FORMULATEXT(OUT[[#This Row],[Live]]),"")</f>
        <v>=SUMME(ka_PEQ_Nachweistool.xlsb!sim[Qh_to_room_cooled_min])/1000</v>
      </c>
      <c r="L73" s="502" t="s">
        <v>1212</v>
      </c>
      <c r="M73" s="483"/>
      <c r="N73" s="483"/>
      <c r="O73" s="483"/>
      <c r="P73" s="483"/>
      <c r="Q73" s="483"/>
      <c r="R73" s="483"/>
      <c r="AF73">
        <v>8.4055547576011111</v>
      </c>
      <c r="AG73">
        <v>1.6267144672076368</v>
      </c>
      <c r="AH73">
        <v>1.6267144672076368</v>
      </c>
      <c r="AI73">
        <v>12.462270146346173</v>
      </c>
    </row>
    <row r="74" spans="1:35" ht="15.75" x14ac:dyDescent="0.25">
      <c r="A74" s="479"/>
      <c r="B74" s="493" t="s">
        <v>1152</v>
      </c>
      <c r="C74" s="484"/>
      <c r="D74" s="497" t="s">
        <v>1213</v>
      </c>
      <c r="E74" t="str">
        <f>LEFT(OUT[[#This Row],[Label]],1)</f>
        <v>♨</v>
      </c>
      <c r="F74" s="511" t="s">
        <v>1217</v>
      </c>
      <c r="G74" s="483"/>
      <c r="H74" s="494" t="s">
        <v>1214</v>
      </c>
      <c r="I74" s="510">
        <f ca="1">SUM([1]!sim[Qh_c])/1000-QH_min_c</f>
        <v>19.195595361373456</v>
      </c>
      <c r="J74" s="498" t="s">
        <v>1157</v>
      </c>
      <c r="K74" s="478" t="str">
        <f ca="1">IFERROR(_xlfn.FORMULATEXT(OUT[[#This Row],[Live]]),"")</f>
        <v>=SUMME(ka_PEQ_Nachweistool.xlsb!sim[Qh_c])/1000-QH_min_c</v>
      </c>
      <c r="L74" s="502" t="s">
        <v>1215</v>
      </c>
      <c r="M74" s="483"/>
      <c r="N74" s="483"/>
      <c r="O74" s="483"/>
      <c r="P74" s="483"/>
      <c r="Q74" s="483"/>
      <c r="R74" s="483"/>
      <c r="AF74">
        <v>0</v>
      </c>
      <c r="AG74">
        <v>8.9502698333705411</v>
      </c>
      <c r="AH74">
        <v>8.9502698333705411</v>
      </c>
      <c r="AI74">
        <v>19.195595361373456</v>
      </c>
    </row>
    <row r="75" spans="1:35" ht="15.75" x14ac:dyDescent="0.25">
      <c r="A75" s="484"/>
      <c r="B75" s="493" t="s">
        <v>1152</v>
      </c>
      <c r="C75" s="484"/>
      <c r="D75" s="497" t="s">
        <v>1218</v>
      </c>
      <c r="E75" t="str">
        <f>LEFT(OUT[[#This Row],[Label]],1)</f>
        <v>❄</v>
      </c>
      <c r="F75" s="511" t="s">
        <v>1217</v>
      </c>
      <c r="G75" s="483"/>
      <c r="H75" s="494" t="s">
        <v>1219</v>
      </c>
      <c r="I75" s="512">
        <f ca="1">-SUM([1]!sim[[QC_flex_1el_final]:[QC_flex_3el_final]])/1000</f>
        <v>13.628306530777484</v>
      </c>
      <c r="J75" s="498" t="s">
        <v>1157</v>
      </c>
      <c r="K75" s="478" t="str">
        <f ca="1">IFERROR(_xlfn.FORMULATEXT(OUT[[#This Row],[Live]]),"")</f>
        <v>=-SUMME(ka_PEQ_Nachweistool.xlsb!sim[[QC_flex_1el_final]:[QC_flex_3el_final]])/1000</v>
      </c>
      <c r="L75" s="504" t="s">
        <v>1220</v>
      </c>
      <c r="M75" s="483"/>
      <c r="N75" s="483"/>
      <c r="O75" s="483"/>
      <c r="P75" s="483"/>
      <c r="Q75" s="483"/>
      <c r="R75" s="483"/>
      <c r="AF75">
        <v>3.3186483740229358</v>
      </c>
      <c r="AG75">
        <v>19.308211163428801</v>
      </c>
      <c r="AH75">
        <v>19.308211163428801</v>
      </c>
      <c r="AI75">
        <v>13.628306530777484</v>
      </c>
    </row>
    <row r="76" spans="1:35" ht="15.75" x14ac:dyDescent="0.25">
      <c r="A76" s="479"/>
      <c r="B76" s="493" t="s">
        <v>1152</v>
      </c>
      <c r="C76" s="484"/>
      <c r="D76" s="497" t="s">
        <v>1221</v>
      </c>
      <c r="E76" t="str">
        <f>LEFT(OUT[[#This Row],[Label]],1)</f>
        <v>❄</v>
      </c>
      <c r="F76" s="511" t="s">
        <v>1217</v>
      </c>
      <c r="G76" s="483"/>
      <c r="H76" s="494" t="s">
        <v>1222</v>
      </c>
      <c r="I76" s="512">
        <f ca="1">-SUM([1]!sim[[QC_flex_1el_final]:[QC_flex_3el_final]])/1000</f>
        <v>13.628306530777484</v>
      </c>
      <c r="J76" s="498" t="s">
        <v>1157</v>
      </c>
      <c r="K76" s="478" t="str">
        <f ca="1">IFERROR(_xlfn.FORMULATEXT(OUT[[#This Row],[Live]]),"")</f>
        <v>=-SUMME(ka_PEQ_Nachweistool.xlsb!sim[[QC_flex_1el_final]:[QC_flex_3el_final]])/1000</v>
      </c>
      <c r="L76" s="504" t="s">
        <v>1223</v>
      </c>
      <c r="M76" s="483"/>
      <c r="N76" s="483"/>
      <c r="O76" s="483"/>
      <c r="P76" s="483"/>
      <c r="Q76" s="483"/>
      <c r="R76" s="483"/>
      <c r="AF76">
        <v>3.3186483740229358</v>
      </c>
      <c r="AG76">
        <v>19.308211163428801</v>
      </c>
      <c r="AH76">
        <v>19.308211163428801</v>
      </c>
      <c r="AI76">
        <v>13.628306530777484</v>
      </c>
    </row>
    <row r="77" spans="1:35" x14ac:dyDescent="0.25">
      <c r="A77" s="484"/>
      <c r="B77" s="493" t="s">
        <v>1152</v>
      </c>
      <c r="C77" s="484"/>
      <c r="D77" s="483" t="s">
        <v>1216</v>
      </c>
      <c r="E77" t="str">
        <f>LEFT(OUT[[#This Row],[Label]],1)</f>
        <v>F</v>
      </c>
      <c r="F77" s="511" t="s">
        <v>1217</v>
      </c>
      <c r="G77" s="483"/>
      <c r="H77" s="494"/>
      <c r="I77" s="482"/>
      <c r="J77" s="483"/>
      <c r="K77" s="478" t="str">
        <f ca="1">IFERROR(_xlfn.FORMULATEXT(OUT[[#This Row],[Live]]),"")</f>
        <v/>
      </c>
      <c r="L77" t="s">
        <v>1216</v>
      </c>
      <c r="M77" s="483"/>
      <c r="N77" s="483"/>
      <c r="O77" s="483"/>
      <c r="P77" s="483"/>
      <c r="Q77" s="483"/>
      <c r="R77" s="483"/>
    </row>
    <row r="78" spans="1:35" x14ac:dyDescent="0.25">
      <c r="A78" s="479"/>
      <c r="B78" s="480"/>
      <c r="C78" s="479"/>
      <c r="D78" s="483"/>
      <c r="E78" s="483" t="str">
        <f>LEFT(OUT[[#This Row],[Label]],1)</f>
        <v/>
      </c>
      <c r="F78" s="483"/>
      <c r="G78" s="483"/>
      <c r="H78" s="494"/>
      <c r="I78" s="482"/>
      <c r="J78" s="483"/>
      <c r="K78" s="478" t="str">
        <f ca="1">IFERROR(_xlfn.FORMULATEXT(OUT[[#This Row],[Live]]),"")</f>
        <v/>
      </c>
      <c r="L78" s="483"/>
      <c r="M78" s="483"/>
      <c r="N78" s="483"/>
      <c r="O78" s="483"/>
      <c r="P78" s="483"/>
      <c r="Q78" s="483"/>
      <c r="R78" s="483"/>
    </row>
    <row r="79" spans="1:35" x14ac:dyDescent="0.25">
      <c r="A79" s="484"/>
      <c r="B79" s="493"/>
      <c r="C79" s="484"/>
      <c r="D79" s="483"/>
      <c r="E79" s="483"/>
      <c r="F79" s="483"/>
      <c r="G79" s="483"/>
      <c r="H79" s="494"/>
      <c r="I79" s="482"/>
      <c r="J79" s="483"/>
      <c r="K79" s="478" t="str">
        <f ca="1">IFERROR(_xlfn.FORMULATEXT(OUT[[#This Row],[Live]]),"")</f>
        <v/>
      </c>
      <c r="L79" s="483"/>
      <c r="M79" s="483"/>
      <c r="N79" s="483"/>
      <c r="O79" s="483"/>
      <c r="P79" s="483"/>
      <c r="Q79" s="483"/>
      <c r="R79" s="483"/>
    </row>
    <row r="80" spans="1:35" x14ac:dyDescent="0.25">
      <c r="A80" s="479"/>
      <c r="B80" s="493"/>
      <c r="C80" s="484"/>
      <c r="D80" s="483"/>
      <c r="E80" s="483"/>
      <c r="F80" s="483"/>
      <c r="G80" s="483"/>
      <c r="H80" s="494"/>
      <c r="I80" s="482"/>
      <c r="J80" s="483"/>
      <c r="K80" s="478" t="str">
        <f ca="1">IFERROR(_xlfn.FORMULATEXT(OUT[[#This Row],[Live]]),"")</f>
        <v/>
      </c>
      <c r="L80" s="483"/>
      <c r="M80" s="483"/>
      <c r="N80" s="483"/>
      <c r="O80" s="483"/>
      <c r="P80" s="483"/>
      <c r="Q80" s="483"/>
      <c r="R80" s="483"/>
    </row>
    <row r="81" spans="1:35" x14ac:dyDescent="0.25">
      <c r="A81" s="484"/>
      <c r="B81" s="493"/>
      <c r="C81" s="484"/>
      <c r="D81" s="483"/>
      <c r="E81" s="483"/>
      <c r="F81" s="483"/>
      <c r="G81" s="483"/>
      <c r="H81" s="494"/>
      <c r="I81" s="482"/>
      <c r="J81" s="483"/>
      <c r="K81" s="478" t="str">
        <f ca="1">IFERROR(_xlfn.FORMULATEXT(OUT[[#This Row],[Live]]),"")</f>
        <v/>
      </c>
      <c r="L81" s="483"/>
      <c r="M81" s="483"/>
      <c r="N81" s="483"/>
      <c r="O81" s="483"/>
      <c r="P81" s="483"/>
      <c r="Q81" s="483"/>
      <c r="R81" s="483"/>
    </row>
    <row r="82" spans="1:35" x14ac:dyDescent="0.25">
      <c r="A82" s="479"/>
      <c r="B82" s="493"/>
      <c r="C82" s="484"/>
      <c r="D82" s="483"/>
      <c r="E82" s="483"/>
      <c r="F82" s="483"/>
      <c r="G82" s="483"/>
      <c r="H82" s="494"/>
      <c r="I82" s="482"/>
      <c r="J82" s="483"/>
      <c r="K82" s="478" t="str">
        <f ca="1">IFERROR(_xlfn.FORMULATEXT(OUT[[#This Row],[Live]]),"")</f>
        <v/>
      </c>
      <c r="L82" s="483"/>
      <c r="M82" s="483"/>
      <c r="N82" s="483"/>
      <c r="O82" s="483"/>
      <c r="P82" s="483"/>
      <c r="Q82" s="483"/>
      <c r="R82" s="483"/>
    </row>
    <row r="83" spans="1:35" x14ac:dyDescent="0.25">
      <c r="A83" s="484"/>
      <c r="B83" s="493"/>
      <c r="C83" s="484"/>
      <c r="D83" s="483"/>
      <c r="E83" s="483" t="str">
        <f>LEFT(OUT[[#This Row],[Label]],1)</f>
        <v/>
      </c>
      <c r="F83" s="483"/>
      <c r="G83" s="483"/>
      <c r="H83" s="494"/>
      <c r="I83" s="482"/>
      <c r="J83" s="483"/>
      <c r="K83" s="478" t="str">
        <f ca="1">IFERROR(_xlfn.FORMULATEXT(OUT[[#This Row],[Live]]),"")</f>
        <v/>
      </c>
      <c r="L83" s="483"/>
      <c r="M83" s="483"/>
      <c r="N83" s="483"/>
      <c r="O83" s="483"/>
      <c r="P83" s="483"/>
      <c r="Q83" s="483"/>
      <c r="R83" s="483"/>
    </row>
    <row r="84" spans="1:35" x14ac:dyDescent="0.25">
      <c r="A84" s="479"/>
      <c r="B84" s="480" t="s">
        <v>1224</v>
      </c>
      <c r="C84" s="479"/>
      <c r="D84" s="513" t="s">
        <v>1225</v>
      </c>
      <c r="E84" s="483" t="str">
        <f>LEFT(OUT[[#This Row],[Label]],1)</f>
        <v/>
      </c>
      <c r="F84" s="483" t="s">
        <v>1226</v>
      </c>
      <c r="G84" s="483"/>
      <c r="H84" s="494" t="s">
        <v>1227</v>
      </c>
      <c r="I84" s="482">
        <f ca="1">PV_to_plugloads+Batt_to_plugloads+VRGrid_to_plugloads+Grid_to_plugloads</f>
        <v>26.032966066315971</v>
      </c>
      <c r="J84" s="498" t="s">
        <v>1157</v>
      </c>
      <c r="K84" s="478" t="str">
        <f ca="1">IFERROR(_xlfn.FORMULATEXT(OUT[[#This Row],[Live]]),"")</f>
        <v>=PV_to_plugloads+Batt_to_plugloads+VRGrid_to_plugloads+Grid_to_plugloads</v>
      </c>
      <c r="L84" s="483"/>
      <c r="M84" s="483"/>
      <c r="N84" s="483"/>
      <c r="O84" s="483"/>
      <c r="P84" s="483"/>
      <c r="Q84" s="483"/>
      <c r="R84" s="483"/>
      <c r="AG84">
        <v>26.032966066315971</v>
      </c>
      <c r="AH84">
        <v>26.032966066315971</v>
      </c>
      <c r="AI84">
        <v>26.032966066315971</v>
      </c>
    </row>
    <row r="85" spans="1:35" x14ac:dyDescent="0.25">
      <c r="A85" s="484"/>
      <c r="B85" s="480" t="s">
        <v>1224</v>
      </c>
      <c r="C85" s="479"/>
      <c r="D85" s="513" t="s">
        <v>1228</v>
      </c>
      <c r="E85" s="483" t="str">
        <f>LEFT(OUT[[#This Row],[Label]],1)</f>
        <v/>
      </c>
      <c r="F85" s="483" t="s">
        <v>1226</v>
      </c>
      <c r="G85" s="483"/>
      <c r="H85" s="494" t="s">
        <v>1229</v>
      </c>
      <c r="I85" s="482">
        <f ca="1">PV_to_Eh_min+PV_to_Eh_flex+Batt_to_Eh_min+VRGrid_to_Eh_min+VRGrid_to_Eh_flex+Grid_to_Eh_min</f>
        <v>8.5573914725237863</v>
      </c>
      <c r="J85" s="498" t="s">
        <v>1157</v>
      </c>
      <c r="K85" s="478" t="str">
        <f ca="1">IFERROR(_xlfn.FORMULATEXT(OUT[[#This Row],[Live]]),"")</f>
        <v>=PV_to_Eh_min+PV_to_Eh_flex+Batt_to_Eh_min+VRGrid_to_Eh_min+VRGrid_to_Eh_flex+Grid_to_Eh_min</v>
      </c>
      <c r="L85" s="483"/>
      <c r="M85" s="483"/>
      <c r="N85" s="483"/>
      <c r="O85" s="483"/>
      <c r="P85" s="483"/>
      <c r="Q85" s="483"/>
      <c r="R85" s="483"/>
      <c r="AG85">
        <v>8.8505426456171161</v>
      </c>
      <c r="AH85">
        <v>8.8505426456171161</v>
      </c>
      <c r="AI85">
        <v>8.5573914725237863</v>
      </c>
    </row>
    <row r="86" spans="1:35" x14ac:dyDescent="0.25">
      <c r="A86" s="479"/>
      <c r="B86" s="480" t="s">
        <v>1224</v>
      </c>
      <c r="C86" s="479"/>
      <c r="D86" s="513" t="s">
        <v>1230</v>
      </c>
      <c r="E86" s="483" t="str">
        <f>LEFT(OUT[[#This Row],[Label]],1)</f>
        <v/>
      </c>
      <c r="F86" s="483" t="s">
        <v>1226</v>
      </c>
      <c r="G86" s="483"/>
      <c r="H86" s="494" t="s">
        <v>1231</v>
      </c>
      <c r="I86" s="482">
        <f ca="1">PV_to_Ec_min+PV_to_Ec_flex+Batt_to_Ec_min+VRGrid_to_Ec_min+VRGrid_to_Ec_flex+Grid_to_Ec_min</f>
        <v>6.0166298376896297</v>
      </c>
      <c r="J86" s="498" t="s">
        <v>1157</v>
      </c>
      <c r="K86" s="478" t="str">
        <f ca="1">IFERROR(_xlfn.FORMULATEXT(OUT[[#This Row],[Live]]),"")</f>
        <v>=PV_to_Ec_min+PV_to_Ec_flex+Batt_to_Ec_min+VRGrid_to_Ec_min+VRGrid_to_Ec_flex+Grid_to_Ec_min</v>
      </c>
      <c r="L86" s="483"/>
      <c r="M86" s="483"/>
      <c r="N86" s="483"/>
      <c r="O86" s="483"/>
      <c r="P86" s="483"/>
      <c r="Q86" s="483"/>
      <c r="R86" s="483"/>
      <c r="AG86">
        <v>1.2752121424720515</v>
      </c>
      <c r="AH86">
        <v>1.2752121424720515</v>
      </c>
      <c r="AI86">
        <v>6.0166298376896297</v>
      </c>
    </row>
    <row r="87" spans="1:35" x14ac:dyDescent="0.25">
      <c r="A87" s="484"/>
      <c r="B87" s="480" t="s">
        <v>1224</v>
      </c>
      <c r="C87" s="479"/>
      <c r="D87" s="513" t="s">
        <v>1232</v>
      </c>
      <c r="E87" s="483" t="str">
        <f>LEFT(OUT[[#This Row],[Label]],1)</f>
        <v/>
      </c>
      <c r="F87" s="483" t="s">
        <v>1226</v>
      </c>
      <c r="G87" s="483"/>
      <c r="H87" s="494" t="s">
        <v>1233</v>
      </c>
      <c r="I87" s="482">
        <f ca="1">PV_to_Edhw_min+Batt_to_Edhw_min+VRGrid_to_Edhw_min+VRGrid_to_Edhw_flex+Grid_to_Edhw_min</f>
        <v>0</v>
      </c>
      <c r="J87" s="498" t="s">
        <v>1157</v>
      </c>
      <c r="K87" s="478" t="str">
        <f ca="1">IFERROR(_xlfn.FORMULATEXT(OUT[[#This Row],[Live]]),"")</f>
        <v>=PV_to_Edhw_min+Batt_to_Edhw_min+VRGrid_to_Edhw_min+VRGrid_to_Edhw_flex+Grid_to_Edhw_min</v>
      </c>
      <c r="L87" s="483"/>
      <c r="M87" s="483"/>
      <c r="N87" s="483"/>
      <c r="O87" s="483"/>
      <c r="P87" s="483"/>
      <c r="Q87" s="483"/>
      <c r="R87" s="483"/>
      <c r="AG87">
        <v>0</v>
      </c>
      <c r="AH87">
        <v>0</v>
      </c>
      <c r="AI87">
        <v>0</v>
      </c>
    </row>
    <row r="88" spans="1:35" x14ac:dyDescent="0.25">
      <c r="A88" s="479"/>
      <c r="B88" s="480" t="s">
        <v>1224</v>
      </c>
      <c r="C88" s="479"/>
      <c r="D88" s="513" t="s">
        <v>129</v>
      </c>
      <c r="E88" s="483" t="str">
        <f>LEFT(OUT[[#This Row],[Label]],1)</f>
        <v/>
      </c>
      <c r="F88" s="483" t="s">
        <v>1226</v>
      </c>
      <c r="G88" s="483"/>
      <c r="H88" s="494" t="s">
        <v>1234</v>
      </c>
      <c r="I88" s="482">
        <f ca="1">PV_to_Ev_min+Batt_to_Ev_min+VRGrid_to_Ev_min+Grid_to_Ev_min</f>
        <v>3.9756096518105859</v>
      </c>
      <c r="J88" s="498" t="s">
        <v>1157</v>
      </c>
      <c r="K88" s="478" t="str">
        <f ca="1">IFERROR(_xlfn.FORMULATEXT(OUT[[#This Row],[Live]]),"")</f>
        <v>=PV_to_Ev_min+Batt_to_Ev_min+VRGrid_to_Ev_min+Grid_to_Ev_min</v>
      </c>
      <c r="L88" s="483"/>
      <c r="M88" s="483"/>
      <c r="N88" s="483"/>
      <c r="O88" s="483"/>
      <c r="P88" s="483"/>
      <c r="Q88" s="483"/>
      <c r="R88" s="483"/>
      <c r="AG88">
        <v>3.9756096518105997</v>
      </c>
      <c r="AH88">
        <v>3.9756096518105997</v>
      </c>
      <c r="AI88">
        <v>3.9756096518105859</v>
      </c>
    </row>
    <row r="89" spans="1:35" x14ac:dyDescent="0.25">
      <c r="A89" s="484"/>
      <c r="B89" s="480" t="s">
        <v>1224</v>
      </c>
      <c r="C89" s="479"/>
      <c r="D89" s="513" t="s">
        <v>1235</v>
      </c>
      <c r="E89" s="483" t="str">
        <f>LEFT(OUT[[#This Row],[Label]],1)</f>
        <v/>
      </c>
      <c r="F89" s="483" t="s">
        <v>1226</v>
      </c>
      <c r="G89" s="483"/>
      <c r="H89" s="494" t="s">
        <v>1236</v>
      </c>
      <c r="I89" s="514">
        <f>PV_to_Edhw_direct</f>
        <v>0</v>
      </c>
      <c r="J89" s="498" t="s">
        <v>1157</v>
      </c>
      <c r="K89" s="478" t="str">
        <f ca="1">IFERROR(_xlfn.FORMULATEXT(OUT[[#This Row],[Live]]),"")</f>
        <v>=PV_to_Edhw_direct</v>
      </c>
      <c r="L89" s="483"/>
      <c r="M89" s="483"/>
      <c r="N89" s="483"/>
      <c r="O89" s="483"/>
      <c r="P89" s="483"/>
      <c r="Q89" s="483"/>
      <c r="R89" s="483"/>
      <c r="AG89">
        <v>0</v>
      </c>
      <c r="AH89">
        <v>0</v>
      </c>
      <c r="AI89">
        <v>0</v>
      </c>
    </row>
    <row r="90" spans="1:35" x14ac:dyDescent="0.25">
      <c r="A90" s="479"/>
      <c r="B90" s="480" t="s">
        <v>1224</v>
      </c>
      <c r="C90" s="479"/>
      <c r="D90" s="513" t="s">
        <v>1237</v>
      </c>
      <c r="E90" s="483" t="str">
        <f>LEFT(OUT[[#This Row],[Label]],1)</f>
        <v/>
      </c>
      <c r="F90" s="483" t="s">
        <v>1226</v>
      </c>
      <c r="G90" s="483"/>
      <c r="H90" s="494" t="s">
        <v>1238</v>
      </c>
      <c r="I90" s="482">
        <f ca="1">PV_to_Batt+VRGrid_to_Batt</f>
        <v>0</v>
      </c>
      <c r="J90" s="498" t="s">
        <v>1157</v>
      </c>
      <c r="K90" s="478" t="str">
        <f ca="1">IFERROR(_xlfn.FORMULATEXT(OUT[[#This Row],[Live]]),"")</f>
        <v>=PV_to_Batt+VRGrid_to_Batt</v>
      </c>
      <c r="L90" s="483"/>
      <c r="M90" s="483"/>
      <c r="N90" s="483"/>
      <c r="O90" s="483"/>
      <c r="P90" s="483"/>
      <c r="Q90" s="483"/>
      <c r="R90" s="483"/>
      <c r="AF90">
        <v>7.2759651592549091</v>
      </c>
      <c r="AG90">
        <v>0</v>
      </c>
      <c r="AH90">
        <v>0</v>
      </c>
      <c r="AI90">
        <v>0</v>
      </c>
    </row>
    <row r="91" spans="1:35" x14ac:dyDescent="0.25">
      <c r="A91" s="484"/>
      <c r="B91" s="480" t="s">
        <v>1224</v>
      </c>
      <c r="C91" s="479"/>
      <c r="D91" s="515" t="s">
        <v>1239</v>
      </c>
      <c r="E91" s="483" t="str">
        <f>LEFT(OUT[[#This Row],[Label]],1)</f>
        <v/>
      </c>
      <c r="F91" s="483" t="s">
        <v>1226</v>
      </c>
      <c r="G91" s="483"/>
      <c r="H91" s="494" t="s">
        <v>1240</v>
      </c>
      <c r="I91" s="482">
        <f ca="1">PV_to_Eev_min+PV_to_Eev_flex+Batt_to_Eev_min+VRGrid_to_Eev_min+VRGrid_to_Eev_flex+Grid_to_Eev_min</f>
        <v>3.1739145366962482</v>
      </c>
      <c r="J91" s="498" t="s">
        <v>1157</v>
      </c>
      <c r="K91" s="478" t="str">
        <f ca="1">IFERROR(_xlfn.FORMULATEXT(OUT[[#This Row],[Live]]),"")</f>
        <v>=PV_to_Eev_min+PV_to_Eev_flex+Batt_to_Eev_min+VRGrid_to_Eev_min+VRGrid_to_Eev_flex+Grid_to_Eev_min</v>
      </c>
      <c r="L91" s="483"/>
      <c r="M91" s="483"/>
      <c r="N91" s="483"/>
      <c r="O91" s="483"/>
      <c r="P91" s="483"/>
      <c r="Q91" s="483"/>
      <c r="R91" s="483"/>
      <c r="AG91">
        <v>3.1752874809226075</v>
      </c>
      <c r="AH91">
        <v>3.1752874809226075</v>
      </c>
      <c r="AI91">
        <v>3.1739145366962482</v>
      </c>
    </row>
    <row r="92" spans="1:35" x14ac:dyDescent="0.25">
      <c r="A92" s="479"/>
      <c r="B92" s="480" t="s">
        <v>1224</v>
      </c>
      <c r="C92" s="479"/>
      <c r="D92" s="516" t="s">
        <v>1155</v>
      </c>
      <c r="E92" s="483" t="str">
        <f>LEFT(OUT[[#This Row],[Label]],1)</f>
        <v/>
      </c>
      <c r="F92" s="483" t="s">
        <v>1226</v>
      </c>
      <c r="G92" s="483"/>
      <c r="H92" s="494"/>
      <c r="I92" s="482"/>
      <c r="J92" s="498" t="s">
        <v>1157</v>
      </c>
      <c r="K92" s="478" t="str">
        <f ca="1">IFERROR(_xlfn.FORMULATEXT(OUT[[#This Row],[Live]]),"")</f>
        <v/>
      </c>
      <c r="L92" s="483"/>
      <c r="M92" s="483"/>
      <c r="N92" s="483"/>
      <c r="O92" s="483"/>
      <c r="P92" s="483"/>
      <c r="Q92" s="483"/>
      <c r="R92" s="483"/>
    </row>
    <row r="93" spans="1:35" x14ac:dyDescent="0.25">
      <c r="A93" s="484"/>
      <c r="B93" s="480" t="s">
        <v>1224</v>
      </c>
      <c r="C93" s="479"/>
      <c r="D93" s="483"/>
      <c r="E93" s="483" t="str">
        <f>LEFT(OUT[[#This Row],[Label]],1)</f>
        <v/>
      </c>
      <c r="F93" s="483"/>
      <c r="G93" s="483"/>
      <c r="H93" s="494"/>
      <c r="I93" s="482"/>
      <c r="J93" s="498" t="s">
        <v>1157</v>
      </c>
      <c r="K93" s="478" t="str">
        <f ca="1">IFERROR(_xlfn.FORMULATEXT(OUT[[#This Row],[Live]]),"")</f>
        <v/>
      </c>
      <c r="L93" s="483"/>
      <c r="M93" s="483"/>
      <c r="N93" s="483"/>
      <c r="O93" s="483"/>
      <c r="P93" s="483"/>
      <c r="Q93" s="483"/>
      <c r="R93" s="483"/>
    </row>
    <row r="94" spans="1:35" ht="45" x14ac:dyDescent="0.25">
      <c r="A94" s="479"/>
      <c r="B94" s="480" t="s">
        <v>1224</v>
      </c>
      <c r="C94" s="479"/>
      <c r="D94" s="517" t="str">
        <f>CONCATENATE(OUT[[#This Row],[SIM2 Spaltenname]]," ",OUT[[#This Row],[Bereich]])</f>
        <v>PV Direktdeckung Haushaltsstrom</v>
      </c>
      <c r="E94" s="483" t="s">
        <v>187</v>
      </c>
      <c r="F94" s="513" t="s">
        <v>1225</v>
      </c>
      <c r="G94" s="518" t="s">
        <v>1241</v>
      </c>
      <c r="H94" s="494" t="s">
        <v>1242</v>
      </c>
      <c r="I94" s="519">
        <f>SUM([1]!sim[PV_to_plugloads])/1000</f>
        <v>11.098110148415273</v>
      </c>
      <c r="J94" s="498" t="s">
        <v>1157</v>
      </c>
      <c r="K94" s="478" t="str">
        <f ca="1">IFERROR(_xlfn.FORMULATEXT(OUT[[#This Row],[Live]]),"")</f>
        <v>=SUMME(ka_PEQ_Nachweistool.xlsb!sim[PV_to_plugloads])/1000</v>
      </c>
      <c r="L94" s="483"/>
      <c r="M94" s="483"/>
      <c r="N94" s="483"/>
      <c r="O94" s="483"/>
      <c r="P94" s="483"/>
      <c r="Q94" s="483"/>
      <c r="R94" s="483"/>
      <c r="AF94">
        <v>11.098110148415273</v>
      </c>
      <c r="AG94">
        <v>11.098110148415273</v>
      </c>
      <c r="AH94">
        <v>11.098110148415273</v>
      </c>
      <c r="AI94">
        <v>11.098110148415273</v>
      </c>
    </row>
    <row r="95" spans="1:35" ht="45" x14ac:dyDescent="0.25">
      <c r="A95" s="484"/>
      <c r="B95" s="480" t="s">
        <v>1224</v>
      </c>
      <c r="C95" s="479"/>
      <c r="D95" s="517" t="str">
        <f>CONCATENATE(OUT[[#This Row],[SIM2 Spaltenname]]," ",OUT[[#This Row],[Bereich]])</f>
        <v>PV Direktdeckung Heizen</v>
      </c>
      <c r="E95" s="483" t="s">
        <v>187</v>
      </c>
      <c r="F95" s="513" t="s">
        <v>1228</v>
      </c>
      <c r="G95" s="518" t="s">
        <v>1241</v>
      </c>
      <c r="H95" s="494" t="s">
        <v>1243</v>
      </c>
      <c r="I95" s="519">
        <f ca="1">SUM([1]!sim[PV_to_Eh_min])/1000</f>
        <v>7.9914573789090393E-2</v>
      </c>
      <c r="J95" s="498" t="s">
        <v>1157</v>
      </c>
      <c r="K95" s="478" t="str">
        <f ca="1">IFERROR(_xlfn.FORMULATEXT(OUT[[#This Row],[Live]]),"")</f>
        <v>=SUMME(ka_PEQ_Nachweistool.xlsb!sim[PV_to_Eh_min])/1000</v>
      </c>
      <c r="L95" s="483"/>
      <c r="M95" s="483"/>
      <c r="N95" s="483"/>
      <c r="O95" s="483"/>
      <c r="P95" s="483"/>
      <c r="Q95" s="483"/>
      <c r="R95" s="483"/>
      <c r="AF95">
        <v>2.9373067420493476E-2</v>
      </c>
      <c r="AG95">
        <v>8.6627353205932137E-2</v>
      </c>
      <c r="AH95">
        <v>8.6627353205932137E-2</v>
      </c>
      <c r="AI95">
        <v>7.9914573789090393E-2</v>
      </c>
    </row>
    <row r="96" spans="1:35" ht="45" x14ac:dyDescent="0.25">
      <c r="A96" s="479"/>
      <c r="B96" s="480" t="s">
        <v>1224</v>
      </c>
      <c r="C96" s="479"/>
      <c r="D96" s="517" t="str">
        <f>CONCATENATE(OUT[[#This Row],[SIM2 Spaltenname]]," ",OUT[[#This Row],[Bereich]])</f>
        <v>PV Direktdeckung Kühlen</v>
      </c>
      <c r="E96" s="483" t="s">
        <v>187</v>
      </c>
      <c r="F96" s="513" t="s">
        <v>1230</v>
      </c>
      <c r="G96" s="518" t="s">
        <v>1241</v>
      </c>
      <c r="H96" s="494" t="s">
        <v>1244</v>
      </c>
      <c r="I96" s="519">
        <f ca="1">SUM([1]!sim[PV_to_Ec_min])/1000</f>
        <v>0.73643658407240209</v>
      </c>
      <c r="J96" s="498" t="s">
        <v>1157</v>
      </c>
      <c r="K96" s="478" t="str">
        <f ca="1">IFERROR(_xlfn.FORMULATEXT(OUT[[#This Row],[Live]]),"")</f>
        <v>=SUMME(ka_PEQ_Nachweistool.xlsb!sim[PV_to_Ec_min])/1000</v>
      </c>
      <c r="L96" s="483"/>
      <c r="M96" s="483"/>
      <c r="N96" s="483"/>
      <c r="O96" s="483"/>
      <c r="P96" s="483"/>
      <c r="Q96" s="483"/>
      <c r="R96" s="483"/>
      <c r="AF96">
        <v>0.50961489882780808</v>
      </c>
      <c r="AG96">
        <v>0.10391754759828861</v>
      </c>
      <c r="AH96">
        <v>0.10391754759828861</v>
      </c>
      <c r="AI96">
        <v>0.73643658407240209</v>
      </c>
    </row>
    <row r="97" spans="1:35" ht="45" x14ac:dyDescent="0.25">
      <c r="A97" s="484"/>
      <c r="B97" s="480" t="s">
        <v>1224</v>
      </c>
      <c r="C97" s="479"/>
      <c r="D97" s="517" t="str">
        <f>CONCATENATE(OUT[[#This Row],[SIM2 Spaltenname]]," ",OUT[[#This Row],[Bereich]])</f>
        <v>PV Direktdeckung Warmwasser</v>
      </c>
      <c r="E97" s="483" t="s">
        <v>187</v>
      </c>
      <c r="F97" s="513" t="s">
        <v>1232</v>
      </c>
      <c r="G97" s="518" t="s">
        <v>1241</v>
      </c>
      <c r="H97" s="494" t="s">
        <v>1245</v>
      </c>
      <c r="I97" s="519">
        <f ca="1">SUM([1]!sim[PV_to_Edhw_min])/1000</f>
        <v>-8.8817841970012525E-19</v>
      </c>
      <c r="J97" s="498" t="s">
        <v>1157</v>
      </c>
      <c r="K97" s="478" t="str">
        <f ca="1">IFERROR(_xlfn.FORMULATEXT(OUT[[#This Row],[Live]]),"")</f>
        <v>=SUMME(ka_PEQ_Nachweistool.xlsb!sim[PV_to_Edhw_min])/1000</v>
      </c>
      <c r="L97" s="483"/>
      <c r="M97" s="483"/>
      <c r="N97" s="483"/>
      <c r="O97" s="483"/>
      <c r="P97" s="483"/>
      <c r="Q97" s="483"/>
      <c r="R97" s="483"/>
      <c r="AF97">
        <v>0</v>
      </c>
      <c r="AG97">
        <v>0</v>
      </c>
      <c r="AH97">
        <v>0</v>
      </c>
      <c r="AI97">
        <v>-8.8817841970012525E-19</v>
      </c>
    </row>
    <row r="98" spans="1:35" ht="45" x14ac:dyDescent="0.25">
      <c r="A98" s="479"/>
      <c r="B98" s="480" t="s">
        <v>1224</v>
      </c>
      <c r="C98" s="479"/>
      <c r="D98" s="517" t="str">
        <f>CONCATENATE(OUT[[#This Row],[SIM2 Spaltenname]]," ",OUT[[#This Row],[Bereich]])</f>
        <v>PV Direktdeckung Lüftung</v>
      </c>
      <c r="E98" s="483" t="s">
        <v>187</v>
      </c>
      <c r="F98" s="513" t="s">
        <v>129</v>
      </c>
      <c r="G98" s="518" t="s">
        <v>1241</v>
      </c>
      <c r="H98" s="494" t="s">
        <v>1246</v>
      </c>
      <c r="I98" s="519">
        <f ca="1">SUM([1]!sim[PV_to_Ev_min])/1000</f>
        <v>1.0251256537458819</v>
      </c>
      <c r="J98" s="498" t="s">
        <v>1157</v>
      </c>
      <c r="K98" s="478" t="str">
        <f ca="1">IFERROR(_xlfn.FORMULATEXT(OUT[[#This Row],[Live]]),"")</f>
        <v>=SUMME(ka_PEQ_Nachweistool.xlsb!sim[PV_to_Ev_min])/1000</v>
      </c>
      <c r="L98" s="483"/>
      <c r="M98" s="483"/>
      <c r="N98" s="483"/>
      <c r="O98" s="483"/>
      <c r="P98" s="483"/>
      <c r="Q98" s="483"/>
      <c r="R98" s="483"/>
      <c r="AF98">
        <v>1.0817125493296309</v>
      </c>
      <c r="AG98">
        <v>1.0823627624892007</v>
      </c>
      <c r="AH98">
        <v>1.0823627624892007</v>
      </c>
      <c r="AI98">
        <v>1.0251256537458819</v>
      </c>
    </row>
    <row r="99" spans="1:35" ht="45" x14ac:dyDescent="0.25">
      <c r="A99" s="484"/>
      <c r="B99" s="480" t="s">
        <v>1224</v>
      </c>
      <c r="C99" s="479"/>
      <c r="D99" s="517" t="str">
        <f>CONCATENATE(OUT[[#This Row],[SIM2 Spaltenname]]," ",OUT[[#This Row],[Bereich]])</f>
        <v>PV Direktdeckung MIV</v>
      </c>
      <c r="E99" s="483" t="s">
        <v>187</v>
      </c>
      <c r="F99" s="515" t="s">
        <v>1239</v>
      </c>
      <c r="G99" s="518" t="s">
        <v>1241</v>
      </c>
      <c r="H99" s="494" t="s">
        <v>1247</v>
      </c>
      <c r="I99" s="519">
        <f ca="1">SUM([1]!sim[PV_to_Eev_min])/1000</f>
        <v>0.11172243086456317</v>
      </c>
      <c r="J99" s="498" t="s">
        <v>1157</v>
      </c>
      <c r="K99" s="478" t="str">
        <f ca="1">IFERROR(_xlfn.FORMULATEXT(OUT[[#This Row],[Live]]),"")</f>
        <v>=SUMME(ka_PEQ_Nachweistool.xlsb!sim[PV_to_Eev_min])/1000</v>
      </c>
      <c r="L99" s="483"/>
      <c r="M99" s="483"/>
      <c r="N99" s="483"/>
      <c r="O99" s="483"/>
      <c r="P99" s="483"/>
      <c r="Q99" s="483"/>
      <c r="R99" s="483"/>
      <c r="AF99">
        <v>0</v>
      </c>
      <c r="AG99">
        <v>6.7759429646300384E-2</v>
      </c>
      <c r="AH99">
        <v>6.7759429646300384E-2</v>
      </c>
      <c r="AI99">
        <v>0.11172243086456317</v>
      </c>
    </row>
    <row r="100" spans="1:35" ht="45" x14ac:dyDescent="0.25">
      <c r="A100" s="479"/>
      <c r="B100" s="480" t="s">
        <v>1224</v>
      </c>
      <c r="C100" s="479"/>
      <c r="D100" s="520" t="str">
        <f>CONCATENATE(OUT[[#This Row],[SIM2 Spaltenname]]," ",OUT[[#This Row],[Bereich]])</f>
        <v>PV Direktdeckung Quartier</v>
      </c>
      <c r="E100" s="497" t="s">
        <v>187</v>
      </c>
      <c r="F100" s="516" t="s">
        <v>1155</v>
      </c>
      <c r="G100" s="521" t="s">
        <v>1241</v>
      </c>
      <c r="H100" s="522" t="s">
        <v>1248</v>
      </c>
      <c r="I100" s="523">
        <f ca="1">PV_to_plugloads+PV_to_Eh_min+PV_to_Ec_min+PV_to_Edhw_min+PV_to_Ev_min+PV_to_Eev_min</f>
        <v>13.05130939088721</v>
      </c>
      <c r="J100" s="498" t="s">
        <v>1157</v>
      </c>
      <c r="K100" s="478" t="str">
        <f ca="1">IFERROR(_xlfn.FORMULATEXT(OUT[[#This Row],[Live]]),"")</f>
        <v>=PV_to_plugloads+PV_to_Eh_min+PV_to_Ec_min+PV_to_Edhw_min+PV_to_Ev_min+PV_to_Eev_min</v>
      </c>
      <c r="L100" s="483"/>
      <c r="M100" s="483"/>
      <c r="N100" s="483"/>
      <c r="O100" s="483"/>
      <c r="P100" s="483"/>
      <c r="Q100" s="483"/>
      <c r="R100" s="483"/>
      <c r="AF100">
        <v>12.718810663993205</v>
      </c>
      <c r="AG100">
        <v>12.438777241354995</v>
      </c>
      <c r="AH100">
        <v>12.438777241354995</v>
      </c>
      <c r="AI100">
        <v>13.05130939088721</v>
      </c>
    </row>
    <row r="101" spans="1:35" x14ac:dyDescent="0.25">
      <c r="A101" s="484"/>
      <c r="B101" s="480" t="s">
        <v>1224</v>
      </c>
      <c r="C101" s="479"/>
      <c r="D101" s="524" t="str">
        <f>CONCATENATE(OUT[[#This Row],[SIM2 Spaltenname]]," ",OUT[[#This Row],[Bereich]])</f>
        <v>PV Überdeckung Heizen</v>
      </c>
      <c r="E101" s="483" t="s">
        <v>187</v>
      </c>
      <c r="F101" s="513" t="s">
        <v>1228</v>
      </c>
      <c r="G101" s="524" t="s">
        <v>1249</v>
      </c>
      <c r="H101" s="494" t="s">
        <v>1250</v>
      </c>
      <c r="I101" s="525">
        <f ca="1">SUM([1]!sim[[PV_to_Eh_flex_1el]:[PV_to_Eh_flex_3el]])/1000</f>
        <v>0.73546489679310389</v>
      </c>
      <c r="J101" s="498" t="s">
        <v>1157</v>
      </c>
      <c r="K101" s="478" t="str">
        <f ca="1">IFERROR(_xlfn.FORMULATEXT(OUT[[#This Row],[Live]]),"")</f>
        <v>=SUMME(ka_PEQ_Nachweistool.xlsb!sim[[PV_to_Eh_flex_1el]:[PV_to_Eh_flex_3el]])/1000</v>
      </c>
      <c r="L101" s="483"/>
      <c r="M101" s="483"/>
      <c r="N101" s="483"/>
      <c r="O101" s="483"/>
      <c r="P101" s="483"/>
      <c r="Q101" s="483"/>
      <c r="R101" s="483"/>
      <c r="AF101">
        <v>0</v>
      </c>
      <c r="AG101">
        <v>0.75568760922227152</v>
      </c>
      <c r="AH101">
        <v>0.75568760922227152</v>
      </c>
      <c r="AI101">
        <v>0.73546489679310389</v>
      </c>
    </row>
    <row r="102" spans="1:35" x14ac:dyDescent="0.25">
      <c r="A102" s="479"/>
      <c r="B102" s="480" t="s">
        <v>1224</v>
      </c>
      <c r="C102" s="479"/>
      <c r="D102" s="524" t="str">
        <f>CONCATENATE(OUT[[#This Row],[SIM2 Spaltenname]]," ",OUT[[#This Row],[Bereich]])</f>
        <v>PV Überdeckung Kühlen</v>
      </c>
      <c r="E102" s="483" t="s">
        <v>187</v>
      </c>
      <c r="F102" s="513" t="s">
        <v>1230</v>
      </c>
      <c r="G102" s="524" t="s">
        <v>1249</v>
      </c>
      <c r="H102" s="494" t="s">
        <v>1251</v>
      </c>
      <c r="I102" s="525">
        <f ca="1">SUM([1]!sim[[PV_to_Ec_flex_1el]:[PV_to_Ec_flex_3el]])/1000</f>
        <v>3.1036659980480668</v>
      </c>
      <c r="J102" s="498" t="s">
        <v>1157</v>
      </c>
      <c r="K102" s="478" t="str">
        <f ca="1">IFERROR(_xlfn.FORMULATEXT(OUT[[#This Row],[Live]]),"")</f>
        <v>=SUMME(ka_PEQ_Nachweistool.xlsb!sim[[PV_to_Ec_flex_1el]:[PV_to_Ec_flex_3el]])/1000</v>
      </c>
      <c r="L102" s="483"/>
      <c r="M102" s="483"/>
      <c r="N102" s="483"/>
      <c r="O102" s="483"/>
      <c r="P102" s="483"/>
      <c r="Q102" s="483"/>
      <c r="R102" s="483"/>
      <c r="AF102">
        <v>0.15931748335478199</v>
      </c>
      <c r="AG102">
        <v>0.87522346216895497</v>
      </c>
      <c r="AH102">
        <v>0.87522346216895497</v>
      </c>
      <c r="AI102">
        <v>3.1036659980480668</v>
      </c>
    </row>
    <row r="103" spans="1:35" x14ac:dyDescent="0.25">
      <c r="A103" s="484"/>
      <c r="B103" s="480" t="s">
        <v>1224</v>
      </c>
      <c r="C103" s="479"/>
      <c r="D103" s="524" t="str">
        <f>CONCATENATE(OUT[[#This Row],[SIM2 Spaltenname]]," ",OUT[[#This Row],[Bereich]])</f>
        <v>PV Überdeckung Warmwasser</v>
      </c>
      <c r="E103" s="483" t="s">
        <v>187</v>
      </c>
      <c r="F103" s="513" t="s">
        <v>1232</v>
      </c>
      <c r="G103" s="524" t="s">
        <v>1249</v>
      </c>
      <c r="H103" s="494" t="s">
        <v>1252</v>
      </c>
      <c r="I103" s="525">
        <f ca="1">SUM([1]!sim[[PV_to_Edhw1_flex]:[PV_to_Edhw2_flex]])/1000</f>
        <v>0</v>
      </c>
      <c r="J103" s="498" t="s">
        <v>1157</v>
      </c>
      <c r="K103" s="478" t="str">
        <f ca="1">IFERROR(_xlfn.FORMULATEXT(OUT[[#This Row],[Live]]),"")</f>
        <v>=SUMME(ka_PEQ_Nachweistool.xlsb!sim[[PV_to_Edhw1_flex]:[PV_to_Edhw2_flex]])/1000</v>
      </c>
      <c r="L103" s="483"/>
      <c r="M103" s="483"/>
      <c r="N103" s="483"/>
      <c r="O103" s="483"/>
      <c r="P103" s="483"/>
      <c r="Q103" s="483"/>
      <c r="R103" s="483"/>
      <c r="AF103">
        <v>0</v>
      </c>
      <c r="AG103">
        <v>0</v>
      </c>
      <c r="AH103">
        <v>0</v>
      </c>
      <c r="AI103">
        <v>0</v>
      </c>
    </row>
    <row r="104" spans="1:35" x14ac:dyDescent="0.25">
      <c r="A104" s="479"/>
      <c r="B104" s="480" t="s">
        <v>1224</v>
      </c>
      <c r="C104" s="479"/>
      <c r="D104" s="524" t="str">
        <f>CONCATENATE(OUT[[#This Row],[SIM2 Spaltenname]]," ",OUT[[#This Row],[Bereich]])</f>
        <v>PV Überdeckung WW
E-Stab</v>
      </c>
      <c r="E104" s="483" t="s">
        <v>187</v>
      </c>
      <c r="F104" s="513" t="s">
        <v>1235</v>
      </c>
      <c r="G104" s="524" t="s">
        <v>1249</v>
      </c>
      <c r="H104" s="494" t="s">
        <v>1253</v>
      </c>
      <c r="I104" s="526">
        <v>0</v>
      </c>
      <c r="J104" s="498" t="s">
        <v>1157</v>
      </c>
      <c r="K104" s="478" t="str">
        <f ca="1">IFERROR(_xlfn.FORMULATEXT(OUT[[#This Row],[Live]]),"")</f>
        <v/>
      </c>
      <c r="L104" s="483"/>
      <c r="M104" s="483"/>
      <c r="N104" s="483"/>
      <c r="O104" s="483"/>
      <c r="P104" s="483"/>
      <c r="Q104" s="483"/>
      <c r="R104" s="483"/>
      <c r="AF104">
        <v>0</v>
      </c>
      <c r="AG104">
        <v>0</v>
      </c>
      <c r="AH104">
        <v>0</v>
      </c>
      <c r="AI104">
        <v>0</v>
      </c>
    </row>
    <row r="105" spans="1:35" x14ac:dyDescent="0.25">
      <c r="A105" s="484"/>
      <c r="B105" s="480" t="s">
        <v>1224</v>
      </c>
      <c r="C105" s="479"/>
      <c r="D105" s="524" t="str">
        <f>CONCATENATE(OUT[[#This Row],[SIM2 Spaltenname]]," ",OUT[[#This Row],[Bereich]])</f>
        <v>PV Überdeckung e-Speicher Beladung</v>
      </c>
      <c r="E105" s="483" t="s">
        <v>187</v>
      </c>
      <c r="F105" s="513" t="s">
        <v>1237</v>
      </c>
      <c r="G105" s="524" t="s">
        <v>1249</v>
      </c>
      <c r="H105" s="494" t="s">
        <v>1254</v>
      </c>
      <c r="I105" s="527">
        <f ca="1">SUM([1]!sim[PV_to_Batt])/1000</f>
        <v>0</v>
      </c>
      <c r="J105" s="498" t="s">
        <v>1157</v>
      </c>
      <c r="K105" s="478" t="str">
        <f ca="1">IFERROR(_xlfn.FORMULATEXT(OUT[[#This Row],[Live]]),"")</f>
        <v>=SUMME(ka_PEQ_Nachweistool.xlsb!sim[PV_to_Batt])/1000</v>
      </c>
      <c r="L105" s="483"/>
      <c r="M105" s="483"/>
      <c r="N105" s="483"/>
      <c r="O105" s="483"/>
      <c r="P105" s="483"/>
      <c r="Q105" s="483"/>
      <c r="R105" s="483"/>
      <c r="AF105">
        <v>2.7389758739057175</v>
      </c>
      <c r="AG105">
        <v>0</v>
      </c>
      <c r="AH105">
        <v>0</v>
      </c>
      <c r="AI105">
        <v>0</v>
      </c>
    </row>
    <row r="106" spans="1:35" x14ac:dyDescent="0.25">
      <c r="A106" s="479"/>
      <c r="B106" s="480" t="s">
        <v>1224</v>
      </c>
      <c r="C106" s="479"/>
      <c r="D106" s="524" t="str">
        <f>CONCATENATE(OUT[[#This Row],[SIM2 Spaltenname]]," ",OUT[[#This Row],[Bereich]])</f>
        <v>PV Überdeckung MIV</v>
      </c>
      <c r="E106" s="483" t="s">
        <v>187</v>
      </c>
      <c r="F106" s="515" t="s">
        <v>1239</v>
      </c>
      <c r="G106" s="524" t="s">
        <v>1249</v>
      </c>
      <c r="H106" s="494" t="s">
        <v>1255</v>
      </c>
      <c r="I106" s="525">
        <f ca="1">SUM([1]!sim[PV_to_Eev_max])/1000</f>
        <v>1.1205864724315213</v>
      </c>
      <c r="J106" s="498" t="s">
        <v>1157</v>
      </c>
      <c r="K106" s="478" t="str">
        <f ca="1">IFERROR(_xlfn.FORMULATEXT(OUT[[#This Row],[Live]]),"")</f>
        <v>=SUMME(ka_PEQ_Nachweistool.xlsb!sim[PV_to_Eev_max])/1000</v>
      </c>
      <c r="L106" s="483"/>
      <c r="M106" s="483"/>
      <c r="N106" s="483"/>
      <c r="O106" s="483"/>
      <c r="P106" s="483"/>
      <c r="Q106" s="483"/>
      <c r="R106" s="483"/>
      <c r="AF106">
        <v>0</v>
      </c>
      <c r="AG106">
        <v>1.4501689449259061</v>
      </c>
      <c r="AH106">
        <v>1.4501689449259061</v>
      </c>
      <c r="AI106">
        <v>1.1205864724315213</v>
      </c>
    </row>
    <row r="107" spans="1:35" x14ac:dyDescent="0.25">
      <c r="A107" s="484"/>
      <c r="B107" s="480" t="s">
        <v>1224</v>
      </c>
      <c r="C107" s="479"/>
      <c r="D107" s="528" t="str">
        <f>CONCATENATE(OUT[[#This Row],[SIM2 Spaltenname]]," ",OUT[[#This Row],[Bereich]])</f>
        <v>PV Überdeckung Quartier</v>
      </c>
      <c r="E107" s="497" t="s">
        <v>187</v>
      </c>
      <c r="F107" s="516" t="s">
        <v>1155</v>
      </c>
      <c r="G107" s="528" t="s">
        <v>1249</v>
      </c>
      <c r="H107" s="522" t="s">
        <v>1256</v>
      </c>
      <c r="I107" s="527">
        <f ca="1">PV_to_Eh_flex+PV_to_Ec_flex+PV_to_Edhw+PV_to_Edhw_direct+PV_to_Batt</f>
        <v>3.8391308948411709</v>
      </c>
      <c r="J107" s="498" t="s">
        <v>1157</v>
      </c>
      <c r="K107" s="478" t="str">
        <f ca="1">IFERROR(_xlfn.FORMULATEXT(OUT[[#This Row],[Live]]),"")</f>
        <v>=PV_to_Eh_flex+PV_to_Ec_flex+PV_to_Edhw+PV_to_Edhw_direct+PV_to_Batt</v>
      </c>
      <c r="L107" s="483"/>
      <c r="M107" s="483"/>
      <c r="N107" s="483"/>
      <c r="O107" s="483"/>
      <c r="P107" s="483"/>
      <c r="Q107" s="483"/>
      <c r="R107" s="483"/>
      <c r="AF107">
        <v>2.8982933572604996</v>
      </c>
      <c r="AG107">
        <v>1.6309110713912265</v>
      </c>
      <c r="AH107">
        <v>1.6309110713912265</v>
      </c>
      <c r="AI107">
        <v>3.8391308948411709</v>
      </c>
    </row>
    <row r="108" spans="1:35" x14ac:dyDescent="0.25">
      <c r="A108" s="479"/>
      <c r="B108" s="480" t="s">
        <v>1224</v>
      </c>
      <c r="C108" s="479"/>
      <c r="D108" s="529" t="s">
        <v>1257</v>
      </c>
      <c r="E108" s="529" t="s">
        <v>187</v>
      </c>
      <c r="F108" s="529"/>
      <c r="G108" s="529" t="s">
        <v>1257</v>
      </c>
      <c r="H108" s="522" t="s">
        <v>1258</v>
      </c>
      <c r="I108" s="530">
        <f ca="1">SUM([1]!sim[PV_to_Egrid])/1000</f>
        <v>2.3453906382928502</v>
      </c>
      <c r="J108" s="498" t="s">
        <v>1157</v>
      </c>
      <c r="K108" s="478" t="str">
        <f ca="1">IFERROR(_xlfn.FORMULATEXT(OUT[[#This Row],[Live]]),"")</f>
        <v>=SUMME(ka_PEQ_Nachweistool.xlsb!sim[PV_to_Egrid])/1000</v>
      </c>
      <c r="L108" s="483"/>
      <c r="M108" s="483"/>
      <c r="N108" s="483"/>
      <c r="O108" s="483"/>
      <c r="P108" s="483"/>
      <c r="Q108" s="483"/>
      <c r="R108" s="483"/>
      <c r="AF108">
        <v>4.7393133751990622</v>
      </c>
      <c r="AG108">
        <v>4.8365601387806469</v>
      </c>
      <c r="AH108">
        <v>4.8365601387806469</v>
      </c>
      <c r="AI108">
        <v>2.3453906382928502</v>
      </c>
    </row>
    <row r="109" spans="1:35" x14ac:dyDescent="0.25">
      <c r="A109" s="484"/>
      <c r="B109" s="480" t="s">
        <v>1224</v>
      </c>
      <c r="C109" s="479"/>
      <c r="D109" s="531" t="s">
        <v>1259</v>
      </c>
      <c r="E109" s="483" t="s">
        <v>155</v>
      </c>
      <c r="F109" s="513" t="s">
        <v>1225</v>
      </c>
      <c r="G109" s="483"/>
      <c r="H109" s="494" t="s">
        <v>1260</v>
      </c>
      <c r="I109" s="532">
        <f ca="1">SUM([1]!sim[Batt_to_plugloads])/1000</f>
        <v>0</v>
      </c>
      <c r="J109" s="498" t="s">
        <v>1157</v>
      </c>
      <c r="K109" s="478" t="str">
        <f ca="1">IFERROR(_xlfn.FORMULATEXT(OUT[[#This Row],[Live]]),"")</f>
        <v>=SUMME(ka_PEQ_Nachweistool.xlsb!sim[Batt_to_plugloads])/1000</v>
      </c>
      <c r="L109" s="483"/>
      <c r="M109" s="483"/>
      <c r="N109" s="483"/>
      <c r="O109" s="483"/>
      <c r="P109" s="483"/>
      <c r="Q109" s="483"/>
      <c r="R109" s="483"/>
      <c r="AG109">
        <v>0</v>
      </c>
      <c r="AH109">
        <v>0</v>
      </c>
      <c r="AI109">
        <v>0</v>
      </c>
    </row>
    <row r="110" spans="1:35" x14ac:dyDescent="0.25">
      <c r="A110" s="479"/>
      <c r="B110" s="480" t="s">
        <v>1224</v>
      </c>
      <c r="C110" s="479"/>
      <c r="D110" s="531" t="s">
        <v>1259</v>
      </c>
      <c r="E110" s="483" t="s">
        <v>155</v>
      </c>
      <c r="F110" s="513" t="s">
        <v>1228</v>
      </c>
      <c r="G110" s="483"/>
      <c r="H110" s="494" t="s">
        <v>1261</v>
      </c>
      <c r="I110" s="532">
        <f ca="1">SUM([1]!sim[Batt_to_Eh_min])/1000</f>
        <v>0</v>
      </c>
      <c r="J110" s="498" t="s">
        <v>1157</v>
      </c>
      <c r="K110" s="478" t="str">
        <f ca="1">IFERROR(_xlfn.FORMULATEXT(OUT[[#This Row],[Live]]),"")</f>
        <v>=SUMME(ka_PEQ_Nachweistool.xlsb!sim[Batt_to_Eh_min])/1000</v>
      </c>
      <c r="L110" s="483"/>
      <c r="M110" s="483"/>
      <c r="N110" s="483"/>
      <c r="O110" s="483"/>
      <c r="P110" s="483"/>
      <c r="Q110" s="483"/>
      <c r="R110" s="483"/>
      <c r="AG110">
        <v>0</v>
      </c>
      <c r="AH110">
        <v>0</v>
      </c>
      <c r="AI110">
        <v>0</v>
      </c>
    </row>
    <row r="111" spans="1:35" x14ac:dyDescent="0.25">
      <c r="A111" s="484"/>
      <c r="B111" s="480" t="s">
        <v>1224</v>
      </c>
      <c r="C111" s="479"/>
      <c r="D111" s="531" t="s">
        <v>1259</v>
      </c>
      <c r="E111" s="483" t="s">
        <v>155</v>
      </c>
      <c r="F111" s="513" t="s">
        <v>1230</v>
      </c>
      <c r="G111" s="483"/>
      <c r="H111" s="494" t="s">
        <v>1262</v>
      </c>
      <c r="I111" s="532">
        <f ca="1">SUM([1]!sim[Batt_to_Ec_min])/1000</f>
        <v>0</v>
      </c>
      <c r="J111" s="498" t="s">
        <v>1157</v>
      </c>
      <c r="K111" s="478" t="str">
        <f ca="1">IFERROR(_xlfn.FORMULATEXT(OUT[[#This Row],[Live]]),"")</f>
        <v>=SUMME(ka_PEQ_Nachweistool.xlsb!sim[Batt_to_Ec_min])/1000</v>
      </c>
      <c r="L111" s="483"/>
      <c r="M111" s="483"/>
      <c r="N111" s="483"/>
      <c r="O111" s="483"/>
      <c r="P111" s="483"/>
      <c r="Q111" s="483"/>
      <c r="R111" s="483"/>
      <c r="AG111">
        <v>0</v>
      </c>
      <c r="AH111">
        <v>0</v>
      </c>
      <c r="AI111">
        <v>0</v>
      </c>
    </row>
    <row r="112" spans="1:35" x14ac:dyDescent="0.25">
      <c r="A112" s="479"/>
      <c r="B112" s="480" t="s">
        <v>1224</v>
      </c>
      <c r="C112" s="479"/>
      <c r="D112" s="531" t="s">
        <v>1259</v>
      </c>
      <c r="E112" s="483" t="s">
        <v>155</v>
      </c>
      <c r="F112" s="513" t="s">
        <v>1232</v>
      </c>
      <c r="G112" s="483"/>
      <c r="H112" s="494" t="s">
        <v>1263</v>
      </c>
      <c r="I112" s="532">
        <f ca="1">SUM([1]!sim[Batt_to_Edhw_min])/1000</f>
        <v>0</v>
      </c>
      <c r="J112" s="498" t="s">
        <v>1157</v>
      </c>
      <c r="K112" s="478" t="str">
        <f ca="1">IFERROR(_xlfn.FORMULATEXT(OUT[[#This Row],[Live]]),"")</f>
        <v>=SUMME(ka_PEQ_Nachweistool.xlsb!sim[Batt_to_Edhw_min])/1000</v>
      </c>
      <c r="L112" s="483"/>
      <c r="M112" s="483"/>
      <c r="N112" s="483"/>
      <c r="O112" s="483"/>
      <c r="P112" s="483"/>
      <c r="Q112" s="483"/>
      <c r="R112" s="483"/>
      <c r="AG112">
        <v>0</v>
      </c>
      <c r="AH112">
        <v>0</v>
      </c>
      <c r="AI112">
        <v>0</v>
      </c>
    </row>
    <row r="113" spans="1:35" x14ac:dyDescent="0.25">
      <c r="A113" s="484"/>
      <c r="B113" s="480" t="s">
        <v>1224</v>
      </c>
      <c r="C113" s="479"/>
      <c r="D113" s="531" t="s">
        <v>1259</v>
      </c>
      <c r="E113" s="483" t="s">
        <v>155</v>
      </c>
      <c r="F113" s="513" t="s">
        <v>129</v>
      </c>
      <c r="G113" s="483"/>
      <c r="H113" s="494" t="s">
        <v>1264</v>
      </c>
      <c r="I113" s="532">
        <f ca="1">SUM([1]!sim[Batt_to_Ev_min])/1000</f>
        <v>0</v>
      </c>
      <c r="J113" s="498" t="s">
        <v>1157</v>
      </c>
      <c r="K113" s="478" t="str">
        <f ca="1">IFERROR(_xlfn.FORMULATEXT(OUT[[#This Row],[Live]]),"")</f>
        <v>=SUMME(ka_PEQ_Nachweistool.xlsb!sim[Batt_to_Ev_min])/1000</v>
      </c>
      <c r="L113" s="483"/>
      <c r="M113" s="483"/>
      <c r="N113" s="483"/>
      <c r="O113" s="483"/>
      <c r="P113" s="483"/>
      <c r="Q113" s="483"/>
      <c r="R113" s="483"/>
      <c r="AG113">
        <v>0</v>
      </c>
      <c r="AH113">
        <v>0</v>
      </c>
      <c r="AI113">
        <v>0</v>
      </c>
    </row>
    <row r="114" spans="1:35" x14ac:dyDescent="0.25">
      <c r="A114" s="479"/>
      <c r="B114" s="480" t="s">
        <v>1224</v>
      </c>
      <c r="C114" s="479"/>
      <c r="D114" s="531" t="s">
        <v>1259</v>
      </c>
      <c r="E114" s="483" t="s">
        <v>155</v>
      </c>
      <c r="F114" s="515" t="s">
        <v>1239</v>
      </c>
      <c r="G114" s="483"/>
      <c r="H114" s="494" t="s">
        <v>1265</v>
      </c>
      <c r="I114" s="532">
        <f ca="1">SUM([1]!sim[Batt_to_Eev_min])/1000</f>
        <v>0</v>
      </c>
      <c r="J114" s="498" t="s">
        <v>1157</v>
      </c>
      <c r="K114" s="478" t="str">
        <f ca="1">IFERROR(_xlfn.FORMULATEXT(OUT[[#This Row],[Live]]),"")</f>
        <v>=SUMME(ka_PEQ_Nachweistool.xlsb!sim[Batt_to_Eev_min])/1000</v>
      </c>
      <c r="L114" s="483"/>
      <c r="M114" s="483"/>
      <c r="N114" s="483"/>
      <c r="O114" s="483"/>
      <c r="P114" s="483"/>
      <c r="Q114" s="483"/>
      <c r="R114" s="483"/>
      <c r="AG114">
        <v>0</v>
      </c>
      <c r="AH114">
        <v>0</v>
      </c>
      <c r="AI114">
        <v>0</v>
      </c>
    </row>
    <row r="115" spans="1:35" x14ac:dyDescent="0.25">
      <c r="A115" s="484"/>
      <c r="B115" s="480" t="s">
        <v>1224</v>
      </c>
      <c r="C115" s="479"/>
      <c r="D115" s="533" t="s">
        <v>1259</v>
      </c>
      <c r="E115" s="483" t="s">
        <v>155</v>
      </c>
      <c r="F115" s="516" t="s">
        <v>1155</v>
      </c>
      <c r="G115" s="483"/>
      <c r="H115" s="494"/>
      <c r="I115" s="534">
        <f ca="1">Batt_total_discharge</f>
        <v>0</v>
      </c>
      <c r="J115" s="498" t="s">
        <v>1157</v>
      </c>
      <c r="K115" s="478" t="str">
        <f ca="1">IFERROR(_xlfn.FORMULATEXT(OUT[[#This Row],[Live]]),"")</f>
        <v>=Batt_total_discharge</v>
      </c>
      <c r="L115" s="483"/>
      <c r="M115" s="483"/>
      <c r="N115" s="483"/>
      <c r="O115" s="483"/>
      <c r="P115" s="483"/>
      <c r="Q115" s="483"/>
      <c r="R115" s="483"/>
      <c r="AG115">
        <v>0</v>
      </c>
      <c r="AH115">
        <v>0</v>
      </c>
      <c r="AI115">
        <v>0</v>
      </c>
    </row>
    <row r="116" spans="1:35" x14ac:dyDescent="0.25">
      <c r="A116" s="479"/>
      <c r="B116" s="480" t="s">
        <v>1224</v>
      </c>
      <c r="C116" s="479"/>
      <c r="D116" s="535" t="s">
        <v>1266</v>
      </c>
      <c r="E116" s="483" t="s">
        <v>155</v>
      </c>
      <c r="F116" s="513" t="s">
        <v>1225</v>
      </c>
      <c r="G116" s="483"/>
      <c r="H116" s="494" t="s">
        <v>1267</v>
      </c>
      <c r="I116" s="536">
        <f ca="1">SUM([1]!sim[VRGrid_to_plugloads])/1000</f>
        <v>2.7426697349349531</v>
      </c>
      <c r="J116" s="498" t="s">
        <v>1157</v>
      </c>
      <c r="K116" s="478" t="str">
        <f ca="1">IFERROR(_xlfn.FORMULATEXT(OUT[[#This Row],[Live]]),"")</f>
        <v>=SUMME(ka_PEQ_Nachweistool.xlsb!sim[VRGrid_to_plugloads])/1000</v>
      </c>
      <c r="L116" s="483"/>
      <c r="M116" s="483"/>
      <c r="N116" s="483"/>
      <c r="O116" s="483"/>
      <c r="P116" s="483"/>
      <c r="Q116" s="483"/>
      <c r="R116" s="483"/>
      <c r="AG116">
        <v>2.7426697349349531</v>
      </c>
      <c r="AH116">
        <v>2.7426697349349531</v>
      </c>
      <c r="AI116">
        <v>2.7426697349349531</v>
      </c>
    </row>
    <row r="117" spans="1:35" x14ac:dyDescent="0.25">
      <c r="A117" s="484"/>
      <c r="B117" s="480" t="s">
        <v>1224</v>
      </c>
      <c r="C117" s="484"/>
      <c r="D117" s="535" t="s">
        <v>1266</v>
      </c>
      <c r="E117" s="483" t="s">
        <v>155</v>
      </c>
      <c r="F117" s="513" t="s">
        <v>1228</v>
      </c>
      <c r="G117" s="483"/>
      <c r="H117" s="494" t="s">
        <v>1268</v>
      </c>
      <c r="I117" s="536">
        <f ca="1">SUM([1]!sim[VRGrid_to_Eh_min])/1000</f>
        <v>5.9895175528738305E-2</v>
      </c>
      <c r="J117" s="498" t="s">
        <v>1157</v>
      </c>
      <c r="K117" s="478" t="str">
        <f ca="1">IFERROR(_xlfn.FORMULATEXT(OUT[[#This Row],[Live]]),"")</f>
        <v>=SUMME(ka_PEQ_Nachweistool.xlsb!sim[VRGrid_to_Eh_min])/1000</v>
      </c>
      <c r="L117" s="483"/>
      <c r="M117" s="483"/>
      <c r="N117" s="483"/>
      <c r="O117" s="483"/>
      <c r="P117" s="483"/>
      <c r="Q117" s="483"/>
      <c r="R117" s="483"/>
      <c r="AG117">
        <v>6.6575136845545474E-2</v>
      </c>
      <c r="AH117">
        <v>6.6575136845545474E-2</v>
      </c>
      <c r="AI117">
        <v>5.9895175528738305E-2</v>
      </c>
    </row>
    <row r="118" spans="1:35" x14ac:dyDescent="0.25">
      <c r="A118" s="479"/>
      <c r="B118" s="480" t="s">
        <v>1224</v>
      </c>
      <c r="C118" s="479"/>
      <c r="D118" s="535" t="s">
        <v>1266</v>
      </c>
      <c r="E118" s="483" t="s">
        <v>155</v>
      </c>
      <c r="F118" s="513" t="s">
        <v>1230</v>
      </c>
      <c r="G118" s="483"/>
      <c r="H118" s="494" t="s">
        <v>1269</v>
      </c>
      <c r="I118" s="536">
        <f ca="1">SUM([1]!sim[VRGrid_to_Ec_min])/1000</f>
        <v>5.2702929956785098E-2</v>
      </c>
      <c r="J118" s="498" t="s">
        <v>1157</v>
      </c>
      <c r="K118" s="478" t="str">
        <f ca="1">IFERROR(_xlfn.FORMULATEXT(OUT[[#This Row],[Live]]),"")</f>
        <v>=SUMME(ka_PEQ_Nachweistool.xlsb!sim[VRGrid_to_Ec_min])/1000</v>
      </c>
      <c r="L118" s="483"/>
      <c r="M118" s="483"/>
      <c r="N118" s="483"/>
      <c r="O118" s="483"/>
      <c r="P118" s="483"/>
      <c r="Q118" s="483"/>
      <c r="R118" s="483"/>
      <c r="AG118">
        <v>1.2955467525168697E-2</v>
      </c>
      <c r="AH118">
        <v>1.2955467525168697E-2</v>
      </c>
      <c r="AI118">
        <v>5.2702929956785098E-2</v>
      </c>
    </row>
    <row r="119" spans="1:35" x14ac:dyDescent="0.25">
      <c r="A119" s="484"/>
      <c r="B119" s="480" t="s">
        <v>1224</v>
      </c>
      <c r="C119" s="484"/>
      <c r="D119" s="535" t="s">
        <v>1266</v>
      </c>
      <c r="E119" s="483" t="s">
        <v>155</v>
      </c>
      <c r="F119" s="513" t="s">
        <v>1232</v>
      </c>
      <c r="G119" s="483"/>
      <c r="H119" s="494" t="s">
        <v>1270</v>
      </c>
      <c r="I119" s="536">
        <f ca="1">SUM([1]!sim[VRGrid_to_Edhw_min])/1000</f>
        <v>0</v>
      </c>
      <c r="J119" s="498" t="s">
        <v>1157</v>
      </c>
      <c r="K119" s="478" t="str">
        <f ca="1">IFERROR(_xlfn.FORMULATEXT(OUT[[#This Row],[Live]]),"")</f>
        <v>=SUMME(ka_PEQ_Nachweistool.xlsb!sim[VRGrid_to_Edhw_min])/1000</v>
      </c>
      <c r="L119" s="483"/>
      <c r="M119" s="483"/>
      <c r="N119" s="483"/>
      <c r="O119" s="483"/>
      <c r="P119" s="483"/>
      <c r="Q119" s="483"/>
      <c r="R119" s="483"/>
      <c r="AG119">
        <v>0</v>
      </c>
      <c r="AH119">
        <v>0</v>
      </c>
      <c r="AI119">
        <v>0</v>
      </c>
    </row>
    <row r="120" spans="1:35" x14ac:dyDescent="0.25">
      <c r="A120" s="479"/>
      <c r="B120" s="480" t="s">
        <v>1224</v>
      </c>
      <c r="C120" s="479"/>
      <c r="D120" s="535" t="s">
        <v>1266</v>
      </c>
      <c r="E120" s="483" t="s">
        <v>155</v>
      </c>
      <c r="F120" s="513" t="s">
        <v>129</v>
      </c>
      <c r="G120" s="483"/>
      <c r="H120" s="494" t="s">
        <v>1271</v>
      </c>
      <c r="I120" s="536">
        <f ca="1">SUM([1]!sim[VRGrid_to_Ev_min])/1000</f>
        <v>0.51066263902611564</v>
      </c>
      <c r="J120" s="498" t="s">
        <v>1157</v>
      </c>
      <c r="K120" s="478" t="str">
        <f ca="1">IFERROR(_xlfn.FORMULATEXT(OUT[[#This Row],[Live]]),"")</f>
        <v>=SUMME(ka_PEQ_Nachweistool.xlsb!sim[VRGrid_to_Ev_min])/1000</v>
      </c>
      <c r="L120" s="483"/>
      <c r="M120" s="483"/>
      <c r="N120" s="483"/>
      <c r="O120" s="483"/>
      <c r="P120" s="483"/>
      <c r="Q120" s="483"/>
      <c r="R120" s="483"/>
      <c r="AG120">
        <v>0.50953472501370078</v>
      </c>
      <c r="AH120">
        <v>0.50953472501370078</v>
      </c>
      <c r="AI120">
        <v>0.51066263902611564</v>
      </c>
    </row>
    <row r="121" spans="1:35" x14ac:dyDescent="0.25">
      <c r="A121" s="484"/>
      <c r="B121" s="480" t="s">
        <v>1224</v>
      </c>
      <c r="C121" s="484"/>
      <c r="D121" s="535" t="s">
        <v>1266</v>
      </c>
      <c r="E121" s="483" t="s">
        <v>155</v>
      </c>
      <c r="F121" s="515" t="s">
        <v>1239</v>
      </c>
      <c r="G121" s="483"/>
      <c r="H121" s="494" t="s">
        <v>1272</v>
      </c>
      <c r="I121" s="536">
        <f ca="1">SUM([1]!sim[VRGrid_to_Eev_min])/1000</f>
        <v>7.6250317874874971E-3</v>
      </c>
      <c r="J121" s="498" t="s">
        <v>1157</v>
      </c>
      <c r="K121" s="478" t="str">
        <f ca="1">IFERROR(_xlfn.FORMULATEXT(OUT[[#This Row],[Live]]),"")</f>
        <v>=SUMME(ka_PEQ_Nachweistool.xlsb!sim[VRGrid_to_Eev_min])/1000</v>
      </c>
      <c r="L121" s="483"/>
      <c r="M121" s="483"/>
      <c r="N121" s="483"/>
      <c r="O121" s="483"/>
      <c r="P121" s="483"/>
      <c r="Q121" s="483"/>
      <c r="R121" s="483"/>
      <c r="AG121">
        <v>7.0823695328385622E-3</v>
      </c>
      <c r="AH121">
        <v>7.0823695328385622E-3</v>
      </c>
      <c r="AI121">
        <v>7.6250317874874971E-3</v>
      </c>
    </row>
    <row r="122" spans="1:35" x14ac:dyDescent="0.25">
      <c r="A122" s="479"/>
      <c r="B122" s="480" t="s">
        <v>1224</v>
      </c>
      <c r="C122" s="479"/>
      <c r="D122" s="537" t="s">
        <v>1266</v>
      </c>
      <c r="E122" s="483" t="s">
        <v>155</v>
      </c>
      <c r="F122" s="516" t="s">
        <v>1155</v>
      </c>
      <c r="G122" s="483"/>
      <c r="H122" s="494" t="s">
        <v>1273</v>
      </c>
      <c r="I122" s="538">
        <f ca="1">VRGrid_to_plugloads+VRGrid_to_Eh_min+VRGrid_to_Ec_min+VRGrid_to_Edhw_min+VRGrid_to_Ev_min+VRGrid_to_Eev_min</f>
        <v>3.3735555112340792</v>
      </c>
      <c r="J122" s="498" t="s">
        <v>1157</v>
      </c>
      <c r="K122" s="478" t="str">
        <f ca="1">IFERROR(_xlfn.FORMULATEXT(OUT[[#This Row],[Live]]),"")</f>
        <v>=VRGrid_to_plugloads+VRGrid_to_Eh_min+VRGrid_to_Ec_min+VRGrid_to_Edhw_min+VRGrid_to_Ev_min+VRGrid_to_Eev_min</v>
      </c>
      <c r="L122" s="483"/>
      <c r="M122" s="483"/>
      <c r="N122" s="483"/>
      <c r="O122" s="483"/>
      <c r="P122" s="483"/>
      <c r="Q122" s="483"/>
      <c r="R122" s="483"/>
      <c r="AG122">
        <v>3.3388174338522063</v>
      </c>
      <c r="AH122">
        <v>3.3388174338522063</v>
      </c>
      <c r="AI122">
        <v>3.3735555112340792</v>
      </c>
    </row>
    <row r="123" spans="1:35" x14ac:dyDescent="0.25">
      <c r="A123" s="484"/>
      <c r="B123" s="480" t="s">
        <v>1224</v>
      </c>
      <c r="C123" s="484"/>
      <c r="D123" s="539" t="s">
        <v>1274</v>
      </c>
      <c r="E123" s="483" t="s">
        <v>155</v>
      </c>
      <c r="F123" s="513" t="s">
        <v>1228</v>
      </c>
      <c r="G123" s="483"/>
      <c r="H123" s="494" t="s">
        <v>1275</v>
      </c>
      <c r="I123" s="540">
        <f ca="1">SUM([1]!sim[[VRGrid_to_Eh_flex_1el]:[VRGrid_to_Eh_flex_3el]])/1000</f>
        <v>4.3306848466746448</v>
      </c>
      <c r="J123" s="498" t="s">
        <v>1157</v>
      </c>
      <c r="K123" s="478" t="str">
        <f ca="1">IFERROR(_xlfn.FORMULATEXT(OUT[[#This Row],[Live]]),"")</f>
        <v>=SUMME(ka_PEQ_Nachweistool.xlsb!sim[[VRGrid_to_Eh_flex_1el]:[VRGrid_to_Eh_flex_3el]])/1000</v>
      </c>
      <c r="L123" s="483"/>
      <c r="M123" s="483"/>
      <c r="N123" s="483"/>
      <c r="O123" s="483"/>
      <c r="P123" s="483"/>
      <c r="Q123" s="483"/>
      <c r="R123" s="483"/>
      <c r="AG123">
        <v>4.3523153856060643</v>
      </c>
      <c r="AH123">
        <v>4.3523153856060643</v>
      </c>
      <c r="AI123">
        <v>4.3306848466746448</v>
      </c>
    </row>
    <row r="124" spans="1:35" x14ac:dyDescent="0.25">
      <c r="A124" s="479"/>
      <c r="B124" s="480" t="s">
        <v>1224</v>
      </c>
      <c r="C124" s="479"/>
      <c r="D124" s="539" t="s">
        <v>1274</v>
      </c>
      <c r="E124" s="483" t="s">
        <v>155</v>
      </c>
      <c r="F124" s="513" t="s">
        <v>1230</v>
      </c>
      <c r="G124" s="483"/>
      <c r="H124" s="494" t="s">
        <v>1276</v>
      </c>
      <c r="I124" s="540">
        <f ca="1">SUM([1]!sim[[VRGrid_to_Ec_flex_1el]:[VRGrid_to_Ec_flex_3el]])/1000</f>
        <v>0.96753438470531949</v>
      </c>
      <c r="J124" s="498" t="s">
        <v>1157</v>
      </c>
      <c r="K124" s="478" t="str">
        <f ca="1">IFERROR(_xlfn.FORMULATEXT(OUT[[#This Row],[Live]]),"")</f>
        <v>=SUMME(ka_PEQ_Nachweistool.xlsb!sim[[VRGrid_to_Ec_flex_1el]:[VRGrid_to_Ec_flex_3el]])/1000</v>
      </c>
      <c r="L124" s="483"/>
      <c r="M124" s="483"/>
      <c r="N124" s="483"/>
      <c r="O124" s="483"/>
      <c r="P124" s="483"/>
      <c r="Q124" s="483"/>
      <c r="R124" s="483"/>
      <c r="AG124">
        <v>0.11842347741003567</v>
      </c>
      <c r="AH124">
        <v>0.11842347741003567</v>
      </c>
      <c r="AI124">
        <v>0.96753438470531949</v>
      </c>
    </row>
    <row r="125" spans="1:35" x14ac:dyDescent="0.25">
      <c r="A125" s="484"/>
      <c r="B125" s="480" t="s">
        <v>1224</v>
      </c>
      <c r="C125" s="484"/>
      <c r="D125" s="539" t="s">
        <v>1274</v>
      </c>
      <c r="E125" s="483" t="s">
        <v>155</v>
      </c>
      <c r="F125" s="513" t="s">
        <v>1232</v>
      </c>
      <c r="G125" s="483"/>
      <c r="H125" s="494" t="s">
        <v>1277</v>
      </c>
      <c r="I125" s="540">
        <f ca="1">SUM([1]!sim[[VRGrid_to_Edhw1_flex]:[VRGrid_to_Edhw2_flex]])/1000</f>
        <v>0</v>
      </c>
      <c r="J125" s="498" t="s">
        <v>1157</v>
      </c>
      <c r="K125" s="478" t="str">
        <f ca="1">IFERROR(_xlfn.FORMULATEXT(OUT[[#This Row],[Live]]),"")</f>
        <v>=SUMME(ka_PEQ_Nachweistool.xlsb!sim[[VRGrid_to_Edhw1_flex]:[VRGrid_to_Edhw2_flex]])/1000</v>
      </c>
      <c r="L125" s="483"/>
      <c r="M125" s="483"/>
      <c r="N125" s="483"/>
      <c r="O125" s="483"/>
      <c r="P125" s="483"/>
      <c r="Q125" s="483"/>
      <c r="R125" s="483"/>
      <c r="AG125">
        <v>0</v>
      </c>
      <c r="AH125">
        <v>0</v>
      </c>
      <c r="AI125">
        <v>0</v>
      </c>
    </row>
    <row r="126" spans="1:35" x14ac:dyDescent="0.25">
      <c r="A126" s="479"/>
      <c r="B126" s="480" t="s">
        <v>1224</v>
      </c>
      <c r="C126" s="479"/>
      <c r="D126" s="539" t="s">
        <v>1274</v>
      </c>
      <c r="E126" s="483" t="s">
        <v>155</v>
      </c>
      <c r="F126" s="513" t="s">
        <v>1237</v>
      </c>
      <c r="G126" s="483"/>
      <c r="H126" s="494" t="s">
        <v>1278</v>
      </c>
      <c r="I126" s="540">
        <f ca="1">SUM([1]!sim[VRGrid_to_Batt])/1000</f>
        <v>0</v>
      </c>
      <c r="J126" s="498" t="s">
        <v>1157</v>
      </c>
      <c r="K126" s="478" t="str">
        <f ca="1">IFERROR(_xlfn.FORMULATEXT(OUT[[#This Row],[Live]]),"")</f>
        <v>=SUMME(ka_PEQ_Nachweistool.xlsb!sim[VRGrid_to_Batt])/1000</v>
      </c>
      <c r="L126" s="483"/>
      <c r="M126" s="483"/>
      <c r="N126" s="483"/>
      <c r="O126" s="483"/>
      <c r="P126" s="483"/>
      <c r="Q126" s="483"/>
      <c r="R126" s="483"/>
      <c r="AF126">
        <v>4.5369892853491915</v>
      </c>
      <c r="AG126">
        <v>0</v>
      </c>
      <c r="AH126">
        <v>0</v>
      </c>
      <c r="AI126">
        <v>0</v>
      </c>
    </row>
    <row r="127" spans="1:35" x14ac:dyDescent="0.25">
      <c r="A127" s="484"/>
      <c r="B127" s="480" t="s">
        <v>1224</v>
      </c>
      <c r="C127" s="484"/>
      <c r="D127" s="539" t="s">
        <v>1274</v>
      </c>
      <c r="E127" s="483" t="s">
        <v>155</v>
      </c>
      <c r="F127" s="515" t="s">
        <v>1239</v>
      </c>
      <c r="G127" s="483"/>
      <c r="H127" s="494" t="s">
        <v>1279</v>
      </c>
      <c r="I127" s="540">
        <f ca="1">SUM([1]!sim[VRGrid_to_Eev_flex])/1000</f>
        <v>1.2527136856703915</v>
      </c>
      <c r="J127" s="498" t="s">
        <v>1157</v>
      </c>
      <c r="K127" s="478" t="str">
        <f ca="1">IFERROR(_xlfn.FORMULATEXT(OUT[[#This Row],[Live]]),"")</f>
        <v>=SUMME(ka_PEQ_Nachweistool.xlsb!sim[VRGrid_to_Eev_flex])/1000</v>
      </c>
      <c r="L127" s="483"/>
      <c r="M127" s="483"/>
      <c r="N127" s="483"/>
      <c r="O127" s="483"/>
      <c r="P127" s="483"/>
      <c r="Q127" s="483"/>
      <c r="R127" s="483"/>
      <c r="AG127">
        <v>1.0994936090527763</v>
      </c>
      <c r="AH127">
        <v>1.0994936090527763</v>
      </c>
      <c r="AI127">
        <v>1.2527136856703915</v>
      </c>
    </row>
    <row r="128" spans="1:35" x14ac:dyDescent="0.25">
      <c r="A128" s="479"/>
      <c r="B128" s="480" t="s">
        <v>1224</v>
      </c>
      <c r="C128" s="479"/>
      <c r="D128" s="541" t="s">
        <v>1274</v>
      </c>
      <c r="E128" s="483" t="s">
        <v>155</v>
      </c>
      <c r="F128" s="516" t="s">
        <v>1155</v>
      </c>
      <c r="G128" s="483"/>
      <c r="H128" s="494" t="s">
        <v>1280</v>
      </c>
      <c r="I128" s="542">
        <f ca="1">VRGrid_to_Eh_flex+VRGrid_to_Ec_flex+VRGrid_to_Edhw_flex+VRGrid_to_Batt+VRGrid_to_Eev_flex</f>
        <v>6.5509329170503561</v>
      </c>
      <c r="J128" s="498" t="s">
        <v>1157</v>
      </c>
      <c r="K128" s="478" t="str">
        <f ca="1">IFERROR(_xlfn.FORMULATEXT(OUT[[#This Row],[Live]]),"")</f>
        <v>=VRGrid_to_Eh_flex+VRGrid_to_Ec_flex+VRGrid_to_Edhw_flex+VRGrid_to_Batt+VRGrid_to_Eev_flex</v>
      </c>
      <c r="L128" s="483"/>
      <c r="M128" s="483"/>
      <c r="N128" s="483"/>
      <c r="O128" s="483"/>
      <c r="P128" s="483"/>
      <c r="Q128" s="483"/>
      <c r="R128" s="483"/>
      <c r="AG128">
        <v>5.5702324720688763</v>
      </c>
      <c r="AH128">
        <v>5.5702324720688763</v>
      </c>
      <c r="AI128">
        <v>6.5509329170503561</v>
      </c>
    </row>
    <row r="129" spans="1:35" x14ac:dyDescent="0.25">
      <c r="A129" s="484"/>
      <c r="B129" s="480" t="s">
        <v>1224</v>
      </c>
      <c r="C129" s="484"/>
      <c r="D129" s="543" t="s">
        <v>1281</v>
      </c>
      <c r="E129" s="483" t="s">
        <v>1282</v>
      </c>
      <c r="F129" s="513" t="s">
        <v>1225</v>
      </c>
      <c r="G129" s="483"/>
      <c r="H129" s="494" t="s">
        <v>1283</v>
      </c>
      <c r="I129" s="544">
        <f ca="1">SUM([1]!sim[Grid_to_plugloads])/1000</f>
        <v>12.192186182965745</v>
      </c>
      <c r="J129" s="498" t="s">
        <v>1157</v>
      </c>
      <c r="K129" s="478" t="str">
        <f ca="1">IFERROR(_xlfn.FORMULATEXT(OUT[[#This Row],[Live]]),"")</f>
        <v>=SUMME(ka_PEQ_Nachweistool.xlsb!sim[Grid_to_plugloads])/1000</v>
      </c>
      <c r="L129" s="483"/>
      <c r="M129" s="483"/>
      <c r="N129" s="483"/>
      <c r="O129" s="483"/>
      <c r="P129" s="483"/>
      <c r="Q129" s="483"/>
      <c r="R129" s="483"/>
      <c r="AG129">
        <v>12.192186182965745</v>
      </c>
      <c r="AH129">
        <v>12.192186182965745</v>
      </c>
      <c r="AI129">
        <v>12.192186182965745</v>
      </c>
    </row>
    <row r="130" spans="1:35" x14ac:dyDescent="0.25">
      <c r="A130" s="479"/>
      <c r="B130" s="480" t="s">
        <v>1224</v>
      </c>
      <c r="C130" s="479"/>
      <c r="D130" s="543" t="s">
        <v>1281</v>
      </c>
      <c r="E130" s="483" t="s">
        <v>1282</v>
      </c>
      <c r="F130" s="513" t="s">
        <v>1228</v>
      </c>
      <c r="G130" s="483"/>
      <c r="H130" s="494" t="s">
        <v>1284</v>
      </c>
      <c r="I130" s="544">
        <f ca="1">SUM([1]!sim[Grid_to_Eh_min])/1000</f>
        <v>3.3514319797382077</v>
      </c>
      <c r="J130" s="498" t="s">
        <v>1157</v>
      </c>
      <c r="K130" s="478" t="str">
        <f ca="1">IFERROR(_xlfn.FORMULATEXT(OUT[[#This Row],[Live]]),"")</f>
        <v>=SUMME(ka_PEQ_Nachweistool.xlsb!sim[Grid_to_Eh_min])/1000</v>
      </c>
      <c r="L130" s="483"/>
      <c r="M130" s="483"/>
      <c r="N130" s="483"/>
      <c r="O130" s="483"/>
      <c r="P130" s="483"/>
      <c r="Q130" s="483"/>
      <c r="R130" s="483"/>
      <c r="AG130">
        <v>3.5893371607373035</v>
      </c>
      <c r="AH130">
        <v>3.5893371607373035</v>
      </c>
      <c r="AI130">
        <v>3.3514319797382077</v>
      </c>
    </row>
    <row r="131" spans="1:35" x14ac:dyDescent="0.25">
      <c r="A131" s="484"/>
      <c r="B131" s="480" t="s">
        <v>1224</v>
      </c>
      <c r="C131" s="484"/>
      <c r="D131" s="543" t="s">
        <v>1281</v>
      </c>
      <c r="E131" s="483" t="s">
        <v>1282</v>
      </c>
      <c r="F131" s="513" t="s">
        <v>1230</v>
      </c>
      <c r="G131" s="483"/>
      <c r="H131" s="494" t="s">
        <v>1285</v>
      </c>
      <c r="I131" s="544">
        <f ca="1">SUM([1]!sim[Grid_to_Ec_min])/1000</f>
        <v>1.1562899409070564</v>
      </c>
      <c r="J131" s="498" t="s">
        <v>1157</v>
      </c>
      <c r="K131" s="478" t="str">
        <f ca="1">IFERROR(_xlfn.FORMULATEXT(OUT[[#This Row],[Live]]),"")</f>
        <v>=SUMME(ka_PEQ_Nachweistool.xlsb!sim[Grid_to_Ec_min])/1000</v>
      </c>
      <c r="L131" s="483"/>
      <c r="M131" s="483"/>
      <c r="N131" s="483"/>
      <c r="O131" s="483"/>
      <c r="P131" s="483"/>
      <c r="Q131" s="483"/>
      <c r="R131" s="483"/>
      <c r="AG131">
        <v>0.16469218776960343</v>
      </c>
      <c r="AH131">
        <v>0.16469218776960343</v>
      </c>
      <c r="AI131">
        <v>1.1562899409070564</v>
      </c>
    </row>
    <row r="132" spans="1:35" x14ac:dyDescent="0.25">
      <c r="A132" s="479"/>
      <c r="B132" s="480" t="s">
        <v>1224</v>
      </c>
      <c r="C132" s="479"/>
      <c r="D132" s="543" t="s">
        <v>1281</v>
      </c>
      <c r="E132" s="483" t="s">
        <v>1282</v>
      </c>
      <c r="F132" s="513" t="s">
        <v>1232</v>
      </c>
      <c r="G132" s="483"/>
      <c r="H132" s="494" t="s">
        <v>1286</v>
      </c>
      <c r="I132" s="544">
        <f ca="1">SUM([1]!sim[Grid_to_Edhw_min])/1000</f>
        <v>8.8817841970012525E-19</v>
      </c>
      <c r="J132" s="498" t="s">
        <v>1157</v>
      </c>
      <c r="K132" s="478" t="str">
        <f ca="1">IFERROR(_xlfn.FORMULATEXT(OUT[[#This Row],[Live]]),"")</f>
        <v>=SUMME(ka_PEQ_Nachweistool.xlsb!sim[Grid_to_Edhw_min])/1000</v>
      </c>
      <c r="L132" s="483"/>
      <c r="M132" s="483"/>
      <c r="N132" s="483"/>
      <c r="O132" s="483"/>
      <c r="P132" s="483"/>
      <c r="Q132" s="483"/>
      <c r="R132" s="483"/>
      <c r="AG132">
        <v>0</v>
      </c>
      <c r="AH132">
        <v>0</v>
      </c>
      <c r="AI132">
        <v>8.8817841970012525E-19</v>
      </c>
    </row>
    <row r="133" spans="1:35" x14ac:dyDescent="0.25">
      <c r="A133" s="484"/>
      <c r="B133" s="480" t="s">
        <v>1224</v>
      </c>
      <c r="C133" s="484"/>
      <c r="D133" s="543" t="s">
        <v>1281</v>
      </c>
      <c r="E133" s="483" t="s">
        <v>1282</v>
      </c>
      <c r="F133" s="513" t="s">
        <v>129</v>
      </c>
      <c r="G133" s="483"/>
      <c r="H133" s="494" t="s">
        <v>1287</v>
      </c>
      <c r="I133" s="544">
        <f ca="1">SUM([1]!sim[Grid_to_Ev_min])/1000</f>
        <v>2.4398213590385884</v>
      </c>
      <c r="J133" s="498" t="s">
        <v>1157</v>
      </c>
      <c r="K133" s="478" t="str">
        <f ca="1">IFERROR(_xlfn.FORMULATEXT(OUT[[#This Row],[Live]]),"")</f>
        <v>=SUMME(ka_PEQ_Nachweistool.xlsb!sim[Grid_to_Ev_min])/1000</v>
      </c>
      <c r="L133" s="483"/>
      <c r="M133" s="483"/>
      <c r="N133" s="483"/>
      <c r="O133" s="483"/>
      <c r="P133" s="483"/>
      <c r="Q133" s="483"/>
      <c r="R133" s="483"/>
      <c r="AG133">
        <v>2.3837121643076982</v>
      </c>
      <c r="AH133">
        <v>2.3837121643076982</v>
      </c>
      <c r="AI133">
        <v>2.4398213590385884</v>
      </c>
    </row>
    <row r="134" spans="1:35" x14ac:dyDescent="0.25">
      <c r="A134" s="479"/>
      <c r="B134" s="480" t="s">
        <v>1224</v>
      </c>
      <c r="C134" s="479"/>
      <c r="D134" s="543" t="s">
        <v>1281</v>
      </c>
      <c r="E134" s="483" t="s">
        <v>1282</v>
      </c>
      <c r="F134" s="515" t="s">
        <v>1239</v>
      </c>
      <c r="G134" s="483"/>
      <c r="H134" s="494" t="s">
        <v>1288</v>
      </c>
      <c r="I134" s="544">
        <f ca="1">SUM([1]!sim[Grid_to_Eev_min])/1000</f>
        <v>0.68126691594228483</v>
      </c>
      <c r="J134" s="498" t="s">
        <v>1157</v>
      </c>
      <c r="K134" s="478" t="str">
        <f ca="1">IFERROR(_xlfn.FORMULATEXT(OUT[[#This Row],[Live]]),"")</f>
        <v>=SUMME(ka_PEQ_Nachweistool.xlsb!sim[Grid_to_Eev_min])/1000</v>
      </c>
      <c r="L134" s="483"/>
      <c r="M134" s="483"/>
      <c r="N134" s="483"/>
      <c r="O134" s="483"/>
      <c r="P134" s="483"/>
      <c r="Q134" s="483"/>
      <c r="R134" s="483"/>
      <c r="AG134">
        <v>0.55078312776478655</v>
      </c>
      <c r="AH134">
        <v>0.55078312776478655</v>
      </c>
      <c r="AI134">
        <v>0.68126691594228483</v>
      </c>
    </row>
    <row r="135" spans="1:35" x14ac:dyDescent="0.25">
      <c r="A135" s="484"/>
      <c r="B135" s="480" t="s">
        <v>1224</v>
      </c>
      <c r="C135" s="484"/>
      <c r="D135" s="545" t="s">
        <v>1281</v>
      </c>
      <c r="E135" s="483" t="s">
        <v>1282</v>
      </c>
      <c r="F135" s="516" t="s">
        <v>1155</v>
      </c>
      <c r="G135" s="483"/>
      <c r="H135" s="494" t="s">
        <v>1289</v>
      </c>
      <c r="I135" s="544">
        <f ca="1">Grid_to_plugloads+Grid_to_Eh_min+Grid_to_Ec_min+Grid_to_Edhw_min+Grid_to_Ev_min+Grid_to_Eev_min</f>
        <v>19.820996378591882</v>
      </c>
      <c r="J135" s="498" t="s">
        <v>1157</v>
      </c>
      <c r="K135" s="478" t="str">
        <f ca="1">IFERROR(_xlfn.FORMULATEXT(OUT[[#This Row],[Live]]),"")</f>
        <v>=Grid_to_plugloads+Grid_to_Eh_min+Grid_to_Ec_min+Grid_to_Edhw_min+Grid_to_Ev_min+Grid_to_Eev_min</v>
      </c>
      <c r="L135" s="483"/>
      <c r="M135" s="483"/>
      <c r="N135" s="483"/>
      <c r="O135" s="483"/>
      <c r="P135" s="483"/>
      <c r="Q135" s="483"/>
      <c r="R135" s="483"/>
      <c r="AG135">
        <v>18.880710823545137</v>
      </c>
      <c r="AH135">
        <v>18.880710823545137</v>
      </c>
      <c r="AI135">
        <v>19.820996378591882</v>
      </c>
    </row>
    <row r="136" spans="1:35" x14ac:dyDescent="0.25">
      <c r="A136" s="479"/>
      <c r="B136" s="480" t="s">
        <v>1224</v>
      </c>
      <c r="C136" s="479"/>
      <c r="D136" s="546" t="s">
        <v>1290</v>
      </c>
      <c r="E136" s="483" t="str">
        <f>LEFT(OUT[[#This Row],[Label]],1)</f>
        <v/>
      </c>
      <c r="F136" s="513" t="s">
        <v>1228</v>
      </c>
      <c r="G136" s="483"/>
      <c r="H136" s="494" t="s">
        <v>1291</v>
      </c>
      <c r="I136" s="547">
        <f ca="1">0.001*(heat_th2_is_dh*SUM([1]!sim[EUIh_2th])+heat_th4_is_dh*SUM([1]!sim[EUIh_4th]))</f>
        <v>0</v>
      </c>
      <c r="J136" s="498" t="s">
        <v>1157</v>
      </c>
      <c r="K136" s="478" t="str">
        <f ca="1">IFERROR(_xlfn.FORMULATEXT(OUT[[#This Row],[Live]]),"")</f>
        <v>=0,001*(heat_th2_is_dh*SUMME(ka_PEQ_Nachweistool.xlsb!sim[EUIh_2th])+heat_th4_is_dh*SUMME(ka_PEQ_Nachweistool.xlsb!sim[EUIh_4th]))</v>
      </c>
      <c r="L136" s="483"/>
      <c r="M136" s="483"/>
      <c r="N136" s="483"/>
      <c r="O136" s="483"/>
      <c r="P136" s="483"/>
      <c r="Q136" s="483"/>
      <c r="R136" s="483"/>
      <c r="AG136">
        <v>0</v>
      </c>
      <c r="AH136">
        <v>0</v>
      </c>
      <c r="AI136">
        <v>0</v>
      </c>
    </row>
    <row r="137" spans="1:35" x14ac:dyDescent="0.25">
      <c r="A137" s="479"/>
      <c r="B137" s="480" t="s">
        <v>1224</v>
      </c>
      <c r="C137" s="479"/>
      <c r="D137" s="546" t="s">
        <v>1290</v>
      </c>
      <c r="E137" s="483" t="str">
        <f>LEFT(OUT[[#This Row],[Label]],1)</f>
        <v/>
      </c>
      <c r="F137" s="513" t="s">
        <v>1232</v>
      </c>
      <c r="G137" s="483"/>
      <c r="H137" s="494" t="s">
        <v>1292</v>
      </c>
      <c r="I137" s="547">
        <f ca="1">0.001*(dhw1_is_dh*SUM([1]!sim[EUIdhw_1th])+dhw2_is_dh*SUM([1]!sim[EUIdhw_2th]))</f>
        <v>13.929283984136466</v>
      </c>
      <c r="J137" s="498" t="s">
        <v>1157</v>
      </c>
      <c r="K137" s="478" t="str">
        <f ca="1">IFERROR(_xlfn.FORMULATEXT(OUT[[#This Row],[Live]]),"")</f>
        <v>=0,001*(dhw1_is_dh*SUMME(ka_PEQ_Nachweistool.xlsb!sim[EUIdhw_1th])+dhw2_is_dh*SUMME(ka_PEQ_Nachweistool.xlsb!sim[EUIdhw_2th]))</v>
      </c>
      <c r="L137" s="483"/>
      <c r="M137" s="483"/>
      <c r="N137" s="483"/>
      <c r="O137" s="483"/>
      <c r="P137" s="483"/>
      <c r="Q137" s="483"/>
      <c r="R137" s="483"/>
      <c r="AG137">
        <v>13.929283984136466</v>
      </c>
      <c r="AH137">
        <v>13.929283984136466</v>
      </c>
      <c r="AI137">
        <v>13.929283984136466</v>
      </c>
    </row>
    <row r="138" spans="1:35" x14ac:dyDescent="0.25">
      <c r="A138" s="484"/>
      <c r="B138" s="480" t="s">
        <v>1224</v>
      </c>
      <c r="C138" s="484"/>
      <c r="D138" s="546" t="s">
        <v>1290</v>
      </c>
      <c r="E138" s="483" t="str">
        <f>LEFT(OUT[[#This Row],[Label]],1)</f>
        <v/>
      </c>
      <c r="F138" s="516" t="s">
        <v>1155</v>
      </c>
      <c r="G138" s="483"/>
      <c r="H138" s="494" t="s">
        <v>1293</v>
      </c>
      <c r="I138" s="547">
        <f ca="1">EUIh_district_heating+EUIdhw_district_heating</f>
        <v>13.929283984136466</v>
      </c>
      <c r="J138" s="498" t="s">
        <v>1157</v>
      </c>
      <c r="K138" s="478" t="str">
        <f ca="1">IFERROR(_xlfn.FORMULATEXT(OUT[[#This Row],[Live]]),"")</f>
        <v>=EUIh_district_heating+EUIdhw_district_heating</v>
      </c>
      <c r="L138" s="483"/>
      <c r="M138" s="483"/>
      <c r="N138" s="483"/>
      <c r="O138" s="483"/>
      <c r="P138" s="483"/>
      <c r="Q138" s="483"/>
      <c r="R138" s="483"/>
      <c r="AG138">
        <v>13.929283984136466</v>
      </c>
      <c r="AH138">
        <v>13.929283984136466</v>
      </c>
      <c r="AI138">
        <v>13.929283984136466</v>
      </c>
    </row>
    <row r="139" spans="1:35" x14ac:dyDescent="0.25">
      <c r="A139" s="479"/>
      <c r="B139" s="480" t="s">
        <v>1224</v>
      </c>
      <c r="C139" s="479"/>
      <c r="D139" s="548" t="s">
        <v>1294</v>
      </c>
      <c r="E139" s="483" t="str">
        <f>LEFT(OUT[[#This Row],[Label]],1)</f>
        <v/>
      </c>
      <c r="F139" s="513" t="s">
        <v>1228</v>
      </c>
      <c r="G139" s="483"/>
      <c r="H139" s="494" t="s">
        <v>1295</v>
      </c>
      <c r="I139" s="549">
        <f ca="1">0.001*(heat_th2_is_ng*SUM([1]!sim[EUIh_2th])+heat_th4_is_ng*SUM([1]!sim[EUIh_4th]))</f>
        <v>0</v>
      </c>
      <c r="J139" s="498" t="s">
        <v>1157</v>
      </c>
      <c r="K139" s="478" t="str">
        <f ca="1">IFERROR(_xlfn.FORMULATEXT(OUT[[#This Row],[Live]]),"")</f>
        <v>=0,001*(heat_th2_is_ng*SUMME(ka_PEQ_Nachweistool.xlsb!sim[EUIh_2th])+heat_th4_is_ng*SUMME(ka_PEQ_Nachweistool.xlsb!sim[EUIh_4th]))</v>
      </c>
      <c r="L139" s="483"/>
      <c r="M139" s="483"/>
      <c r="N139" s="483"/>
      <c r="O139" s="483"/>
      <c r="P139" s="483"/>
      <c r="Q139" s="483"/>
      <c r="R139" s="483"/>
      <c r="AG139">
        <v>0</v>
      </c>
      <c r="AH139">
        <v>0</v>
      </c>
      <c r="AI139">
        <v>0</v>
      </c>
    </row>
    <row r="140" spans="1:35" x14ac:dyDescent="0.25">
      <c r="A140" s="479"/>
      <c r="B140" s="480" t="s">
        <v>1224</v>
      </c>
      <c r="C140" s="479"/>
      <c r="D140" s="548" t="s">
        <v>1294</v>
      </c>
      <c r="E140" s="483" t="str">
        <f>LEFT(OUT[[#This Row],[Label]],1)</f>
        <v/>
      </c>
      <c r="F140" s="513" t="s">
        <v>1232</v>
      </c>
      <c r="G140" s="483"/>
      <c r="H140" s="494" t="s">
        <v>1296</v>
      </c>
      <c r="I140" s="549">
        <f ca="1">0.001*(dhw1_is_ng*SUM([1]!sim[EUIdhw_1th])+dhw2_is_ng*SUM([1]!sim[EUIdhw_2th]))</f>
        <v>0</v>
      </c>
      <c r="J140" s="498" t="s">
        <v>1157</v>
      </c>
      <c r="K140" s="478" t="str">
        <f ca="1">IFERROR(_xlfn.FORMULATEXT(OUT[[#This Row],[Live]]),"")</f>
        <v>=0,001*(dhw1_is_ng*SUMME(ka_PEQ_Nachweistool.xlsb!sim[EUIdhw_1th])+dhw2_is_ng*SUMME(ka_PEQ_Nachweistool.xlsb!sim[EUIdhw_2th]))</v>
      </c>
      <c r="L140" s="483"/>
      <c r="M140" s="483"/>
      <c r="N140" s="483"/>
      <c r="O140" s="483"/>
      <c r="P140" s="483"/>
      <c r="Q140" s="483"/>
      <c r="R140" s="483"/>
      <c r="AG140">
        <v>0</v>
      </c>
      <c r="AH140">
        <v>0</v>
      </c>
      <c r="AI140">
        <v>0</v>
      </c>
    </row>
    <row r="141" spans="1:35" x14ac:dyDescent="0.25">
      <c r="A141" s="484"/>
      <c r="B141" s="480" t="s">
        <v>1224</v>
      </c>
      <c r="C141" s="484"/>
      <c r="D141" s="548" t="s">
        <v>1294</v>
      </c>
      <c r="E141" s="483" t="str">
        <f>LEFT(OUT[[#This Row],[Label]],1)</f>
        <v/>
      </c>
      <c r="F141" s="516" t="s">
        <v>1155</v>
      </c>
      <c r="G141" s="483"/>
      <c r="H141" s="494" t="s">
        <v>1297</v>
      </c>
      <c r="I141" s="549">
        <f ca="1">EUIh_natural_gas+EUIdhw_natural_gas</f>
        <v>0</v>
      </c>
      <c r="J141" s="498" t="s">
        <v>1157</v>
      </c>
      <c r="K141" s="478" t="str">
        <f ca="1">IFERROR(_xlfn.FORMULATEXT(OUT[[#This Row],[Live]]),"")</f>
        <v>=EUIh_natural_gas+EUIdhw_natural_gas</v>
      </c>
      <c r="L141" s="483"/>
      <c r="M141" s="483"/>
      <c r="N141" s="483"/>
      <c r="O141" s="483"/>
      <c r="P141" s="483"/>
      <c r="Q141" s="483"/>
      <c r="R141" s="483"/>
      <c r="AG141">
        <v>0</v>
      </c>
      <c r="AH141">
        <v>0</v>
      </c>
      <c r="AI141">
        <v>0</v>
      </c>
    </row>
    <row r="142" spans="1:35" x14ac:dyDescent="0.25">
      <c r="A142" s="479"/>
      <c r="B142" s="480" t="s">
        <v>1224</v>
      </c>
      <c r="C142" s="479"/>
      <c r="D142" s="550" t="s">
        <v>1298</v>
      </c>
      <c r="E142" s="483" t="str">
        <f>LEFT(OUT[[#This Row],[Label]],1)</f>
        <v/>
      </c>
      <c r="F142" s="513" t="s">
        <v>1228</v>
      </c>
      <c r="G142" s="483"/>
      <c r="H142" s="494" t="s">
        <v>1299</v>
      </c>
      <c r="I142" s="551">
        <f ca="1">0.001*(heat_th2_is_bio*SUM([1]!sim[EUIh_2th])+heat_th4_is_bio*SUM([1]!sim[EUIh_4th]))</f>
        <v>0</v>
      </c>
      <c r="J142" s="498" t="s">
        <v>1157</v>
      </c>
      <c r="K142" s="478" t="str">
        <f ca="1">IFERROR(_xlfn.FORMULATEXT(OUT[[#This Row],[Live]]),"")</f>
        <v>=0,001*(heat_th2_is_bio*SUMME(ka_PEQ_Nachweistool.xlsb!sim[EUIh_2th])+heat_th4_is_bio*SUMME(ka_PEQ_Nachweistool.xlsb!sim[EUIh_4th]))</v>
      </c>
      <c r="L142" s="483"/>
      <c r="M142" s="483"/>
      <c r="N142" s="483"/>
      <c r="O142" s="483"/>
      <c r="P142" s="483"/>
      <c r="Q142" s="483"/>
      <c r="R142" s="483"/>
      <c r="AG142">
        <v>0</v>
      </c>
      <c r="AH142">
        <v>0</v>
      </c>
      <c r="AI142">
        <v>0</v>
      </c>
    </row>
    <row r="143" spans="1:35" x14ac:dyDescent="0.25">
      <c r="A143" s="479"/>
      <c r="B143" s="480" t="s">
        <v>1224</v>
      </c>
      <c r="C143" s="479"/>
      <c r="D143" s="550" t="s">
        <v>1298</v>
      </c>
      <c r="E143" s="483" t="str">
        <f>LEFT(OUT[[#This Row],[Label]],1)</f>
        <v/>
      </c>
      <c r="F143" s="513" t="s">
        <v>1232</v>
      </c>
      <c r="G143" s="483"/>
      <c r="H143" s="494" t="s">
        <v>1300</v>
      </c>
      <c r="I143" s="551">
        <f ca="1">0.001*(dhw1_is_bio*SUM([1]!sim[EUIdhw_1th])+dhw2_is_bio*SUM([1]!sim[EUIdhw_2th]))</f>
        <v>0</v>
      </c>
      <c r="J143" s="498" t="s">
        <v>1157</v>
      </c>
      <c r="K143" s="478" t="str">
        <f ca="1">IFERROR(_xlfn.FORMULATEXT(OUT[[#This Row],[Live]]),"")</f>
        <v>=0,001*(dhw1_is_bio*SUMME(ka_PEQ_Nachweistool.xlsb!sim[EUIdhw_1th])+dhw2_is_bio*SUMME(ka_PEQ_Nachweistool.xlsb!sim[EUIdhw_2th]))</v>
      </c>
      <c r="L143" s="483"/>
      <c r="M143" s="483"/>
      <c r="N143" s="483"/>
      <c r="O143" s="483"/>
      <c r="P143" s="483"/>
      <c r="Q143" s="483"/>
      <c r="R143" s="483"/>
      <c r="AG143">
        <v>0</v>
      </c>
      <c r="AH143">
        <v>0</v>
      </c>
      <c r="AI143">
        <v>0</v>
      </c>
    </row>
    <row r="144" spans="1:35" x14ac:dyDescent="0.25">
      <c r="A144" s="484"/>
      <c r="B144" s="480" t="s">
        <v>1224</v>
      </c>
      <c r="C144" s="484"/>
      <c r="D144" s="550" t="s">
        <v>1298</v>
      </c>
      <c r="E144" s="483" t="str">
        <f>LEFT(OUT[[#This Row],[Label]],1)</f>
        <v/>
      </c>
      <c r="F144" s="516" t="s">
        <v>1155</v>
      </c>
      <c r="G144" s="483"/>
      <c r="H144" s="494" t="s">
        <v>1301</v>
      </c>
      <c r="I144" s="551">
        <f ca="1">EUIh_biomass+EUIdhw_biomass</f>
        <v>0</v>
      </c>
      <c r="J144" s="498" t="s">
        <v>1157</v>
      </c>
      <c r="K144" s="478" t="str">
        <f ca="1">IFERROR(_xlfn.FORMULATEXT(OUT[[#This Row],[Live]]),"")</f>
        <v>=EUIh_biomass+EUIdhw_biomass</v>
      </c>
      <c r="L144" s="483"/>
      <c r="M144" s="483"/>
      <c r="N144" s="483"/>
      <c r="O144" s="483"/>
      <c r="P144" s="483"/>
      <c r="Q144" s="483"/>
      <c r="R144" s="483"/>
      <c r="AG144">
        <v>0</v>
      </c>
      <c r="AH144">
        <v>0</v>
      </c>
      <c r="AI144">
        <v>0</v>
      </c>
    </row>
    <row r="145" spans="1:35" x14ac:dyDescent="0.25">
      <c r="A145" s="479"/>
      <c r="B145" s="480" t="s">
        <v>1224</v>
      </c>
      <c r="C145" s="479"/>
      <c r="D145" s="552" t="s">
        <v>1302</v>
      </c>
      <c r="E145" s="483" t="str">
        <f>LEFT(OUT[[#This Row],[Label]],1)</f>
        <v/>
      </c>
      <c r="F145" s="513" t="s">
        <v>1228</v>
      </c>
      <c r="G145" s="483"/>
      <c r="H145" s="494" t="s">
        <v>1303</v>
      </c>
      <c r="I145" s="553">
        <f ca="1">0.001*(heat_th2_is_other*SUM([1]!sim[EUIh_2th])+heat_th4_is_other*SUM([1]!sim[EUIh_4th]))</f>
        <v>0</v>
      </c>
      <c r="J145" s="498" t="s">
        <v>1157</v>
      </c>
      <c r="K145" s="478" t="str">
        <f ca="1">IFERROR(_xlfn.FORMULATEXT(OUT[[#This Row],[Live]]),"")</f>
        <v>=0,001*(heat_th2_is_other*SUMME(ka_PEQ_Nachweistool.xlsb!sim[EUIh_2th])+heat_th4_is_other*SUMME(ka_PEQ_Nachweistool.xlsb!sim[EUIh_4th]))</v>
      </c>
      <c r="L145" s="483"/>
      <c r="M145" s="483"/>
      <c r="N145" s="483"/>
      <c r="O145" s="483"/>
      <c r="P145" s="483"/>
      <c r="Q145" s="483"/>
      <c r="R145" s="483"/>
      <c r="AG145">
        <v>0</v>
      </c>
      <c r="AH145">
        <v>0</v>
      </c>
      <c r="AI145">
        <v>0</v>
      </c>
    </row>
    <row r="146" spans="1:35" x14ac:dyDescent="0.25">
      <c r="A146" s="479"/>
      <c r="B146" s="480" t="s">
        <v>1224</v>
      </c>
      <c r="C146" s="479"/>
      <c r="D146" s="552" t="s">
        <v>1302</v>
      </c>
      <c r="E146" s="483" t="str">
        <f>LEFT(OUT[[#This Row],[Label]],1)</f>
        <v/>
      </c>
      <c r="F146" s="554" t="s">
        <v>1230</v>
      </c>
      <c r="G146" s="483"/>
      <c r="H146" s="494" t="s">
        <v>1304</v>
      </c>
      <c r="I146" s="553">
        <f ca="1">0.001*cool_th2_is_other*SUM([1]!sim[EUIc_2th])</f>
        <v>0</v>
      </c>
      <c r="J146" s="555"/>
      <c r="K146" s="488" t="str">
        <f ca="1">IFERROR(_xlfn.FORMULATEXT(OUT[[#This Row],[Live]]),"")</f>
        <v>=0,001*cool_th2_is_other*SUMME(ka_PEQ_Nachweistool.xlsb!sim[EUIc_2th])</v>
      </c>
      <c r="L146" s="483"/>
      <c r="M146" s="483"/>
      <c r="N146" s="483"/>
      <c r="O146" s="483"/>
      <c r="P146" s="483"/>
      <c r="Q146" s="483"/>
      <c r="R146" s="483"/>
      <c r="AG146">
        <v>0</v>
      </c>
      <c r="AH146">
        <v>0</v>
      </c>
      <c r="AI146">
        <v>0</v>
      </c>
    </row>
    <row r="147" spans="1:35" x14ac:dyDescent="0.25">
      <c r="A147" s="479"/>
      <c r="B147" s="480" t="s">
        <v>1224</v>
      </c>
      <c r="C147" s="479"/>
      <c r="D147" s="552" t="s">
        <v>1302</v>
      </c>
      <c r="E147" s="483" t="str">
        <f>LEFT(OUT[[#This Row],[Label]],1)</f>
        <v/>
      </c>
      <c r="F147" s="513" t="s">
        <v>1232</v>
      </c>
      <c r="G147" s="483"/>
      <c r="H147" s="494" t="s">
        <v>1305</v>
      </c>
      <c r="I147" s="553">
        <f ca="1">0.001*(dhw1_is_other*SUM([1]!sim[EUIdhw_1th])+dhw2_is_other*SUM([1]!sim[EUIdhw_2th]))</f>
        <v>0</v>
      </c>
      <c r="J147" s="498" t="s">
        <v>1157</v>
      </c>
      <c r="K147" s="478" t="str">
        <f ca="1">IFERROR(_xlfn.FORMULATEXT(OUT[[#This Row],[Live]]),"")</f>
        <v>=0,001*(dhw1_is_other*SUMME(ka_PEQ_Nachweistool.xlsb!sim[EUIdhw_1th])+dhw2_is_other*SUMME(ka_PEQ_Nachweistool.xlsb!sim[EUIdhw_2th]))</v>
      </c>
      <c r="L147" s="483"/>
      <c r="M147" s="483"/>
      <c r="N147" s="483"/>
      <c r="O147" s="483"/>
      <c r="P147" s="483"/>
      <c r="Q147" s="483"/>
      <c r="R147" s="483"/>
      <c r="AG147">
        <v>0</v>
      </c>
      <c r="AH147">
        <v>0</v>
      </c>
      <c r="AI147">
        <v>0</v>
      </c>
    </row>
    <row r="148" spans="1:35" x14ac:dyDescent="0.25">
      <c r="A148" s="484"/>
      <c r="B148" s="480" t="s">
        <v>1224</v>
      </c>
      <c r="C148" s="484"/>
      <c r="D148" s="552" t="s">
        <v>1302</v>
      </c>
      <c r="E148" s="483" t="str">
        <f>LEFT(OUT[[#This Row],[Label]],1)</f>
        <v/>
      </c>
      <c r="F148" s="516" t="s">
        <v>1155</v>
      </c>
      <c r="G148" s="483"/>
      <c r="H148" s="494" t="s">
        <v>1306</v>
      </c>
      <c r="I148" s="553">
        <f ca="1">EUIh_other+EUIc_other+EUIdhw_other</f>
        <v>0</v>
      </c>
      <c r="J148" s="498" t="s">
        <v>1157</v>
      </c>
      <c r="K148" s="478" t="str">
        <f ca="1">IFERROR(_xlfn.FORMULATEXT(OUT[[#This Row],[Live]]),"")</f>
        <v>=EUIh_other+EUIc_other+EUIdhw_other</v>
      </c>
      <c r="L148" s="483"/>
      <c r="M148" s="483"/>
      <c r="N148" s="483"/>
      <c r="O148" s="483"/>
      <c r="P148" s="483"/>
      <c r="Q148" s="483"/>
      <c r="R148" s="483"/>
      <c r="AG148">
        <v>0</v>
      </c>
      <c r="AH148">
        <v>0</v>
      </c>
      <c r="AI148">
        <v>0</v>
      </c>
    </row>
    <row r="149" spans="1:35" x14ac:dyDescent="0.25">
      <c r="A149" s="479"/>
      <c r="B149" s="480" t="s">
        <v>1224</v>
      </c>
      <c r="C149" s="479"/>
      <c r="D149" s="556" t="s">
        <v>1307</v>
      </c>
      <c r="E149" s="483" t="str">
        <f>LEFT(OUT[[#This Row],[Label]],1)</f>
        <v/>
      </c>
      <c r="F149" s="483"/>
      <c r="G149" s="483"/>
      <c r="H149" s="494" t="s">
        <v>1308</v>
      </c>
      <c r="I149" s="557">
        <f>PEI_mob_fossile/Fossil_demand_kWhpkm</f>
        <v>14.510002905432192</v>
      </c>
      <c r="J149" s="498" t="s">
        <v>1157</v>
      </c>
      <c r="K149" s="478" t="str">
        <f ca="1">IFERROR(_xlfn.FORMULATEXT(OUT[[#This Row],[Live]]),"")</f>
        <v>=PEI_mob_fossile/Fossil_demand_kWhpkm</v>
      </c>
      <c r="L149" s="483"/>
      <c r="M149" s="483"/>
      <c r="N149" s="483"/>
      <c r="O149" s="483"/>
      <c r="P149" s="483"/>
      <c r="Q149" s="483"/>
      <c r="R149" s="483"/>
      <c r="AG149">
        <v>14.510002905432192</v>
      </c>
      <c r="AH149">
        <v>14.510002905432192</v>
      </c>
      <c r="AI149">
        <v>14.510002905432192</v>
      </c>
    </row>
    <row r="150" spans="1:35" x14ac:dyDescent="0.25">
      <c r="A150" s="479"/>
      <c r="B150" s="480" t="s">
        <v>1224</v>
      </c>
      <c r="C150" s="479"/>
      <c r="D150" s="558" t="s">
        <v>1309</v>
      </c>
      <c r="E150" s="483" t="str">
        <f>LEFT(OUT[[#This Row],[Label]],1)</f>
        <v/>
      </c>
      <c r="F150" s="483"/>
      <c r="G150" s="483"/>
      <c r="H150" s="494"/>
      <c r="I150" s="482"/>
      <c r="J150" s="483"/>
      <c r="K150" s="478" t="str">
        <f ca="1">IFERROR(_xlfn.FORMULATEXT(OUT[[#This Row],[Live]]),"")</f>
        <v/>
      </c>
      <c r="L150" s="483"/>
      <c r="M150" s="483"/>
      <c r="N150" s="483"/>
      <c r="O150" s="483"/>
      <c r="P150" s="483"/>
      <c r="Q150" s="483"/>
      <c r="R150" s="483"/>
    </row>
    <row r="151" spans="1:35" x14ac:dyDescent="0.25">
      <c r="A151" s="484"/>
      <c r="B151" s="493"/>
      <c r="C151" s="484"/>
      <c r="D151" s="483"/>
      <c r="E151" s="483" t="str">
        <f>LEFT(OUT[[#This Row],[Label]],1)</f>
        <v/>
      </c>
      <c r="F151" s="483"/>
      <c r="G151" s="483"/>
      <c r="H151" s="494"/>
      <c r="I151" s="482"/>
      <c r="J151" s="483"/>
      <c r="K151" s="478" t="str">
        <f ca="1">IFERROR(_xlfn.FORMULATEXT(OUT[[#This Row],[Live]]),"")</f>
        <v/>
      </c>
      <c r="L151" s="483"/>
      <c r="M151" s="483"/>
      <c r="N151" s="483"/>
      <c r="O151" s="483"/>
      <c r="P151" s="483"/>
      <c r="Q151" s="483"/>
      <c r="R151" s="483"/>
    </row>
    <row r="152" spans="1:35" x14ac:dyDescent="0.25">
      <c r="A152" s="479"/>
      <c r="B152" s="480"/>
      <c r="C152" s="479"/>
      <c r="D152" s="483"/>
      <c r="E152" s="483" t="str">
        <f>LEFT(OUT[[#This Row],[Label]],1)</f>
        <v/>
      </c>
      <c r="F152" s="483"/>
      <c r="G152" s="483"/>
      <c r="H152" s="494"/>
      <c r="I152" s="482"/>
      <c r="J152" s="483"/>
      <c r="K152" s="478" t="str">
        <f ca="1">IFERROR(_xlfn.FORMULATEXT(OUT[[#This Row],[Live]]),"")</f>
        <v/>
      </c>
      <c r="L152" s="483"/>
      <c r="M152" s="483"/>
      <c r="N152" s="483"/>
      <c r="O152" s="483"/>
      <c r="P152" s="483"/>
      <c r="Q152" s="483"/>
      <c r="R152" s="483"/>
    </row>
    <row r="153" spans="1:35" x14ac:dyDescent="0.25">
      <c r="A153" s="484"/>
      <c r="B153" s="493"/>
      <c r="C153" s="484"/>
      <c r="D153" s="483"/>
      <c r="E153" s="483" t="str">
        <f>LEFT(OUT[[#This Row],[Label]],1)</f>
        <v/>
      </c>
      <c r="F153" s="483"/>
      <c r="G153" s="483"/>
      <c r="H153" s="494"/>
      <c r="I153" s="482"/>
      <c r="J153" s="483"/>
      <c r="K153" s="478" t="str">
        <f ca="1">IFERROR(_xlfn.FORMULATEXT(OUT[[#This Row],[Live]]),"")</f>
        <v/>
      </c>
      <c r="L153" s="483"/>
      <c r="M153" s="483"/>
      <c r="N153" s="483"/>
      <c r="O153" s="483"/>
      <c r="P153" s="483"/>
      <c r="Q153" s="483"/>
      <c r="R153" s="483"/>
    </row>
    <row r="154" spans="1:35" x14ac:dyDescent="0.25">
      <c r="A154" s="479"/>
      <c r="B154" s="480"/>
      <c r="C154" s="479"/>
      <c r="D154" s="483"/>
      <c r="E154" s="483" t="str">
        <f>LEFT(OUT[[#This Row],[Label]],1)</f>
        <v/>
      </c>
      <c r="F154" s="483"/>
      <c r="G154" s="483"/>
      <c r="H154" s="494"/>
      <c r="I154" s="482"/>
      <c r="J154" s="483"/>
      <c r="K154" s="478" t="str">
        <f ca="1">IFERROR(_xlfn.FORMULATEXT(OUT[[#This Row],[Live]]),"")</f>
        <v/>
      </c>
      <c r="L154" s="483"/>
      <c r="M154" s="483"/>
      <c r="N154" s="483"/>
      <c r="O154" s="483"/>
      <c r="P154" s="483"/>
      <c r="Q154" s="483"/>
      <c r="R154" s="483"/>
    </row>
    <row r="155" spans="1:35" x14ac:dyDescent="0.25">
      <c r="A155" s="484"/>
      <c r="B155" s="493"/>
      <c r="C155" s="484"/>
      <c r="D155" s="483"/>
      <c r="E155" s="483" t="str">
        <f>LEFT(OUT[[#This Row],[Label]],1)</f>
        <v/>
      </c>
      <c r="F155" s="483"/>
      <c r="G155" s="483"/>
      <c r="H155" s="494"/>
      <c r="I155" s="482"/>
      <c r="J155" s="483"/>
      <c r="K155" s="478" t="str">
        <f ca="1">IFERROR(_xlfn.FORMULATEXT(OUT[[#This Row],[Live]]),"")</f>
        <v/>
      </c>
      <c r="L155" s="483"/>
      <c r="M155" s="483"/>
      <c r="N155" s="483"/>
      <c r="O155" s="483"/>
      <c r="P155" s="483"/>
      <c r="Q155" s="483"/>
      <c r="R155" s="483"/>
    </row>
    <row r="156" spans="1:35" x14ac:dyDescent="0.25">
      <c r="A156" s="479"/>
      <c r="B156" s="480"/>
      <c r="C156" s="479"/>
      <c r="D156" s="483"/>
      <c r="E156" s="483" t="str">
        <f>LEFT(OUT[[#This Row],[Label]],1)</f>
        <v/>
      </c>
      <c r="F156" s="483"/>
      <c r="G156" s="483"/>
      <c r="H156" s="494"/>
      <c r="I156" s="482"/>
      <c r="J156" s="483"/>
      <c r="K156" s="478" t="str">
        <f ca="1">IFERROR(_xlfn.FORMULATEXT(OUT[[#This Row],[Live]]),"")</f>
        <v/>
      </c>
      <c r="L156" s="483"/>
      <c r="M156" s="483"/>
      <c r="N156" s="483"/>
      <c r="O156" s="483"/>
      <c r="P156" s="483"/>
      <c r="Q156" s="483"/>
      <c r="R156" s="483"/>
    </row>
    <row r="157" spans="1:35" x14ac:dyDescent="0.25">
      <c r="A157" s="484"/>
      <c r="B157" s="493"/>
      <c r="C157" s="484"/>
      <c r="D157" s="483"/>
      <c r="E157" s="483" t="str">
        <f>LEFT(OUT[[#This Row],[Label]],1)</f>
        <v/>
      </c>
      <c r="F157" s="483"/>
      <c r="G157" s="483"/>
      <c r="H157" s="494"/>
      <c r="I157" s="482"/>
      <c r="J157" s="483"/>
      <c r="K157" s="478" t="str">
        <f ca="1">IFERROR(_xlfn.FORMULATEXT(OUT[[#This Row],[Live]]),"")</f>
        <v/>
      </c>
      <c r="L157" s="483"/>
      <c r="M157" s="483"/>
      <c r="N157" s="483"/>
      <c r="O157" s="483"/>
      <c r="P157" s="483"/>
      <c r="Q157" s="483"/>
      <c r="R157" s="483"/>
    </row>
    <row r="158" spans="1:35" x14ac:dyDescent="0.25">
      <c r="A158" s="479"/>
      <c r="B158" s="480" t="s">
        <v>1310</v>
      </c>
      <c r="C158" s="479"/>
      <c r="D158" s="559" t="s">
        <v>1311</v>
      </c>
      <c r="E158" s="483" t="str">
        <f>LEFT(OUT[[#This Row],[Label]],1)</f>
        <v/>
      </c>
      <c r="F158" s="483"/>
      <c r="G158" s="483"/>
      <c r="H158" s="494"/>
      <c r="I158" s="482"/>
      <c r="J158" s="483"/>
      <c r="K158" s="478" t="str">
        <f ca="1">IFERROR(_xlfn.FORMULATEXT(OUT[[#This Row],[Live]]),"")</f>
        <v/>
      </c>
      <c r="L158" s="483"/>
      <c r="M158" s="483"/>
      <c r="N158" s="483"/>
      <c r="O158" s="483"/>
      <c r="P158" s="483"/>
      <c r="Q158" s="483"/>
      <c r="R158" s="483"/>
    </row>
    <row r="159" spans="1:35" x14ac:dyDescent="0.25">
      <c r="A159" s="484"/>
      <c r="B159" s="493" t="s">
        <v>1310</v>
      </c>
      <c r="C159" s="484"/>
      <c r="D159" s="559" t="s">
        <v>1312</v>
      </c>
      <c r="E159" s="483" t="str">
        <f>LEFT(OUT[[#This Row],[Label]],1)</f>
        <v/>
      </c>
      <c r="F159" s="483"/>
      <c r="G159" s="483"/>
      <c r="H159" s="494"/>
      <c r="I159" s="482"/>
      <c r="J159" s="483"/>
      <c r="K159" s="478" t="str">
        <f ca="1">IFERROR(_xlfn.FORMULATEXT(OUT[[#This Row],[Live]]),"")</f>
        <v/>
      </c>
      <c r="L159" s="483"/>
      <c r="M159" s="483"/>
      <c r="N159" s="483"/>
      <c r="O159" s="483"/>
      <c r="P159" s="483"/>
      <c r="Q159" s="483"/>
      <c r="R159" s="483"/>
    </row>
    <row r="160" spans="1:35" x14ac:dyDescent="0.25">
      <c r="A160" s="479"/>
      <c r="B160" s="480" t="s">
        <v>1310</v>
      </c>
      <c r="C160" s="479"/>
      <c r="D160" s="559" t="s">
        <v>1313</v>
      </c>
      <c r="E160" s="483" t="str">
        <f>LEFT(OUT[[#This Row],[Label]],1)</f>
        <v/>
      </c>
      <c r="F160" s="483"/>
      <c r="G160" s="483"/>
      <c r="H160" s="494"/>
      <c r="I160" s="482"/>
      <c r="J160" s="483"/>
      <c r="K160" s="478" t="str">
        <f ca="1">IFERROR(_xlfn.FORMULATEXT(OUT[[#This Row],[Live]]),"")</f>
        <v/>
      </c>
      <c r="L160" s="483"/>
      <c r="M160" s="483"/>
      <c r="N160" s="483"/>
      <c r="O160" s="483"/>
      <c r="P160" s="483"/>
      <c r="Q160" s="483"/>
      <c r="R160" s="483"/>
    </row>
    <row r="161" spans="1:35" x14ac:dyDescent="0.25">
      <c r="A161" s="484"/>
      <c r="B161" s="493" t="s">
        <v>1310</v>
      </c>
      <c r="C161" s="484"/>
      <c r="D161" s="559" t="s">
        <v>1314</v>
      </c>
      <c r="E161" s="483" t="str">
        <f>LEFT(OUT[[#This Row],[Label]],1)</f>
        <v/>
      </c>
      <c r="F161" s="483"/>
      <c r="G161" s="483"/>
      <c r="H161" s="494"/>
      <c r="I161" s="482"/>
      <c r="J161" s="483"/>
      <c r="K161" s="478" t="str">
        <f ca="1">IFERROR(_xlfn.FORMULATEXT(OUT[[#This Row],[Live]]),"")</f>
        <v/>
      </c>
      <c r="L161" s="483"/>
      <c r="M161" s="483"/>
      <c r="N161" s="483"/>
      <c r="O161" s="483"/>
      <c r="P161" s="483"/>
      <c r="Q161" s="483"/>
      <c r="R161" s="483"/>
    </row>
    <row r="162" spans="1:35" x14ac:dyDescent="0.25">
      <c r="A162" s="479"/>
      <c r="B162" s="480" t="s">
        <v>1310</v>
      </c>
      <c r="C162" s="479"/>
      <c r="D162" s="559" t="s">
        <v>1315</v>
      </c>
      <c r="E162" s="483" t="str">
        <f>LEFT(OUT[[#This Row],[Label]],1)</f>
        <v/>
      </c>
      <c r="F162" s="483"/>
      <c r="G162" s="483"/>
      <c r="H162" s="494"/>
      <c r="I162" s="482"/>
      <c r="J162" s="483"/>
      <c r="K162" s="478" t="str">
        <f ca="1">IFERROR(_xlfn.FORMULATEXT(OUT[[#This Row],[Live]]),"")</f>
        <v/>
      </c>
      <c r="L162" s="483"/>
      <c r="M162" s="483"/>
      <c r="N162" s="483"/>
      <c r="O162" s="483"/>
      <c r="P162" s="483"/>
      <c r="Q162" s="483"/>
      <c r="R162" s="483"/>
    </row>
    <row r="163" spans="1:35" x14ac:dyDescent="0.25">
      <c r="A163" s="484"/>
      <c r="B163" s="493"/>
      <c r="C163" s="484"/>
      <c r="D163" s="483"/>
      <c r="E163" s="483" t="str">
        <f>LEFT(OUT[[#This Row],[Label]],1)</f>
        <v/>
      </c>
      <c r="F163" s="483"/>
      <c r="G163" s="483"/>
      <c r="H163" s="494"/>
      <c r="I163" s="482"/>
      <c r="J163" s="483"/>
      <c r="K163" s="478" t="str">
        <f ca="1">IFERROR(_xlfn.FORMULATEXT(OUT[[#This Row],[Live]]),"")</f>
        <v/>
      </c>
      <c r="L163" s="483"/>
      <c r="M163" s="483"/>
      <c r="N163" s="483"/>
      <c r="O163" s="483"/>
      <c r="P163" s="483"/>
      <c r="Q163" s="483"/>
      <c r="R163" s="483"/>
    </row>
    <row r="164" spans="1:35" x14ac:dyDescent="0.25">
      <c r="A164" s="479"/>
      <c r="B164" s="480"/>
      <c r="C164" s="479"/>
      <c r="D164" s="483"/>
      <c r="E164" s="483" t="str">
        <f>LEFT(OUT[[#This Row],[Label]],1)</f>
        <v/>
      </c>
      <c r="F164" s="483"/>
      <c r="G164" s="483"/>
      <c r="H164" s="494"/>
      <c r="I164" s="482"/>
      <c r="J164" s="483"/>
      <c r="K164" s="478" t="str">
        <f ca="1">IFERROR(_xlfn.FORMULATEXT(OUT[[#This Row],[Live]]),"")</f>
        <v/>
      </c>
      <c r="L164" s="483"/>
      <c r="M164" s="483"/>
      <c r="N164" s="483"/>
      <c r="O164" s="483"/>
      <c r="P164" s="483"/>
      <c r="Q164" s="483"/>
      <c r="R164" s="483"/>
    </row>
    <row r="165" spans="1:35" x14ac:dyDescent="0.25">
      <c r="A165" s="484"/>
      <c r="B165" s="493"/>
      <c r="C165" s="484"/>
      <c r="D165" s="483"/>
      <c r="E165" s="483" t="str">
        <f>LEFT(OUT[[#This Row],[Label]],1)</f>
        <v/>
      </c>
      <c r="F165" s="483"/>
      <c r="G165" s="483"/>
      <c r="H165" s="494"/>
      <c r="I165" s="482"/>
      <c r="J165" s="483"/>
      <c r="K165" s="478" t="str">
        <f ca="1">IFERROR(_xlfn.FORMULATEXT(OUT[[#This Row],[Live]]),"")</f>
        <v/>
      </c>
      <c r="L165" s="483"/>
      <c r="M165" s="483"/>
      <c r="N165" s="483"/>
      <c r="O165" s="483"/>
      <c r="P165" s="483"/>
      <c r="Q165" s="483"/>
      <c r="R165" s="483"/>
    </row>
    <row r="166" spans="1:35" x14ac:dyDescent="0.25">
      <c r="A166" s="479"/>
      <c r="B166" s="480"/>
      <c r="C166" s="479"/>
      <c r="D166" s="483"/>
      <c r="E166" s="483" t="str">
        <f>LEFT(OUT[[#This Row],[Label]],1)</f>
        <v/>
      </c>
      <c r="F166" s="483"/>
      <c r="G166" s="483"/>
      <c r="H166" s="494"/>
      <c r="I166" s="482"/>
      <c r="J166" s="483"/>
      <c r="K166" s="478" t="str">
        <f ca="1">IFERROR(_xlfn.FORMULATEXT(OUT[[#This Row],[Live]]),"")</f>
        <v/>
      </c>
      <c r="L166" s="483"/>
      <c r="M166" s="483"/>
      <c r="N166" s="483"/>
      <c r="O166" s="483"/>
      <c r="P166" s="483"/>
      <c r="Q166" s="483"/>
      <c r="R166" s="483"/>
    </row>
    <row r="167" spans="1:35" x14ac:dyDescent="0.25">
      <c r="A167" s="484"/>
      <c r="B167" s="493" t="s">
        <v>1316</v>
      </c>
      <c r="C167" s="484"/>
      <c r="D167" s="559" t="s">
        <v>1317</v>
      </c>
      <c r="E167" s="483" t="s">
        <v>155</v>
      </c>
      <c r="F167" s="483"/>
      <c r="G167" s="483"/>
      <c r="H167" s="494"/>
      <c r="I167" s="482" t="b">
        <f>Batt_is_used=TRUE</f>
        <v>0</v>
      </c>
      <c r="J167" s="560" t="s">
        <v>824</v>
      </c>
      <c r="K167" s="478" t="str">
        <f ca="1">IFERROR(_xlfn.FORMULATEXT(OUT[[#This Row],[Live]]),"")</f>
        <v>=Batt_is_used=WAHR</v>
      </c>
      <c r="L167" s="483"/>
      <c r="M167" s="483"/>
      <c r="N167" s="483"/>
      <c r="O167" s="483"/>
      <c r="P167" s="483"/>
      <c r="Q167" s="483"/>
      <c r="R167" s="483"/>
      <c r="AF167" t="b">
        <v>1</v>
      </c>
      <c r="AG167" t="b">
        <v>0</v>
      </c>
      <c r="AH167" t="b">
        <v>0</v>
      </c>
      <c r="AI167" t="b">
        <v>0</v>
      </c>
    </row>
    <row r="168" spans="1:35" ht="18" x14ac:dyDescent="0.35">
      <c r="A168" s="484"/>
      <c r="B168" s="493" t="s">
        <v>1316</v>
      </c>
      <c r="C168" s="484"/>
      <c r="D168" s="559" t="s">
        <v>1318</v>
      </c>
      <c r="E168" s="483" t="s">
        <v>155</v>
      </c>
      <c r="F168" s="483"/>
      <c r="G168" s="483"/>
      <c r="H168" s="494" t="s">
        <v>1319</v>
      </c>
      <c r="I168" s="482">
        <f ca="1">SUM([1]!sim[Batt_total_charge])/1000</f>
        <v>0</v>
      </c>
      <c r="J168" s="555" t="s">
        <v>1320</v>
      </c>
      <c r="K168" s="478" t="str">
        <f ca="1">IFERROR(_xlfn.FORMULATEXT(OUT[[#This Row],[Live]]),"")</f>
        <v>=SUMME(ka_PEQ_Nachweistool.xlsb!sim[Batt_total_charge])/1000</v>
      </c>
      <c r="L168" s="483"/>
      <c r="M168" s="483"/>
      <c r="N168" s="483"/>
      <c r="O168" s="483"/>
      <c r="P168" s="483"/>
      <c r="Q168" s="483"/>
      <c r="R168" s="483"/>
      <c r="AF168">
        <v>6.9121669012921201</v>
      </c>
      <c r="AG168">
        <v>0</v>
      </c>
      <c r="AH168">
        <v>0</v>
      </c>
      <c r="AI168">
        <v>0</v>
      </c>
    </row>
    <row r="169" spans="1:35" ht="18" x14ac:dyDescent="0.35">
      <c r="A169" s="479"/>
      <c r="B169" s="493" t="s">
        <v>1316</v>
      </c>
      <c r="C169" s="479"/>
      <c r="D169" s="559" t="s">
        <v>1321</v>
      </c>
      <c r="E169" s="483" t="s">
        <v>155</v>
      </c>
      <c r="F169" s="483"/>
      <c r="G169" s="483"/>
      <c r="H169" s="494" t="s">
        <v>1322</v>
      </c>
      <c r="I169" s="482">
        <f ca="1">SUM([1]!sim[Batt_total_discharge])/1000*Batt_eff_factor_discharge</f>
        <v>0</v>
      </c>
      <c r="J169" s="555" t="s">
        <v>1320</v>
      </c>
      <c r="K169" s="478" t="str">
        <f ca="1">IFERROR(_xlfn.FORMULATEXT(OUT[[#This Row],[Live]]),"")</f>
        <v>=SUMME(ka_PEQ_Nachweistool.xlsb!sim[Batt_total_discharge])/1000*Batt_eff_factor_discharge</v>
      </c>
      <c r="L169" s="483"/>
      <c r="M169" s="483"/>
      <c r="N169" s="483"/>
      <c r="O169" s="483"/>
      <c r="P169" s="483"/>
      <c r="Q169" s="483"/>
      <c r="R169" s="483"/>
      <c r="AF169">
        <v>6.5621833090672137</v>
      </c>
      <c r="AG169">
        <v>0</v>
      </c>
      <c r="AH169">
        <v>0</v>
      </c>
      <c r="AI169">
        <v>0</v>
      </c>
    </row>
    <row r="170" spans="1:35" ht="18" x14ac:dyDescent="0.35">
      <c r="A170" s="479"/>
      <c r="B170" s="493" t="s">
        <v>1316</v>
      </c>
      <c r="C170" s="484"/>
      <c r="D170" s="559" t="s">
        <v>1323</v>
      </c>
      <c r="E170" s="483" t="s">
        <v>155</v>
      </c>
      <c r="F170" s="483"/>
      <c r="G170" s="483"/>
      <c r="H170" s="494" t="s">
        <v>1324</v>
      </c>
      <c r="I170" s="482">
        <f ca="1">Batt_total_charge_input-Batt_total_charge</f>
        <v>0</v>
      </c>
      <c r="J170" s="555" t="s">
        <v>1320</v>
      </c>
      <c r="K170" s="478" t="str">
        <f ca="1">IFERROR(_xlfn.FORMULATEXT(OUT[[#This Row],[Live]]),"")</f>
        <v>=Batt_total_charge_input-Batt_total_charge</v>
      </c>
      <c r="L170" s="483"/>
      <c r="M170" s="483"/>
      <c r="N170" s="483"/>
      <c r="O170" s="483"/>
      <c r="P170" s="483"/>
      <c r="Q170" s="483"/>
      <c r="R170" s="483"/>
      <c r="AF170">
        <v>0.36379825796278897</v>
      </c>
      <c r="AG170">
        <v>0</v>
      </c>
      <c r="AH170">
        <v>0</v>
      </c>
      <c r="AI170">
        <v>0</v>
      </c>
    </row>
    <row r="171" spans="1:35" ht="18" x14ac:dyDescent="0.35">
      <c r="A171" s="484"/>
      <c r="B171" s="493" t="s">
        <v>1316</v>
      </c>
      <c r="C171" s="484"/>
      <c r="D171" s="559" t="s">
        <v>1325</v>
      </c>
      <c r="E171" s="483" t="s">
        <v>155</v>
      </c>
      <c r="F171" s="483"/>
      <c r="G171" s="483"/>
      <c r="H171" s="494" t="s">
        <v>1326</v>
      </c>
      <c r="I171" s="482">
        <f ca="1">Batt_total_charge-Batt_total_discharge-Batt_cap_Wh_per_NFA/1000*Batt_SOC_init</f>
        <v>0</v>
      </c>
      <c r="J171" s="555" t="s">
        <v>1320</v>
      </c>
      <c r="K171" s="478" t="str">
        <f ca="1">IFERROR(_xlfn.FORMULATEXT(OUT[[#This Row],[Live]]),"")</f>
        <v>=Batt_total_charge-Batt_total_discharge-Batt_cap_Wh_per_NFA/1000*Batt_SOC_init</v>
      </c>
      <c r="L171" s="483"/>
      <c r="M171" s="483"/>
      <c r="N171" s="483"/>
      <c r="O171" s="483"/>
      <c r="P171" s="483"/>
      <c r="Q171" s="483"/>
      <c r="R171" s="483"/>
      <c r="AF171">
        <v>0.34998359222490638</v>
      </c>
      <c r="AG171">
        <v>0</v>
      </c>
      <c r="AH171">
        <v>0</v>
      </c>
      <c r="AI171">
        <v>0</v>
      </c>
    </row>
    <row r="172" spans="1:35" x14ac:dyDescent="0.25">
      <c r="A172" s="479"/>
      <c r="B172" s="480" t="s">
        <v>1316</v>
      </c>
      <c r="C172" s="479"/>
      <c r="D172" s="561" t="s">
        <v>1327</v>
      </c>
      <c r="E172" s="483" t="s">
        <v>155</v>
      </c>
      <c r="F172" s="483"/>
      <c r="G172" s="483"/>
      <c r="H172" s="494" t="s">
        <v>1328</v>
      </c>
      <c r="I172" s="562">
        <f ca="1">IFERROR(Batt_total_discharge/Batt_total_charge_input,0)</f>
        <v>0</v>
      </c>
      <c r="J172" s="555"/>
      <c r="K172" s="488" t="str">
        <f ca="1">IFERROR(_xlfn.FORMULATEXT(OUT[[#This Row],[Live]]),"")</f>
        <v>=WENNFEHLER(Batt_total_discharge/Batt_total_charge_input;0)</v>
      </c>
      <c r="L172" s="483"/>
      <c r="M172" s="483"/>
      <c r="N172" s="483"/>
      <c r="O172" s="483"/>
      <c r="P172" s="483"/>
      <c r="Q172" s="483"/>
      <c r="R172" s="483"/>
      <c r="AF172">
        <v>0.9018986712326712</v>
      </c>
      <c r="AG172">
        <v>0</v>
      </c>
      <c r="AH172">
        <v>0</v>
      </c>
      <c r="AI172">
        <v>0</v>
      </c>
    </row>
    <row r="173" spans="1:35" x14ac:dyDescent="0.25">
      <c r="A173" s="479"/>
      <c r="B173" s="493" t="s">
        <v>1316</v>
      </c>
      <c r="C173" s="479"/>
      <c r="D173" s="559" t="s">
        <v>1329</v>
      </c>
      <c r="E173" s="483" t="s">
        <v>155</v>
      </c>
      <c r="F173" s="483"/>
      <c r="G173" s="483"/>
      <c r="H173" s="494" t="s">
        <v>1330</v>
      </c>
      <c r="I173" s="563">
        <f ca="1">Batt_total_charge*1000/Batt_cap_Wh_per_NFA</f>
        <v>0</v>
      </c>
      <c r="J173" s="483" t="s">
        <v>1331</v>
      </c>
      <c r="K173" s="478" t="str">
        <f ca="1">IFERROR(_xlfn.FORMULATEXT(OUT[[#This Row],[Live]]),"")</f>
        <v>=Batt_total_charge*1000/Batt_cap_Wh_per_NFA</v>
      </c>
      <c r="L173" s="483"/>
      <c r="M173" s="483"/>
      <c r="N173" s="483"/>
      <c r="O173" s="483"/>
      <c r="P173" s="483"/>
      <c r="Q173" s="483"/>
      <c r="R173" s="483"/>
      <c r="AF173">
        <v>499.03633133920692</v>
      </c>
      <c r="AG173">
        <v>0</v>
      </c>
      <c r="AH173">
        <v>0</v>
      </c>
      <c r="AI173">
        <v>0</v>
      </c>
    </row>
    <row r="174" spans="1:35" x14ac:dyDescent="0.25">
      <c r="A174" s="484"/>
      <c r="B174" s="493"/>
      <c r="C174" s="484"/>
      <c r="D174" s="483"/>
      <c r="E174" s="483" t="str">
        <f>LEFT(OUT[[#This Row],[Label]],1)</f>
        <v/>
      </c>
      <c r="F174" s="483"/>
      <c r="G174" s="483"/>
      <c r="H174" s="494"/>
      <c r="I174" s="482"/>
      <c r="J174" s="483"/>
      <c r="K174" s="478" t="str">
        <f ca="1">IFERROR(_xlfn.FORMULATEXT(OUT[[#This Row],[Live]]),"")</f>
        <v/>
      </c>
      <c r="L174" s="483"/>
      <c r="M174" s="483"/>
      <c r="N174" s="483"/>
      <c r="O174" s="483"/>
      <c r="P174" s="483"/>
      <c r="Q174" s="483"/>
      <c r="R174" s="483"/>
    </row>
    <row r="175" spans="1:35" x14ac:dyDescent="0.25">
      <c r="A175" s="479"/>
      <c r="B175" s="480"/>
      <c r="C175" s="479"/>
      <c r="D175" s="483"/>
      <c r="E175" s="483" t="str">
        <f>LEFT(OUT[[#This Row],[Label]],1)</f>
        <v/>
      </c>
      <c r="F175" s="483"/>
      <c r="G175" s="483"/>
      <c r="H175" s="494"/>
      <c r="I175" s="482"/>
      <c r="J175" s="483"/>
      <c r="K175" s="478" t="str">
        <f ca="1">IFERROR(_xlfn.FORMULATEXT(OUT[[#This Row],[Live]]),"")</f>
        <v/>
      </c>
      <c r="L175" s="483"/>
      <c r="M175" s="483"/>
      <c r="N175" s="483"/>
      <c r="O175" s="483"/>
      <c r="P175" s="483"/>
      <c r="Q175" s="483"/>
      <c r="R175" s="483"/>
    </row>
    <row r="176" spans="1:35" x14ac:dyDescent="0.25">
      <c r="A176" s="484"/>
      <c r="B176" s="493"/>
      <c r="C176" s="484"/>
      <c r="D176" s="483"/>
      <c r="E176" s="483" t="str">
        <f>LEFT(OUT[[#This Row],[Label]],1)</f>
        <v/>
      </c>
      <c r="F176" s="483"/>
      <c r="G176" s="483"/>
      <c r="H176" s="494"/>
      <c r="I176" s="482"/>
      <c r="J176" s="483"/>
      <c r="K176" s="478" t="str">
        <f ca="1">IFERROR(_xlfn.FORMULATEXT(OUT[[#This Row],[Live]]),"")</f>
        <v/>
      </c>
      <c r="L176" s="483"/>
      <c r="M176" s="483"/>
      <c r="N176" s="483"/>
      <c r="O176" s="483"/>
      <c r="P176" s="483"/>
      <c r="Q176" s="483"/>
      <c r="R176" s="483"/>
    </row>
    <row r="177" spans="1:35" x14ac:dyDescent="0.25">
      <c r="A177" s="479"/>
      <c r="B177" s="480"/>
      <c r="C177" s="479"/>
      <c r="D177" s="483"/>
      <c r="E177" s="483" t="str">
        <f>LEFT(OUT[[#This Row],[Label]],1)</f>
        <v/>
      </c>
      <c r="F177" s="483"/>
      <c r="G177" s="483"/>
      <c r="H177" s="494"/>
      <c r="I177" s="482"/>
      <c r="J177" s="483"/>
      <c r="K177" s="478" t="str">
        <f ca="1">IFERROR(_xlfn.FORMULATEXT(OUT[[#This Row],[Live]]),"")</f>
        <v/>
      </c>
      <c r="L177" s="483"/>
      <c r="M177" s="483"/>
      <c r="N177" s="483"/>
      <c r="O177" s="483"/>
      <c r="P177" s="483"/>
      <c r="Q177" s="483"/>
      <c r="R177" s="483"/>
    </row>
    <row r="178" spans="1:35" x14ac:dyDescent="0.25">
      <c r="A178" s="479"/>
      <c r="B178" s="480" t="s">
        <v>1332</v>
      </c>
      <c r="C178" s="479"/>
      <c r="D178" s="564" t="s">
        <v>1333</v>
      </c>
      <c r="E178" s="483" t="str">
        <f>LEFT(OUT[[#This Row],[Label]],1)</f>
        <v/>
      </c>
      <c r="F178" s="483"/>
      <c r="G178" s="483"/>
      <c r="H178" s="494" t="s">
        <v>1334</v>
      </c>
      <c r="I178" s="482" t="e">
        <f>-MIN(cfd_fPE*(cfd_A/(FSI+cfd_dx)-cfd_EUI),cfd_cutoff)</f>
        <v>#DIV/0!</v>
      </c>
      <c r="J178" s="565" t="s">
        <v>1335</v>
      </c>
      <c r="K178" s="478" t="str">
        <f ca="1">IFERROR(_xlfn.FORMULATEXT(OUT[[#This Row],[Live]]),"")</f>
        <v>=-MIN(cfd_fPE*(cfd_A/(FSI+cfd_dx)-cfd_EUI);cfd_cutoff)</v>
      </c>
      <c r="L178" s="483"/>
      <c r="M178" s="483"/>
      <c r="N178" s="483"/>
      <c r="O178" s="483"/>
      <c r="P178" s="483"/>
      <c r="Q178" s="483"/>
      <c r="R178" s="483"/>
      <c r="AF178">
        <v>37.949580589476369</v>
      </c>
      <c r="AG178">
        <v>37.949580589476369</v>
      </c>
      <c r="AH178">
        <v>37.949580589476369</v>
      </c>
      <c r="AI178">
        <v>37.949580589476369</v>
      </c>
    </row>
    <row r="179" spans="1:35" x14ac:dyDescent="0.25">
      <c r="A179" s="484"/>
      <c r="B179" s="493" t="s">
        <v>1332</v>
      </c>
      <c r="C179" s="484"/>
      <c r="D179" s="564" t="s">
        <v>1336</v>
      </c>
      <c r="E179" s="483" t="str">
        <f>LEFT(OUT[[#This Row],[Label]],1)</f>
        <v/>
      </c>
      <c r="F179" s="483"/>
      <c r="G179" s="483"/>
      <c r="H179" s="494" t="s">
        <v>1337</v>
      </c>
      <c r="I179" s="482">
        <f>per_NFA*(cfm_budget_residential*NFA_residential+cfm_budget_office*NFA_office+cfm_budget_school*(NFA_schoolprim+NFA_schoolsec)+cfm_budget_retail*(NFA_retailfood+NFA_retailother+NFA_other))</f>
        <v>0</v>
      </c>
      <c r="J179" s="565" t="s">
        <v>1335</v>
      </c>
      <c r="K179" s="478" t="str">
        <f ca="1">IFERROR(_xlfn.FORMULATEXT(OUT[[#This Row],[Live]]),"")</f>
        <v>=per_NFA*(cfm_budget_residential*NFA_residential+cfm_budget_office*NFA_office+cfm_budget_school*(NFA_schoolprim+NFA_schoolsec)+cfm_budget_retail*(NFA_retailfood+NFA_retailother+NFA_other))</v>
      </c>
      <c r="L179" s="483"/>
      <c r="M179" s="483"/>
      <c r="N179" s="483"/>
      <c r="O179" s="483"/>
      <c r="P179" s="483"/>
      <c r="Q179" s="483"/>
      <c r="R179" s="483"/>
      <c r="AF179">
        <v>16.686366481535043</v>
      </c>
      <c r="AG179">
        <v>16.686366481535043</v>
      </c>
      <c r="AH179">
        <v>16.686366481535043</v>
      </c>
      <c r="AI179">
        <v>16.686366481535043</v>
      </c>
    </row>
    <row r="180" spans="1:35" x14ac:dyDescent="0.25">
      <c r="A180" s="479"/>
      <c r="B180" s="480" t="s">
        <v>1332</v>
      </c>
      <c r="C180" s="479"/>
      <c r="D180" s="564" t="s">
        <v>1111</v>
      </c>
      <c r="E180" s="483" t="str">
        <f>LEFT(OUT[[#This Row],[Label]],1)</f>
        <v/>
      </c>
      <c r="F180" s="483"/>
      <c r="G180" s="483"/>
      <c r="H180" s="494" t="s">
        <v>1113</v>
      </c>
      <c r="I180" s="482">
        <f>cfr_budget*SUMPRODUCT(Renovation_shares,NFA_shares)</f>
        <v>0</v>
      </c>
      <c r="J180" s="565" t="s">
        <v>1335</v>
      </c>
      <c r="K180" s="478" t="str">
        <f ca="1">IFERROR(_xlfn.FORMULATEXT(OUT[[#This Row],[Live]]),"")</f>
        <v>=cfr_budget*SUMMENPRODUKT(Renovation_shares;NFA_shares)</v>
      </c>
      <c r="L180" s="483"/>
      <c r="M180" s="483"/>
      <c r="N180" s="483"/>
      <c r="O180" s="483"/>
      <c r="P180" s="483"/>
      <c r="Q180" s="483"/>
      <c r="R180" s="483"/>
      <c r="AF180">
        <v>15</v>
      </c>
      <c r="AG180">
        <v>15</v>
      </c>
      <c r="AH180">
        <v>15</v>
      </c>
      <c r="AI180">
        <v>15</v>
      </c>
    </row>
    <row r="181" spans="1:35" x14ac:dyDescent="0.25">
      <c r="A181" s="479"/>
      <c r="B181" s="480"/>
      <c r="C181" s="479"/>
      <c r="D181" s="483"/>
      <c r="E181" s="483"/>
      <c r="F181" s="483"/>
      <c r="G181" s="483"/>
      <c r="H181" s="494"/>
      <c r="I181" s="482"/>
      <c r="J181" s="555"/>
      <c r="K181" s="488" t="str">
        <f ca="1">IFERROR(_xlfn.FORMULATEXT(OUT[[#This Row],[Live]]),"")</f>
        <v/>
      </c>
      <c r="L181" s="483"/>
      <c r="M181" s="483"/>
      <c r="N181" s="483"/>
      <c r="O181" s="483"/>
      <c r="P181" s="483"/>
      <c r="Q181" s="483"/>
      <c r="R181" s="483"/>
    </row>
    <row r="182" spans="1:35" x14ac:dyDescent="0.25">
      <c r="A182" s="484"/>
      <c r="B182" s="493" t="s">
        <v>1332</v>
      </c>
      <c r="C182" s="484"/>
      <c r="D182" s="564" t="s">
        <v>1338</v>
      </c>
      <c r="E182" s="483" t="str">
        <f>LEFT(OUT[[#This Row],[Label]],1)</f>
        <v/>
      </c>
      <c r="F182" s="483"/>
      <c r="G182" s="483"/>
      <c r="H182" s="494" t="s">
        <v>1339</v>
      </c>
      <c r="I182" s="566">
        <f ca="1">PEI_el_plugloads+PEI_el_hvac+PEI_district_heating+PEI_natural_gas+PEI_biomass+PEI_other</f>
        <v>77.410067940627783</v>
      </c>
      <c r="J182" s="565" t="s">
        <v>1335</v>
      </c>
      <c r="K182" s="478" t="str">
        <f ca="1">IFERROR(_xlfn.FORMULATEXT(OUT[[#This Row],[Live]]),"")</f>
        <v>=PEI_el_plugloads+PEI_el_hvac+PEI_district_heating+PEI_natural_gas+PEI_biomass+PEI_other</v>
      </c>
      <c r="L182" s="483"/>
      <c r="M182" s="483"/>
      <c r="N182" s="483"/>
      <c r="O182" s="483"/>
      <c r="P182" s="483"/>
      <c r="Q182" s="483"/>
      <c r="R182" s="483"/>
      <c r="AF182">
        <v>107.01872800412767</v>
      </c>
      <c r="AG182">
        <v>71.011795987866918</v>
      </c>
      <c r="AH182">
        <v>71.011795987866918</v>
      </c>
      <c r="AI182">
        <v>77.410067940627783</v>
      </c>
    </row>
    <row r="183" spans="1:35" x14ac:dyDescent="0.25">
      <c r="A183" s="479"/>
      <c r="B183" s="480" t="s">
        <v>1332</v>
      </c>
      <c r="C183" s="479"/>
      <c r="D183" t="s">
        <v>258</v>
      </c>
      <c r="E183" s="483" t="str">
        <f>LEFT(OUT[[#This Row],[Label]],1)</f>
        <v/>
      </c>
      <c r="F183" s="483"/>
      <c r="G183" s="483"/>
      <c r="H183" s="494" t="s">
        <v>1340</v>
      </c>
      <c r="I183" s="29">
        <f>SUM([1]!sim[PEI_el_plugloads])/1000</f>
        <v>42.326097656557124</v>
      </c>
      <c r="J183" s="565" t="s">
        <v>1335</v>
      </c>
      <c r="K183" s="478" t="str">
        <f ca="1">IFERROR(_xlfn.FORMULATEXT(OUT[[#This Row],[Live]]),"")</f>
        <v>=SUMME(ka_PEQ_Nachweistool.xlsb!sim[PEI_el_plugloads])/1000</v>
      </c>
      <c r="L183" s="483"/>
      <c r="M183" s="483"/>
      <c r="N183" s="483"/>
      <c r="O183" s="483"/>
      <c r="P183" s="483"/>
      <c r="Q183" s="483"/>
      <c r="R183" s="483"/>
      <c r="AF183">
        <v>42.326097656557124</v>
      </c>
      <c r="AG183">
        <v>42.326097656557124</v>
      </c>
      <c r="AH183">
        <v>42.326097656557124</v>
      </c>
      <c r="AI183">
        <v>42.326097656557124</v>
      </c>
    </row>
    <row r="184" spans="1:35" x14ac:dyDescent="0.25">
      <c r="A184" s="484"/>
      <c r="B184" s="493" t="s">
        <v>1332</v>
      </c>
      <c r="C184" s="484"/>
      <c r="D184" t="s">
        <v>1341</v>
      </c>
      <c r="E184" s="483" t="str">
        <f>LEFT(OUT[[#This Row],[Label]],1)</f>
        <v/>
      </c>
      <c r="F184" s="483"/>
      <c r="G184" s="483"/>
      <c r="H184" s="494" t="s">
        <v>1342</v>
      </c>
      <c r="I184" s="29">
        <f ca="1">SUM([1]!sim[PEI_el_hvac])/1000</f>
        <v>30.487306569305634</v>
      </c>
      <c r="J184" s="565" t="s">
        <v>1335</v>
      </c>
      <c r="K184" s="478" t="str">
        <f ca="1">IFERROR(_xlfn.FORMULATEXT(OUT[[#This Row],[Live]]),"")</f>
        <v>=SUMME(ka_PEQ_Nachweistool.xlsb!sim[PEI_el_hvac])/1000</v>
      </c>
      <c r="L184" s="483"/>
      <c r="M184" s="483"/>
      <c r="N184" s="483"/>
      <c r="O184" s="483"/>
      <c r="P184" s="483"/>
      <c r="Q184" s="483"/>
      <c r="R184" s="483"/>
      <c r="AF184">
        <v>9.3066300102424702</v>
      </c>
      <c r="AG184">
        <v>24.089034616544762</v>
      </c>
      <c r="AH184">
        <v>24.089034616544762</v>
      </c>
      <c r="AI184">
        <v>30.487306569305634</v>
      </c>
    </row>
    <row r="185" spans="1:35" x14ac:dyDescent="0.25">
      <c r="A185" s="479"/>
      <c r="B185" s="480" t="s">
        <v>1332</v>
      </c>
      <c r="C185" s="479"/>
      <c r="D185" t="s">
        <v>1343</v>
      </c>
      <c r="E185" s="483" t="str">
        <f>LEFT(OUT[[#This Row],[Label]],1)</f>
        <v/>
      </c>
      <c r="F185" s="483"/>
      <c r="G185" s="483"/>
      <c r="H185" s="494" t="s">
        <v>1344</v>
      </c>
      <c r="I185" s="29">
        <f ca="1">SUM([1]!sim[PEI_district_heating])/1000</f>
        <v>4.5966637147650244</v>
      </c>
      <c r="J185" s="565" t="s">
        <v>1335</v>
      </c>
      <c r="K185" s="478" t="str">
        <f ca="1">IFERROR(_xlfn.FORMULATEXT(OUT[[#This Row],[Live]]),"")</f>
        <v>=SUMME(ka_PEQ_Nachweistool.xlsb!sim[PEI_district_heating])/1000</v>
      </c>
      <c r="L185" s="483"/>
      <c r="M185" s="483"/>
      <c r="N185" s="483"/>
      <c r="O185" s="483"/>
      <c r="P185" s="483"/>
      <c r="Q185" s="483"/>
      <c r="R185" s="483"/>
      <c r="AF185">
        <v>55.386000337328063</v>
      </c>
      <c r="AG185">
        <v>4.5966637147650244</v>
      </c>
      <c r="AH185">
        <v>4.5966637147650244</v>
      </c>
      <c r="AI185">
        <v>4.5966637147650244</v>
      </c>
    </row>
    <row r="186" spans="1:35" x14ac:dyDescent="0.25">
      <c r="A186" s="484"/>
      <c r="B186" s="493" t="s">
        <v>1332</v>
      </c>
      <c r="C186" s="484"/>
      <c r="D186" t="s">
        <v>1345</v>
      </c>
      <c r="E186" s="483" t="str">
        <f>LEFT(OUT[[#This Row],[Label]],1)</f>
        <v/>
      </c>
      <c r="F186" s="483"/>
      <c r="G186" s="483"/>
      <c r="H186" s="494" t="s">
        <v>1346</v>
      </c>
      <c r="I186" s="29">
        <f ca="1">SUM([1]!sim[PEI_natural_gas])/1000</f>
        <v>0</v>
      </c>
      <c r="J186" s="565" t="s">
        <v>1335</v>
      </c>
      <c r="K186" s="478" t="str">
        <f ca="1">IFERROR(_xlfn.FORMULATEXT(OUT[[#This Row],[Live]]),"")</f>
        <v>=SUMME(ka_PEQ_Nachweistool.xlsb!sim[PEI_natural_gas])/1000</v>
      </c>
      <c r="L186" s="483"/>
      <c r="M186" s="483"/>
      <c r="N186" s="483"/>
      <c r="O186" s="483"/>
      <c r="P186" s="483"/>
      <c r="Q186" s="483"/>
      <c r="R186" s="483"/>
      <c r="AF186">
        <v>0</v>
      </c>
      <c r="AG186">
        <v>0</v>
      </c>
      <c r="AH186">
        <v>0</v>
      </c>
      <c r="AI186">
        <v>0</v>
      </c>
    </row>
    <row r="187" spans="1:35" x14ac:dyDescent="0.25">
      <c r="A187" s="479"/>
      <c r="B187" s="480" t="s">
        <v>1332</v>
      </c>
      <c r="C187" s="479"/>
      <c r="D187" t="s">
        <v>1347</v>
      </c>
      <c r="E187" s="483" t="str">
        <f>LEFT(OUT[[#This Row],[Label]],1)</f>
        <v/>
      </c>
      <c r="F187" s="483"/>
      <c r="G187" s="483"/>
      <c r="H187" s="494" t="s">
        <v>1348</v>
      </c>
      <c r="I187" s="29">
        <f ca="1">SUM([1]!sim[PEI_biomass])/1000</f>
        <v>0</v>
      </c>
      <c r="J187" s="565" t="s">
        <v>1335</v>
      </c>
      <c r="K187" s="478" t="str">
        <f ca="1">IFERROR(_xlfn.FORMULATEXT(OUT[[#This Row],[Live]]),"")</f>
        <v>=SUMME(ka_PEQ_Nachweistool.xlsb!sim[PEI_biomass])/1000</v>
      </c>
      <c r="L187" s="483"/>
      <c r="M187" s="483"/>
      <c r="N187" s="483"/>
      <c r="O187" s="483"/>
      <c r="P187" s="483"/>
      <c r="Q187" s="483"/>
      <c r="R187" s="483"/>
      <c r="AF187">
        <v>0</v>
      </c>
      <c r="AG187">
        <v>0</v>
      </c>
      <c r="AH187">
        <v>0</v>
      </c>
      <c r="AI187">
        <v>0</v>
      </c>
    </row>
    <row r="188" spans="1:35" x14ac:dyDescent="0.25">
      <c r="A188" s="484"/>
      <c r="B188" s="493" t="s">
        <v>1332</v>
      </c>
      <c r="C188" s="484"/>
      <c r="D188" t="s">
        <v>1349</v>
      </c>
      <c r="E188" s="483" t="str">
        <f>LEFT(OUT[[#This Row],[Label]],1)</f>
        <v/>
      </c>
      <c r="F188" s="483"/>
      <c r="G188" s="483"/>
      <c r="H188" s="494" t="s">
        <v>1350</v>
      </c>
      <c r="I188" s="29">
        <f ca="1">SUM([1]!sim[PEI_other])/1000</f>
        <v>0</v>
      </c>
      <c r="J188" s="565" t="s">
        <v>1335</v>
      </c>
      <c r="K188" s="478" t="str">
        <f ca="1">IFERROR(_xlfn.FORMULATEXT(OUT[[#This Row],[Live]]),"")</f>
        <v>=SUMME(ka_PEQ_Nachweistool.xlsb!sim[PEI_other])/1000</v>
      </c>
      <c r="L188" s="483"/>
      <c r="M188" s="483"/>
      <c r="N188" s="483"/>
      <c r="O188" s="483"/>
      <c r="P188" s="483"/>
      <c r="Q188" s="483"/>
      <c r="R188" s="483"/>
      <c r="AF188">
        <v>0</v>
      </c>
      <c r="AG188">
        <v>0</v>
      </c>
      <c r="AH188">
        <v>0</v>
      </c>
      <c r="AI188">
        <v>0</v>
      </c>
    </row>
    <row r="189" spans="1:35" x14ac:dyDescent="0.25">
      <c r="A189" s="479"/>
      <c r="B189" s="480" t="s">
        <v>1332</v>
      </c>
      <c r="C189" s="479"/>
      <c r="D189" s="564" t="s">
        <v>1351</v>
      </c>
      <c r="E189" s="483" t="str">
        <f>LEFT(OUT[[#This Row],[Label]],1)</f>
        <v/>
      </c>
      <c r="F189" s="483"/>
      <c r="G189" s="483"/>
      <c r="H189" s="494" t="s">
        <v>1352</v>
      </c>
      <c r="I189" s="566">
        <f ca="1">PEI_mob_fossile+PEI_mob_el</f>
        <v>22.587894357581032</v>
      </c>
      <c r="J189" s="565" t="s">
        <v>1335</v>
      </c>
      <c r="K189" s="478" t="str">
        <f ca="1">IFERROR(_xlfn.FORMULATEXT(OUT[[#This Row],[Live]]),"")</f>
        <v>=PEI_mob_fossile+PEI_mob_el</v>
      </c>
      <c r="L189" s="483"/>
      <c r="M189" s="483"/>
      <c r="N189" s="483"/>
      <c r="O189" s="483"/>
      <c r="P189" s="483"/>
      <c r="Q189" s="483"/>
      <c r="R189" s="483"/>
      <c r="AF189">
        <v>0</v>
      </c>
      <c r="AG189">
        <v>22.588578520777485</v>
      </c>
      <c r="AH189">
        <v>22.588578520777485</v>
      </c>
      <c r="AI189">
        <v>22.587894357581032</v>
      </c>
    </row>
    <row r="190" spans="1:35" x14ac:dyDescent="0.25">
      <c r="A190" s="484"/>
      <c r="B190" s="493" t="s">
        <v>1332</v>
      </c>
      <c r="C190" s="484"/>
      <c r="D190" t="s">
        <v>1307</v>
      </c>
      <c r="E190" s="483" t="str">
        <f>LEFT(OUT[[#This Row],[Label]],1)</f>
        <v/>
      </c>
      <c r="F190" s="483"/>
      <c r="G190" s="483"/>
      <c r="H190" s="494" t="s">
        <v>1353</v>
      </c>
      <c r="I190" s="567">
        <f>[1]Mobilität!P26</f>
        <v>17.412003486518628</v>
      </c>
      <c r="J190" s="565" t="s">
        <v>1335</v>
      </c>
      <c r="K190" s="478" t="str">
        <f ca="1">IFERROR(_xlfn.FORMULATEXT(OUT[[#This Row],[Live]]),"")</f>
        <v>=[ka_PEQ_Nachweistool.xlsb]Mobilität!P26</v>
      </c>
      <c r="L190" s="483"/>
      <c r="M190" s="483"/>
      <c r="N190" s="483"/>
      <c r="O190" s="483"/>
      <c r="P190" s="483"/>
      <c r="Q190" s="483"/>
      <c r="R190" s="483"/>
      <c r="AF190">
        <v>0</v>
      </c>
      <c r="AG190">
        <v>17.412003486518628</v>
      </c>
      <c r="AH190">
        <v>17.412003486518628</v>
      </c>
      <c r="AI190">
        <v>17.412003486518628</v>
      </c>
    </row>
    <row r="191" spans="1:35" x14ac:dyDescent="0.25">
      <c r="A191" s="479"/>
      <c r="B191" s="480" t="s">
        <v>1332</v>
      </c>
      <c r="C191" s="479"/>
      <c r="D191" t="s">
        <v>1354</v>
      </c>
      <c r="E191" s="483" t="str">
        <f>LEFT(OUT[[#This Row],[Label]],1)</f>
        <v/>
      </c>
      <c r="F191" s="483"/>
      <c r="G191" s="483"/>
      <c r="H191" s="494" t="s">
        <v>1355</v>
      </c>
      <c r="I191" s="29">
        <f ca="1">SUM([1]!sim[PEI_mob_el])/1000</f>
        <v>5.1758908710624043</v>
      </c>
      <c r="J191" s="565" t="s">
        <v>1335</v>
      </c>
      <c r="K191" s="478" t="str">
        <f ca="1">IFERROR(_xlfn.FORMULATEXT(OUT[[#This Row],[Live]]),"")</f>
        <v>=SUMME(ka_PEQ_Nachweistool.xlsb!sim[PEI_mob_el])/1000</v>
      </c>
      <c r="L191" s="483"/>
      <c r="M191" s="483"/>
      <c r="N191" s="483"/>
      <c r="O191" s="483"/>
      <c r="P191" s="483"/>
      <c r="Q191" s="483"/>
      <c r="R191" s="483"/>
      <c r="AF191">
        <v>0</v>
      </c>
      <c r="AG191">
        <v>5.1765750342588568</v>
      </c>
      <c r="AH191">
        <v>5.1765750342588568</v>
      </c>
      <c r="AI191">
        <v>5.1758908710624043</v>
      </c>
    </row>
    <row r="192" spans="1:35" x14ac:dyDescent="0.25">
      <c r="A192" s="484"/>
      <c r="B192" s="493" t="s">
        <v>1332</v>
      </c>
      <c r="C192" s="484"/>
      <c r="D192" s="564"/>
      <c r="E192" s="483" t="str">
        <f>LEFT(OUT[[#This Row],[Label]],1)</f>
        <v/>
      </c>
      <c r="F192" s="483"/>
      <c r="G192" s="483"/>
      <c r="H192" s="494"/>
      <c r="I192" s="482"/>
      <c r="J192" s="483"/>
      <c r="K192" s="478" t="str">
        <f ca="1">IFERROR(_xlfn.FORMULATEXT(OUT[[#This Row],[Live]]),"")</f>
        <v/>
      </c>
      <c r="L192" s="483"/>
      <c r="M192" s="483"/>
      <c r="N192" s="483"/>
      <c r="O192" s="483"/>
      <c r="P192" s="483"/>
      <c r="Q192" s="483"/>
      <c r="R192" s="483"/>
    </row>
    <row r="193" spans="1:35" x14ac:dyDescent="0.25">
      <c r="A193" s="479"/>
      <c r="B193" s="480" t="s">
        <v>1332</v>
      </c>
      <c r="C193" s="479"/>
      <c r="D193" s="564" t="s">
        <v>1356</v>
      </c>
      <c r="E193" s="483"/>
      <c r="F193" s="483"/>
      <c r="G193" s="483"/>
      <c r="H193" s="494" t="s">
        <v>1357</v>
      </c>
      <c r="I193" s="482" t="e">
        <f>context_factor_density</f>
        <v>#DIV/0!</v>
      </c>
      <c r="J193" s="560"/>
      <c r="K193" s="488" t="str">
        <f ca="1">IFERROR(_xlfn.FORMULATEXT(OUT[[#This Row],[Live]]),"")</f>
        <v>=context_factor_density</v>
      </c>
      <c r="L193" s="483"/>
      <c r="M193" s="483"/>
      <c r="N193" s="483"/>
      <c r="O193" s="483"/>
      <c r="P193" s="483"/>
      <c r="Q193" s="483"/>
      <c r="R193" s="483"/>
      <c r="AF193">
        <v>37.949580589476369</v>
      </c>
      <c r="AG193">
        <v>37.949580589476369</v>
      </c>
      <c r="AH193">
        <v>37.949580589476369</v>
      </c>
      <c r="AI193">
        <v>37.949580589476369</v>
      </c>
    </row>
    <row r="194" spans="1:35" x14ac:dyDescent="0.25">
      <c r="A194" s="479"/>
      <c r="B194" s="493" t="s">
        <v>1332</v>
      </c>
      <c r="C194" s="479"/>
      <c r="D194" s="564" t="s">
        <v>1358</v>
      </c>
      <c r="E194" s="483"/>
      <c r="F194" s="483"/>
      <c r="G194" s="483"/>
      <c r="H194" s="494" t="s">
        <v>1359</v>
      </c>
      <c r="I194" s="482">
        <f>mobility_is_included*context_factor_mobility</f>
        <v>0</v>
      </c>
      <c r="J194" s="560"/>
      <c r="K194" s="488" t="str">
        <f ca="1">IFERROR(_xlfn.FORMULATEXT(OUT[[#This Row],[Live]]),"")</f>
        <v>=mobility_is_included*context_factor_mobility</v>
      </c>
      <c r="L194" s="483"/>
      <c r="M194" s="483"/>
      <c r="N194" s="483"/>
      <c r="O194" s="483"/>
      <c r="P194" s="483"/>
      <c r="Q194" s="483"/>
      <c r="R194" s="483"/>
      <c r="AF194">
        <v>0</v>
      </c>
      <c r="AG194">
        <v>16.686366481535043</v>
      </c>
      <c r="AH194">
        <v>16.686366481535043</v>
      </c>
      <c r="AI194">
        <v>16.686366481535043</v>
      </c>
    </row>
    <row r="195" spans="1:35" x14ac:dyDescent="0.25">
      <c r="A195" s="479"/>
      <c r="B195" s="480" t="s">
        <v>1332</v>
      </c>
      <c r="C195" s="479"/>
      <c r="D195" s="564" t="s">
        <v>1360</v>
      </c>
      <c r="E195" s="483"/>
      <c r="F195" s="483"/>
      <c r="G195" s="483"/>
      <c r="H195" s="494" t="s">
        <v>1361</v>
      </c>
      <c r="I195" s="482">
        <f>context_factor_renovation</f>
        <v>0</v>
      </c>
      <c r="J195" s="560"/>
      <c r="K195" s="488" t="str">
        <f ca="1">IFERROR(_xlfn.FORMULATEXT(OUT[[#This Row],[Live]]),"")</f>
        <v>=context_factor_renovation</v>
      </c>
      <c r="L195" s="483"/>
      <c r="M195" s="483"/>
      <c r="N195" s="483"/>
      <c r="O195" s="483"/>
      <c r="P195" s="483"/>
      <c r="Q195" s="483"/>
      <c r="R195" s="483"/>
      <c r="AF195">
        <v>15</v>
      </c>
      <c r="AG195">
        <v>15</v>
      </c>
      <c r="AH195">
        <v>15</v>
      </c>
      <c r="AI195">
        <v>15</v>
      </c>
    </row>
    <row r="196" spans="1:35" x14ac:dyDescent="0.25">
      <c r="A196" s="479"/>
      <c r="B196" s="480" t="s">
        <v>1332</v>
      </c>
      <c r="C196" s="479"/>
      <c r="D196" s="564" t="s">
        <v>1362</v>
      </c>
      <c r="E196" s="483" t="str">
        <f>LEFT(OUT[[#This Row],[Label]],1)</f>
        <v/>
      </c>
      <c r="F196" s="483"/>
      <c r="G196" s="483"/>
      <c r="H196" s="494" t="s">
        <v>1363</v>
      </c>
      <c r="I196" s="482">
        <f>SUMPRODUCT([1]!sim[PV_yield],[1]!sim[cf_PEI_grid])/1000</f>
        <v>31.664495013751075</v>
      </c>
      <c r="J196" s="565" t="s">
        <v>1335</v>
      </c>
      <c r="K196" s="478" t="str">
        <f ca="1">IFERROR(_xlfn.FORMULATEXT(OUT[[#This Row],[Live]]),"")</f>
        <v>=SUMMENPRODUKT(ka_PEQ_Nachweistool.xlsb!sim[PV_yield];ka_PEQ_Nachweistool.xlsb!sim[cf_PEI_grid])/1000</v>
      </c>
      <c r="L196" s="483"/>
      <c r="M196" s="483"/>
      <c r="N196" s="483"/>
      <c r="O196" s="483"/>
      <c r="P196" s="483"/>
      <c r="Q196" s="483"/>
      <c r="R196" s="483"/>
      <c r="AF196">
        <v>31.664495013751075</v>
      </c>
      <c r="AG196">
        <v>31.664495013751075</v>
      </c>
      <c r="AH196">
        <v>31.664495013751075</v>
      </c>
      <c r="AI196">
        <v>31.664495013751075</v>
      </c>
    </row>
    <row r="197" spans="1:35" x14ac:dyDescent="0.25">
      <c r="A197" s="484"/>
      <c r="B197" s="493" t="s">
        <v>1332</v>
      </c>
      <c r="C197" s="484"/>
      <c r="D197" s="564" t="s">
        <v>1364</v>
      </c>
      <c r="E197" s="483" t="str">
        <f>LEFT(OUT[[#This Row],[Label]],1)</f>
        <v/>
      </c>
      <c r="F197" s="483"/>
      <c r="G197" s="483"/>
      <c r="H197" s="494" t="s">
        <v>1365</v>
      </c>
      <c r="I197" s="482">
        <f ca="1">SUM([1]!sim[PEI_flex_grid_substitution])/1000</f>
        <v>16.939075989635256</v>
      </c>
      <c r="J197" s="565" t="s">
        <v>1335</v>
      </c>
      <c r="K197" s="478" t="str">
        <f ca="1">IFERROR(_xlfn.FORMULATEXT(OUT[[#This Row],[Live]]),"")</f>
        <v>=SUMME(ka_PEQ_Nachweistool.xlsb!sim[PEI_flex_grid_substitution])/1000</v>
      </c>
      <c r="L197" s="483"/>
      <c r="M197" s="483"/>
      <c r="N197" s="483"/>
      <c r="O197" s="483"/>
      <c r="P197" s="483"/>
      <c r="Q197" s="483"/>
      <c r="R197" s="483"/>
      <c r="AF197">
        <v>8.0279931543527798</v>
      </c>
      <c r="AG197">
        <v>15.459144449141142</v>
      </c>
      <c r="AH197">
        <v>15.459144449141142</v>
      </c>
      <c r="AI197">
        <v>16.939075989635256</v>
      </c>
    </row>
    <row r="198" spans="1:35" x14ac:dyDescent="0.25">
      <c r="A198" s="484"/>
      <c r="B198" s="493" t="s">
        <v>1332</v>
      </c>
      <c r="C198" s="484"/>
      <c r="D198" t="s">
        <v>1366</v>
      </c>
      <c r="E198" s="483" t="str">
        <f>LEFT(OUT[[#This Row],[Label]],1)</f>
        <v/>
      </c>
      <c r="F198" s="483"/>
      <c r="G198" s="483"/>
      <c r="H198" s="494" t="s">
        <v>1367</v>
      </c>
      <c r="I198" s="482" t="e">
        <f ca="1">PEI_cf_renovation+PEI_cf_mobility+PEI_cf_density+PEI_sub_flex+PEI_sub_PV-PEI_demand-PEI_mob_total</f>
        <v>#DIV/0!</v>
      </c>
      <c r="J198" s="565" t="s">
        <v>1335</v>
      </c>
      <c r="K198" s="478" t="str">
        <f ca="1">IFERROR(_xlfn.FORMULATEXT(OUT[[#This Row],[Live]]),"")</f>
        <v>=PEI_cf_renovation+PEI_cf_mobility+PEI_cf_density+PEI_sub_flex+PEI_sub_PV-PEI_demand-PEI_mob_total</v>
      </c>
      <c r="L198" s="483"/>
      <c r="M198" s="483"/>
      <c r="N198" s="483"/>
      <c r="O198" s="483"/>
      <c r="P198" s="483"/>
      <c r="Q198" s="483"/>
      <c r="R198" s="483"/>
      <c r="AF198">
        <v>-14.376659246547447</v>
      </c>
      <c r="AG198">
        <v>23.159212025259226</v>
      </c>
      <c r="AH198">
        <v>23.159212025259226</v>
      </c>
      <c r="AI198">
        <v>18.241555776188935</v>
      </c>
    </row>
    <row r="199" spans="1:35" x14ac:dyDescent="0.25">
      <c r="A199" s="479"/>
      <c r="B199" s="480"/>
      <c r="C199" s="479"/>
      <c r="D199" s="483"/>
      <c r="E199" s="483" t="str">
        <f>LEFT(OUT[[#This Row],[Label]],1)</f>
        <v/>
      </c>
      <c r="F199" s="483"/>
      <c r="G199" s="483"/>
      <c r="H199" s="494"/>
      <c r="I199" s="482"/>
      <c r="J199" s="483"/>
      <c r="K199" s="478" t="str">
        <f ca="1">IFERROR(_xlfn.FORMULATEXT(OUT[[#This Row],[Live]]),"")</f>
        <v/>
      </c>
      <c r="L199" s="483"/>
      <c r="M199" s="483"/>
      <c r="N199" s="483"/>
      <c r="O199" s="483"/>
      <c r="P199" s="483"/>
      <c r="Q199" s="483"/>
      <c r="R199" s="483"/>
    </row>
    <row r="200" spans="1:35" x14ac:dyDescent="0.25">
      <c r="A200" s="484"/>
      <c r="B200" s="493" t="s">
        <v>1368</v>
      </c>
      <c r="C200" s="484"/>
      <c r="D200" s="426" t="s">
        <v>1012</v>
      </c>
      <c r="E200" s="568" t="s">
        <v>1011</v>
      </c>
      <c r="F200" s="483"/>
      <c r="G200" s="483"/>
      <c r="H200" s="494" t="s">
        <v>1369</v>
      </c>
      <c r="I200" s="482">
        <f>GHG_LCA_timeframe_years*GWP_construction_walls_kgpm2</f>
        <v>4</v>
      </c>
      <c r="J200" s="565" t="s">
        <v>1370</v>
      </c>
      <c r="K200" s="478" t="str">
        <f ca="1">IFERROR(_xlfn.FORMULATEXT(OUT[[#This Row],[Live]]),"")</f>
        <v>=GHG_LCA_timeframe_years*GWP_construction_walls_kgpm2</v>
      </c>
      <c r="L200" s="483"/>
      <c r="M200" s="483"/>
      <c r="N200" s="483"/>
      <c r="O200" s="483"/>
      <c r="P200" s="483"/>
      <c r="Q200" s="483"/>
      <c r="R200" s="483"/>
      <c r="AF200">
        <v>4</v>
      </c>
      <c r="AG200">
        <v>4</v>
      </c>
      <c r="AH200">
        <v>4</v>
      </c>
      <c r="AI200">
        <v>4</v>
      </c>
    </row>
    <row r="201" spans="1:35" x14ac:dyDescent="0.25">
      <c r="A201" s="479"/>
      <c r="B201" s="493" t="s">
        <v>1368</v>
      </c>
      <c r="C201" s="479"/>
      <c r="D201" s="426" t="s">
        <v>1014</v>
      </c>
      <c r="E201" s="568" t="s">
        <v>1011</v>
      </c>
      <c r="F201" s="483"/>
      <c r="G201" s="483"/>
      <c r="H201" s="494" t="s">
        <v>1371</v>
      </c>
      <c r="I201" s="482">
        <f>GHG_LCA_timeframe_years*GWP_construction_windows_kgpm2</f>
        <v>4.5</v>
      </c>
      <c r="J201" s="565" t="s">
        <v>1370</v>
      </c>
      <c r="K201" s="478" t="str">
        <f ca="1">IFERROR(_xlfn.FORMULATEXT(OUT[[#This Row],[Live]]),"")</f>
        <v>=GHG_LCA_timeframe_years*GWP_construction_windows_kgpm2</v>
      </c>
      <c r="L201" s="483"/>
      <c r="M201" s="483"/>
      <c r="N201" s="483"/>
      <c r="O201" s="483"/>
      <c r="P201" s="483"/>
      <c r="Q201" s="483"/>
      <c r="R201" s="483"/>
      <c r="AF201">
        <v>4.5</v>
      </c>
      <c r="AG201">
        <v>4.5</v>
      </c>
      <c r="AH201">
        <v>4.5</v>
      </c>
      <c r="AI201">
        <v>4.5</v>
      </c>
    </row>
    <row r="202" spans="1:35" x14ac:dyDescent="0.25">
      <c r="A202" s="484"/>
      <c r="B202" s="493" t="s">
        <v>1368</v>
      </c>
      <c r="C202" s="484"/>
      <c r="D202" s="426" t="s">
        <v>1015</v>
      </c>
      <c r="E202" s="568" t="s">
        <v>1011</v>
      </c>
      <c r="F202" s="483"/>
      <c r="G202" s="483"/>
      <c r="H202" s="494" t="s">
        <v>1372</v>
      </c>
      <c r="I202" s="482">
        <f>GHG_LCA_timeframe_years*GWP_construction_roof_kgpm2</f>
        <v>-12</v>
      </c>
      <c r="J202" s="565" t="s">
        <v>1370</v>
      </c>
      <c r="K202" s="478" t="str">
        <f ca="1">IFERROR(_xlfn.FORMULATEXT(OUT[[#This Row],[Live]]),"")</f>
        <v>=GHG_LCA_timeframe_years*GWP_construction_roof_kgpm2</v>
      </c>
      <c r="L202" s="483"/>
      <c r="M202" s="483"/>
      <c r="N202" s="483"/>
      <c r="O202" s="483"/>
      <c r="P202" s="483"/>
      <c r="Q202" s="483"/>
      <c r="R202" s="483"/>
      <c r="AF202">
        <v>-12</v>
      </c>
      <c r="AG202">
        <v>-12</v>
      </c>
      <c r="AH202">
        <v>-12</v>
      </c>
      <c r="AI202">
        <v>-12</v>
      </c>
    </row>
    <row r="203" spans="1:35" x14ac:dyDescent="0.25">
      <c r="A203" s="479"/>
      <c r="B203" s="493" t="s">
        <v>1368</v>
      </c>
      <c r="C203" s="479"/>
      <c r="D203" s="426" t="s">
        <v>1016</v>
      </c>
      <c r="E203" s="568" t="s">
        <v>1011</v>
      </c>
      <c r="F203" s="483"/>
      <c r="G203" s="483"/>
      <c r="H203" s="494" t="s">
        <v>1373</v>
      </c>
      <c r="I203" s="482">
        <f>GHG_LCA_timeframe_years*GWP_construction_ground_kgpm2</f>
        <v>-6.5</v>
      </c>
      <c r="J203" s="565" t="s">
        <v>1370</v>
      </c>
      <c r="K203" s="478" t="str">
        <f ca="1">IFERROR(_xlfn.FORMULATEXT(OUT[[#This Row],[Live]]),"")</f>
        <v>=GHG_LCA_timeframe_years*GWP_construction_ground_kgpm2</v>
      </c>
      <c r="L203" s="483"/>
      <c r="M203" s="483"/>
      <c r="N203" s="483"/>
      <c r="O203" s="483"/>
      <c r="P203" s="483"/>
      <c r="Q203" s="483"/>
      <c r="R203" s="483"/>
      <c r="AF203">
        <v>-6.5</v>
      </c>
      <c r="AG203">
        <v>-6.5</v>
      </c>
      <c r="AH203">
        <v>-6.5</v>
      </c>
      <c r="AI203">
        <v>-6.5</v>
      </c>
    </row>
    <row r="204" spans="1:35" x14ac:dyDescent="0.25">
      <c r="A204" s="484"/>
      <c r="B204" s="493" t="s">
        <v>1368</v>
      </c>
      <c r="C204" s="484"/>
      <c r="D204" s="426" t="s">
        <v>1017</v>
      </c>
      <c r="E204" s="568" t="s">
        <v>1011</v>
      </c>
      <c r="F204" s="483"/>
      <c r="G204" s="483"/>
      <c r="H204" s="494" t="s">
        <v>1374</v>
      </c>
      <c r="I204" s="482">
        <f>GHG_LCA_timeframe_years*GWP_construction_ceil_kgpm2</f>
        <v>0</v>
      </c>
      <c r="J204" s="565" t="s">
        <v>1370</v>
      </c>
      <c r="K204" s="478" t="str">
        <f ca="1">IFERROR(_xlfn.FORMULATEXT(OUT[[#This Row],[Live]]),"")</f>
        <v>=GHG_LCA_timeframe_years*GWP_construction_ceil_kgpm2</v>
      </c>
      <c r="L204" s="483"/>
      <c r="M204" s="483"/>
      <c r="N204" s="483"/>
      <c r="O204" s="483"/>
      <c r="P204" s="483"/>
      <c r="Q204" s="483"/>
      <c r="R204" s="483"/>
      <c r="AF204">
        <v>0</v>
      </c>
      <c r="AG204">
        <v>0</v>
      </c>
      <c r="AH204">
        <v>0</v>
      </c>
      <c r="AI204">
        <v>0</v>
      </c>
    </row>
    <row r="205" spans="1:35" x14ac:dyDescent="0.25">
      <c r="A205" s="479"/>
      <c r="B205" s="493" t="s">
        <v>1368</v>
      </c>
      <c r="C205" s="479"/>
      <c r="D205" s="426" t="s">
        <v>1018</v>
      </c>
      <c r="E205" s="568" t="s">
        <v>1011</v>
      </c>
      <c r="F205" s="483"/>
      <c r="G205" s="483"/>
      <c r="H205" s="494" t="s">
        <v>1375</v>
      </c>
      <c r="I205" s="482">
        <f>GHG_LCA_timeframe_years*GWP_construction_other_kgpm2</f>
        <v>2.5</v>
      </c>
      <c r="J205" s="565" t="s">
        <v>1370</v>
      </c>
      <c r="K205" s="478" t="str">
        <f ca="1">IFERROR(_xlfn.FORMULATEXT(OUT[[#This Row],[Live]]),"")</f>
        <v>=GHG_LCA_timeframe_years*GWP_construction_other_kgpm2</v>
      </c>
      <c r="L205" s="483"/>
      <c r="M205" s="483"/>
      <c r="N205" s="483"/>
      <c r="O205" s="483"/>
      <c r="P205" s="483"/>
      <c r="Q205" s="483"/>
      <c r="R205" s="483"/>
      <c r="AF205">
        <v>2.5</v>
      </c>
      <c r="AG205">
        <v>2.5</v>
      </c>
      <c r="AH205">
        <v>2.5</v>
      </c>
      <c r="AI205">
        <v>2.5</v>
      </c>
    </row>
    <row r="206" spans="1:35" x14ac:dyDescent="0.25">
      <c r="A206" s="484"/>
      <c r="B206" s="493" t="s">
        <v>1368</v>
      </c>
      <c r="C206" s="484"/>
      <c r="D206" s="569" t="s">
        <v>1376</v>
      </c>
      <c r="E206" s="568" t="s">
        <v>1011</v>
      </c>
      <c r="F206" s="483"/>
      <c r="G206" s="483"/>
      <c r="H206" s="494" t="s">
        <v>1377</v>
      </c>
      <c r="I206" s="570">
        <f>GWP_ee_lc_walls+GWP_ee_lc_windows+GWP_ee_lc_roof+GWP_ee_lc_ground+GWP_ee_lc_ceil+GWP_ee_lc_other</f>
        <v>-7.5</v>
      </c>
      <c r="J206" s="565" t="s">
        <v>1370</v>
      </c>
      <c r="K206" s="478" t="str">
        <f ca="1">IFERROR(_xlfn.FORMULATEXT(OUT[[#This Row],[Live]]),"")</f>
        <v>=GWP_ee_lc_walls+GWP_ee_lc_windows+GWP_ee_lc_roof+GWP_ee_lc_ground+GWP_ee_lc_ceil+GWP_ee_lc_other</v>
      </c>
      <c r="L206" s="483"/>
      <c r="M206" s="483"/>
      <c r="N206" s="483"/>
      <c r="O206" s="483"/>
      <c r="P206" s="483"/>
      <c r="Q206" s="483"/>
      <c r="R206" s="483"/>
      <c r="AF206">
        <v>-7.5</v>
      </c>
      <c r="AG206">
        <v>-7.5</v>
      </c>
      <c r="AH206">
        <v>-7.5</v>
      </c>
      <c r="AI206">
        <v>-7.5</v>
      </c>
    </row>
    <row r="207" spans="1:35" x14ac:dyDescent="0.25">
      <c r="A207" s="479"/>
      <c r="B207" s="493" t="s">
        <v>1368</v>
      </c>
      <c r="C207" s="479"/>
      <c r="D207" s="426" t="s">
        <v>1019</v>
      </c>
      <c r="E207" s="568" t="s">
        <v>1011</v>
      </c>
      <c r="F207" s="483"/>
      <c r="G207" s="483"/>
      <c r="H207" s="494" t="s">
        <v>1378</v>
      </c>
      <c r="I207" s="482">
        <f>GHG_LCA_timeframe_years*GWP_construction_pv</f>
        <v>50</v>
      </c>
      <c r="J207" s="565" t="s">
        <v>1370</v>
      </c>
      <c r="K207" s="488" t="str">
        <f ca="1">IFERROR(_xlfn.FORMULATEXT(OUT[[#This Row],[Live]]),"")</f>
        <v>=GHG_LCA_timeframe_years*GWP_construction_pv</v>
      </c>
      <c r="L207" s="483"/>
      <c r="M207" s="483"/>
      <c r="N207" s="483"/>
      <c r="O207" s="483"/>
      <c r="P207" s="483"/>
      <c r="Q207" s="483"/>
      <c r="R207" s="483"/>
      <c r="AF207">
        <v>50</v>
      </c>
      <c r="AG207">
        <v>50</v>
      </c>
      <c r="AH207">
        <v>50</v>
      </c>
      <c r="AI207">
        <v>50</v>
      </c>
    </row>
    <row r="208" spans="1:35" x14ac:dyDescent="0.25">
      <c r="A208" s="479"/>
      <c r="B208" s="493" t="s">
        <v>1368</v>
      </c>
      <c r="C208" s="479"/>
      <c r="D208" s="426" t="s">
        <v>1020</v>
      </c>
      <c r="E208" s="568" t="s">
        <v>1011</v>
      </c>
      <c r="F208" s="483"/>
      <c r="G208" s="483"/>
      <c r="H208" s="494" t="s">
        <v>1379</v>
      </c>
      <c r="I208" s="482">
        <f>GHG_LCA_timeframe_years*GWP_construction_boreholes</f>
        <v>10</v>
      </c>
      <c r="J208" s="565" t="s">
        <v>1370</v>
      </c>
      <c r="K208" s="488" t="str">
        <f ca="1">IFERROR(_xlfn.FORMULATEXT(OUT[[#This Row],[Live]]),"")</f>
        <v>=GHG_LCA_timeframe_years*GWP_construction_boreholes</v>
      </c>
      <c r="L208" s="483"/>
      <c r="M208" s="483"/>
      <c r="N208" s="483"/>
      <c r="O208" s="483"/>
      <c r="P208" s="483"/>
      <c r="Q208" s="483"/>
      <c r="R208" s="483"/>
      <c r="AF208">
        <v>10</v>
      </c>
      <c r="AG208">
        <v>10</v>
      </c>
      <c r="AH208">
        <v>10</v>
      </c>
      <c r="AI208">
        <v>10</v>
      </c>
    </row>
    <row r="209" spans="1:35" x14ac:dyDescent="0.25">
      <c r="A209" s="479"/>
      <c r="B209" s="493" t="s">
        <v>1368</v>
      </c>
      <c r="C209" s="479"/>
      <c r="D209" s="426" t="s">
        <v>1021</v>
      </c>
      <c r="E209" s="568" t="s">
        <v>1011</v>
      </c>
      <c r="F209" s="483"/>
      <c r="G209" s="483"/>
      <c r="H209" s="494" t="s">
        <v>1380</v>
      </c>
      <c r="I209" s="482">
        <f>GHG_LCA_timeframe_years*GWP_construction_mechvent</f>
        <v>3</v>
      </c>
      <c r="J209" s="565" t="s">
        <v>1370</v>
      </c>
      <c r="K209" s="488" t="str">
        <f ca="1">IFERROR(_xlfn.FORMULATEXT(OUT[[#This Row],[Live]]),"")</f>
        <v>=GHG_LCA_timeframe_years*GWP_construction_mechvent</v>
      </c>
      <c r="L209" s="483"/>
      <c r="M209" s="483"/>
      <c r="N209" s="483"/>
      <c r="O209" s="483"/>
      <c r="P209" s="483"/>
      <c r="Q209" s="483"/>
      <c r="R209" s="483"/>
      <c r="AF209">
        <v>3</v>
      </c>
      <c r="AG209">
        <v>3</v>
      </c>
      <c r="AH209">
        <v>3</v>
      </c>
      <c r="AI209">
        <v>3</v>
      </c>
    </row>
    <row r="210" spans="1:35" x14ac:dyDescent="0.25">
      <c r="A210" s="479"/>
      <c r="B210" s="493" t="s">
        <v>1368</v>
      </c>
      <c r="C210" s="479"/>
      <c r="D210" s="426" t="s">
        <v>1022</v>
      </c>
      <c r="E210" s="568" t="s">
        <v>1011</v>
      </c>
      <c r="F210" s="483"/>
      <c r="G210" s="483"/>
      <c r="H210" s="494" t="s">
        <v>1381</v>
      </c>
      <c r="I210" s="482">
        <f>GHG_LCA_timeframe_years*GWP_construction_solarthermal</f>
        <v>0</v>
      </c>
      <c r="J210" s="565" t="s">
        <v>1370</v>
      </c>
      <c r="K210" s="488" t="str">
        <f ca="1">IFERROR(_xlfn.FORMULATEXT(OUT[[#This Row],[Live]]),"")</f>
        <v>=GHG_LCA_timeframe_years*GWP_construction_solarthermal</v>
      </c>
      <c r="L210" s="483"/>
      <c r="M210" s="483"/>
      <c r="N210" s="483"/>
      <c r="O210" s="483"/>
      <c r="P210" s="483"/>
      <c r="Q210" s="483"/>
      <c r="R210" s="483"/>
      <c r="AF210">
        <v>0</v>
      </c>
      <c r="AG210">
        <v>0</v>
      </c>
      <c r="AH210">
        <v>0</v>
      </c>
      <c r="AI210">
        <v>0</v>
      </c>
    </row>
    <row r="211" spans="1:35" x14ac:dyDescent="0.25">
      <c r="A211" s="479"/>
      <c r="B211" s="493" t="s">
        <v>1368</v>
      </c>
      <c r="C211" s="479"/>
      <c r="D211" s="426" t="s">
        <v>1023</v>
      </c>
      <c r="E211" s="568" t="s">
        <v>1011</v>
      </c>
      <c r="F211" s="483"/>
      <c r="G211" s="483"/>
      <c r="H211" s="494" t="s">
        <v>1382</v>
      </c>
      <c r="I211" s="482">
        <f>GHG_LCA_timeframe_years*GWP_construction_other_hvac</f>
        <v>10</v>
      </c>
      <c r="J211" s="565" t="s">
        <v>1370</v>
      </c>
      <c r="K211" s="488" t="str">
        <f ca="1">IFERROR(_xlfn.FORMULATEXT(OUT[[#This Row],[Live]]),"")</f>
        <v>=GHG_LCA_timeframe_years*GWP_construction_other_hvac</v>
      </c>
      <c r="L211" s="483"/>
      <c r="M211" s="483"/>
      <c r="N211" s="483"/>
      <c r="O211" s="483"/>
      <c r="P211" s="483"/>
      <c r="Q211" s="483"/>
      <c r="R211" s="483"/>
      <c r="AF211">
        <v>10</v>
      </c>
      <c r="AG211">
        <v>10</v>
      </c>
      <c r="AH211">
        <v>10</v>
      </c>
      <c r="AI211">
        <v>10</v>
      </c>
    </row>
    <row r="212" spans="1:35" x14ac:dyDescent="0.25">
      <c r="A212" s="479"/>
      <c r="B212" s="480" t="s">
        <v>1368</v>
      </c>
      <c r="C212" s="479"/>
      <c r="D212" s="569" t="s">
        <v>1383</v>
      </c>
      <c r="E212" s="568" t="s">
        <v>1011</v>
      </c>
      <c r="F212" s="483"/>
      <c r="G212" s="483"/>
      <c r="H212" s="494" t="s">
        <v>1384</v>
      </c>
      <c r="I212" s="482">
        <f>GWP_ee_lc_pv+GWP_ee_lc_boreholes+GWP_ee_lc_mechvent+GWP_ee_lc_solarthermal+GWP_ee_lc_other_hvac</f>
        <v>73</v>
      </c>
      <c r="J212" s="565" t="s">
        <v>1370</v>
      </c>
      <c r="K212" s="478" t="str">
        <f ca="1">IFERROR(_xlfn.FORMULATEXT(OUT[[#This Row],[Live]]),"")</f>
        <v>=GWP_ee_lc_pv+GWP_ee_lc_boreholes+GWP_ee_lc_mechvent+GWP_ee_lc_solarthermal+GWP_ee_lc_other_hvac</v>
      </c>
      <c r="L212" s="483"/>
      <c r="M212" s="483"/>
      <c r="N212" s="483"/>
      <c r="O212" s="483"/>
      <c r="P212" s="483"/>
      <c r="Q212" s="483"/>
      <c r="R212" s="483"/>
      <c r="AF212">
        <v>73</v>
      </c>
      <c r="AG212">
        <v>73</v>
      </c>
      <c r="AH212">
        <v>73</v>
      </c>
      <c r="AI212">
        <v>73</v>
      </c>
    </row>
    <row r="213" spans="1:35" x14ac:dyDescent="0.25">
      <c r="A213" s="484"/>
      <c r="B213" s="493" t="s">
        <v>1368</v>
      </c>
      <c r="C213" s="484"/>
      <c r="D213" s="569" t="s">
        <v>1385</v>
      </c>
      <c r="E213" s="568" t="s">
        <v>1011</v>
      </c>
      <c r="F213" s="483"/>
      <c r="G213" s="483"/>
      <c r="H213" s="494"/>
      <c r="I213" s="482"/>
      <c r="J213" s="483"/>
      <c r="K213" s="478" t="str">
        <f ca="1">IFERROR(_xlfn.FORMULATEXT(OUT[[#This Row],[Live]]),"")</f>
        <v/>
      </c>
      <c r="L213" s="483"/>
      <c r="M213" s="483"/>
      <c r="N213" s="483"/>
      <c r="O213" s="483"/>
      <c r="P213" s="483"/>
      <c r="Q213" s="483"/>
      <c r="R213" s="483"/>
    </row>
    <row r="214" spans="1:35" x14ac:dyDescent="0.25">
      <c r="A214" s="479"/>
      <c r="B214" s="480"/>
      <c r="C214" s="479"/>
      <c r="D214" s="426" t="s">
        <v>1386</v>
      </c>
      <c r="E214" s="568" t="s">
        <v>1011</v>
      </c>
      <c r="F214" s="483"/>
      <c r="G214" s="483"/>
      <c r="H214" s="494"/>
      <c r="I214" s="514">
        <f>GHG_LCA_timeframe_years*[1]Mobilität!AB8*(1-EV_share)</f>
        <v>195.41863685528909</v>
      </c>
      <c r="J214" s="565" t="s">
        <v>1370</v>
      </c>
      <c r="K214" s="488" t="str">
        <f ca="1">IFERROR(_xlfn.FORMULATEXT(OUT[[#This Row],[Live]]),"")</f>
        <v>=GHG_LCA_timeframe_years*[ka_PEQ_Nachweistool.xlsb]Mobilität!AB8*(1-EV_share)</v>
      </c>
      <c r="L214" s="483"/>
      <c r="M214" s="483"/>
      <c r="N214" s="483"/>
      <c r="O214" s="483"/>
      <c r="P214" s="483"/>
      <c r="Q214" s="483"/>
      <c r="R214" s="483"/>
      <c r="AG214">
        <v>195.41863685528909</v>
      </c>
      <c r="AH214">
        <v>195.41863685528909</v>
      </c>
      <c r="AI214">
        <v>195.41863685528909</v>
      </c>
    </row>
    <row r="215" spans="1:35" x14ac:dyDescent="0.25">
      <c r="A215" s="479"/>
      <c r="B215" s="480"/>
      <c r="C215" s="479"/>
      <c r="D215" s="426" t="s">
        <v>1387</v>
      </c>
      <c r="E215" s="568" t="s">
        <v>1011</v>
      </c>
      <c r="F215" s="483"/>
      <c r="G215" s="483"/>
      <c r="H215" s="494"/>
      <c r="I215" s="482"/>
      <c r="J215" s="560"/>
      <c r="K215" s="488" t="str">
        <f ca="1">IFERROR(_xlfn.FORMULATEXT(OUT[[#This Row],[Live]]),"")</f>
        <v/>
      </c>
      <c r="L215" s="483"/>
      <c r="M215" s="483"/>
      <c r="N215" s="483"/>
      <c r="O215" s="483"/>
      <c r="P215" s="483"/>
      <c r="Q215" s="483"/>
      <c r="R215" s="483"/>
    </row>
    <row r="216" spans="1:35" x14ac:dyDescent="0.25">
      <c r="A216" s="484"/>
      <c r="B216" s="493" t="s">
        <v>1368</v>
      </c>
      <c r="C216" s="484"/>
      <c r="D216" s="569" t="s">
        <v>1388</v>
      </c>
      <c r="E216" s="568" t="s">
        <v>1011</v>
      </c>
      <c r="F216" s="483"/>
      <c r="G216" s="483"/>
      <c r="H216" s="494"/>
      <c r="I216" s="482"/>
      <c r="J216" s="483"/>
      <c r="K216" s="478" t="str">
        <f ca="1">IFERROR(_xlfn.FORMULATEXT(OUT[[#This Row],[Live]]),"")</f>
        <v/>
      </c>
      <c r="L216" s="483"/>
      <c r="M216" s="483"/>
      <c r="N216" s="483"/>
      <c r="O216" s="483"/>
      <c r="P216" s="483"/>
      <c r="Q216" s="483"/>
      <c r="R216" s="483"/>
    </row>
    <row r="217" spans="1:35" x14ac:dyDescent="0.25">
      <c r="A217" s="479"/>
      <c r="B217" s="480"/>
      <c r="C217" s="479"/>
      <c r="D217" s="426" t="s">
        <v>1389</v>
      </c>
      <c r="E217" s="571" t="str">
        <f>LEFT(OUT[[#This Row],[Label]],1)</f>
        <v/>
      </c>
      <c r="F217" s="483"/>
      <c r="G217" s="483"/>
      <c r="H217" s="494"/>
      <c r="I217" s="482">
        <f ca="1">GHG_LCA_timeframe_years*SUMPRODUCT([1]!sim[cf_GHG_grid],[1]!sim[Grid_to_plugloads])/1000</f>
        <v>146.88270343411352</v>
      </c>
      <c r="J217" s="565" t="s">
        <v>1370</v>
      </c>
      <c r="K217" s="488" t="str">
        <f ca="1">IFERROR(_xlfn.FORMULATEXT(OUT[[#This Row],[Live]]),"")</f>
        <v>=GHG_LCA_timeframe_years*SUMMENPRODUKT(ka_PEQ_Nachweistool.xlsb!sim[cf_GHG_grid];ka_PEQ_Nachweistool.xlsb!sim[Grid_to_plugloads])/1000</v>
      </c>
      <c r="L217" s="483"/>
      <c r="M217" s="483"/>
      <c r="N217" s="483"/>
      <c r="O217" s="483"/>
      <c r="P217" s="483"/>
      <c r="Q217" s="483"/>
      <c r="R217" s="483"/>
      <c r="AG217">
        <v>146.88270343411352</v>
      </c>
      <c r="AH217">
        <v>146.88270343411352</v>
      </c>
      <c r="AI217">
        <v>146.88270343411352</v>
      </c>
    </row>
    <row r="218" spans="1:35" x14ac:dyDescent="0.25">
      <c r="A218" s="479"/>
      <c r="B218" s="480"/>
      <c r="C218" s="479"/>
      <c r="D218" s="426" t="s">
        <v>1390</v>
      </c>
      <c r="E218" s="571" t="str">
        <f>LEFT(OUT[[#This Row],[Label]],1)</f>
        <v/>
      </c>
      <c r="F218" s="483"/>
      <c r="G218" s="483"/>
      <c r="H218" s="494"/>
      <c r="I218" s="482">
        <f ca="1">GHG_LCA_timeframe_years*SUMPRODUCT([1]!sim[cf_GHG_grid],[1]!sim[Grid_to_HVAC_min])/1000</f>
        <v>88.194572120774751</v>
      </c>
      <c r="J218" s="565" t="s">
        <v>1370</v>
      </c>
      <c r="K218" s="488" t="str">
        <f ca="1">IFERROR(_xlfn.FORMULATEXT(OUT[[#This Row],[Live]]),"")</f>
        <v>=GHG_LCA_timeframe_years*SUMMENPRODUKT(ka_PEQ_Nachweistool.xlsb!sim[cf_GHG_grid];ka_PEQ_Nachweistool.xlsb!sim[Grid_to_HVAC_min])/1000</v>
      </c>
      <c r="L218" s="483"/>
      <c r="M218" s="483"/>
      <c r="N218" s="483"/>
      <c r="O218" s="483"/>
      <c r="P218" s="483"/>
      <c r="Q218" s="483"/>
      <c r="R218" s="483"/>
      <c r="AG218">
        <v>83.075449919149918</v>
      </c>
      <c r="AH218">
        <v>83.075449919149918</v>
      </c>
      <c r="AI218">
        <v>88.194572120774751</v>
      </c>
    </row>
    <row r="219" spans="1:35" x14ac:dyDescent="0.25">
      <c r="A219" s="479"/>
      <c r="B219" s="480"/>
      <c r="C219" s="479"/>
      <c r="D219" s="426" t="s">
        <v>1391</v>
      </c>
      <c r="E219" s="571" t="str">
        <f>LEFT(OUT[[#This Row],[Label]],1)</f>
        <v/>
      </c>
      <c r="F219" s="483"/>
      <c r="G219" s="483"/>
      <c r="H219" s="494"/>
      <c r="I219" s="482"/>
      <c r="J219" s="560"/>
      <c r="K219" s="488" t="str">
        <f ca="1">IFERROR(_xlfn.FORMULATEXT(OUT[[#This Row],[Live]]),"")</f>
        <v/>
      </c>
      <c r="L219" s="483"/>
      <c r="M219" s="483"/>
      <c r="N219" s="483"/>
      <c r="O219" s="483"/>
      <c r="P219" s="483"/>
      <c r="Q219" s="483"/>
      <c r="R219" s="483"/>
    </row>
    <row r="220" spans="1:35" x14ac:dyDescent="0.25">
      <c r="A220" s="479"/>
      <c r="B220" s="480"/>
      <c r="C220" s="479"/>
      <c r="D220" s="426"/>
      <c r="E220" s="571" t="str">
        <f>LEFT(OUT[[#This Row],[Label]],1)</f>
        <v/>
      </c>
      <c r="F220" s="483"/>
      <c r="G220" s="483"/>
      <c r="H220" s="494"/>
      <c r="I220" s="482"/>
      <c r="J220" s="560"/>
      <c r="K220" s="488" t="str">
        <f ca="1">IFERROR(_xlfn.FORMULATEXT(OUT[[#This Row],[Live]]),"")</f>
        <v/>
      </c>
      <c r="L220" s="483"/>
      <c r="M220" s="483"/>
      <c r="N220" s="483"/>
      <c r="O220" s="483"/>
      <c r="P220" s="483"/>
      <c r="Q220" s="483"/>
      <c r="R220" s="483"/>
    </row>
    <row r="221" spans="1:35" x14ac:dyDescent="0.25">
      <c r="A221" s="479"/>
      <c r="B221" s="480" t="s">
        <v>1368</v>
      </c>
      <c r="C221" s="479"/>
      <c r="D221" s="569" t="s">
        <v>1392</v>
      </c>
      <c r="E221" s="568" t="s">
        <v>1011</v>
      </c>
      <c r="F221" s="483"/>
      <c r="G221" s="483"/>
      <c r="H221" s="494"/>
      <c r="I221" s="482"/>
      <c r="J221" s="483"/>
      <c r="K221" s="478" t="str">
        <f ca="1">IFERROR(_xlfn.FORMULATEXT(OUT[[#This Row],[Live]]),"")</f>
        <v/>
      </c>
      <c r="L221" s="483"/>
      <c r="M221" s="483"/>
      <c r="N221" s="483"/>
      <c r="O221" s="483"/>
      <c r="P221" s="483"/>
      <c r="Q221" s="483"/>
      <c r="R221" s="483"/>
    </row>
    <row r="222" spans="1:35" x14ac:dyDescent="0.25">
      <c r="A222" s="484"/>
      <c r="B222" s="493"/>
      <c r="C222" s="484"/>
      <c r="D222" s="483"/>
      <c r="E222" s="483" t="str">
        <f>LEFT(OUT[[#This Row],[Label]],1)</f>
        <v/>
      </c>
      <c r="F222" s="483"/>
      <c r="G222" s="483"/>
      <c r="H222" s="494"/>
      <c r="I222" s="482"/>
      <c r="J222" s="483"/>
      <c r="K222" s="478" t="str">
        <f ca="1">IFERROR(_xlfn.FORMULATEXT(OUT[[#This Row],[Live]]),"")</f>
        <v/>
      </c>
      <c r="L222" s="483"/>
      <c r="M222" s="483"/>
      <c r="N222" s="483"/>
      <c r="O222" s="483"/>
      <c r="P222" s="483"/>
      <c r="Q222" s="483"/>
      <c r="R222" s="483"/>
    </row>
    <row r="223" spans="1:35" x14ac:dyDescent="0.25">
      <c r="A223" s="479"/>
      <c r="B223" s="480"/>
      <c r="C223" s="479"/>
      <c r="D223" s="483"/>
      <c r="E223" s="483" t="str">
        <f>LEFT(OUT[[#This Row],[Label]],1)</f>
        <v/>
      </c>
      <c r="F223" s="483"/>
      <c r="G223" s="483"/>
      <c r="H223" s="494"/>
      <c r="I223" s="482"/>
      <c r="J223" s="483"/>
      <c r="K223" s="478" t="str">
        <f ca="1">IFERROR(_xlfn.FORMULATEXT(OUT[[#This Row],[Live]]),"")</f>
        <v/>
      </c>
      <c r="L223" s="483"/>
      <c r="M223" s="483"/>
      <c r="N223" s="483"/>
      <c r="O223" s="483"/>
      <c r="P223" s="483"/>
      <c r="Q223" s="483"/>
      <c r="R223" s="483"/>
    </row>
    <row r="224" spans="1:35" x14ac:dyDescent="0.25">
      <c r="A224" s="484"/>
      <c r="B224" s="493"/>
      <c r="C224" s="484"/>
      <c r="D224" s="483"/>
      <c r="E224" s="483" t="str">
        <f>LEFT(OUT[[#This Row],[Label]],1)</f>
        <v/>
      </c>
      <c r="F224" s="483"/>
      <c r="G224" s="483"/>
      <c r="H224" s="494"/>
      <c r="I224" s="482"/>
      <c r="J224" s="483"/>
      <c r="K224" s="478" t="str">
        <f ca="1">IFERROR(_xlfn.FORMULATEXT(OUT[[#This Row],[Live]]),"")</f>
        <v/>
      </c>
      <c r="L224" s="483"/>
      <c r="M224" s="483"/>
      <c r="N224" s="483"/>
      <c r="O224" s="483"/>
      <c r="P224" s="483"/>
      <c r="Q224" s="483"/>
      <c r="R224" s="483"/>
    </row>
    <row r="225" spans="1:18" x14ac:dyDescent="0.25">
      <c r="A225" s="479"/>
      <c r="B225" s="480"/>
      <c r="C225" s="479"/>
      <c r="D225" s="483"/>
      <c r="E225" s="483" t="str">
        <f>LEFT(OUT[[#This Row],[Label]],1)</f>
        <v/>
      </c>
      <c r="F225" s="483"/>
      <c r="G225" s="483"/>
      <c r="H225" s="494"/>
      <c r="I225" s="482"/>
      <c r="J225" s="483"/>
      <c r="K225" s="478" t="str">
        <f ca="1">IFERROR(_xlfn.FORMULATEXT(OUT[[#This Row],[Live]]),"")</f>
        <v/>
      </c>
      <c r="L225" s="483"/>
      <c r="M225" s="483"/>
      <c r="N225" s="483"/>
      <c r="O225" s="483"/>
      <c r="P225" s="483"/>
      <c r="Q225" s="483"/>
      <c r="R225" s="483"/>
    </row>
    <row r="226" spans="1:18" x14ac:dyDescent="0.25">
      <c r="A226" s="484"/>
      <c r="B226" s="493"/>
      <c r="C226" s="484"/>
      <c r="D226" s="483"/>
      <c r="E226" s="483" t="str">
        <f>LEFT(OUT[[#This Row],[Label]],1)</f>
        <v/>
      </c>
      <c r="F226" s="483"/>
      <c r="G226" s="483"/>
      <c r="H226" s="494"/>
      <c r="I226" s="482"/>
      <c r="J226" s="483"/>
      <c r="K226" s="478" t="str">
        <f ca="1">IFERROR(_xlfn.FORMULATEXT(OUT[[#This Row],[Live]]),"")</f>
        <v/>
      </c>
      <c r="L226" s="483"/>
      <c r="M226" s="483"/>
      <c r="N226" s="483"/>
      <c r="O226" s="483"/>
      <c r="P226" s="483"/>
      <c r="Q226" s="483"/>
      <c r="R226" s="483"/>
    </row>
    <row r="227" spans="1:18" x14ac:dyDescent="0.25">
      <c r="A227" s="479"/>
      <c r="B227" s="480"/>
      <c r="C227" s="479"/>
      <c r="D227" s="483"/>
      <c r="E227" s="483" t="str">
        <f>LEFT(OUT[[#This Row],[Label]],1)</f>
        <v/>
      </c>
      <c r="F227" s="483"/>
      <c r="G227" s="483"/>
      <c r="H227" s="494"/>
      <c r="I227" s="482"/>
      <c r="J227" s="483"/>
      <c r="K227" s="478" t="str">
        <f ca="1">IFERROR(_xlfn.FORMULATEXT(OUT[[#This Row],[Live]]),"")</f>
        <v/>
      </c>
      <c r="L227" s="483"/>
      <c r="M227" s="483"/>
      <c r="N227" s="483"/>
      <c r="O227" s="483"/>
      <c r="P227" s="483"/>
      <c r="Q227" s="483"/>
      <c r="R227" s="483"/>
    </row>
    <row r="228" spans="1:18" x14ac:dyDescent="0.25">
      <c r="A228" s="484"/>
      <c r="B228" s="493"/>
      <c r="C228" s="484"/>
      <c r="D228" s="483"/>
      <c r="E228" s="483" t="str">
        <f>LEFT(OUT[[#This Row],[Label]],1)</f>
        <v/>
      </c>
      <c r="F228" s="483"/>
      <c r="G228" s="483"/>
      <c r="H228" s="494"/>
      <c r="I228" s="482"/>
      <c r="J228" s="483"/>
      <c r="K228" s="478" t="str">
        <f ca="1">IFERROR(_xlfn.FORMULATEXT(OUT[[#This Row],[Live]]),"")</f>
        <v/>
      </c>
      <c r="L228" s="483"/>
      <c r="M228" s="483"/>
      <c r="N228" s="483"/>
      <c r="O228" s="483"/>
      <c r="P228" s="483"/>
      <c r="Q228" s="483"/>
      <c r="R228" s="483"/>
    </row>
    <row r="229" spans="1:18" x14ac:dyDescent="0.25">
      <c r="A229" s="479"/>
      <c r="B229" s="480"/>
      <c r="C229" s="479"/>
      <c r="D229" s="483"/>
      <c r="E229" s="483" t="str">
        <f>LEFT(OUT[[#This Row],[Label]],1)</f>
        <v/>
      </c>
      <c r="F229" s="483"/>
      <c r="G229" s="483"/>
      <c r="H229" s="494"/>
      <c r="I229" s="482"/>
      <c r="J229" s="483"/>
      <c r="K229" s="478" t="str">
        <f ca="1">IFERROR(_xlfn.FORMULATEXT(OUT[[#This Row],[Live]]),"")</f>
        <v/>
      </c>
      <c r="L229" s="483"/>
      <c r="M229" s="483"/>
      <c r="N229" s="483"/>
      <c r="O229" s="483"/>
      <c r="P229" s="483"/>
      <c r="Q229" s="483"/>
      <c r="R229" s="483"/>
    </row>
    <row r="230" spans="1:18" x14ac:dyDescent="0.25">
      <c r="A230" s="484"/>
      <c r="B230" s="493"/>
      <c r="C230" s="484"/>
      <c r="D230" s="483"/>
      <c r="E230" s="483" t="str">
        <f>LEFT(OUT[[#This Row],[Label]],1)</f>
        <v/>
      </c>
      <c r="F230" s="483"/>
      <c r="G230" s="483"/>
      <c r="H230" s="494"/>
      <c r="I230" s="482"/>
      <c r="J230" s="483"/>
      <c r="K230" s="478" t="str">
        <f ca="1">IFERROR(_xlfn.FORMULATEXT(OUT[[#This Row],[Live]]),"")</f>
        <v/>
      </c>
      <c r="L230" s="483"/>
      <c r="M230" s="483"/>
      <c r="N230" s="483"/>
      <c r="O230" s="483"/>
      <c r="P230" s="483"/>
      <c r="Q230" s="483"/>
      <c r="R230" s="483"/>
    </row>
    <row r="231" spans="1:18" x14ac:dyDescent="0.25">
      <c r="A231" s="479"/>
      <c r="B231" s="480"/>
      <c r="C231" s="479"/>
      <c r="D231" s="483"/>
      <c r="E231" s="483" t="str">
        <f>LEFT(OUT[[#This Row],[Label]],1)</f>
        <v/>
      </c>
      <c r="F231" s="483"/>
      <c r="G231" s="483"/>
      <c r="H231" s="494"/>
      <c r="I231" s="482"/>
      <c r="J231" s="483"/>
      <c r="K231" s="478" t="str">
        <f ca="1">IFERROR(_xlfn.FORMULATEXT(OUT[[#This Row],[Live]]),"")</f>
        <v/>
      </c>
      <c r="L231" s="483"/>
      <c r="M231" s="483"/>
      <c r="N231" s="483"/>
      <c r="O231" s="483"/>
      <c r="P231" s="483"/>
      <c r="Q231" s="483"/>
      <c r="R231" s="483"/>
    </row>
    <row r="232" spans="1:18" x14ac:dyDescent="0.25">
      <c r="A232" s="484"/>
      <c r="B232" s="493"/>
      <c r="C232" s="484"/>
      <c r="D232" s="483"/>
      <c r="E232" s="483" t="str">
        <f>LEFT(OUT[[#This Row],[Label]],1)</f>
        <v/>
      </c>
      <c r="F232" s="483"/>
      <c r="G232" s="483"/>
      <c r="H232" s="494"/>
      <c r="I232" s="482"/>
      <c r="J232" s="483"/>
      <c r="K232" s="478" t="str">
        <f ca="1">IFERROR(_xlfn.FORMULATEXT(OUT[[#This Row],[Live]]),"")</f>
        <v/>
      </c>
      <c r="L232" s="483"/>
      <c r="M232" s="483"/>
      <c r="N232" s="483"/>
      <c r="O232" s="483"/>
      <c r="P232" s="483"/>
      <c r="Q232" s="483"/>
      <c r="R232" s="483"/>
    </row>
    <row r="233" spans="1:18" x14ac:dyDescent="0.25">
      <c r="A233" s="479"/>
      <c r="B233" s="480"/>
      <c r="C233" s="479"/>
      <c r="D233" s="483"/>
      <c r="E233" s="483" t="str">
        <f>LEFT(OUT[[#This Row],[Label]],1)</f>
        <v/>
      </c>
      <c r="F233" s="483"/>
      <c r="G233" s="483"/>
      <c r="H233" s="494"/>
      <c r="I233" s="482"/>
      <c r="J233" s="483"/>
      <c r="K233" s="478" t="str">
        <f ca="1">IFERROR(_xlfn.FORMULATEXT(OUT[[#This Row],[Live]]),"")</f>
        <v/>
      </c>
      <c r="L233" s="483"/>
      <c r="M233" s="483"/>
      <c r="N233" s="483"/>
      <c r="O233" s="483"/>
      <c r="P233" s="483"/>
      <c r="Q233" s="483"/>
      <c r="R233" s="483"/>
    </row>
    <row r="234" spans="1:18" x14ac:dyDescent="0.25">
      <c r="A234" s="484"/>
      <c r="B234" s="493"/>
      <c r="C234" s="484"/>
      <c r="D234" s="483"/>
      <c r="E234" s="483" t="str">
        <f>LEFT(OUT[[#This Row],[Label]],1)</f>
        <v/>
      </c>
      <c r="F234" s="483"/>
      <c r="G234" s="483"/>
      <c r="H234" s="494"/>
      <c r="I234" s="482"/>
      <c r="J234" s="483"/>
      <c r="K234" s="478" t="str">
        <f ca="1">IFERROR(_xlfn.FORMULATEXT(OUT[[#This Row],[Live]]),"")</f>
        <v/>
      </c>
      <c r="L234" s="483"/>
      <c r="M234" s="483"/>
      <c r="N234" s="483"/>
      <c r="O234" s="483"/>
      <c r="P234" s="483"/>
      <c r="Q234" s="483"/>
      <c r="R234" s="483"/>
    </row>
    <row r="235" spans="1:18" x14ac:dyDescent="0.25">
      <c r="A235" s="479"/>
      <c r="B235" s="480"/>
      <c r="C235" s="479"/>
      <c r="D235" s="483"/>
      <c r="E235" s="483" t="str">
        <f>LEFT(OUT[[#This Row],[Label]],1)</f>
        <v/>
      </c>
      <c r="F235" s="483"/>
      <c r="G235" s="483"/>
      <c r="H235" s="494"/>
      <c r="I235" s="482"/>
      <c r="J235" s="483"/>
      <c r="K235" s="478" t="str">
        <f ca="1">IFERROR(_xlfn.FORMULATEXT(OUT[[#This Row],[Live]]),"")</f>
        <v/>
      </c>
      <c r="L235" s="483"/>
      <c r="M235" s="483"/>
      <c r="N235" s="483"/>
      <c r="O235" s="483"/>
      <c r="P235" s="483"/>
      <c r="Q235" s="483"/>
      <c r="R235" s="483"/>
    </row>
    <row r="236" spans="1:18" x14ac:dyDescent="0.25">
      <c r="A236" s="484"/>
      <c r="B236" s="493"/>
      <c r="C236" s="484"/>
      <c r="D236" s="483"/>
      <c r="E236" s="483" t="str">
        <f>LEFT(OUT[[#This Row],[Label]],1)</f>
        <v/>
      </c>
      <c r="F236" s="483"/>
      <c r="G236" s="483"/>
      <c r="H236" s="494"/>
      <c r="I236" s="482"/>
      <c r="J236" s="483"/>
      <c r="K236" s="478" t="str">
        <f ca="1">IFERROR(_xlfn.FORMULATEXT(OUT[[#This Row],[Live]]),"")</f>
        <v/>
      </c>
      <c r="L236" s="483"/>
      <c r="M236" s="483"/>
      <c r="N236" s="483"/>
      <c r="O236" s="483"/>
      <c r="P236" s="483"/>
      <c r="Q236" s="483"/>
      <c r="R236" s="483"/>
    </row>
    <row r="237" spans="1:18" x14ac:dyDescent="0.25">
      <c r="A237" s="479"/>
      <c r="B237" s="480"/>
      <c r="C237" s="479"/>
      <c r="D237" s="483"/>
      <c r="E237" s="483" t="str">
        <f>LEFT(OUT[[#This Row],[Label]],1)</f>
        <v/>
      </c>
      <c r="F237" s="483"/>
      <c r="G237" s="483"/>
      <c r="H237" s="494"/>
      <c r="I237" s="482"/>
      <c r="J237" s="483"/>
      <c r="K237" s="478" t="str">
        <f ca="1">IFERROR(_xlfn.FORMULATEXT(OUT[[#This Row],[Live]]),"")</f>
        <v/>
      </c>
      <c r="L237" s="483"/>
      <c r="M237" s="483"/>
      <c r="N237" s="483"/>
      <c r="O237" s="483"/>
      <c r="P237" s="483"/>
      <c r="Q237" s="483"/>
      <c r="R237" s="483"/>
    </row>
    <row r="238" spans="1:18" x14ac:dyDescent="0.25">
      <c r="A238" s="484"/>
      <c r="B238" s="493"/>
      <c r="C238" s="484"/>
      <c r="D238" s="483"/>
      <c r="E238" s="483" t="str">
        <f>LEFT(OUT[[#This Row],[Label]],1)</f>
        <v/>
      </c>
      <c r="F238" s="483"/>
      <c r="G238" s="483"/>
      <c r="H238" s="494"/>
      <c r="I238" s="482"/>
      <c r="J238" s="483"/>
      <c r="K238" s="478" t="str">
        <f ca="1">IFERROR(_xlfn.FORMULATEXT(OUT[[#This Row],[Live]]),"")</f>
        <v/>
      </c>
      <c r="L238" s="483"/>
      <c r="M238" s="483"/>
      <c r="N238" s="483"/>
      <c r="O238" s="483"/>
      <c r="P238" s="483"/>
      <c r="Q238" s="483"/>
      <c r="R238" s="483"/>
    </row>
    <row r="239" spans="1:18" x14ac:dyDescent="0.25">
      <c r="A239" s="479"/>
      <c r="B239" s="480"/>
      <c r="C239" s="479"/>
      <c r="D239" s="483"/>
      <c r="E239" s="483" t="str">
        <f>LEFT(OUT[[#This Row],[Label]],1)</f>
        <v/>
      </c>
      <c r="F239" s="483"/>
      <c r="G239" s="483"/>
      <c r="H239" s="494"/>
      <c r="I239" s="482"/>
      <c r="J239" s="483"/>
      <c r="K239" s="478" t="str">
        <f ca="1">IFERROR(_xlfn.FORMULATEXT(OUT[[#This Row],[Live]]),"")</f>
        <v/>
      </c>
      <c r="L239" s="483"/>
      <c r="M239" s="483"/>
      <c r="N239" s="483"/>
      <c r="O239" s="483"/>
      <c r="P239" s="483"/>
      <c r="Q239" s="483"/>
      <c r="R239" s="483"/>
    </row>
    <row r="240" spans="1:18" x14ac:dyDescent="0.25">
      <c r="A240" s="484"/>
      <c r="B240" s="493"/>
      <c r="C240" s="484"/>
      <c r="D240" s="483"/>
      <c r="E240" s="483" t="str">
        <f>LEFT(OUT[[#This Row],[Label]],1)</f>
        <v/>
      </c>
      <c r="F240" s="483"/>
      <c r="G240" s="483"/>
      <c r="H240" s="494"/>
      <c r="I240" s="482"/>
      <c r="J240" s="483"/>
      <c r="K240" s="478" t="str">
        <f ca="1">IFERROR(_xlfn.FORMULATEXT(OUT[[#This Row],[Live]]),"")</f>
        <v/>
      </c>
      <c r="L240" s="483"/>
      <c r="M240" s="483"/>
      <c r="N240" s="483"/>
      <c r="O240" s="483"/>
      <c r="P240" s="483"/>
      <c r="Q240" s="483"/>
      <c r="R240" s="483"/>
    </row>
    <row r="241" spans="1:18" x14ac:dyDescent="0.25">
      <c r="A241" s="479"/>
      <c r="B241" s="480"/>
      <c r="C241" s="479"/>
      <c r="D241" s="483"/>
      <c r="E241" s="483" t="str">
        <f>LEFT(OUT[[#This Row],[Label]],1)</f>
        <v/>
      </c>
      <c r="F241" s="483"/>
      <c r="G241" s="483"/>
      <c r="H241" s="494"/>
      <c r="I241" s="482"/>
      <c r="J241" s="483"/>
      <c r="K241" s="478" t="str">
        <f ca="1">IFERROR(_xlfn.FORMULATEXT(OUT[[#This Row],[Live]]),"")</f>
        <v/>
      </c>
      <c r="L241" s="483"/>
      <c r="M241" s="483"/>
      <c r="N241" s="483"/>
      <c r="O241" s="483"/>
      <c r="P241" s="483"/>
      <c r="Q241" s="483"/>
      <c r="R241" s="483"/>
    </row>
    <row r="242" spans="1:18" x14ac:dyDescent="0.25">
      <c r="A242" s="484"/>
      <c r="B242" s="493"/>
      <c r="C242" s="484"/>
      <c r="D242" s="483"/>
      <c r="E242" s="483" t="str">
        <f>LEFT(OUT[[#This Row],[Label]],1)</f>
        <v/>
      </c>
      <c r="F242" s="483"/>
      <c r="G242" s="483"/>
      <c r="H242" s="494"/>
      <c r="I242" s="482"/>
      <c r="J242" s="483"/>
      <c r="K242" s="478" t="str">
        <f ca="1">IFERROR(_xlfn.FORMULATEXT(OUT[[#This Row],[Live]]),"")</f>
        <v/>
      </c>
      <c r="L242" s="483"/>
      <c r="M242" s="483"/>
      <c r="N242" s="483"/>
      <c r="O242" s="483"/>
      <c r="P242" s="483"/>
      <c r="Q242" s="483"/>
      <c r="R242" s="483"/>
    </row>
    <row r="243" spans="1:18" x14ac:dyDescent="0.25">
      <c r="A243" s="479"/>
      <c r="B243" s="480"/>
      <c r="C243" s="479"/>
      <c r="D243" s="483"/>
      <c r="E243" s="483" t="str">
        <f>LEFT(OUT[[#This Row],[Label]],1)</f>
        <v/>
      </c>
      <c r="F243" s="483"/>
      <c r="G243" s="483"/>
      <c r="H243" s="494"/>
      <c r="I243" s="482"/>
      <c r="J243" s="483"/>
      <c r="K243" s="478" t="str">
        <f ca="1">IFERROR(_xlfn.FORMULATEXT(OUT[[#This Row],[Live]]),"")</f>
        <v/>
      </c>
      <c r="L243" s="483"/>
      <c r="M243" s="483"/>
      <c r="N243" s="483"/>
      <c r="O243" s="483"/>
      <c r="P243" s="483"/>
      <c r="Q243" s="483"/>
      <c r="R243" s="483"/>
    </row>
    <row r="244" spans="1:18" x14ac:dyDescent="0.25">
      <c r="A244" s="484"/>
      <c r="B244" s="493"/>
      <c r="C244" s="484"/>
      <c r="D244" s="483"/>
      <c r="E244" s="483" t="str">
        <f>LEFT(OUT[[#This Row],[Label]],1)</f>
        <v/>
      </c>
      <c r="F244" s="483"/>
      <c r="G244" s="483"/>
      <c r="H244" s="494"/>
      <c r="I244" s="482"/>
      <c r="J244" s="483"/>
      <c r="K244" s="478" t="str">
        <f ca="1">IFERROR(_xlfn.FORMULATEXT(OUT[[#This Row],[Live]]),"")</f>
        <v/>
      </c>
      <c r="L244" s="483"/>
      <c r="M244" s="483"/>
      <c r="N244" s="483"/>
      <c r="O244" s="483"/>
      <c r="P244" s="483"/>
      <c r="Q244" s="483"/>
      <c r="R244" s="483"/>
    </row>
    <row r="245" spans="1:18" x14ac:dyDescent="0.25">
      <c r="A245" s="479"/>
      <c r="B245" s="480"/>
      <c r="C245" s="479"/>
      <c r="D245" s="483"/>
      <c r="E245" s="483" t="str">
        <f>LEFT(OUT[[#This Row],[Label]],1)</f>
        <v/>
      </c>
      <c r="F245" s="483"/>
      <c r="G245" s="483"/>
      <c r="H245" s="494"/>
      <c r="I245" s="482"/>
      <c r="J245" s="483"/>
      <c r="K245" s="478" t="str">
        <f ca="1">IFERROR(_xlfn.FORMULATEXT(OUT[[#This Row],[Live]]),"")</f>
        <v/>
      </c>
      <c r="L245" s="483"/>
      <c r="M245" s="483"/>
      <c r="N245" s="483"/>
      <c r="O245" s="483"/>
      <c r="P245" s="483"/>
      <c r="Q245" s="483"/>
      <c r="R245" s="483"/>
    </row>
    <row r="246" spans="1:18" x14ac:dyDescent="0.25">
      <c r="A246" s="484"/>
      <c r="B246" s="493"/>
      <c r="C246" s="484"/>
      <c r="D246" s="483"/>
      <c r="E246" s="483" t="str">
        <f>LEFT(OUT[[#This Row],[Label]],1)</f>
        <v/>
      </c>
      <c r="F246" s="483"/>
      <c r="G246" s="483"/>
      <c r="H246" s="494"/>
      <c r="I246" s="482"/>
      <c r="J246" s="483"/>
      <c r="K246" s="478" t="str">
        <f ca="1">IFERROR(_xlfn.FORMULATEXT(OUT[[#This Row],[Live]]),"")</f>
        <v/>
      </c>
      <c r="L246" s="483"/>
      <c r="M246" s="483"/>
      <c r="N246" s="483"/>
      <c r="O246" s="483"/>
      <c r="P246" s="483"/>
      <c r="Q246" s="483"/>
      <c r="R246" s="483"/>
    </row>
    <row r="247" spans="1:18" x14ac:dyDescent="0.25">
      <c r="A247" s="479"/>
      <c r="B247" s="480"/>
      <c r="C247" s="479"/>
      <c r="D247" s="483"/>
      <c r="E247" s="483" t="str">
        <f>LEFT(OUT[[#This Row],[Label]],1)</f>
        <v/>
      </c>
      <c r="F247" s="483"/>
      <c r="G247" s="483"/>
      <c r="H247" s="494"/>
      <c r="I247" s="482"/>
      <c r="J247" s="483"/>
      <c r="K247" s="478" t="str">
        <f ca="1">IFERROR(_xlfn.FORMULATEXT(OUT[[#This Row],[Live]]),"")</f>
        <v/>
      </c>
      <c r="L247" s="483"/>
      <c r="M247" s="483"/>
      <c r="N247" s="483"/>
      <c r="O247" s="483"/>
      <c r="P247" s="483"/>
      <c r="Q247" s="483"/>
      <c r="R247" s="483"/>
    </row>
    <row r="248" spans="1:18" x14ac:dyDescent="0.25">
      <c r="A248" s="484"/>
      <c r="B248" s="493"/>
      <c r="C248" s="484"/>
      <c r="D248" s="483"/>
      <c r="E248" s="483" t="str">
        <f>LEFT(OUT[[#This Row],[Label]],1)</f>
        <v/>
      </c>
      <c r="F248" s="483"/>
      <c r="G248" s="483"/>
      <c r="H248" s="494"/>
      <c r="I248" s="482"/>
      <c r="J248" s="483"/>
      <c r="K248" s="478" t="str">
        <f ca="1">IFERROR(_xlfn.FORMULATEXT(OUT[[#This Row],[Live]]),"")</f>
        <v/>
      </c>
      <c r="L248" s="483"/>
      <c r="M248" s="483"/>
      <c r="N248" s="483"/>
      <c r="O248" s="483"/>
      <c r="P248" s="483"/>
      <c r="Q248" s="483"/>
      <c r="R248" s="483"/>
    </row>
    <row r="249" spans="1:18" x14ac:dyDescent="0.25">
      <c r="A249" s="479"/>
      <c r="B249" s="480"/>
      <c r="C249" s="479"/>
      <c r="D249" s="483"/>
      <c r="E249" s="483" t="str">
        <f>LEFT(OUT[[#This Row],[Label]],1)</f>
        <v/>
      </c>
      <c r="F249" s="483"/>
      <c r="G249" s="483"/>
      <c r="H249" s="494"/>
      <c r="I249" s="482"/>
      <c r="J249" s="483"/>
      <c r="K249" s="478" t="str">
        <f ca="1">IFERROR(_xlfn.FORMULATEXT(OUT[[#This Row],[Live]]),"")</f>
        <v/>
      </c>
      <c r="L249" s="483"/>
      <c r="M249" s="483"/>
      <c r="N249" s="483"/>
      <c r="O249" s="483"/>
      <c r="P249" s="483"/>
      <c r="Q249" s="483"/>
      <c r="R249" s="483"/>
    </row>
    <row r="250" spans="1:18" x14ac:dyDescent="0.25">
      <c r="A250" s="484"/>
      <c r="B250" s="493"/>
      <c r="C250" s="484"/>
      <c r="D250" s="483"/>
      <c r="E250" s="483" t="str">
        <f>LEFT(OUT[[#This Row],[Label]],1)</f>
        <v/>
      </c>
      <c r="F250" s="483"/>
      <c r="G250" s="483"/>
      <c r="H250" s="494"/>
      <c r="I250" s="482"/>
      <c r="J250" s="483"/>
      <c r="K250" s="478" t="str">
        <f ca="1">IFERROR(_xlfn.FORMULATEXT(OUT[[#This Row],[Live]]),"")</f>
        <v/>
      </c>
      <c r="L250" s="483"/>
      <c r="M250" s="483"/>
      <c r="N250" s="483"/>
      <c r="O250" s="483"/>
      <c r="P250" s="483"/>
      <c r="Q250" s="483"/>
      <c r="R250" s="483"/>
    </row>
    <row r="251" spans="1:18" x14ac:dyDescent="0.25">
      <c r="A251" s="479"/>
      <c r="B251" s="480"/>
      <c r="C251" s="479"/>
      <c r="D251" s="483"/>
      <c r="E251" s="483" t="str">
        <f>LEFT(OUT[[#This Row],[Label]],1)</f>
        <v/>
      </c>
      <c r="F251" s="483"/>
      <c r="G251" s="483"/>
      <c r="H251" s="494"/>
      <c r="I251" s="482"/>
      <c r="J251" s="483"/>
      <c r="K251" s="478" t="str">
        <f ca="1">IFERROR(_xlfn.FORMULATEXT(OUT[[#This Row],[Live]]),"")</f>
        <v/>
      </c>
      <c r="L251" s="483"/>
      <c r="M251" s="483"/>
      <c r="N251" s="483"/>
      <c r="O251" s="483"/>
      <c r="P251" s="483"/>
      <c r="Q251" s="483"/>
      <c r="R251" s="483"/>
    </row>
    <row r="252" spans="1:18" x14ac:dyDescent="0.25">
      <c r="A252" s="484"/>
      <c r="B252" s="493"/>
      <c r="C252" s="484"/>
      <c r="D252" s="483"/>
      <c r="E252" s="483" t="str">
        <f>LEFT(OUT[[#This Row],[Label]],1)</f>
        <v/>
      </c>
      <c r="F252" s="483"/>
      <c r="G252" s="483"/>
      <c r="H252" s="494"/>
      <c r="I252" s="482"/>
      <c r="J252" s="483"/>
      <c r="K252" s="478" t="str">
        <f ca="1">IFERROR(_xlfn.FORMULATEXT(OUT[[#This Row],[Live]]),"")</f>
        <v/>
      </c>
      <c r="L252" s="483"/>
      <c r="M252" s="483"/>
      <c r="N252" s="483"/>
      <c r="O252" s="483"/>
      <c r="P252" s="483"/>
      <c r="Q252" s="483"/>
      <c r="R252" s="483"/>
    </row>
    <row r="253" spans="1:18" x14ac:dyDescent="0.25">
      <c r="A253" s="479"/>
      <c r="B253" s="480"/>
      <c r="C253" s="479"/>
      <c r="D253" s="483"/>
      <c r="E253" s="483" t="str">
        <f>LEFT(OUT[[#This Row],[Label]],1)</f>
        <v/>
      </c>
      <c r="F253" s="483"/>
      <c r="G253" s="483"/>
      <c r="H253" s="494"/>
      <c r="I253" s="482"/>
      <c r="J253" s="483"/>
      <c r="K253" s="478" t="str">
        <f ca="1">IFERROR(_xlfn.FORMULATEXT(OUT[[#This Row],[Live]]),"")</f>
        <v/>
      </c>
      <c r="L253" s="483"/>
      <c r="M253" s="483"/>
      <c r="N253" s="483"/>
      <c r="O253" s="483"/>
      <c r="P253" s="483"/>
      <c r="Q253" s="483"/>
      <c r="R253" s="483"/>
    </row>
    <row r="254" spans="1:18" x14ac:dyDescent="0.25">
      <c r="A254" s="484"/>
      <c r="B254" s="493"/>
      <c r="C254" s="484"/>
      <c r="D254" s="483"/>
      <c r="E254" s="483" t="str">
        <f>LEFT(OUT[[#This Row],[Label]],1)</f>
        <v/>
      </c>
      <c r="F254" s="483"/>
      <c r="G254" s="483"/>
      <c r="H254" s="494"/>
      <c r="I254" s="482"/>
      <c r="J254" s="483"/>
      <c r="K254" s="478" t="str">
        <f ca="1">IFERROR(_xlfn.FORMULATEXT(OUT[[#This Row],[Live]]),"")</f>
        <v/>
      </c>
      <c r="L254" s="483"/>
      <c r="M254" s="483"/>
      <c r="N254" s="483"/>
      <c r="O254" s="483"/>
      <c r="P254" s="483"/>
      <c r="Q254" s="483"/>
      <c r="R254" s="483"/>
    </row>
    <row r="255" spans="1:18" x14ac:dyDescent="0.25">
      <c r="A255" s="479"/>
      <c r="B255" s="480"/>
      <c r="C255" s="479"/>
      <c r="D255" s="483"/>
      <c r="E255" s="483" t="str">
        <f>LEFT(OUT[[#This Row],[Label]],1)</f>
        <v/>
      </c>
      <c r="F255" s="483"/>
      <c r="G255" s="483"/>
      <c r="H255" s="494"/>
      <c r="I255" s="482"/>
      <c r="J255" s="483"/>
      <c r="K255" s="478" t="str">
        <f ca="1">IFERROR(_xlfn.FORMULATEXT(OUT[[#This Row],[Live]]),"")</f>
        <v/>
      </c>
      <c r="L255" s="483"/>
      <c r="M255" s="483"/>
      <c r="N255" s="483"/>
      <c r="O255" s="483"/>
      <c r="P255" s="483"/>
      <c r="Q255" s="483"/>
      <c r="R255" s="483"/>
    </row>
    <row r="256" spans="1:18" x14ac:dyDescent="0.25">
      <c r="A256" s="484"/>
      <c r="B256" s="493"/>
      <c r="C256" s="484"/>
      <c r="D256" s="483"/>
      <c r="E256" s="483" t="str">
        <f>LEFT(OUT[[#This Row],[Label]],1)</f>
        <v/>
      </c>
      <c r="F256" s="483"/>
      <c r="G256" s="483"/>
      <c r="H256" s="494"/>
      <c r="I256" s="482"/>
      <c r="J256" s="483"/>
      <c r="K256" s="478" t="str">
        <f ca="1">IFERROR(_xlfn.FORMULATEXT(OUT[[#This Row],[Live]]),"")</f>
        <v/>
      </c>
      <c r="L256" s="483"/>
      <c r="M256" s="483"/>
      <c r="N256" s="483"/>
      <c r="O256" s="483"/>
      <c r="P256" s="483"/>
      <c r="Q256" s="483"/>
      <c r="R256" s="483"/>
    </row>
    <row r="257" spans="1:18" x14ac:dyDescent="0.25">
      <c r="A257" s="479"/>
      <c r="B257" s="480"/>
      <c r="C257" s="479"/>
      <c r="D257" s="483"/>
      <c r="E257" s="483" t="str">
        <f>LEFT(OUT[[#This Row],[Label]],1)</f>
        <v/>
      </c>
      <c r="F257" s="483"/>
      <c r="G257" s="483"/>
      <c r="H257" s="494"/>
      <c r="I257" s="482"/>
      <c r="J257" s="483"/>
      <c r="K257" s="478" t="str">
        <f ca="1">IFERROR(_xlfn.FORMULATEXT(OUT[[#This Row],[Live]]),"")</f>
        <v/>
      </c>
      <c r="L257" s="483"/>
      <c r="M257" s="483"/>
      <c r="N257" s="483"/>
      <c r="O257" s="483"/>
      <c r="P257" s="483"/>
      <c r="Q257" s="483"/>
      <c r="R257" s="483"/>
    </row>
    <row r="258" spans="1:18" x14ac:dyDescent="0.25">
      <c r="A258" s="484"/>
      <c r="B258" s="493"/>
      <c r="C258" s="484"/>
      <c r="D258" s="483"/>
      <c r="E258" s="483" t="str">
        <f>LEFT(OUT[[#This Row],[Label]],1)</f>
        <v/>
      </c>
      <c r="F258" s="483"/>
      <c r="G258" s="483"/>
      <c r="H258" s="494"/>
      <c r="I258" s="482"/>
      <c r="J258" s="483"/>
      <c r="K258" s="478" t="str">
        <f ca="1">IFERROR(_xlfn.FORMULATEXT(OUT[[#This Row],[Live]]),"")</f>
        <v/>
      </c>
      <c r="L258" s="483"/>
      <c r="M258" s="483"/>
      <c r="N258" s="483"/>
      <c r="O258" s="483"/>
      <c r="P258" s="483"/>
      <c r="Q258" s="483"/>
      <c r="R258" s="483"/>
    </row>
    <row r="259" spans="1:18" x14ac:dyDescent="0.25">
      <c r="A259" s="479"/>
      <c r="B259" s="480"/>
      <c r="C259" s="479"/>
      <c r="D259" s="483"/>
      <c r="E259" s="483" t="str">
        <f>LEFT(OUT[[#This Row],[Label]],1)</f>
        <v/>
      </c>
      <c r="F259" s="483"/>
      <c r="G259" s="483"/>
      <c r="H259" s="494"/>
      <c r="I259" s="482"/>
      <c r="J259" s="483"/>
      <c r="K259" s="478" t="str">
        <f ca="1">IFERROR(_xlfn.FORMULATEXT(OUT[[#This Row],[Live]]),"")</f>
        <v/>
      </c>
      <c r="L259" s="483"/>
      <c r="M259" s="483"/>
      <c r="N259" s="483"/>
      <c r="O259" s="483"/>
      <c r="P259" s="483"/>
      <c r="Q259" s="483"/>
      <c r="R259" s="483"/>
    </row>
    <row r="260" spans="1:18" x14ac:dyDescent="0.25">
      <c r="A260" s="484"/>
      <c r="B260" s="493"/>
      <c r="C260" s="484"/>
      <c r="D260" s="483"/>
      <c r="E260" s="483" t="str">
        <f>LEFT(OUT[[#This Row],[Label]],1)</f>
        <v/>
      </c>
      <c r="F260" s="483"/>
      <c r="G260" s="483"/>
      <c r="H260" s="494"/>
      <c r="I260" s="482"/>
      <c r="J260" s="483"/>
      <c r="K260" s="478" t="str">
        <f ca="1">IFERROR(_xlfn.FORMULATEXT(OUT[[#This Row],[Live]]),"")</f>
        <v/>
      </c>
      <c r="L260" s="483"/>
      <c r="M260" s="483"/>
      <c r="N260" s="483"/>
      <c r="O260" s="483"/>
      <c r="P260" s="483"/>
      <c r="Q260" s="483"/>
      <c r="R260" s="483"/>
    </row>
    <row r="261" spans="1:18" x14ac:dyDescent="0.25">
      <c r="A261" s="479"/>
      <c r="B261" s="480"/>
      <c r="C261" s="479"/>
      <c r="D261" s="483"/>
      <c r="E261" s="483" t="str">
        <f>LEFT(OUT[[#This Row],[Label]],1)</f>
        <v/>
      </c>
      <c r="F261" s="483"/>
      <c r="G261" s="483"/>
      <c r="H261" s="494"/>
      <c r="I261" s="482"/>
      <c r="J261" s="483"/>
      <c r="K261" s="478" t="str">
        <f ca="1">IFERROR(_xlfn.FORMULATEXT(OUT[[#This Row],[Live]]),"")</f>
        <v/>
      </c>
      <c r="L261" s="483"/>
      <c r="M261" s="483"/>
      <c r="N261" s="483"/>
      <c r="O261" s="483"/>
      <c r="P261" s="483"/>
      <c r="Q261" s="483"/>
      <c r="R261" s="483"/>
    </row>
    <row r="262" spans="1:18" x14ac:dyDescent="0.25">
      <c r="A262" s="484"/>
      <c r="B262" s="493"/>
      <c r="C262" s="484"/>
      <c r="D262" s="483"/>
      <c r="E262" s="483" t="str">
        <f>LEFT(OUT[[#This Row],[Label]],1)</f>
        <v/>
      </c>
      <c r="F262" s="483"/>
      <c r="G262" s="483"/>
      <c r="H262" s="494"/>
      <c r="I262" s="482"/>
      <c r="J262" s="483"/>
      <c r="K262" s="478" t="str">
        <f ca="1">IFERROR(_xlfn.FORMULATEXT(OUT[[#This Row],[Live]]),"")</f>
        <v/>
      </c>
      <c r="L262" s="483"/>
      <c r="M262" s="483"/>
      <c r="N262" s="483"/>
      <c r="O262" s="483"/>
      <c r="P262" s="483"/>
      <c r="Q262" s="483"/>
      <c r="R262" s="483"/>
    </row>
    <row r="263" spans="1:18" x14ac:dyDescent="0.25">
      <c r="A263" s="479"/>
      <c r="B263" s="480"/>
      <c r="C263" s="479"/>
      <c r="D263" s="483"/>
      <c r="E263" s="483" t="str">
        <f>LEFT(OUT[[#This Row],[Label]],1)</f>
        <v/>
      </c>
      <c r="F263" s="483"/>
      <c r="G263" s="483"/>
      <c r="H263" s="494"/>
      <c r="I263" s="482"/>
      <c r="J263" s="483"/>
      <c r="K263" s="478" t="str">
        <f ca="1">IFERROR(_xlfn.FORMULATEXT(OUT[[#This Row],[Live]]),"")</f>
        <v/>
      </c>
      <c r="L263" s="483"/>
      <c r="M263" s="483"/>
      <c r="N263" s="483"/>
      <c r="O263" s="483"/>
      <c r="P263" s="483"/>
      <c r="Q263" s="483"/>
      <c r="R263" s="483"/>
    </row>
    <row r="264" spans="1:18" x14ac:dyDescent="0.25">
      <c r="A264" s="484"/>
      <c r="B264" s="493"/>
      <c r="C264" s="484"/>
      <c r="D264" s="483"/>
      <c r="E264" s="483" t="str">
        <f>LEFT(OUT[[#This Row],[Label]],1)</f>
        <v/>
      </c>
      <c r="F264" s="483"/>
      <c r="G264" s="483"/>
      <c r="H264" s="494"/>
      <c r="I264" s="482"/>
      <c r="J264" s="483"/>
      <c r="K264" s="478" t="str">
        <f ca="1">IFERROR(_xlfn.FORMULATEXT(OUT[[#This Row],[Live]]),"")</f>
        <v/>
      </c>
      <c r="L264" s="483"/>
      <c r="M264" s="483"/>
      <c r="N264" s="483"/>
      <c r="O264" s="483"/>
      <c r="P264" s="483"/>
      <c r="Q264" s="483"/>
      <c r="R264" s="483"/>
    </row>
    <row r="265" spans="1:18" x14ac:dyDescent="0.25">
      <c r="A265" s="479"/>
      <c r="B265" s="480"/>
      <c r="C265" s="479"/>
      <c r="D265" s="483"/>
      <c r="E265" s="483" t="str">
        <f>LEFT(OUT[[#This Row],[Label]],1)</f>
        <v/>
      </c>
      <c r="F265" s="483"/>
      <c r="G265" s="483"/>
      <c r="H265" s="494"/>
      <c r="I265" s="482"/>
      <c r="J265" s="483"/>
      <c r="K265" s="478" t="str">
        <f ca="1">IFERROR(_xlfn.FORMULATEXT(OUT[[#This Row],[Live]]),"")</f>
        <v/>
      </c>
      <c r="L265" s="483"/>
      <c r="M265" s="483"/>
      <c r="N265" s="483"/>
      <c r="O265" s="483"/>
      <c r="P265" s="483"/>
      <c r="Q265" s="483"/>
      <c r="R265" s="483"/>
    </row>
    <row r="266" spans="1:18" x14ac:dyDescent="0.25">
      <c r="A266" s="484"/>
      <c r="B266" s="493"/>
      <c r="C266" s="484"/>
      <c r="D266" s="483"/>
      <c r="E266" s="483" t="str">
        <f>LEFT(OUT[[#This Row],[Label]],1)</f>
        <v/>
      </c>
      <c r="F266" s="483"/>
      <c r="G266" s="483"/>
      <c r="H266" s="494"/>
      <c r="I266" s="482"/>
      <c r="J266" s="483"/>
      <c r="K266" s="478" t="str">
        <f ca="1">IFERROR(_xlfn.FORMULATEXT(OUT[[#This Row],[Live]]),"")</f>
        <v/>
      </c>
      <c r="L266" s="483"/>
      <c r="M266" s="483"/>
      <c r="N266" s="483"/>
      <c r="O266" s="483"/>
      <c r="P266" s="483"/>
      <c r="Q266" s="483"/>
      <c r="R266" s="483"/>
    </row>
    <row r="267" spans="1:18" x14ac:dyDescent="0.25">
      <c r="A267" s="479"/>
      <c r="B267" s="480"/>
      <c r="C267" s="479"/>
      <c r="D267" s="483"/>
      <c r="E267" s="483" t="str">
        <f>LEFT(OUT[[#This Row],[Label]],1)</f>
        <v/>
      </c>
      <c r="F267" s="483"/>
      <c r="G267" s="483"/>
      <c r="H267" s="494"/>
      <c r="I267" s="482"/>
      <c r="J267" s="483"/>
      <c r="K267" s="478" t="str">
        <f ca="1">IFERROR(_xlfn.FORMULATEXT(OUT[[#This Row],[Live]]),"")</f>
        <v/>
      </c>
      <c r="L267" s="483"/>
      <c r="M267" s="483"/>
      <c r="N267" s="483"/>
      <c r="O267" s="483"/>
      <c r="P267" s="483"/>
      <c r="Q267" s="483"/>
      <c r="R267" s="483"/>
    </row>
    <row r="268" spans="1:18" x14ac:dyDescent="0.25">
      <c r="A268" s="484"/>
      <c r="B268" s="493"/>
      <c r="C268" s="484"/>
      <c r="D268" s="483"/>
      <c r="E268" s="483" t="str">
        <f>LEFT(OUT[[#This Row],[Label]],1)</f>
        <v/>
      </c>
      <c r="F268" s="483"/>
      <c r="G268" s="483"/>
      <c r="H268" s="494"/>
      <c r="I268" s="482"/>
      <c r="J268" s="483"/>
      <c r="K268" s="478" t="str">
        <f ca="1">IFERROR(_xlfn.FORMULATEXT(OUT[[#This Row],[Live]]),"")</f>
        <v/>
      </c>
      <c r="L268" s="483"/>
      <c r="M268" s="483"/>
      <c r="N268" s="483"/>
      <c r="O268" s="483"/>
      <c r="P268" s="483"/>
      <c r="Q268" s="483"/>
      <c r="R268" s="483"/>
    </row>
    <row r="269" spans="1:18" x14ac:dyDescent="0.25">
      <c r="A269" s="479"/>
      <c r="B269" s="480"/>
      <c r="C269" s="479"/>
      <c r="D269" s="483"/>
      <c r="E269" s="483" t="str">
        <f>LEFT(OUT[[#This Row],[Label]],1)</f>
        <v/>
      </c>
      <c r="F269" s="483"/>
      <c r="G269" s="483"/>
      <c r="H269" s="494"/>
      <c r="I269" s="482"/>
      <c r="J269" s="483"/>
      <c r="K269" s="478" t="str">
        <f ca="1">IFERROR(_xlfn.FORMULATEXT(OUT[[#This Row],[Live]]),"")</f>
        <v/>
      </c>
      <c r="L269" s="483"/>
      <c r="M269" s="483"/>
      <c r="N269" s="483"/>
      <c r="O269" s="483"/>
      <c r="P269" s="483"/>
      <c r="Q269" s="483"/>
      <c r="R269" s="483"/>
    </row>
    <row r="270" spans="1:18" x14ac:dyDescent="0.25">
      <c r="A270" s="484"/>
      <c r="B270" s="493"/>
      <c r="C270" s="484"/>
      <c r="D270" s="483"/>
      <c r="E270" s="483" t="str">
        <f>LEFT(OUT[[#This Row],[Label]],1)</f>
        <v/>
      </c>
      <c r="F270" s="483"/>
      <c r="G270" s="483"/>
      <c r="H270" s="494"/>
      <c r="I270" s="482"/>
      <c r="J270" s="483"/>
      <c r="K270" s="478" t="str">
        <f ca="1">IFERROR(_xlfn.FORMULATEXT(OUT[[#This Row],[Live]]),"")</f>
        <v/>
      </c>
      <c r="L270" s="483"/>
      <c r="M270" s="483"/>
      <c r="N270" s="483"/>
      <c r="O270" s="483"/>
      <c r="P270" s="483"/>
      <c r="Q270" s="483"/>
      <c r="R270" s="483"/>
    </row>
    <row r="271" spans="1:18" x14ac:dyDescent="0.25">
      <c r="A271" s="479"/>
      <c r="B271" s="480"/>
      <c r="C271" s="479"/>
      <c r="D271" s="483"/>
      <c r="E271" s="483" t="str">
        <f>LEFT(OUT[[#This Row],[Label]],1)</f>
        <v/>
      </c>
      <c r="F271" s="483"/>
      <c r="G271" s="483"/>
      <c r="H271" s="494"/>
      <c r="I271" s="482"/>
      <c r="J271" s="483"/>
      <c r="K271" s="478" t="str">
        <f ca="1">IFERROR(_xlfn.FORMULATEXT(OUT[[#This Row],[Live]]),"")</f>
        <v/>
      </c>
      <c r="L271" s="483"/>
      <c r="M271" s="483"/>
      <c r="N271" s="483"/>
      <c r="O271" s="483"/>
      <c r="P271" s="483"/>
      <c r="Q271" s="483"/>
      <c r="R271" s="483"/>
    </row>
    <row r="272" spans="1:18" x14ac:dyDescent="0.25">
      <c r="A272" s="484"/>
      <c r="B272" s="493"/>
      <c r="C272" s="484"/>
      <c r="D272" s="483"/>
      <c r="E272" s="483" t="str">
        <f>LEFT(OUT[[#This Row],[Label]],1)</f>
        <v/>
      </c>
      <c r="F272" s="483"/>
      <c r="G272" s="483"/>
      <c r="H272" s="494"/>
      <c r="I272" s="482"/>
      <c r="J272" s="483"/>
      <c r="K272" s="478" t="str">
        <f ca="1">IFERROR(_xlfn.FORMULATEXT(OUT[[#This Row],[Live]]),"")</f>
        <v/>
      </c>
      <c r="L272" s="483"/>
      <c r="M272" s="483"/>
      <c r="N272" s="483"/>
      <c r="O272" s="483"/>
      <c r="P272" s="483"/>
      <c r="Q272" s="483"/>
      <c r="R272" s="483"/>
    </row>
    <row r="273" spans="1:18" x14ac:dyDescent="0.25">
      <c r="A273" s="479"/>
      <c r="B273" s="480"/>
      <c r="C273" s="479"/>
      <c r="D273" s="483"/>
      <c r="E273" s="483" t="str">
        <f>LEFT(OUT[[#This Row],[Label]],1)</f>
        <v/>
      </c>
      <c r="F273" s="483"/>
      <c r="G273" s="483"/>
      <c r="H273" s="494"/>
      <c r="I273" s="482"/>
      <c r="J273" s="483"/>
      <c r="K273" s="478" t="str">
        <f ca="1">IFERROR(_xlfn.FORMULATEXT(OUT[[#This Row],[Live]]),"")</f>
        <v/>
      </c>
      <c r="L273" s="483"/>
      <c r="M273" s="483"/>
      <c r="N273" s="483"/>
      <c r="O273" s="483"/>
      <c r="P273" s="483"/>
      <c r="Q273" s="483"/>
      <c r="R273" s="483"/>
    </row>
    <row r="274" spans="1:18" x14ac:dyDescent="0.25">
      <c r="A274" s="484"/>
      <c r="B274" s="493"/>
      <c r="C274" s="484"/>
      <c r="D274" s="483"/>
      <c r="E274" s="483" t="str">
        <f>LEFT(OUT[[#This Row],[Label]],1)</f>
        <v/>
      </c>
      <c r="F274" s="483"/>
      <c r="G274" s="483"/>
      <c r="H274" s="494"/>
      <c r="I274" s="482"/>
      <c r="J274" s="483"/>
      <c r="K274" s="478" t="str">
        <f ca="1">IFERROR(_xlfn.FORMULATEXT(OUT[[#This Row],[Live]]),"")</f>
        <v/>
      </c>
      <c r="L274" s="483"/>
      <c r="M274" s="483"/>
      <c r="N274" s="483"/>
      <c r="O274" s="483"/>
      <c r="P274" s="483"/>
      <c r="Q274" s="483"/>
      <c r="R274" s="483"/>
    </row>
    <row r="275" spans="1:18" x14ac:dyDescent="0.25">
      <c r="A275" s="479"/>
      <c r="B275" s="480"/>
      <c r="C275" s="479"/>
      <c r="D275" s="483"/>
      <c r="E275" s="483" t="str">
        <f>LEFT(OUT[[#This Row],[Label]],1)</f>
        <v/>
      </c>
      <c r="F275" s="483"/>
      <c r="G275" s="483"/>
      <c r="H275" s="494"/>
      <c r="I275" s="482"/>
      <c r="J275" s="483"/>
      <c r="K275" s="478" t="str">
        <f ca="1">IFERROR(_xlfn.FORMULATEXT(OUT[[#This Row],[Live]]),"")</f>
        <v/>
      </c>
      <c r="L275" s="483"/>
      <c r="M275" s="483"/>
      <c r="N275" s="483"/>
      <c r="O275" s="483"/>
      <c r="P275" s="483"/>
      <c r="Q275" s="483"/>
      <c r="R275" s="483"/>
    </row>
    <row r="276" spans="1:18" x14ac:dyDescent="0.25">
      <c r="A276" s="484"/>
      <c r="B276" s="493"/>
      <c r="C276" s="484"/>
      <c r="D276" s="483"/>
      <c r="E276" s="483" t="str">
        <f>LEFT(OUT[[#This Row],[Label]],1)</f>
        <v/>
      </c>
      <c r="F276" s="483"/>
      <c r="G276" s="483"/>
      <c r="H276" s="494"/>
      <c r="I276" s="482"/>
      <c r="J276" s="483"/>
      <c r="K276" s="478" t="str">
        <f ca="1">IFERROR(_xlfn.FORMULATEXT(OUT[[#This Row],[Live]]),"")</f>
        <v/>
      </c>
      <c r="L276" s="483"/>
      <c r="M276" s="483"/>
      <c r="N276" s="483"/>
      <c r="O276" s="483"/>
      <c r="P276" s="483"/>
      <c r="Q276" s="483"/>
      <c r="R276" s="483"/>
    </row>
    <row r="277" spans="1:18" x14ac:dyDescent="0.25">
      <c r="A277" s="479"/>
      <c r="B277" s="480"/>
      <c r="C277" s="479"/>
      <c r="D277" s="483"/>
      <c r="E277" s="483" t="str">
        <f>LEFT(OUT[[#This Row],[Label]],1)</f>
        <v/>
      </c>
      <c r="F277" s="483"/>
      <c r="G277" s="483"/>
      <c r="H277" s="494"/>
      <c r="I277" s="482"/>
      <c r="J277" s="483"/>
      <c r="K277" s="478" t="str">
        <f ca="1">IFERROR(_xlfn.FORMULATEXT(OUT[[#This Row],[Live]]),"")</f>
        <v/>
      </c>
      <c r="L277" s="483"/>
      <c r="M277" s="483"/>
      <c r="N277" s="483"/>
      <c r="O277" s="483"/>
      <c r="P277" s="483"/>
      <c r="Q277" s="483"/>
      <c r="R277" s="483"/>
    </row>
    <row r="278" spans="1:18" x14ac:dyDescent="0.25">
      <c r="A278" s="484"/>
      <c r="B278" s="493"/>
      <c r="C278" s="484"/>
      <c r="D278" s="483"/>
      <c r="E278" s="483" t="str">
        <f>LEFT(OUT[[#This Row],[Label]],1)</f>
        <v/>
      </c>
      <c r="F278" s="483"/>
      <c r="G278" s="483"/>
      <c r="H278" s="494"/>
      <c r="I278" s="482"/>
      <c r="J278" s="483"/>
      <c r="K278" s="478" t="str">
        <f ca="1">IFERROR(_xlfn.FORMULATEXT(OUT[[#This Row],[Live]]),"")</f>
        <v/>
      </c>
      <c r="L278" s="483"/>
      <c r="M278" s="483"/>
      <c r="N278" s="483"/>
      <c r="O278" s="483"/>
      <c r="P278" s="483"/>
      <c r="Q278" s="483"/>
      <c r="R278" s="483"/>
    </row>
    <row r="279" spans="1:18" x14ac:dyDescent="0.25">
      <c r="A279" s="479"/>
      <c r="B279" s="480"/>
      <c r="C279" s="479"/>
      <c r="D279" s="483"/>
      <c r="E279" s="483" t="str">
        <f>LEFT(OUT[[#This Row],[Label]],1)</f>
        <v/>
      </c>
      <c r="F279" s="483"/>
      <c r="G279" s="483"/>
      <c r="H279" s="494"/>
      <c r="I279" s="482"/>
      <c r="J279" s="483"/>
      <c r="K279" s="478" t="str">
        <f ca="1">IFERROR(_xlfn.FORMULATEXT(OUT[[#This Row],[Live]]),"")</f>
        <v/>
      </c>
      <c r="L279" s="483"/>
      <c r="M279" s="483"/>
      <c r="N279" s="483"/>
      <c r="O279" s="483"/>
      <c r="P279" s="483"/>
      <c r="Q279" s="483"/>
      <c r="R279" s="483"/>
    </row>
    <row r="280" spans="1:18" x14ac:dyDescent="0.25">
      <c r="A280" s="484"/>
      <c r="B280" s="493"/>
      <c r="C280" s="484"/>
      <c r="D280" s="483"/>
      <c r="E280" s="483" t="str">
        <f>LEFT(OUT[[#This Row],[Label]],1)</f>
        <v/>
      </c>
      <c r="F280" s="483"/>
      <c r="G280" s="483"/>
      <c r="H280" s="494"/>
      <c r="I280" s="482"/>
      <c r="J280" s="483"/>
      <c r="K280" s="478" t="str">
        <f ca="1">IFERROR(_xlfn.FORMULATEXT(OUT[[#This Row],[Live]]),"")</f>
        <v/>
      </c>
      <c r="L280" s="483"/>
      <c r="M280" s="483"/>
      <c r="N280" s="483"/>
      <c r="O280" s="483"/>
      <c r="P280" s="483"/>
      <c r="Q280" s="483"/>
      <c r="R280" s="483"/>
    </row>
    <row r="281" spans="1:18" x14ac:dyDescent="0.25">
      <c r="A281" s="479"/>
      <c r="B281" s="480"/>
      <c r="C281" s="479"/>
      <c r="D281" s="483"/>
      <c r="E281" s="483" t="str">
        <f>LEFT(OUT[[#This Row],[Label]],1)</f>
        <v/>
      </c>
      <c r="F281" s="483"/>
      <c r="G281" s="483"/>
      <c r="H281" s="494"/>
      <c r="I281" s="482"/>
      <c r="J281" s="483"/>
      <c r="K281" s="478" t="str">
        <f ca="1">IFERROR(_xlfn.FORMULATEXT(OUT[[#This Row],[Live]]),"")</f>
        <v/>
      </c>
      <c r="L281" s="483"/>
      <c r="M281" s="483"/>
      <c r="N281" s="483"/>
      <c r="O281" s="483"/>
      <c r="P281" s="483"/>
      <c r="Q281" s="483"/>
      <c r="R281" s="483"/>
    </row>
    <row r="282" spans="1:18" x14ac:dyDescent="0.25">
      <c r="A282" s="484"/>
      <c r="B282" s="493"/>
      <c r="C282" s="484"/>
      <c r="D282" s="483"/>
      <c r="E282" s="483" t="str">
        <f>LEFT(OUT[[#This Row],[Label]],1)</f>
        <v/>
      </c>
      <c r="F282" s="483"/>
      <c r="G282" s="483"/>
      <c r="H282" s="494"/>
      <c r="I282" s="482"/>
      <c r="J282" s="483"/>
      <c r="K282" s="478" t="str">
        <f ca="1">IFERROR(_xlfn.FORMULATEXT(OUT[[#This Row],[Live]]),"")</f>
        <v/>
      </c>
      <c r="L282" s="483"/>
      <c r="M282" s="483"/>
      <c r="N282" s="483"/>
      <c r="O282" s="483"/>
      <c r="P282" s="483"/>
      <c r="Q282" s="483"/>
      <c r="R282" s="483"/>
    </row>
    <row r="283" spans="1:18" x14ac:dyDescent="0.25">
      <c r="A283" s="479"/>
      <c r="B283" s="480"/>
      <c r="C283" s="479"/>
      <c r="D283" s="483"/>
      <c r="E283" s="483" t="str">
        <f>LEFT(OUT[[#This Row],[Label]],1)</f>
        <v/>
      </c>
      <c r="F283" s="483"/>
      <c r="G283" s="483"/>
      <c r="H283" s="494"/>
      <c r="I283" s="482"/>
      <c r="J283" s="483"/>
      <c r="K283" s="478" t="str">
        <f ca="1">IFERROR(_xlfn.FORMULATEXT(OUT[[#This Row],[Live]]),"")</f>
        <v/>
      </c>
      <c r="L283" s="483"/>
      <c r="M283" s="483"/>
      <c r="N283" s="483"/>
      <c r="O283" s="483"/>
      <c r="P283" s="483"/>
      <c r="Q283" s="483"/>
      <c r="R283" s="483"/>
    </row>
    <row r="284" spans="1:18" x14ac:dyDescent="0.25">
      <c r="A284" s="484"/>
      <c r="B284" s="493"/>
      <c r="C284" s="484"/>
      <c r="D284" s="483"/>
      <c r="E284" s="483" t="str">
        <f>LEFT(OUT[[#This Row],[Label]],1)</f>
        <v/>
      </c>
      <c r="F284" s="483"/>
      <c r="G284" s="483"/>
      <c r="H284" s="494"/>
      <c r="I284" s="482"/>
      <c r="J284" s="483"/>
      <c r="K284" s="478" t="str">
        <f ca="1">IFERROR(_xlfn.FORMULATEXT(OUT[[#This Row],[Live]]),"")</f>
        <v/>
      </c>
      <c r="L284" s="483"/>
      <c r="M284" s="483"/>
      <c r="N284" s="483"/>
      <c r="O284" s="483"/>
      <c r="P284" s="483"/>
      <c r="Q284" s="483"/>
      <c r="R284" s="483"/>
    </row>
    <row r="285" spans="1:18" x14ac:dyDescent="0.25">
      <c r="A285" s="479"/>
      <c r="B285" s="480"/>
      <c r="C285" s="479"/>
      <c r="D285" s="483"/>
      <c r="E285" s="483" t="str">
        <f>LEFT(OUT[[#This Row],[Label]],1)</f>
        <v/>
      </c>
      <c r="F285" s="483"/>
      <c r="G285" s="483"/>
      <c r="H285" s="494"/>
      <c r="I285" s="482"/>
      <c r="J285" s="483"/>
      <c r="K285" s="478" t="str">
        <f ca="1">IFERROR(_xlfn.FORMULATEXT(OUT[[#This Row],[Live]]),"")</f>
        <v/>
      </c>
      <c r="L285" s="483"/>
      <c r="M285" s="483"/>
      <c r="N285" s="483"/>
      <c r="O285" s="483"/>
      <c r="P285" s="483"/>
      <c r="Q285" s="483"/>
      <c r="R285" s="483"/>
    </row>
    <row r="286" spans="1:18" x14ac:dyDescent="0.25">
      <c r="A286" s="484"/>
      <c r="B286" s="493"/>
      <c r="C286" s="484"/>
      <c r="D286" s="483"/>
      <c r="E286" s="483" t="str">
        <f>LEFT(OUT[[#This Row],[Label]],1)</f>
        <v/>
      </c>
      <c r="F286" s="483"/>
      <c r="G286" s="483"/>
      <c r="H286" s="494"/>
      <c r="I286" s="482"/>
      <c r="J286" s="483"/>
      <c r="K286" s="478" t="str">
        <f ca="1">IFERROR(_xlfn.FORMULATEXT(OUT[[#This Row],[Live]]),"")</f>
        <v/>
      </c>
      <c r="L286" s="483"/>
      <c r="M286" s="483"/>
      <c r="N286" s="483"/>
      <c r="O286" s="483"/>
      <c r="P286" s="483"/>
      <c r="Q286" s="483"/>
      <c r="R286" s="483"/>
    </row>
    <row r="287" spans="1:18" x14ac:dyDescent="0.25">
      <c r="A287" s="479"/>
      <c r="B287" s="480"/>
      <c r="C287" s="479"/>
      <c r="D287" s="483"/>
      <c r="E287" s="483" t="str">
        <f>LEFT(OUT[[#This Row],[Label]],1)</f>
        <v/>
      </c>
      <c r="F287" s="483"/>
      <c r="G287" s="483"/>
      <c r="H287" s="494"/>
      <c r="I287" s="482"/>
      <c r="J287" s="483"/>
      <c r="K287" s="478" t="str">
        <f ca="1">IFERROR(_xlfn.FORMULATEXT(OUT[[#This Row],[Live]]),"")</f>
        <v/>
      </c>
      <c r="L287" s="483"/>
      <c r="M287" s="483"/>
      <c r="N287" s="483"/>
      <c r="O287" s="483"/>
      <c r="P287" s="483"/>
      <c r="Q287" s="483"/>
      <c r="R287" s="483"/>
    </row>
    <row r="288" spans="1:18" x14ac:dyDescent="0.25">
      <c r="A288" s="484"/>
      <c r="B288" s="493"/>
      <c r="C288" s="484"/>
      <c r="D288" s="483"/>
      <c r="E288" s="483" t="str">
        <f>LEFT(OUT[[#This Row],[Label]],1)</f>
        <v/>
      </c>
      <c r="F288" s="483"/>
      <c r="G288" s="483"/>
      <c r="H288" s="494"/>
      <c r="I288" s="482"/>
      <c r="J288" s="483"/>
      <c r="K288" s="478" t="str">
        <f ca="1">IFERROR(_xlfn.FORMULATEXT(OUT[[#This Row],[Live]]),"")</f>
        <v/>
      </c>
      <c r="L288" s="483"/>
      <c r="M288" s="483"/>
      <c r="N288" s="483"/>
      <c r="O288" s="483"/>
      <c r="P288" s="483"/>
      <c r="Q288" s="483"/>
      <c r="R288" s="483"/>
    </row>
    <row r="289" spans="1:18" x14ac:dyDescent="0.25">
      <c r="A289" s="479"/>
      <c r="B289" s="480"/>
      <c r="C289" s="479"/>
      <c r="D289" s="483"/>
      <c r="E289" s="483" t="str">
        <f>LEFT(OUT[[#This Row],[Label]],1)</f>
        <v/>
      </c>
      <c r="F289" s="483"/>
      <c r="G289" s="483"/>
      <c r="H289" s="494"/>
      <c r="I289" s="482"/>
      <c r="J289" s="483"/>
      <c r="K289" s="478" t="str">
        <f ca="1">IFERROR(_xlfn.FORMULATEXT(OUT[[#This Row],[Live]]),"")</f>
        <v/>
      </c>
      <c r="L289" s="483"/>
      <c r="M289" s="483"/>
      <c r="N289" s="483"/>
      <c r="O289" s="483"/>
      <c r="P289" s="483"/>
      <c r="Q289" s="483"/>
      <c r="R289" s="483"/>
    </row>
    <row r="290" spans="1:18" x14ac:dyDescent="0.25">
      <c r="A290" s="484"/>
      <c r="B290" s="493"/>
      <c r="C290" s="484"/>
      <c r="D290" s="483"/>
      <c r="E290" s="483" t="str">
        <f>LEFT(OUT[[#This Row],[Label]],1)</f>
        <v/>
      </c>
      <c r="F290" s="483"/>
      <c r="G290" s="483"/>
      <c r="H290" s="494"/>
      <c r="I290" s="482"/>
      <c r="J290" s="483"/>
      <c r="K290" s="478" t="str">
        <f ca="1">IFERROR(_xlfn.FORMULATEXT(OUT[[#This Row],[Live]]),"")</f>
        <v/>
      </c>
      <c r="L290" s="483"/>
      <c r="M290" s="483"/>
      <c r="N290" s="483"/>
      <c r="O290" s="483"/>
      <c r="P290" s="483"/>
      <c r="Q290" s="483"/>
      <c r="R290" s="483"/>
    </row>
    <row r="291" spans="1:18" x14ac:dyDescent="0.25">
      <c r="A291" s="479"/>
      <c r="B291" s="480"/>
      <c r="C291" s="479"/>
      <c r="D291" s="483"/>
      <c r="E291" s="483" t="str">
        <f>LEFT(OUT[[#This Row],[Label]],1)</f>
        <v/>
      </c>
      <c r="F291" s="483"/>
      <c r="G291" s="483"/>
      <c r="H291" s="494"/>
      <c r="I291" s="482"/>
      <c r="J291" s="483"/>
      <c r="K291" s="478" t="str">
        <f ca="1">IFERROR(_xlfn.FORMULATEXT(OUT[[#This Row],[Live]]),"")</f>
        <v/>
      </c>
      <c r="L291" s="483"/>
      <c r="M291" s="483"/>
      <c r="N291" s="483"/>
      <c r="O291" s="483"/>
      <c r="P291" s="483"/>
      <c r="Q291" s="483"/>
      <c r="R291" s="483"/>
    </row>
    <row r="292" spans="1:18" x14ac:dyDescent="0.25">
      <c r="A292" s="484"/>
      <c r="B292" s="493"/>
      <c r="C292" s="484"/>
      <c r="D292" s="483"/>
      <c r="E292" s="483" t="str">
        <f>LEFT(OUT[[#This Row],[Label]],1)</f>
        <v/>
      </c>
      <c r="F292" s="483"/>
      <c r="G292" s="483"/>
      <c r="H292" s="494"/>
      <c r="I292" s="482"/>
      <c r="J292" s="483"/>
      <c r="K292" s="478" t="str">
        <f ca="1">IFERROR(_xlfn.FORMULATEXT(OUT[[#This Row],[Live]]),"")</f>
        <v/>
      </c>
      <c r="L292" s="483"/>
      <c r="M292" s="483"/>
      <c r="N292" s="483"/>
      <c r="O292" s="483"/>
      <c r="P292" s="483"/>
      <c r="Q292" s="483"/>
      <c r="R292" s="483"/>
    </row>
    <row r="293" spans="1:18" x14ac:dyDescent="0.25">
      <c r="A293" s="479"/>
      <c r="B293" s="480"/>
      <c r="C293" s="479"/>
      <c r="D293" s="483"/>
      <c r="E293" s="483" t="str">
        <f>LEFT(OUT[[#This Row],[Label]],1)</f>
        <v/>
      </c>
      <c r="F293" s="483"/>
      <c r="G293" s="483"/>
      <c r="H293" s="494"/>
      <c r="I293" s="482"/>
      <c r="J293" s="483"/>
      <c r="K293" s="478" t="str">
        <f ca="1">IFERROR(_xlfn.FORMULATEXT(OUT[[#This Row],[Live]]),"")</f>
        <v/>
      </c>
      <c r="L293" s="483"/>
      <c r="M293" s="483"/>
      <c r="N293" s="483"/>
      <c r="O293" s="483"/>
      <c r="P293" s="483"/>
      <c r="Q293" s="483"/>
      <c r="R293" s="483"/>
    </row>
    <row r="294" spans="1:18" x14ac:dyDescent="0.25">
      <c r="A294" s="484"/>
      <c r="B294" s="493"/>
      <c r="C294" s="484"/>
      <c r="D294" s="483"/>
      <c r="E294" s="483" t="str">
        <f>LEFT(OUT[[#This Row],[Label]],1)</f>
        <v/>
      </c>
      <c r="F294" s="483"/>
      <c r="G294" s="483"/>
      <c r="H294" s="494"/>
      <c r="I294" s="482"/>
      <c r="J294" s="483"/>
      <c r="K294" s="478" t="str">
        <f ca="1">IFERROR(_xlfn.FORMULATEXT(OUT[[#This Row],[Live]]),"")</f>
        <v/>
      </c>
      <c r="L294" s="483"/>
      <c r="M294" s="483"/>
      <c r="N294" s="483"/>
      <c r="O294" s="483"/>
      <c r="P294" s="483"/>
      <c r="Q294" s="483"/>
      <c r="R294" s="483"/>
    </row>
    <row r="295" spans="1:18" x14ac:dyDescent="0.25">
      <c r="A295" s="479"/>
      <c r="B295" s="480"/>
      <c r="C295" s="479"/>
      <c r="D295" s="483"/>
      <c r="E295" s="483" t="str">
        <f>LEFT(OUT[[#This Row],[Label]],1)</f>
        <v/>
      </c>
      <c r="F295" s="483"/>
      <c r="G295" s="483"/>
      <c r="H295" s="494"/>
      <c r="I295" s="482"/>
      <c r="J295" s="483"/>
      <c r="K295" s="478" t="str">
        <f ca="1">IFERROR(_xlfn.FORMULATEXT(OUT[[#This Row],[Live]]),"")</f>
        <v/>
      </c>
      <c r="L295" s="483"/>
      <c r="M295" s="483"/>
      <c r="N295" s="483"/>
      <c r="O295" s="483"/>
      <c r="P295" s="483"/>
      <c r="Q295" s="483"/>
      <c r="R295" s="483"/>
    </row>
    <row r="296" spans="1:18" x14ac:dyDescent="0.25">
      <c r="A296" s="484"/>
      <c r="B296" s="493"/>
      <c r="C296" s="484"/>
      <c r="D296" s="483"/>
      <c r="E296" s="483" t="str">
        <f>LEFT(OUT[[#This Row],[Label]],1)</f>
        <v/>
      </c>
      <c r="F296" s="483"/>
      <c r="G296" s="483"/>
      <c r="H296" s="494"/>
      <c r="I296" s="482"/>
      <c r="J296" s="483"/>
      <c r="K296" s="478" t="str">
        <f ca="1">IFERROR(_xlfn.FORMULATEXT(OUT[[#This Row],[Live]]),"")</f>
        <v/>
      </c>
      <c r="L296" s="483"/>
      <c r="M296" s="483"/>
      <c r="N296" s="483"/>
      <c r="O296" s="483"/>
      <c r="P296" s="483"/>
      <c r="Q296" s="483"/>
      <c r="R296" s="483"/>
    </row>
    <row r="297" spans="1:18" x14ac:dyDescent="0.25">
      <c r="A297" s="479"/>
      <c r="B297" s="480"/>
      <c r="C297" s="479"/>
      <c r="D297" s="483"/>
      <c r="E297" s="483" t="str">
        <f>LEFT(OUT[[#This Row],[Label]],1)</f>
        <v/>
      </c>
      <c r="F297" s="483"/>
      <c r="G297" s="483"/>
      <c r="H297" s="494"/>
      <c r="I297" s="482"/>
      <c r="J297" s="483"/>
      <c r="K297" s="478" t="str">
        <f ca="1">IFERROR(_xlfn.FORMULATEXT(OUT[[#This Row],[Live]]),"")</f>
        <v/>
      </c>
      <c r="L297" s="483"/>
      <c r="M297" s="483"/>
      <c r="N297" s="483"/>
      <c r="O297" s="483"/>
      <c r="P297" s="483"/>
      <c r="Q297" s="483"/>
      <c r="R297" s="483"/>
    </row>
    <row r="298" spans="1:18" x14ac:dyDescent="0.25">
      <c r="A298" s="484"/>
      <c r="B298" s="493"/>
      <c r="C298" s="484"/>
      <c r="D298" s="483"/>
      <c r="E298" s="483" t="str">
        <f>LEFT(OUT[[#This Row],[Label]],1)</f>
        <v/>
      </c>
      <c r="F298" s="483"/>
      <c r="G298" s="483"/>
      <c r="H298" s="494"/>
      <c r="I298" s="482"/>
      <c r="J298" s="483"/>
      <c r="K298" s="478" t="str">
        <f ca="1">IFERROR(_xlfn.FORMULATEXT(OUT[[#This Row],[Live]]),"")</f>
        <v/>
      </c>
      <c r="L298" s="483"/>
      <c r="M298" s="483"/>
      <c r="N298" s="483"/>
      <c r="O298" s="483"/>
      <c r="P298" s="483"/>
      <c r="Q298" s="483"/>
      <c r="R298" s="483"/>
    </row>
    <row r="299" spans="1:18" x14ac:dyDescent="0.25">
      <c r="A299" s="479"/>
      <c r="B299" s="480"/>
      <c r="C299" s="479"/>
      <c r="D299" s="483"/>
      <c r="E299" s="483" t="str">
        <f>LEFT(OUT[[#This Row],[Label]],1)</f>
        <v/>
      </c>
      <c r="F299" s="483"/>
      <c r="G299" s="483"/>
      <c r="H299" s="494"/>
      <c r="I299" s="482"/>
      <c r="J299" s="483"/>
      <c r="K299" s="478" t="str">
        <f ca="1">IFERROR(_xlfn.FORMULATEXT(OUT[[#This Row],[Live]]),"")</f>
        <v/>
      </c>
      <c r="L299" s="483"/>
      <c r="M299" s="483"/>
      <c r="N299" s="483"/>
      <c r="O299" s="483"/>
      <c r="P299" s="483"/>
      <c r="Q299" s="483"/>
      <c r="R299" s="483"/>
    </row>
    <row r="300" spans="1:18" x14ac:dyDescent="0.25">
      <c r="A300" s="484"/>
      <c r="B300" s="493"/>
      <c r="C300" s="484"/>
      <c r="D300" s="483"/>
      <c r="E300" s="483" t="str">
        <f>LEFT(OUT[[#This Row],[Label]],1)</f>
        <v/>
      </c>
      <c r="F300" s="483"/>
      <c r="G300" s="483"/>
      <c r="H300" s="494"/>
      <c r="I300" s="482"/>
      <c r="J300" s="483"/>
      <c r="K300" s="478" t="str">
        <f ca="1">IFERROR(_xlfn.FORMULATEXT(OUT[[#This Row],[Live]]),"")</f>
        <v/>
      </c>
      <c r="L300" s="483"/>
      <c r="M300" s="483"/>
      <c r="N300" s="483"/>
      <c r="O300" s="483"/>
      <c r="P300" s="483"/>
      <c r="Q300" s="483"/>
      <c r="R300" s="483"/>
    </row>
    <row r="301" spans="1:18" x14ac:dyDescent="0.25">
      <c r="A301" s="479"/>
      <c r="B301" s="480"/>
      <c r="C301" s="479"/>
      <c r="D301" s="483"/>
      <c r="E301" s="483" t="str">
        <f>LEFT(OUT[[#This Row],[Label]],1)</f>
        <v/>
      </c>
      <c r="F301" s="483"/>
      <c r="G301" s="483"/>
      <c r="H301" s="494"/>
      <c r="I301" s="482"/>
      <c r="J301" s="483"/>
      <c r="K301" s="478" t="str">
        <f ca="1">IFERROR(_xlfn.FORMULATEXT(OUT[[#This Row],[Live]]),"")</f>
        <v/>
      </c>
      <c r="L301" s="483"/>
      <c r="M301" s="483"/>
      <c r="N301" s="483"/>
      <c r="O301" s="483"/>
      <c r="P301" s="483"/>
      <c r="Q301" s="483"/>
      <c r="R301" s="483"/>
    </row>
    <row r="302" spans="1:18" x14ac:dyDescent="0.25">
      <c r="A302" s="484"/>
      <c r="B302" s="493"/>
      <c r="C302" s="484"/>
      <c r="D302" s="483"/>
      <c r="E302" s="483" t="str">
        <f>LEFT(OUT[[#This Row],[Label]],1)</f>
        <v/>
      </c>
      <c r="F302" s="483"/>
      <c r="G302" s="483"/>
      <c r="H302" s="494"/>
      <c r="I302" s="482"/>
      <c r="J302" s="483"/>
      <c r="K302" s="478" t="str">
        <f ca="1">IFERROR(_xlfn.FORMULATEXT(OUT[[#This Row],[Live]]),"")</f>
        <v/>
      </c>
      <c r="L302" s="483"/>
      <c r="M302" s="483"/>
      <c r="N302" s="483"/>
      <c r="O302" s="483"/>
      <c r="P302" s="483"/>
      <c r="Q302" s="483"/>
      <c r="R302" s="483"/>
    </row>
    <row r="303" spans="1:18" x14ac:dyDescent="0.25">
      <c r="A303" s="479"/>
      <c r="B303" s="480"/>
      <c r="C303" s="479"/>
      <c r="D303" s="483"/>
      <c r="E303" s="483" t="str">
        <f>LEFT(OUT[[#This Row],[Label]],1)</f>
        <v/>
      </c>
      <c r="F303" s="483"/>
      <c r="G303" s="483"/>
      <c r="H303" s="494"/>
      <c r="I303" s="482"/>
      <c r="J303" s="483"/>
      <c r="K303" s="478" t="str">
        <f ca="1">IFERROR(_xlfn.FORMULATEXT(OUT[[#This Row],[Live]]),"")</f>
        <v/>
      </c>
      <c r="L303" s="483"/>
      <c r="M303" s="483"/>
      <c r="N303" s="483"/>
      <c r="O303" s="483"/>
      <c r="P303" s="483"/>
      <c r="Q303" s="483"/>
      <c r="R303" s="483"/>
    </row>
    <row r="304" spans="1:18" x14ac:dyDescent="0.25">
      <c r="A304" s="484"/>
      <c r="B304" s="493"/>
      <c r="C304" s="484"/>
      <c r="D304" s="483"/>
      <c r="E304" s="483" t="str">
        <f>LEFT(OUT[[#This Row],[Label]],1)</f>
        <v/>
      </c>
      <c r="F304" s="483"/>
      <c r="G304" s="483"/>
      <c r="H304" s="494"/>
      <c r="I304" s="482"/>
      <c r="J304" s="483"/>
      <c r="K304" s="478" t="str">
        <f ca="1">IFERROR(_xlfn.FORMULATEXT(OUT[[#This Row],[Live]]),"")</f>
        <v/>
      </c>
      <c r="L304" s="483"/>
      <c r="M304" s="483"/>
      <c r="N304" s="483"/>
      <c r="O304" s="483"/>
      <c r="P304" s="483"/>
      <c r="Q304" s="483"/>
      <c r="R304" s="483"/>
    </row>
    <row r="305" spans="1:18" x14ac:dyDescent="0.25">
      <c r="A305" s="479"/>
      <c r="B305" s="480"/>
      <c r="C305" s="479"/>
      <c r="D305" s="483"/>
      <c r="E305" s="483" t="str">
        <f>LEFT(OUT[[#This Row],[Label]],1)</f>
        <v/>
      </c>
      <c r="F305" s="483"/>
      <c r="G305" s="483"/>
      <c r="H305" s="494"/>
      <c r="I305" s="482"/>
      <c r="J305" s="483"/>
      <c r="K305" s="478" t="str">
        <f ca="1">IFERROR(_xlfn.FORMULATEXT(OUT[[#This Row],[Live]]),"")</f>
        <v/>
      </c>
      <c r="L305" s="483"/>
      <c r="M305" s="483"/>
      <c r="N305" s="483"/>
      <c r="O305" s="483"/>
      <c r="P305" s="483"/>
      <c r="Q305" s="483"/>
      <c r="R305" s="483"/>
    </row>
    <row r="306" spans="1:18" x14ac:dyDescent="0.25">
      <c r="A306" s="484"/>
      <c r="B306" s="493"/>
      <c r="C306" s="484"/>
      <c r="D306" s="483"/>
      <c r="E306" s="483" t="str">
        <f>LEFT(OUT[[#This Row],[Label]],1)</f>
        <v/>
      </c>
      <c r="F306" s="483"/>
      <c r="G306" s="483"/>
      <c r="H306" s="494"/>
      <c r="I306" s="482"/>
      <c r="J306" s="483"/>
      <c r="K306" s="478" t="str">
        <f ca="1">IFERROR(_xlfn.FORMULATEXT(OUT[[#This Row],[Live]]),"")</f>
        <v/>
      </c>
      <c r="L306" s="483"/>
      <c r="M306" s="483"/>
      <c r="N306" s="483"/>
      <c r="O306" s="483"/>
      <c r="P306" s="483"/>
      <c r="Q306" s="483"/>
      <c r="R306" s="483"/>
    </row>
    <row r="307" spans="1:18" x14ac:dyDescent="0.25">
      <c r="A307" s="479"/>
      <c r="B307" s="480"/>
      <c r="C307" s="479"/>
      <c r="D307" s="483"/>
      <c r="E307" s="483" t="str">
        <f>LEFT(OUT[[#This Row],[Label]],1)</f>
        <v/>
      </c>
      <c r="F307" s="483"/>
      <c r="G307" s="483"/>
      <c r="H307" s="494"/>
      <c r="I307" s="482"/>
      <c r="J307" s="483"/>
      <c r="K307" s="478" t="str">
        <f ca="1">IFERROR(_xlfn.FORMULATEXT(OUT[[#This Row],[Live]]),"")</f>
        <v/>
      </c>
      <c r="L307" s="483"/>
      <c r="M307" s="483"/>
      <c r="N307" s="483"/>
      <c r="O307" s="483"/>
      <c r="P307" s="483"/>
      <c r="Q307" s="483"/>
      <c r="R307" s="483"/>
    </row>
    <row r="308" spans="1:18" x14ac:dyDescent="0.25">
      <c r="A308" s="484"/>
      <c r="B308" s="493"/>
      <c r="C308" s="484"/>
      <c r="D308" s="483"/>
      <c r="E308" s="483" t="str">
        <f>LEFT(OUT[[#This Row],[Label]],1)</f>
        <v/>
      </c>
      <c r="F308" s="483"/>
      <c r="G308" s="483"/>
      <c r="H308" s="494"/>
      <c r="I308" s="482"/>
      <c r="J308" s="483"/>
      <c r="K308" s="478" t="str">
        <f ca="1">IFERROR(_xlfn.FORMULATEXT(OUT[[#This Row],[Live]]),"")</f>
        <v/>
      </c>
      <c r="L308" s="483"/>
      <c r="M308" s="483"/>
      <c r="N308" s="483"/>
      <c r="O308" s="483"/>
      <c r="P308" s="483"/>
      <c r="Q308" s="483"/>
      <c r="R308" s="483"/>
    </row>
    <row r="309" spans="1:18" x14ac:dyDescent="0.25">
      <c r="A309" s="479"/>
      <c r="B309" s="480"/>
      <c r="C309" s="479"/>
      <c r="D309" s="483"/>
      <c r="E309" s="483" t="str">
        <f>LEFT(OUT[[#This Row],[Label]],1)</f>
        <v/>
      </c>
      <c r="F309" s="483"/>
      <c r="G309" s="483"/>
      <c r="H309" s="494"/>
      <c r="I309" s="482"/>
      <c r="J309" s="483"/>
      <c r="K309" s="478" t="str">
        <f ca="1">IFERROR(_xlfn.FORMULATEXT(OUT[[#This Row],[Live]]),"")</f>
        <v/>
      </c>
      <c r="L309" s="483"/>
      <c r="M309" s="483"/>
      <c r="N309" s="483"/>
      <c r="O309" s="483"/>
      <c r="P309" s="483"/>
      <c r="Q309" s="483"/>
      <c r="R309" s="483"/>
    </row>
    <row r="310" spans="1:18" x14ac:dyDescent="0.25">
      <c r="A310" s="484"/>
      <c r="B310" s="493"/>
      <c r="C310" s="484"/>
      <c r="D310" s="483"/>
      <c r="E310" s="483" t="str">
        <f>LEFT(OUT[[#This Row],[Label]],1)</f>
        <v/>
      </c>
      <c r="F310" s="483"/>
      <c r="G310" s="483"/>
      <c r="H310" s="494"/>
      <c r="I310" s="482"/>
      <c r="J310" s="483"/>
      <c r="K310" s="478" t="str">
        <f ca="1">IFERROR(_xlfn.FORMULATEXT(OUT[[#This Row],[Live]]),"")</f>
        <v/>
      </c>
      <c r="L310" s="483"/>
      <c r="M310" s="483"/>
      <c r="N310" s="483"/>
      <c r="O310" s="483"/>
      <c r="P310" s="483"/>
      <c r="Q310" s="483"/>
      <c r="R310" s="483"/>
    </row>
    <row r="311" spans="1:18" x14ac:dyDescent="0.25">
      <c r="A311" s="479"/>
      <c r="B311" s="480"/>
      <c r="C311" s="479"/>
      <c r="D311" s="483"/>
      <c r="E311" s="483" t="str">
        <f>LEFT(OUT[[#This Row],[Label]],1)</f>
        <v/>
      </c>
      <c r="F311" s="483"/>
      <c r="G311" s="483"/>
      <c r="H311" s="494"/>
      <c r="I311" s="482"/>
      <c r="J311" s="483"/>
      <c r="K311" s="478" t="str">
        <f ca="1">IFERROR(_xlfn.FORMULATEXT(OUT[[#This Row],[Live]]),"")</f>
        <v/>
      </c>
      <c r="L311" s="483"/>
      <c r="M311" s="483"/>
      <c r="N311" s="483"/>
      <c r="O311" s="483"/>
      <c r="P311" s="483"/>
      <c r="Q311" s="483"/>
      <c r="R311" s="483"/>
    </row>
    <row r="312" spans="1:18" x14ac:dyDescent="0.25">
      <c r="A312" s="484"/>
      <c r="B312" s="493"/>
      <c r="C312" s="484"/>
      <c r="D312" s="483"/>
      <c r="E312" s="483" t="str">
        <f>LEFT(OUT[[#This Row],[Label]],1)</f>
        <v/>
      </c>
      <c r="F312" s="483"/>
      <c r="G312" s="483"/>
      <c r="H312" s="494"/>
      <c r="I312" s="482"/>
      <c r="J312" s="483"/>
      <c r="K312" s="478" t="str">
        <f ca="1">IFERROR(_xlfn.FORMULATEXT(OUT[[#This Row],[Live]]),"")</f>
        <v/>
      </c>
      <c r="L312" s="483"/>
      <c r="M312" s="483"/>
      <c r="N312" s="483"/>
      <c r="O312" s="483"/>
      <c r="P312" s="483"/>
      <c r="Q312" s="483"/>
      <c r="R312" s="483"/>
    </row>
    <row r="313" spans="1:18" x14ac:dyDescent="0.25">
      <c r="A313" s="479"/>
      <c r="B313" s="480"/>
      <c r="C313" s="479"/>
      <c r="D313" s="483"/>
      <c r="E313" s="483" t="str">
        <f>LEFT(OUT[[#This Row],[Label]],1)</f>
        <v/>
      </c>
      <c r="F313" s="483"/>
      <c r="G313" s="483"/>
      <c r="H313" s="494"/>
      <c r="I313" s="482"/>
      <c r="J313" s="483"/>
      <c r="K313" s="478" t="str">
        <f ca="1">IFERROR(_xlfn.FORMULATEXT(OUT[[#This Row],[Live]]),"")</f>
        <v/>
      </c>
      <c r="L313" s="483"/>
      <c r="M313" s="483"/>
      <c r="N313" s="483"/>
      <c r="O313" s="483"/>
      <c r="P313" s="483"/>
      <c r="Q313" s="483"/>
      <c r="R313" s="483"/>
    </row>
    <row r="314" spans="1:18" x14ac:dyDescent="0.25">
      <c r="A314" s="484"/>
      <c r="B314" s="493"/>
      <c r="C314" s="484"/>
      <c r="D314" s="483"/>
      <c r="E314" s="483" t="str">
        <f>LEFT(OUT[[#This Row],[Label]],1)</f>
        <v/>
      </c>
      <c r="F314" s="483"/>
      <c r="G314" s="483"/>
      <c r="H314" s="494"/>
      <c r="I314" s="482"/>
      <c r="J314" s="483"/>
      <c r="K314" s="478" t="str">
        <f ca="1">IFERROR(_xlfn.FORMULATEXT(OUT[[#This Row],[Live]]),"")</f>
        <v/>
      </c>
      <c r="L314" s="483"/>
      <c r="M314" s="483"/>
      <c r="N314" s="483"/>
      <c r="O314" s="483"/>
      <c r="P314" s="483"/>
      <c r="Q314" s="483"/>
      <c r="R314" s="483"/>
    </row>
    <row r="315" spans="1:18" x14ac:dyDescent="0.25">
      <c r="A315" s="479"/>
      <c r="B315" s="480"/>
      <c r="C315" s="479"/>
      <c r="D315" s="483"/>
      <c r="E315" s="483" t="str">
        <f>LEFT(OUT[[#This Row],[Label]],1)</f>
        <v/>
      </c>
      <c r="F315" s="483"/>
      <c r="G315" s="483"/>
      <c r="H315" s="494"/>
      <c r="I315" s="482"/>
      <c r="J315" s="483"/>
      <c r="K315" s="478" t="str">
        <f ca="1">IFERROR(_xlfn.FORMULATEXT(OUT[[#This Row],[Live]]),"")</f>
        <v/>
      </c>
      <c r="L315" s="483"/>
      <c r="M315" s="483"/>
      <c r="N315" s="483"/>
      <c r="O315" s="483"/>
      <c r="P315" s="483"/>
      <c r="Q315" s="483"/>
      <c r="R315" s="483"/>
    </row>
    <row r="316" spans="1:18" x14ac:dyDescent="0.25">
      <c r="A316" s="484"/>
      <c r="B316" s="493"/>
      <c r="C316" s="484"/>
      <c r="D316" s="483"/>
      <c r="E316" s="483" t="str">
        <f>LEFT(OUT[[#This Row],[Label]],1)</f>
        <v/>
      </c>
      <c r="F316" s="483"/>
      <c r="G316" s="483"/>
      <c r="H316" s="494"/>
      <c r="I316" s="482"/>
      <c r="J316" s="483"/>
      <c r="K316" s="478" t="str">
        <f ca="1">IFERROR(_xlfn.FORMULATEXT(OUT[[#This Row],[Live]]),"")</f>
        <v/>
      </c>
      <c r="L316" s="483"/>
      <c r="M316" s="483"/>
      <c r="N316" s="483"/>
      <c r="O316" s="483"/>
      <c r="P316" s="483"/>
      <c r="Q316" s="483"/>
      <c r="R316" s="483"/>
    </row>
    <row r="317" spans="1:18" x14ac:dyDescent="0.25">
      <c r="A317" s="479"/>
      <c r="B317" s="480"/>
      <c r="C317" s="479"/>
      <c r="D317" s="483"/>
      <c r="E317" s="483" t="str">
        <f>LEFT(OUT[[#This Row],[Label]],1)</f>
        <v/>
      </c>
      <c r="F317" s="483"/>
      <c r="G317" s="483"/>
      <c r="H317" s="494"/>
      <c r="I317" s="482"/>
      <c r="J317" s="483"/>
      <c r="K317" s="478" t="str">
        <f ca="1">IFERROR(_xlfn.FORMULATEXT(OUT[[#This Row],[Live]]),"")</f>
        <v/>
      </c>
      <c r="L317" s="483"/>
      <c r="M317" s="483"/>
      <c r="N317" s="483"/>
      <c r="O317" s="483"/>
      <c r="P317" s="483"/>
      <c r="Q317" s="483"/>
      <c r="R317" s="483"/>
    </row>
    <row r="318" spans="1:18" x14ac:dyDescent="0.25">
      <c r="A318" s="484"/>
      <c r="B318" s="493"/>
      <c r="C318" s="484"/>
      <c r="D318" s="483"/>
      <c r="E318" s="483" t="str">
        <f>LEFT(OUT[[#This Row],[Label]],1)</f>
        <v/>
      </c>
      <c r="F318" s="483"/>
      <c r="G318" s="483"/>
      <c r="H318" s="494"/>
      <c r="I318" s="482"/>
      <c r="J318" s="483"/>
      <c r="K318" s="478" t="str">
        <f ca="1">IFERROR(_xlfn.FORMULATEXT(OUT[[#This Row],[Live]]),"")</f>
        <v/>
      </c>
      <c r="L318" s="483"/>
      <c r="M318" s="483"/>
      <c r="N318" s="483"/>
      <c r="O318" s="483"/>
      <c r="P318" s="483"/>
      <c r="Q318" s="483"/>
      <c r="R318" s="483"/>
    </row>
    <row r="319" spans="1:18" x14ac:dyDescent="0.25">
      <c r="A319" s="479"/>
      <c r="B319" s="480"/>
      <c r="C319" s="479"/>
      <c r="D319" s="483"/>
      <c r="E319" s="483" t="str">
        <f>LEFT(OUT[[#This Row],[Label]],1)</f>
        <v/>
      </c>
      <c r="F319" s="483"/>
      <c r="G319" s="483"/>
      <c r="H319" s="494"/>
      <c r="I319" s="482"/>
      <c r="J319" s="483"/>
      <c r="K319" s="478" t="str">
        <f ca="1">IFERROR(_xlfn.FORMULATEXT(OUT[[#This Row],[Live]]),"")</f>
        <v/>
      </c>
      <c r="L319" s="483"/>
      <c r="M319" s="483"/>
      <c r="N319" s="483"/>
      <c r="O319" s="483"/>
      <c r="P319" s="483"/>
      <c r="Q319" s="483"/>
      <c r="R319" s="483"/>
    </row>
    <row r="320" spans="1:18" x14ac:dyDescent="0.25">
      <c r="A320" s="484"/>
      <c r="B320" s="493"/>
      <c r="C320" s="484"/>
      <c r="D320" s="483"/>
      <c r="E320" s="483" t="str">
        <f>LEFT(OUT[[#This Row],[Label]],1)</f>
        <v/>
      </c>
      <c r="F320" s="483"/>
      <c r="G320" s="483"/>
      <c r="H320" s="494"/>
      <c r="I320" s="482"/>
      <c r="J320" s="483"/>
      <c r="K320" s="478" t="str">
        <f ca="1">IFERROR(_xlfn.FORMULATEXT(OUT[[#This Row],[Live]]),"")</f>
        <v/>
      </c>
      <c r="L320" s="483"/>
      <c r="M320" s="483"/>
      <c r="N320" s="483"/>
      <c r="O320" s="483"/>
      <c r="P320" s="483"/>
      <c r="Q320" s="483"/>
      <c r="R320" s="483"/>
    </row>
    <row r="321" spans="1:18" x14ac:dyDescent="0.25">
      <c r="A321" s="479"/>
      <c r="B321" s="480"/>
      <c r="C321" s="479"/>
      <c r="D321" s="483"/>
      <c r="E321" s="483" t="str">
        <f>LEFT(OUT[[#This Row],[Label]],1)</f>
        <v/>
      </c>
      <c r="F321" s="483"/>
      <c r="G321" s="483"/>
      <c r="H321" s="494"/>
      <c r="I321" s="482"/>
      <c r="J321" s="483"/>
      <c r="K321" s="478" t="str">
        <f ca="1">IFERROR(_xlfn.FORMULATEXT(OUT[[#This Row],[Live]]),"")</f>
        <v/>
      </c>
      <c r="L321" s="483"/>
      <c r="M321" s="483"/>
      <c r="N321" s="483"/>
      <c r="O321" s="483"/>
      <c r="P321" s="483"/>
      <c r="Q321" s="483"/>
      <c r="R321" s="483"/>
    </row>
    <row r="322" spans="1:18" x14ac:dyDescent="0.25">
      <c r="A322" s="484"/>
      <c r="B322" s="493"/>
      <c r="C322" s="484"/>
      <c r="D322" s="483"/>
      <c r="E322" s="483" t="str">
        <f>LEFT(OUT[[#This Row],[Label]],1)</f>
        <v/>
      </c>
      <c r="F322" s="483"/>
      <c r="G322" s="483"/>
      <c r="H322" s="494"/>
      <c r="I322" s="482"/>
      <c r="J322" s="483"/>
      <c r="K322" s="478" t="str">
        <f ca="1">IFERROR(_xlfn.FORMULATEXT(OUT[[#This Row],[Live]]),"")</f>
        <v/>
      </c>
      <c r="L322" s="483"/>
      <c r="M322" s="483"/>
      <c r="N322" s="483"/>
      <c r="O322" s="483"/>
      <c r="P322" s="483"/>
      <c r="Q322" s="483"/>
      <c r="R322" s="483"/>
    </row>
    <row r="323" spans="1:18" x14ac:dyDescent="0.25">
      <c r="A323" s="479"/>
      <c r="B323" s="480"/>
      <c r="C323" s="479"/>
      <c r="D323" s="483"/>
      <c r="E323" s="483" t="str">
        <f>LEFT(OUT[[#This Row],[Label]],1)</f>
        <v/>
      </c>
      <c r="F323" s="483"/>
      <c r="G323" s="483"/>
      <c r="H323" s="494"/>
      <c r="I323" s="482"/>
      <c r="J323" s="483"/>
      <c r="K323" s="478" t="str">
        <f ca="1">IFERROR(_xlfn.FORMULATEXT(OUT[[#This Row],[Live]]),"")</f>
        <v/>
      </c>
      <c r="L323" s="483"/>
      <c r="M323" s="483"/>
      <c r="N323" s="483"/>
      <c r="O323" s="483"/>
      <c r="P323" s="483"/>
      <c r="Q323" s="483"/>
      <c r="R323" s="483"/>
    </row>
    <row r="324" spans="1:18" x14ac:dyDescent="0.25">
      <c r="A324" s="484"/>
      <c r="B324" s="493"/>
      <c r="C324" s="484"/>
      <c r="D324" s="483"/>
      <c r="E324" s="483" t="str">
        <f>LEFT(OUT[[#This Row],[Label]],1)</f>
        <v/>
      </c>
      <c r="F324" s="483"/>
      <c r="G324" s="483"/>
      <c r="H324" s="494"/>
      <c r="I324" s="482"/>
      <c r="J324" s="483"/>
      <c r="K324" s="478" t="str">
        <f ca="1">IFERROR(_xlfn.FORMULATEXT(OUT[[#This Row],[Live]]),"")</f>
        <v/>
      </c>
      <c r="L324" s="483"/>
      <c r="M324" s="483"/>
      <c r="N324" s="483"/>
      <c r="O324" s="483"/>
      <c r="P324" s="483"/>
      <c r="Q324" s="483"/>
      <c r="R324" s="483"/>
    </row>
    <row r="325" spans="1:18" x14ac:dyDescent="0.25">
      <c r="A325" s="479"/>
      <c r="B325" s="480"/>
      <c r="C325" s="479"/>
      <c r="D325" s="483"/>
      <c r="E325" s="483" t="str">
        <f>LEFT(OUT[[#This Row],[Label]],1)</f>
        <v/>
      </c>
      <c r="F325" s="483"/>
      <c r="G325" s="483"/>
      <c r="H325" s="494"/>
      <c r="I325" s="482"/>
      <c r="J325" s="483"/>
      <c r="K325" s="478" t="str">
        <f ca="1">IFERROR(_xlfn.FORMULATEXT(OUT[[#This Row],[Live]]),"")</f>
        <v/>
      </c>
      <c r="L325" s="483"/>
      <c r="M325" s="483"/>
      <c r="N325" s="483"/>
      <c r="O325" s="483"/>
      <c r="P325" s="483"/>
      <c r="Q325" s="483"/>
      <c r="R325" s="483"/>
    </row>
    <row r="326" spans="1:18" x14ac:dyDescent="0.25">
      <c r="A326" s="484"/>
      <c r="B326" s="493"/>
      <c r="C326" s="484"/>
      <c r="D326" s="483"/>
      <c r="E326" s="483" t="str">
        <f>LEFT(OUT[[#This Row],[Label]],1)</f>
        <v/>
      </c>
      <c r="F326" s="483"/>
      <c r="G326" s="483"/>
      <c r="H326" s="494"/>
      <c r="I326" s="482"/>
      <c r="J326" s="483"/>
      <c r="K326" s="478" t="str">
        <f ca="1">IFERROR(_xlfn.FORMULATEXT(OUT[[#This Row],[Live]]),"")</f>
        <v/>
      </c>
      <c r="L326" s="483"/>
      <c r="M326" s="483"/>
      <c r="N326" s="483"/>
      <c r="O326" s="483"/>
      <c r="P326" s="483"/>
      <c r="Q326" s="483"/>
      <c r="R326" s="483"/>
    </row>
    <row r="327" spans="1:18" x14ac:dyDescent="0.25">
      <c r="A327" s="479"/>
      <c r="B327" s="480"/>
      <c r="C327" s="479"/>
      <c r="D327" s="483"/>
      <c r="E327" s="483" t="str">
        <f>LEFT(OUT[[#This Row],[Label]],1)</f>
        <v/>
      </c>
      <c r="F327" s="483"/>
      <c r="G327" s="483"/>
      <c r="H327" s="494"/>
      <c r="I327" s="482"/>
      <c r="J327" s="483"/>
      <c r="K327" s="478" t="str">
        <f ca="1">IFERROR(_xlfn.FORMULATEXT(OUT[[#This Row],[Live]]),"")</f>
        <v/>
      </c>
      <c r="L327" s="483"/>
      <c r="M327" s="483"/>
      <c r="N327" s="483"/>
      <c r="O327" s="483"/>
      <c r="P327" s="483"/>
      <c r="Q327" s="483"/>
      <c r="R327" s="483"/>
    </row>
    <row r="328" spans="1:18" x14ac:dyDescent="0.25">
      <c r="A328" s="484"/>
      <c r="B328" s="493"/>
      <c r="C328" s="484"/>
      <c r="D328" s="483"/>
      <c r="E328" s="483" t="str">
        <f>LEFT(OUT[[#This Row],[Label]],1)</f>
        <v/>
      </c>
      <c r="F328" s="483"/>
      <c r="G328" s="483"/>
      <c r="H328" s="494"/>
      <c r="I328" s="482"/>
      <c r="J328" s="483"/>
      <c r="K328" s="478" t="str">
        <f ca="1">IFERROR(_xlfn.FORMULATEXT(OUT[[#This Row],[Live]]),"")</f>
        <v/>
      </c>
      <c r="L328" s="483"/>
      <c r="M328" s="483"/>
      <c r="N328" s="483"/>
      <c r="O328" s="483"/>
      <c r="P328" s="483"/>
      <c r="Q328" s="483"/>
      <c r="R328" s="483"/>
    </row>
    <row r="329" spans="1:18" x14ac:dyDescent="0.25">
      <c r="A329" s="479"/>
      <c r="B329" s="480"/>
      <c r="C329" s="479"/>
      <c r="D329" s="483"/>
      <c r="E329" s="483" t="str">
        <f>LEFT(OUT[[#This Row],[Label]],1)</f>
        <v/>
      </c>
      <c r="F329" s="483"/>
      <c r="G329" s="483"/>
      <c r="H329" s="494"/>
      <c r="I329" s="482"/>
      <c r="J329" s="483"/>
      <c r="K329" s="478" t="str">
        <f ca="1">IFERROR(_xlfn.FORMULATEXT(OUT[[#This Row],[Live]]),"")</f>
        <v/>
      </c>
      <c r="L329" s="483"/>
      <c r="M329" s="483"/>
      <c r="N329" s="483"/>
      <c r="O329" s="483"/>
      <c r="P329" s="483"/>
      <c r="Q329" s="483"/>
      <c r="R329" s="483"/>
    </row>
    <row r="330" spans="1:18" x14ac:dyDescent="0.25">
      <c r="A330" s="484"/>
      <c r="B330" s="493"/>
      <c r="C330" s="484"/>
      <c r="D330" s="483"/>
      <c r="E330" s="483" t="str">
        <f>LEFT(OUT[[#This Row],[Label]],1)</f>
        <v/>
      </c>
      <c r="F330" s="483"/>
      <c r="G330" s="483"/>
      <c r="H330" s="494"/>
      <c r="I330" s="482"/>
      <c r="J330" s="483"/>
      <c r="K330" s="478" t="str">
        <f ca="1">IFERROR(_xlfn.FORMULATEXT(OUT[[#This Row],[Live]]),"")</f>
        <v/>
      </c>
      <c r="L330" s="483"/>
      <c r="M330" s="483"/>
      <c r="N330" s="483"/>
      <c r="O330" s="483"/>
      <c r="P330" s="483"/>
      <c r="Q330" s="483"/>
      <c r="R330" s="483"/>
    </row>
    <row r="331" spans="1:18" x14ac:dyDescent="0.25">
      <c r="A331" s="479"/>
      <c r="B331" s="480"/>
      <c r="C331" s="479"/>
      <c r="D331" s="483"/>
      <c r="E331" s="483" t="str">
        <f>LEFT(OUT[[#This Row],[Label]],1)</f>
        <v/>
      </c>
      <c r="F331" s="483"/>
      <c r="G331" s="483"/>
      <c r="H331" s="494"/>
      <c r="I331" s="482"/>
      <c r="J331" s="483"/>
      <c r="K331" s="478" t="str">
        <f ca="1">IFERROR(_xlfn.FORMULATEXT(OUT[[#This Row],[Live]]),"")</f>
        <v/>
      </c>
      <c r="L331" s="483"/>
      <c r="M331" s="483"/>
      <c r="N331" s="483"/>
      <c r="O331" s="483"/>
      <c r="P331" s="483"/>
      <c r="Q331" s="483"/>
      <c r="R331" s="483"/>
    </row>
    <row r="332" spans="1:18" x14ac:dyDescent="0.25">
      <c r="A332" s="484"/>
      <c r="B332" s="493"/>
      <c r="C332" s="484"/>
      <c r="D332" s="483"/>
      <c r="E332" s="483" t="str">
        <f>LEFT(OUT[[#This Row],[Label]],1)</f>
        <v/>
      </c>
      <c r="F332" s="483"/>
      <c r="G332" s="483"/>
      <c r="H332" s="494"/>
      <c r="I332" s="482"/>
      <c r="J332" s="483"/>
      <c r="K332" s="478" t="str">
        <f ca="1">IFERROR(_xlfn.FORMULATEXT(OUT[[#This Row],[Live]]),"")</f>
        <v/>
      </c>
      <c r="L332" s="483"/>
      <c r="M332" s="483"/>
      <c r="N332" s="483"/>
      <c r="O332" s="483"/>
      <c r="P332" s="483"/>
      <c r="Q332" s="483"/>
      <c r="R332" s="483"/>
    </row>
    <row r="333" spans="1:18" x14ac:dyDescent="0.25">
      <c r="A333" s="479"/>
      <c r="B333" s="480"/>
      <c r="C333" s="479"/>
      <c r="D333" s="483"/>
      <c r="E333" s="483" t="str">
        <f>LEFT(OUT[[#This Row],[Label]],1)</f>
        <v/>
      </c>
      <c r="F333" s="483"/>
      <c r="G333" s="483"/>
      <c r="H333" s="494"/>
      <c r="I333" s="482"/>
      <c r="J333" s="483"/>
      <c r="K333" s="478" t="str">
        <f ca="1">IFERROR(_xlfn.FORMULATEXT(OUT[[#This Row],[Live]]),"")</f>
        <v/>
      </c>
      <c r="L333" s="483"/>
      <c r="M333" s="483"/>
      <c r="N333" s="483"/>
      <c r="O333" s="483"/>
      <c r="P333" s="483"/>
      <c r="Q333" s="483"/>
      <c r="R333" s="483"/>
    </row>
    <row r="334" spans="1:18" x14ac:dyDescent="0.25">
      <c r="A334" s="484"/>
      <c r="B334" s="493"/>
      <c r="C334" s="484"/>
      <c r="D334" s="483"/>
      <c r="E334" s="483" t="str">
        <f>LEFT(OUT[[#This Row],[Label]],1)</f>
        <v/>
      </c>
      <c r="F334" s="483"/>
      <c r="G334" s="483"/>
      <c r="H334" s="494"/>
      <c r="I334" s="482"/>
      <c r="J334" s="483"/>
      <c r="K334" s="478" t="str">
        <f ca="1">IFERROR(_xlfn.FORMULATEXT(OUT[[#This Row],[Live]]),"")</f>
        <v/>
      </c>
      <c r="L334" s="483"/>
      <c r="M334" s="483"/>
      <c r="N334" s="483"/>
      <c r="O334" s="483"/>
      <c r="P334" s="483"/>
      <c r="Q334" s="483"/>
      <c r="R334" s="483"/>
    </row>
    <row r="335" spans="1:18" x14ac:dyDescent="0.25">
      <c r="A335" s="479"/>
      <c r="B335" s="480"/>
      <c r="C335" s="479"/>
      <c r="D335" s="483"/>
      <c r="E335" s="483" t="str">
        <f>LEFT(OUT[[#This Row],[Label]],1)</f>
        <v/>
      </c>
      <c r="F335" s="483"/>
      <c r="G335" s="483"/>
      <c r="H335" s="494"/>
      <c r="I335" s="482"/>
      <c r="J335" s="483"/>
      <c r="K335" s="478" t="str">
        <f ca="1">IFERROR(_xlfn.FORMULATEXT(OUT[[#This Row],[Live]]),"")</f>
        <v/>
      </c>
      <c r="L335" s="483"/>
      <c r="M335" s="483"/>
      <c r="N335" s="483"/>
      <c r="O335" s="483"/>
      <c r="P335" s="483"/>
      <c r="Q335" s="483"/>
      <c r="R335" s="483"/>
    </row>
    <row r="336" spans="1:18" x14ac:dyDescent="0.25">
      <c r="A336" s="484"/>
      <c r="B336" s="493"/>
      <c r="C336" s="484"/>
      <c r="D336" s="483"/>
      <c r="E336" s="483" t="str">
        <f>LEFT(OUT[[#This Row],[Label]],1)</f>
        <v/>
      </c>
      <c r="F336" s="483"/>
      <c r="G336" s="483"/>
      <c r="H336" s="494"/>
      <c r="I336" s="482"/>
      <c r="J336" s="483"/>
      <c r="K336" s="478" t="str">
        <f ca="1">IFERROR(_xlfn.FORMULATEXT(OUT[[#This Row],[Live]]),"")</f>
        <v/>
      </c>
      <c r="L336" s="483"/>
      <c r="M336" s="483"/>
      <c r="N336" s="483"/>
      <c r="O336" s="483"/>
      <c r="P336" s="483"/>
      <c r="Q336" s="483"/>
      <c r="R336" s="483"/>
    </row>
    <row r="337" spans="1:18" x14ac:dyDescent="0.25">
      <c r="A337" s="479"/>
      <c r="B337" s="480"/>
      <c r="C337" s="479"/>
      <c r="D337" s="483"/>
      <c r="E337" s="483" t="str">
        <f>LEFT(OUT[[#This Row],[Label]],1)</f>
        <v/>
      </c>
      <c r="F337" s="483"/>
      <c r="G337" s="483"/>
      <c r="H337" s="494"/>
      <c r="I337" s="482"/>
      <c r="J337" s="483"/>
      <c r="K337" s="478" t="str">
        <f ca="1">IFERROR(_xlfn.FORMULATEXT(OUT[[#This Row],[Live]]),"")</f>
        <v/>
      </c>
      <c r="L337" s="483"/>
      <c r="M337" s="483"/>
      <c r="N337" s="483"/>
      <c r="O337" s="483"/>
      <c r="P337" s="483"/>
      <c r="Q337" s="483"/>
      <c r="R337" s="483"/>
    </row>
    <row r="338" spans="1:18" x14ac:dyDescent="0.25">
      <c r="A338" s="484"/>
      <c r="B338" s="493"/>
      <c r="C338" s="484"/>
      <c r="D338" s="483"/>
      <c r="E338" s="483" t="str">
        <f>LEFT(OUT[[#This Row],[Label]],1)</f>
        <v/>
      </c>
      <c r="F338" s="483"/>
      <c r="G338" s="483"/>
      <c r="H338" s="494"/>
      <c r="I338" s="482"/>
      <c r="J338" s="483"/>
      <c r="K338" s="478" t="str">
        <f ca="1">IFERROR(_xlfn.FORMULATEXT(OUT[[#This Row],[Live]]),"")</f>
        <v/>
      </c>
      <c r="L338" s="483"/>
      <c r="M338" s="483"/>
      <c r="N338" s="483"/>
      <c r="O338" s="483"/>
      <c r="P338" s="483"/>
      <c r="Q338" s="483"/>
      <c r="R338" s="483"/>
    </row>
    <row r="339" spans="1:18" x14ac:dyDescent="0.25">
      <c r="A339" s="479"/>
      <c r="B339" s="480"/>
      <c r="C339" s="479"/>
      <c r="D339" s="483"/>
      <c r="E339" s="483" t="str">
        <f>LEFT(OUT[[#This Row],[Label]],1)</f>
        <v/>
      </c>
      <c r="F339" s="483"/>
      <c r="G339" s="483"/>
      <c r="H339" s="494"/>
      <c r="I339" s="482"/>
      <c r="J339" s="483"/>
      <c r="K339" s="478" t="str">
        <f ca="1">IFERROR(_xlfn.FORMULATEXT(OUT[[#This Row],[Live]]),"")</f>
        <v/>
      </c>
      <c r="L339" s="483"/>
      <c r="M339" s="483"/>
      <c r="N339" s="483"/>
      <c r="O339" s="483"/>
      <c r="P339" s="483"/>
      <c r="Q339" s="483"/>
      <c r="R339" s="483"/>
    </row>
    <row r="340" spans="1:18" x14ac:dyDescent="0.25">
      <c r="A340" s="484"/>
      <c r="B340" s="493"/>
      <c r="C340" s="484"/>
      <c r="D340" s="483"/>
      <c r="E340" s="483" t="str">
        <f>LEFT(OUT[[#This Row],[Label]],1)</f>
        <v/>
      </c>
      <c r="F340" s="483"/>
      <c r="G340" s="483"/>
      <c r="H340" s="494"/>
      <c r="I340" s="482"/>
      <c r="J340" s="483"/>
      <c r="K340" s="478" t="str">
        <f ca="1">IFERROR(_xlfn.FORMULATEXT(OUT[[#This Row],[Live]]),"")</f>
        <v/>
      </c>
      <c r="L340" s="483"/>
      <c r="M340" s="483"/>
      <c r="N340" s="483"/>
      <c r="O340" s="483"/>
      <c r="P340" s="483"/>
      <c r="Q340" s="483"/>
      <c r="R340" s="483"/>
    </row>
    <row r="341" spans="1:18" x14ac:dyDescent="0.25">
      <c r="A341" s="479"/>
      <c r="B341" s="480"/>
      <c r="C341" s="479"/>
      <c r="D341" s="483"/>
      <c r="E341" s="483" t="str">
        <f>LEFT(OUT[[#This Row],[Label]],1)</f>
        <v/>
      </c>
      <c r="F341" s="483"/>
      <c r="G341" s="483"/>
      <c r="H341" s="494"/>
      <c r="I341" s="482"/>
      <c r="J341" s="483"/>
      <c r="K341" s="478" t="str">
        <f ca="1">IFERROR(_xlfn.FORMULATEXT(OUT[[#This Row],[Live]]),"")</f>
        <v/>
      </c>
      <c r="L341" s="483"/>
      <c r="M341" s="483"/>
      <c r="N341" s="483"/>
      <c r="O341" s="483"/>
      <c r="P341" s="483"/>
      <c r="Q341" s="483"/>
      <c r="R341" s="483"/>
    </row>
    <row r="342" spans="1:18" x14ac:dyDescent="0.25">
      <c r="A342" s="484"/>
      <c r="B342" s="493"/>
      <c r="C342" s="484"/>
      <c r="D342" s="483"/>
      <c r="E342" s="483" t="str">
        <f>LEFT(OUT[[#This Row],[Label]],1)</f>
        <v/>
      </c>
      <c r="F342" s="483"/>
      <c r="G342" s="483"/>
      <c r="H342" s="494"/>
      <c r="I342" s="482"/>
      <c r="J342" s="483"/>
      <c r="K342" s="478" t="str">
        <f ca="1">IFERROR(_xlfn.FORMULATEXT(OUT[[#This Row],[Live]]),"")</f>
        <v/>
      </c>
      <c r="L342" s="483"/>
      <c r="M342" s="483"/>
      <c r="N342" s="483"/>
      <c r="O342" s="483"/>
      <c r="P342" s="483"/>
      <c r="Q342" s="483"/>
      <c r="R342" s="483"/>
    </row>
    <row r="343" spans="1:18" x14ac:dyDescent="0.25">
      <c r="A343" s="479"/>
      <c r="B343" s="480"/>
      <c r="C343" s="479"/>
      <c r="D343" s="483"/>
      <c r="E343" s="483" t="str">
        <f>LEFT(OUT[[#This Row],[Label]],1)</f>
        <v/>
      </c>
      <c r="F343" s="483"/>
      <c r="G343" s="483"/>
      <c r="H343" s="494"/>
      <c r="I343" s="482"/>
      <c r="J343" s="483"/>
      <c r="K343" s="478" t="str">
        <f ca="1">IFERROR(_xlfn.FORMULATEXT(OUT[[#This Row],[Live]]),"")</f>
        <v/>
      </c>
      <c r="L343" s="483"/>
      <c r="M343" s="483"/>
      <c r="N343" s="483"/>
      <c r="O343" s="483"/>
      <c r="P343" s="483"/>
      <c r="Q343" s="483"/>
      <c r="R343" s="483"/>
    </row>
    <row r="344" spans="1:18" x14ac:dyDescent="0.25">
      <c r="A344" s="484"/>
      <c r="B344" s="493"/>
      <c r="C344" s="484"/>
      <c r="D344" s="483"/>
      <c r="E344" s="483" t="str">
        <f>LEFT(OUT[[#This Row],[Label]],1)</f>
        <v/>
      </c>
      <c r="F344" s="483"/>
      <c r="G344" s="483"/>
      <c r="H344" s="494"/>
      <c r="I344" s="482"/>
      <c r="J344" s="483"/>
      <c r="K344" s="478" t="str">
        <f ca="1">IFERROR(_xlfn.FORMULATEXT(OUT[[#This Row],[Live]]),"")</f>
        <v/>
      </c>
      <c r="L344" s="483"/>
      <c r="M344" s="483"/>
      <c r="N344" s="483"/>
      <c r="O344" s="483"/>
      <c r="P344" s="483"/>
      <c r="Q344" s="483"/>
      <c r="R344" s="483"/>
    </row>
    <row r="345" spans="1:18" x14ac:dyDescent="0.25">
      <c r="A345" s="479"/>
      <c r="B345" s="480"/>
      <c r="C345" s="479"/>
      <c r="D345" s="483"/>
      <c r="E345" s="483" t="str">
        <f>LEFT(OUT[[#This Row],[Label]],1)</f>
        <v/>
      </c>
      <c r="F345" s="483"/>
      <c r="G345" s="483"/>
      <c r="H345" s="494"/>
      <c r="I345" s="482"/>
      <c r="J345" s="483"/>
      <c r="K345" s="478" t="str">
        <f ca="1">IFERROR(_xlfn.FORMULATEXT(OUT[[#This Row],[Live]]),"")</f>
        <v/>
      </c>
      <c r="L345" s="483"/>
      <c r="M345" s="483"/>
      <c r="N345" s="483"/>
      <c r="O345" s="483"/>
      <c r="P345" s="483"/>
      <c r="Q345" s="483"/>
      <c r="R345" s="483"/>
    </row>
    <row r="346" spans="1:18" x14ac:dyDescent="0.25">
      <c r="A346" s="484"/>
      <c r="B346" s="493"/>
      <c r="C346" s="484"/>
      <c r="D346" s="483"/>
      <c r="E346" s="483" t="str">
        <f>LEFT(OUT[[#This Row],[Label]],1)</f>
        <v/>
      </c>
      <c r="F346" s="483"/>
      <c r="G346" s="483"/>
      <c r="H346" s="494"/>
      <c r="I346" s="482"/>
      <c r="J346" s="483"/>
      <c r="K346" s="478" t="str">
        <f ca="1">IFERROR(_xlfn.FORMULATEXT(OUT[[#This Row],[Live]]),"")</f>
        <v/>
      </c>
      <c r="L346" s="483"/>
      <c r="M346" s="483"/>
      <c r="N346" s="483"/>
      <c r="O346" s="483"/>
      <c r="P346" s="483"/>
      <c r="Q346" s="483"/>
      <c r="R346" s="483"/>
    </row>
    <row r="347" spans="1:18" x14ac:dyDescent="0.25">
      <c r="A347" s="479"/>
      <c r="B347" s="480"/>
      <c r="C347" s="479"/>
      <c r="D347" s="483"/>
      <c r="E347" s="483" t="str">
        <f>LEFT(OUT[[#This Row],[Label]],1)</f>
        <v/>
      </c>
      <c r="F347" s="483"/>
      <c r="G347" s="483"/>
      <c r="H347" s="494"/>
      <c r="I347" s="482"/>
      <c r="J347" s="483"/>
      <c r="K347" s="478" t="str">
        <f ca="1">IFERROR(_xlfn.FORMULATEXT(OUT[[#This Row],[Live]]),"")</f>
        <v/>
      </c>
      <c r="L347" s="483"/>
      <c r="M347" s="483"/>
      <c r="N347" s="483"/>
      <c r="O347" s="483"/>
      <c r="P347" s="483"/>
      <c r="Q347" s="483"/>
      <c r="R347" s="483"/>
    </row>
    <row r="348" spans="1:18" x14ac:dyDescent="0.25">
      <c r="A348" s="484"/>
      <c r="B348" s="493"/>
      <c r="C348" s="484"/>
      <c r="D348" s="483"/>
      <c r="E348" s="483" t="str">
        <f>LEFT(OUT[[#This Row],[Label]],1)</f>
        <v/>
      </c>
      <c r="F348" s="483"/>
      <c r="G348" s="483"/>
      <c r="H348" s="494"/>
      <c r="I348" s="482"/>
      <c r="J348" s="483"/>
      <c r="K348" s="478" t="str">
        <f ca="1">IFERROR(_xlfn.FORMULATEXT(OUT[[#This Row],[Live]]),"")</f>
        <v/>
      </c>
      <c r="L348" s="483"/>
      <c r="M348" s="483"/>
      <c r="N348" s="483"/>
      <c r="O348" s="483"/>
      <c r="P348" s="483"/>
      <c r="Q348" s="483"/>
      <c r="R348" s="483"/>
    </row>
    <row r="349" spans="1:18" x14ac:dyDescent="0.25">
      <c r="A349" s="479"/>
      <c r="B349" s="480"/>
      <c r="C349" s="479"/>
      <c r="D349" s="483"/>
      <c r="E349" s="483" t="str">
        <f>LEFT(OUT[[#This Row],[Label]],1)</f>
        <v/>
      </c>
      <c r="F349" s="483"/>
      <c r="G349" s="483"/>
      <c r="H349" s="494"/>
      <c r="I349" s="482"/>
      <c r="J349" s="483"/>
      <c r="K349" s="478" t="str">
        <f ca="1">IFERROR(_xlfn.FORMULATEXT(OUT[[#This Row],[Live]]),"")</f>
        <v/>
      </c>
      <c r="L349" s="483"/>
      <c r="M349" s="483"/>
      <c r="N349" s="483"/>
      <c r="O349" s="483"/>
      <c r="P349" s="483"/>
      <c r="Q349" s="483"/>
      <c r="R349" s="483"/>
    </row>
    <row r="350" spans="1:18" x14ac:dyDescent="0.25">
      <c r="A350" s="484"/>
      <c r="B350" s="493"/>
      <c r="C350" s="484"/>
      <c r="D350" s="483"/>
      <c r="E350" s="483" t="str">
        <f>LEFT(OUT[[#This Row],[Label]],1)</f>
        <v/>
      </c>
      <c r="F350" s="483"/>
      <c r="G350" s="483"/>
      <c r="H350" s="494"/>
      <c r="I350" s="482"/>
      <c r="J350" s="483"/>
      <c r="K350" s="478" t="str">
        <f ca="1">IFERROR(_xlfn.FORMULATEXT(OUT[[#This Row],[Live]]),"")</f>
        <v/>
      </c>
      <c r="L350" s="483"/>
      <c r="M350" s="483"/>
      <c r="N350" s="483"/>
      <c r="O350" s="483"/>
      <c r="P350" s="483"/>
      <c r="Q350" s="483"/>
      <c r="R350" s="483"/>
    </row>
    <row r="351" spans="1:18" x14ac:dyDescent="0.25">
      <c r="A351" s="479"/>
      <c r="B351" s="480"/>
      <c r="C351" s="479"/>
      <c r="D351" s="483"/>
      <c r="E351" s="483" t="str">
        <f>LEFT(OUT[[#This Row],[Label]],1)</f>
        <v/>
      </c>
      <c r="F351" s="483"/>
      <c r="G351" s="483"/>
      <c r="H351" s="494"/>
      <c r="I351" s="482"/>
      <c r="J351" s="483"/>
      <c r="K351" s="478" t="str">
        <f ca="1">IFERROR(_xlfn.FORMULATEXT(OUT[[#This Row],[Live]]),"")</f>
        <v/>
      </c>
      <c r="L351" s="483"/>
      <c r="M351" s="483"/>
      <c r="N351" s="483"/>
      <c r="O351" s="483"/>
      <c r="P351" s="483"/>
      <c r="Q351" s="483"/>
      <c r="R351" s="483"/>
    </row>
  </sheetData>
  <conditionalFormatting sqref="K1:K351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9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{3342D4A4-8286-43AC-A45B-CDD6CCBF14D0}</x14:id>
        </ext>
      </extLst>
    </cfRule>
  </conditionalFormatting>
  <conditionalFormatting sqref="I8:J8">
    <cfRule type="dataBar" priority="14">
      <dataBar>
        <cfvo type="num" val="0"/>
        <cfvo type="num" val="6"/>
        <color theme="2" tint="-0.499984740745262"/>
      </dataBar>
      <extLst>
        <ext xmlns:x14="http://schemas.microsoft.com/office/spreadsheetml/2009/9/main" uri="{B025F937-C7B1-47D3-B67F-A62EFF666E3E}">
          <x14:id>{5AE42AAF-ED5A-4994-A76A-4172DAE6645E}</x14:id>
        </ext>
      </extLst>
    </cfRule>
  </conditionalFormatting>
  <conditionalFormatting sqref="D36:L36">
    <cfRule type="expression" dxfId="49" priority="13">
      <formula>$I36</formula>
    </cfRule>
  </conditionalFormatting>
  <conditionalFormatting sqref="I94">
    <cfRule type="expression" dxfId="48" priority="12">
      <formula>NOT(PV_is_used)</formula>
    </cfRule>
  </conditionalFormatting>
  <conditionalFormatting sqref="I95">
    <cfRule type="expression" dxfId="47" priority="11">
      <formula>NOT(PV_is_used)</formula>
    </cfRule>
  </conditionalFormatting>
  <conditionalFormatting sqref="I96">
    <cfRule type="expression" dxfId="46" priority="10">
      <formula>NOT(PV_is_used)</formula>
    </cfRule>
  </conditionalFormatting>
  <conditionalFormatting sqref="I97">
    <cfRule type="expression" dxfId="45" priority="9">
      <formula>NOT(PV_is_used)</formula>
    </cfRule>
  </conditionalFormatting>
  <conditionalFormatting sqref="I98">
    <cfRule type="expression" dxfId="44" priority="8">
      <formula>NOT(PV_is_used)</formula>
    </cfRule>
  </conditionalFormatting>
  <conditionalFormatting sqref="I99">
    <cfRule type="expression" dxfId="43" priority="7">
      <formula>NOT(mobility_is_included)</formula>
    </cfRule>
  </conditionalFormatting>
  <conditionalFormatting sqref="I99">
    <cfRule type="expression" dxfId="42" priority="6">
      <formula>NOT(PV_is_used)</formula>
    </cfRule>
  </conditionalFormatting>
  <conditionalFormatting sqref="I101">
    <cfRule type="expression" dxfId="41" priority="5">
      <formula>NOT(PV_is_used)</formula>
    </cfRule>
  </conditionalFormatting>
  <conditionalFormatting sqref="I102">
    <cfRule type="expression" dxfId="40" priority="4">
      <formula>NOT(PV_is_used)</formula>
    </cfRule>
  </conditionalFormatting>
  <conditionalFormatting sqref="I103">
    <cfRule type="expression" dxfId="39" priority="3">
      <formula>NOT(PV_is_used)</formula>
    </cfRule>
  </conditionalFormatting>
  <conditionalFormatting sqref="I134:I135">
    <cfRule type="expression" dxfId="38" priority="2">
      <formula>NOT(mobility_is_included)</formula>
    </cfRule>
  </conditionalFormatting>
  <conditionalFormatting sqref="I149">
    <cfRule type="expression" dxfId="37" priority="1">
      <formula>NOT(mobility_is_included)</formula>
    </cfRule>
  </conditionalFormatting>
  <hyperlinks>
    <hyperlink ref="D91" location="'🚗'!D4" display="E-Car Ladung" xr:uid="{6F3A0524-1935-496F-93EC-E107D83C0E4E}"/>
    <hyperlink ref="F99" location="'🚗'!D4" display="E-Car Ladung" xr:uid="{4FE6D653-022F-4FF8-B36C-953A6E47C422}"/>
    <hyperlink ref="F106" location="'🚗'!D4" display="E-Car Ladung" xr:uid="{6C1FE36C-2863-4486-AB78-5181B42C03BA}"/>
    <hyperlink ref="F114" location="'🚗'!D4" display="E-Car Ladung" xr:uid="{0F092C22-C09C-460C-9619-8518C76A5EA3}"/>
    <hyperlink ref="F121" location="'🚗'!D4" display="E-Car Ladung" xr:uid="{8EE53D1E-FD0A-4CF6-B9EF-3D44A80FBCE2}"/>
    <hyperlink ref="F127" location="'🚗'!D4" display="E-Car Ladung" xr:uid="{D6F18AA0-6243-41AF-81C1-9393E0716267}"/>
    <hyperlink ref="F134" location="'🚗'!D4" display="E-Car Ladung" xr:uid="{979AD173-071A-4234-ADE0-051BD17F8B5D}"/>
  </hyperlinks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42D4A4-8286-43AC-A45B-CDD6CCBF14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5AE42AAF-ED5A-4994-A76A-4172DAE6645E}">
            <x14:dataBar minLength="0" maxLength="100" gradient="0">
              <x14:cfvo type="num">
                <xm:f>0</xm:f>
              </x14:cfvo>
              <x14:cfvo type="num">
                <xm:f>6</xm:f>
              </x14:cfvo>
              <x14:negativeFillColor rgb="FFFF0000"/>
              <x14:axisColor rgb="FF000000"/>
            </x14:dataBar>
          </x14:cfRule>
          <xm:sqref>I8:J8</xm:sqref>
        </x14:conditionalFormatting>
        <x14:conditionalFormatting xmlns:xm="http://schemas.microsoft.com/office/excel/2006/main">
          <x14:cfRule type="iconSet" priority="17" id="{3AC90CA7-E816-44C2-AD09-00D7DCF814FE}">
            <x14:iconSet iconSet="3Triangles">
              <x14:cfvo type="percent">
                <xm:f>0</xm:f>
              </x14:cfvo>
              <x14:cfvo type="num">
                <xm:f>-0.01</xm:f>
              </x14:cfvo>
              <x14:cfvo type="num" gte="0">
                <xm:f>0.01</xm:f>
              </x14:cfvo>
            </x14:iconSet>
          </x14:cfRule>
          <xm:sqref>K1:K351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153</vt:i4>
      </vt:variant>
    </vt:vector>
  </HeadingPairs>
  <TitlesOfParts>
    <vt:vector size="155" baseType="lpstr">
      <vt:lpstr>IN</vt:lpstr>
      <vt:lpstr>OUT</vt:lpstr>
      <vt:lpstr>Batt_to_Ec_min</vt:lpstr>
      <vt:lpstr>Batt_to_Edhw_min</vt:lpstr>
      <vt:lpstr>Batt_to_Eev_min</vt:lpstr>
      <vt:lpstr>Batt_to_Eh_min</vt:lpstr>
      <vt:lpstr>Batt_to_Ev_min</vt:lpstr>
      <vt:lpstr>Batt_to_plugloads</vt:lpstr>
      <vt:lpstr>Batt_total_charge</vt:lpstr>
      <vt:lpstr>Batt_total_charge_input</vt:lpstr>
      <vt:lpstr>Batt_total_discharge</vt:lpstr>
      <vt:lpstr>cfd_A</vt:lpstr>
      <vt:lpstr>cfd_cutoff</vt:lpstr>
      <vt:lpstr>cfd_dx</vt:lpstr>
      <vt:lpstr>cfd_EUI</vt:lpstr>
      <vt:lpstr>cfd_fPE</vt:lpstr>
      <vt:lpstr>cfm_budget_office</vt:lpstr>
      <vt:lpstr>cfm_budget_residential</vt:lpstr>
      <vt:lpstr>cfm_budget_retail</vt:lpstr>
      <vt:lpstr>cfm_budget_school</vt:lpstr>
      <vt:lpstr>cfr_budget</vt:lpstr>
      <vt:lpstr>context_factor_density</vt:lpstr>
      <vt:lpstr>context_factor_mobility</vt:lpstr>
      <vt:lpstr>context_factor_renovation</vt:lpstr>
      <vt:lpstr>conversion_profile_grid</vt:lpstr>
      <vt:lpstr>COOL_active_shares</vt:lpstr>
      <vt:lpstr>Cool_Passive_Shares</vt:lpstr>
      <vt:lpstr>cool_th2_carrier_type</vt:lpstr>
      <vt:lpstr>DHW_1_is_used</vt:lpstr>
      <vt:lpstr>DHW_2_is_used</vt:lpstr>
      <vt:lpstr>DHW_carriertype_1</vt:lpstr>
      <vt:lpstr>DHW_carriertype_2</vt:lpstr>
      <vt:lpstr>DHW_efficiency_distribution_1</vt:lpstr>
      <vt:lpstr>DHW_efficiency_distribution_2</vt:lpstr>
      <vt:lpstr>DHW_storage_1_liter</vt:lpstr>
      <vt:lpstr>DHW_storage_2_liter</vt:lpstr>
      <vt:lpstr>EUIc_other</vt:lpstr>
      <vt:lpstr>EUIdhw_biomass</vt:lpstr>
      <vt:lpstr>EUIdhw_district_heating</vt:lpstr>
      <vt:lpstr>EUIdhw_natural_gas</vt:lpstr>
      <vt:lpstr>EUIdhw_other</vt:lpstr>
      <vt:lpstr>EUIh_biomass</vt:lpstr>
      <vt:lpstr>EUIh_district_heating</vt:lpstr>
      <vt:lpstr>EUIh_natural_gas</vt:lpstr>
      <vt:lpstr>EUIh_other</vt:lpstr>
      <vt:lpstr>fPE_grid_column</vt:lpstr>
      <vt:lpstr>FSI</vt:lpstr>
      <vt:lpstr>GFA_total</vt:lpstr>
      <vt:lpstr>Grid_to_Ec_min</vt:lpstr>
      <vt:lpstr>Grid_to_Edhw_min</vt:lpstr>
      <vt:lpstr>Grid_to_Eev_min</vt:lpstr>
      <vt:lpstr>Grid_to_Eh_min</vt:lpstr>
      <vt:lpstr>Grid_to_Ev_min</vt:lpstr>
      <vt:lpstr>Grid_to_plugloads</vt:lpstr>
      <vt:lpstr>GWP_ee_lc_boreholes</vt:lpstr>
      <vt:lpstr>GWP_ee_lc_ceil</vt:lpstr>
      <vt:lpstr>GWP_ee_lc_ground</vt:lpstr>
      <vt:lpstr>GWP_ee_lc_mechvent</vt:lpstr>
      <vt:lpstr>GWP_ee_lc_other</vt:lpstr>
      <vt:lpstr>GWP_ee_lc_other_hvac</vt:lpstr>
      <vt:lpstr>GWP_ee_lc_pv</vt:lpstr>
      <vt:lpstr>GWP_ee_lc_roof</vt:lpstr>
      <vt:lpstr>GWP_ee_lc_solarthermal</vt:lpstr>
      <vt:lpstr>GWP_ee_lc_walls</vt:lpstr>
      <vt:lpstr>GWP_ee_lc_windows</vt:lpstr>
      <vt:lpstr>heat_capacity_effective_abs</vt:lpstr>
      <vt:lpstr>heat_capacity_effective_m²</vt:lpstr>
      <vt:lpstr>heat_th2_carrier_type</vt:lpstr>
      <vt:lpstr>heat_th4_carrier_type</vt:lpstr>
      <vt:lpstr>hull_ext_wall_wo_window_m2</vt:lpstr>
      <vt:lpstr>hull_fundament_m2</vt:lpstr>
      <vt:lpstr>hull_roof_m2</vt:lpstr>
      <vt:lpstr>hull_window_m2</vt:lpstr>
      <vt:lpstr>mob_pkm_factor</vt:lpstr>
      <vt:lpstr>mobility_region</vt:lpstr>
      <vt:lpstr>NFA_cooled</vt:lpstr>
      <vt:lpstr>NFA_mechvent</vt:lpstr>
      <vt:lpstr>NFA_office</vt:lpstr>
      <vt:lpstr>NFA_other</vt:lpstr>
      <vt:lpstr>NFA_residential</vt:lpstr>
      <vt:lpstr>NFA_retailfood</vt:lpstr>
      <vt:lpstr>NFA_retailother</vt:lpstr>
      <vt:lpstr>NFA_schoolprim</vt:lpstr>
      <vt:lpstr>NFA_schoolsec</vt:lpstr>
      <vt:lpstr>NFA_total</vt:lpstr>
      <vt:lpstr>NFAfrac_cooled</vt:lpstr>
      <vt:lpstr>NFAfrac_uncooled</vt:lpstr>
      <vt:lpstr>NFV_total</vt:lpstr>
      <vt:lpstr>PEI_biomass</vt:lpstr>
      <vt:lpstr>PEI_cf_density</vt:lpstr>
      <vt:lpstr>PEI_cf_mobility</vt:lpstr>
      <vt:lpstr>PEI_cf_renovation</vt:lpstr>
      <vt:lpstr>PEI_demand</vt:lpstr>
      <vt:lpstr>PEI_district_heating</vt:lpstr>
      <vt:lpstr>PEI_el_hvac</vt:lpstr>
      <vt:lpstr>PEI_el_plugloads</vt:lpstr>
      <vt:lpstr>PEI_mob_el</vt:lpstr>
      <vt:lpstr>PEI_mob_fossile</vt:lpstr>
      <vt:lpstr>PEI_mob_total</vt:lpstr>
      <vt:lpstr>PEI_natural_gas</vt:lpstr>
      <vt:lpstr>PEI_other</vt:lpstr>
      <vt:lpstr>PEI_sub_flex</vt:lpstr>
      <vt:lpstr>PEI_sub_PV</vt:lpstr>
      <vt:lpstr>per_NFA</vt:lpstr>
      <vt:lpstr>PV_to_Batt</vt:lpstr>
      <vt:lpstr>PV_to_Ec_flex</vt:lpstr>
      <vt:lpstr>PV_to_Ec_min</vt:lpstr>
      <vt:lpstr>PV_to_Edhw</vt:lpstr>
      <vt:lpstr>PV_to_Edhw_direct</vt:lpstr>
      <vt:lpstr>PV_to_Edhw_min</vt:lpstr>
      <vt:lpstr>PV_to_Eev_flex</vt:lpstr>
      <vt:lpstr>PV_to_Eev_min</vt:lpstr>
      <vt:lpstr>PV_to_Eh_flex</vt:lpstr>
      <vt:lpstr>PV_to_Eh_min</vt:lpstr>
      <vt:lpstr>PV_to_Ev_min</vt:lpstr>
      <vt:lpstr>PV_to_plugloads</vt:lpstr>
      <vt:lpstr>QC</vt:lpstr>
      <vt:lpstr>QC_c</vt:lpstr>
      <vt:lpstr>QC_flex_c</vt:lpstr>
      <vt:lpstr>QC_min_c</vt:lpstr>
      <vt:lpstr>QCmax_room_m2</vt:lpstr>
      <vt:lpstr>QH</vt:lpstr>
      <vt:lpstr>QH_c</vt:lpstr>
      <vt:lpstr>QH_flex_c</vt:lpstr>
      <vt:lpstr>QH_flex_u</vt:lpstr>
      <vt:lpstr>QH_min_c</vt:lpstr>
      <vt:lpstr>QH_min_u</vt:lpstr>
      <vt:lpstr>QH_u</vt:lpstr>
      <vt:lpstr>QI</vt:lpstr>
      <vt:lpstr>QS</vt:lpstr>
      <vt:lpstr>QT</vt:lpstr>
      <vt:lpstr>QV</vt:lpstr>
      <vt:lpstr>QV_c</vt:lpstr>
      <vt:lpstr>QV_u</vt:lpstr>
      <vt:lpstr>QVn</vt:lpstr>
      <vt:lpstr>Renovation_shares</vt:lpstr>
      <vt:lpstr>rh_avg</vt:lpstr>
      <vt:lpstr>transmittance_Wm²</vt:lpstr>
      <vt:lpstr>Tsetcool_max</vt:lpstr>
      <vt:lpstr>Tsetheat_min</vt:lpstr>
      <vt:lpstr>Vent_share_mech_cooled</vt:lpstr>
      <vt:lpstr>Vent_share_mech_uncooled</vt:lpstr>
      <vt:lpstr>Vent_share_window_cooled</vt:lpstr>
      <vt:lpstr>Vent_share_window_uncooled</vt:lpstr>
      <vt:lpstr>VRGrid_to_Batt</vt:lpstr>
      <vt:lpstr>VRGrid_to_Ec_flex</vt:lpstr>
      <vt:lpstr>VRGrid_to_Ec_min</vt:lpstr>
      <vt:lpstr>VRGrid_to_Edhw_flex</vt:lpstr>
      <vt:lpstr>VRGrid_to_Edhw_min</vt:lpstr>
      <vt:lpstr>VRGrid_to_Eev_flex</vt:lpstr>
      <vt:lpstr>VRGrid_to_Eev_min</vt:lpstr>
      <vt:lpstr>VRGrid_to_Eh_flex</vt:lpstr>
      <vt:lpstr>VRGrid_to_Eh_min</vt:lpstr>
      <vt:lpstr>VRGrid_to_Ev_min</vt:lpstr>
      <vt:lpstr>VRGrid_to_plugloads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Schneider</dc:creator>
  <cp:lastModifiedBy>Simon Schneider</cp:lastModifiedBy>
  <dcterms:created xsi:type="dcterms:W3CDTF">2025-04-01T15:04:48Z</dcterms:created>
  <dcterms:modified xsi:type="dcterms:W3CDTF">2025-04-01T15:04:55Z</dcterms:modified>
</cp:coreProperties>
</file>