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3"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D:\Grüne Harmonisierung\"/>
    </mc:Choice>
  </mc:AlternateContent>
  <xr:revisionPtr revIDLastSave="0" documentId="13_ncr:1_{F98A977B-200B-4C27-8E80-FE0B69EABB29}" xr6:coauthVersionLast="36" xr6:coauthVersionMax="36" xr10:uidLastSave="{00000000-0000-0000-0000-000000000000}"/>
  <bookViews>
    <workbookView xWindow="0" yWindow="0" windowWidth="9580" windowHeight="6330" activeTab="2" xr2:uid="{2F31E1A9-1ACF-4D2E-983C-03148BDC5975}"/>
  </bookViews>
  <sheets>
    <sheet name="Dateneingabe &amp; Photovoltaik" sheetId="1" r:id="rId1"/>
    <sheet name="Erdsonden" sheetId="2" r:id="rId2"/>
    <sheet name="Hinweise" sheetId="3" r:id="rId3"/>
    <sheet name="PV_Varianten" sheetId="4" r:id="rId4"/>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6" i="1" l="1"/>
  <c r="C27" i="1" l="1"/>
  <c r="C77" i="2" l="1"/>
  <c r="S42" i="1" l="1"/>
  <c r="T45" i="1"/>
  <c r="T46" i="1" s="1"/>
  <c r="T47" i="1" s="1"/>
  <c r="U22" i="1" l="1"/>
  <c r="X65" i="2"/>
  <c r="X66" i="2"/>
  <c r="X64" i="2"/>
  <c r="V25" i="2"/>
  <c r="X23" i="2"/>
  <c r="X22" i="2"/>
  <c r="H56" i="1" l="1"/>
  <c r="H61" i="1" s="1"/>
  <c r="H62" i="1" s="1"/>
  <c r="AB26" i="1" l="1"/>
  <c r="AB23" i="1"/>
  <c r="AB20" i="1"/>
  <c r="AB17" i="1"/>
  <c r="AB15" i="1"/>
  <c r="D27" i="1"/>
  <c r="M34" i="1" l="1"/>
  <c r="M39" i="1"/>
  <c r="AB27" i="1"/>
  <c r="AC27" i="1" s="1"/>
  <c r="M40" i="1" l="1"/>
  <c r="C82" i="2"/>
  <c r="C75" i="2" l="1"/>
  <c r="B62" i="2"/>
  <c r="B63" i="2"/>
  <c r="B65" i="2"/>
  <c r="B66" i="2"/>
  <c r="B68" i="2"/>
  <c r="B69" i="2"/>
  <c r="B71" i="2"/>
  <c r="B72" i="2"/>
  <c r="B61" i="2"/>
  <c r="W67" i="2"/>
  <c r="X67" i="2" s="1"/>
  <c r="U67" i="2"/>
  <c r="H61" i="2"/>
  <c r="G69" i="2"/>
  <c r="C49" i="2"/>
  <c r="C52" i="2"/>
  <c r="C18" i="2" l="1"/>
  <c r="C61" i="2" s="1"/>
  <c r="AH99" i="1"/>
  <c r="H94" i="1" s="1"/>
  <c r="AH100" i="1"/>
  <c r="C59" i="1"/>
  <c r="M35" i="1"/>
  <c r="C29" i="2"/>
  <c r="C72" i="2" s="1"/>
  <c r="C28" i="2"/>
  <c r="C71" i="2" s="1"/>
  <c r="C26" i="2"/>
  <c r="C69" i="2" s="1"/>
  <c r="C25" i="2"/>
  <c r="C68" i="2" s="1"/>
  <c r="C22" i="2"/>
  <c r="C65" i="2" s="1"/>
  <c r="C23" i="2"/>
  <c r="C66" i="2" s="1"/>
  <c r="C19" i="2"/>
  <c r="C62" i="2" s="1"/>
  <c r="C20" i="2"/>
  <c r="Y23" i="1"/>
  <c r="Y25" i="1"/>
  <c r="Y24" i="1"/>
  <c r="Y22" i="1"/>
  <c r="Y21" i="1"/>
  <c r="H57" i="1" l="1"/>
  <c r="H59" i="1" s="1"/>
  <c r="H60" i="1" s="1"/>
  <c r="M41" i="1"/>
  <c r="M42" i="1" s="1"/>
  <c r="M36" i="1"/>
  <c r="M37" i="1" s="1"/>
  <c r="C34" i="1"/>
  <c r="T39" i="1" s="1"/>
  <c r="C63" i="2"/>
  <c r="C73" i="2" s="1"/>
  <c r="D73" i="2" s="1"/>
  <c r="C30" i="2"/>
  <c r="H26" i="2"/>
  <c r="H23" i="2"/>
  <c r="K23" i="2" s="1"/>
  <c r="H24" i="2"/>
  <c r="Y26" i="1"/>
  <c r="C40" i="1" s="1"/>
  <c r="T40" i="1" l="1"/>
  <c r="T41" i="1" s="1"/>
  <c r="H45" i="1"/>
  <c r="H49" i="1" s="1"/>
  <c r="H58" i="1"/>
  <c r="K24" i="2"/>
  <c r="H66" i="2"/>
  <c r="J24" i="2"/>
  <c r="H65" i="2"/>
  <c r="I23" i="2"/>
  <c r="J23" i="2"/>
  <c r="H68" i="2"/>
  <c r="J26" i="2"/>
  <c r="T101" i="1"/>
  <c r="T102" i="1" s="1"/>
  <c r="H46" i="1" l="1"/>
  <c r="H48" i="1"/>
  <c r="H50" i="1" s="1"/>
  <c r="H51" i="1" s="1"/>
  <c r="T42" i="1" s="1"/>
  <c r="J65" i="2"/>
  <c r="K65" i="2"/>
  <c r="I65" i="2"/>
  <c r="K66" i="2"/>
  <c r="I66" i="2"/>
  <c r="J66" i="2"/>
  <c r="K68" i="2"/>
  <c r="J68" i="2"/>
  <c r="I68" i="2"/>
  <c r="H47" i="1"/>
  <c r="C86" i="1"/>
  <c r="C112" i="1" s="1"/>
  <c r="C96" i="1" l="1"/>
  <c r="C142" i="1"/>
  <c r="H95" i="1" l="1"/>
  <c r="V106" i="1"/>
  <c r="C68" i="1"/>
  <c r="W24" i="2"/>
  <c r="U24" i="2"/>
  <c r="U23" i="2"/>
  <c r="C36" i="2"/>
  <c r="C38" i="2" s="1"/>
  <c r="H25" i="2"/>
  <c r="H21" i="2"/>
  <c r="K21" i="2" s="1"/>
  <c r="H22" i="2"/>
  <c r="D30" i="2"/>
  <c r="H96" i="1" l="1"/>
  <c r="AH103" i="1"/>
  <c r="W25" i="2"/>
  <c r="X24" i="2"/>
  <c r="U25" i="2"/>
  <c r="I26" i="2" s="1"/>
  <c r="I24" i="2"/>
  <c r="J22" i="2"/>
  <c r="K22" i="2"/>
  <c r="I22" i="2"/>
  <c r="I21" i="2"/>
  <c r="H63" i="2"/>
  <c r="J21" i="2"/>
  <c r="I25" i="2"/>
  <c r="J25" i="2"/>
  <c r="H67" i="2"/>
  <c r="K25" i="2"/>
  <c r="H64" i="2"/>
  <c r="H27" i="2"/>
  <c r="H69" i="2" s="1"/>
  <c r="T97" i="1"/>
  <c r="H102" i="1" s="1"/>
  <c r="X25" i="2" l="1"/>
  <c r="K26" i="2"/>
  <c r="K27" i="2" s="1"/>
  <c r="J64" i="2"/>
  <c r="K64" i="2"/>
  <c r="I64" i="2"/>
  <c r="J63" i="2"/>
  <c r="K63" i="2"/>
  <c r="I63" i="2"/>
  <c r="I67" i="2"/>
  <c r="K67" i="2"/>
  <c r="J67" i="2"/>
  <c r="I27" i="2"/>
  <c r="X29" i="2" s="1"/>
  <c r="J27" i="2"/>
  <c r="AH104" i="1"/>
  <c r="H97" i="1"/>
  <c r="T106" i="1"/>
  <c r="K69" i="2" l="1"/>
  <c r="Y76" i="2" s="1"/>
  <c r="I69" i="2"/>
  <c r="Y75" i="2" s="1"/>
  <c r="C45" i="2"/>
  <c r="X30" i="2"/>
  <c r="C43" i="2"/>
  <c r="J69" i="2"/>
  <c r="X28" i="2"/>
  <c r="BP88" i="1"/>
  <c r="H65" i="1"/>
  <c r="H70" i="1" l="1"/>
  <c r="H66" i="1" s="1"/>
  <c r="AI104" i="1"/>
  <c r="C102" i="1" s="1"/>
  <c r="K70" i="2"/>
  <c r="I78" i="2" s="1"/>
  <c r="I79" i="2" s="1"/>
  <c r="U75" i="2" s="1"/>
  <c r="I70" i="2"/>
  <c r="X34" i="2"/>
  <c r="I36" i="2" s="1"/>
  <c r="I37" i="2" s="1"/>
  <c r="I46" i="2" s="1"/>
  <c r="Y74" i="2"/>
  <c r="J70" i="2"/>
  <c r="X35" i="2"/>
  <c r="X36" i="2" s="1"/>
  <c r="T68" i="1"/>
  <c r="AI103" i="1"/>
  <c r="C100" i="1" s="1"/>
  <c r="C103" i="1" s="1"/>
  <c r="D103" i="1" s="1"/>
  <c r="H16" i="1"/>
  <c r="H71" i="1" l="1"/>
  <c r="B67" i="1" s="1"/>
  <c r="Y77" i="2"/>
  <c r="I75" i="2"/>
  <c r="I76" i="2" s="1"/>
  <c r="I82" i="2" s="1"/>
  <c r="I40" i="2"/>
  <c r="I41" i="2" s="1"/>
  <c r="H46" i="2"/>
  <c r="U68" i="1"/>
  <c r="H67" i="1"/>
  <c r="H68" i="1"/>
  <c r="T67" i="1"/>
  <c r="H72" i="1"/>
  <c r="H83" i="2" l="1"/>
  <c r="J82" i="2"/>
  <c r="I85" i="2"/>
  <c r="H73" i="1"/>
  <c r="T69" i="1"/>
  <c r="H76" i="1"/>
  <c r="I17" i="1" s="1"/>
  <c r="I81" i="2"/>
  <c r="U74" i="2"/>
  <c r="U76" i="2" s="1"/>
  <c r="I43" i="2"/>
  <c r="H69" i="1"/>
  <c r="H74" i="1"/>
  <c r="H17" i="1"/>
  <c r="I16" i="1"/>
  <c r="C81" i="1"/>
  <c r="C111" i="1" s="1"/>
  <c r="H75" i="1" l="1"/>
  <c r="C127" i="1"/>
  <c r="T138" i="1" s="1"/>
  <c r="T139" i="1" s="1"/>
  <c r="T140" i="1" s="1"/>
  <c r="I86" i="2"/>
  <c r="T96" i="1"/>
  <c r="AG90" i="1" s="1"/>
  <c r="C126" i="1"/>
  <c r="C130" i="1" s="1"/>
  <c r="H131" i="1" s="1"/>
  <c r="BP93" i="1"/>
  <c r="BP97" i="1" s="1"/>
  <c r="H130" i="1" l="1"/>
  <c r="H132" i="1" s="1"/>
  <c r="X137" i="1" s="1"/>
  <c r="AG92" i="1"/>
  <c r="AG89" i="1"/>
  <c r="S87" i="1"/>
  <c r="S91" i="1"/>
  <c r="S93" i="1"/>
  <c r="S89" i="1"/>
  <c r="C113" i="1"/>
  <c r="S116" i="1" s="1"/>
  <c r="S92" i="1"/>
  <c r="S90" i="1"/>
  <c r="AG86" i="1"/>
  <c r="AG85" i="1"/>
  <c r="AG88" i="1"/>
  <c r="S88" i="1"/>
  <c r="S85" i="1"/>
  <c r="S86" i="1"/>
  <c r="AG91" i="1"/>
  <c r="AG87" i="1"/>
  <c r="T141" i="1"/>
  <c r="AH96" i="1" l="1"/>
  <c r="J82" i="1" s="1"/>
  <c r="AH97" i="1"/>
  <c r="S115" i="1"/>
  <c r="AC116" i="1"/>
  <c r="S117" i="1"/>
  <c r="AC115" i="1"/>
  <c r="S114" i="1"/>
  <c r="AC114" i="1"/>
  <c r="AC117" i="1"/>
  <c r="AC118" i="1"/>
  <c r="T125" i="1"/>
  <c r="X142" i="1" s="1"/>
  <c r="Z137" i="1"/>
  <c r="Y137" i="1"/>
  <c r="AA137" i="1"/>
  <c r="AB137" i="1" s="1"/>
  <c r="T142" i="1"/>
  <c r="T121" i="1" l="1"/>
  <c r="T120" i="1"/>
  <c r="H82" i="1"/>
  <c r="H84" i="1" s="1"/>
  <c r="X157" i="1"/>
  <c r="X144" i="1"/>
  <c r="X164" i="1"/>
  <c r="X155" i="1"/>
  <c r="X161" i="1"/>
  <c r="X162" i="1"/>
  <c r="X165" i="1"/>
  <c r="X141" i="1"/>
  <c r="X143" i="1"/>
  <c r="X151" i="1"/>
  <c r="X166" i="1"/>
  <c r="X168" i="1"/>
  <c r="X152" i="1"/>
  <c r="X148" i="1"/>
  <c r="X146" i="1"/>
  <c r="X160" i="1"/>
  <c r="X159" i="1"/>
  <c r="X167" i="1"/>
  <c r="X139" i="1"/>
  <c r="X156" i="1"/>
  <c r="X149" i="1"/>
  <c r="X147" i="1"/>
  <c r="X154" i="1"/>
  <c r="X150" i="1"/>
  <c r="X145" i="1"/>
  <c r="X140" i="1"/>
  <c r="X153" i="1"/>
  <c r="X158" i="1"/>
  <c r="X138" i="1"/>
  <c r="T143" i="1"/>
  <c r="H111" i="1" l="1"/>
  <c r="H113" i="1" s="1"/>
  <c r="H20" i="1" s="1"/>
  <c r="U138" i="1"/>
  <c r="V138" i="1" s="1"/>
  <c r="W138" i="1" s="1"/>
  <c r="Y138" i="1" s="1"/>
  <c r="U141" i="1"/>
  <c r="V141" i="1" s="1"/>
  <c r="W141" i="1" s="1"/>
  <c r="Y141" i="1" s="1"/>
  <c r="Z141" i="1" s="1"/>
  <c r="H19" i="1"/>
  <c r="U139" i="1"/>
  <c r="V139" i="1" s="1"/>
  <c r="W139" i="1" s="1"/>
  <c r="Y139" i="1" s="1"/>
  <c r="Z139" i="1" s="1"/>
  <c r="U143" i="1"/>
  <c r="U142" i="1"/>
  <c r="V142" i="1" s="1"/>
  <c r="W142" i="1" s="1"/>
  <c r="Y142" i="1" s="1"/>
  <c r="Z142" i="1" s="1"/>
  <c r="U140" i="1"/>
  <c r="V140" i="1" s="1"/>
  <c r="W140" i="1" s="1"/>
  <c r="Y140" i="1" s="1"/>
  <c r="Z140" i="1" s="1"/>
  <c r="X163" i="1"/>
  <c r="T144" i="1"/>
  <c r="U144" i="1" s="1"/>
  <c r="Z138" i="1" l="1"/>
  <c r="V143" i="1"/>
  <c r="T145" i="1"/>
  <c r="U145" i="1" s="1"/>
  <c r="W143" i="1" l="1"/>
  <c r="AA138" i="1"/>
  <c r="V144" i="1"/>
  <c r="W144" i="1" s="1"/>
  <c r="Y144" i="1" s="1"/>
  <c r="Z144" i="1" s="1"/>
  <c r="T146" i="1"/>
  <c r="U146" i="1" s="1"/>
  <c r="AA139" i="1" l="1"/>
  <c r="AB139" i="1" s="1"/>
  <c r="AB138" i="1"/>
  <c r="Y143" i="1"/>
  <c r="V145" i="1"/>
  <c r="W145" i="1" s="1"/>
  <c r="Y145" i="1" s="1"/>
  <c r="Z145" i="1" s="1"/>
  <c r="T147" i="1"/>
  <c r="U147" i="1" s="1"/>
  <c r="AA140" i="1" l="1"/>
  <c r="AB140" i="1" s="1"/>
  <c r="Z143" i="1"/>
  <c r="V146" i="1"/>
  <c r="T148" i="1"/>
  <c r="U148" i="1" s="1"/>
  <c r="AA141" i="1" l="1"/>
  <c r="AB141" i="1" s="1"/>
  <c r="W146" i="1"/>
  <c r="V147" i="1"/>
  <c r="W147" i="1" s="1"/>
  <c r="Y147" i="1" s="1"/>
  <c r="Z147" i="1" s="1"/>
  <c r="T149" i="1"/>
  <c r="U149" i="1" s="1"/>
  <c r="AA142" i="1" l="1"/>
  <c r="AB142" i="1" s="1"/>
  <c r="V148" i="1"/>
  <c r="W148" i="1" s="1"/>
  <c r="Y148" i="1" s="1"/>
  <c r="Z148" i="1" s="1"/>
  <c r="T150" i="1"/>
  <c r="U150" i="1" s="1"/>
  <c r="AA143" i="1" l="1"/>
  <c r="AB143" i="1" s="1"/>
  <c r="V149" i="1"/>
  <c r="W149" i="1" s="1"/>
  <c r="Y149" i="1" s="1"/>
  <c r="Z149" i="1" s="1"/>
  <c r="T151" i="1"/>
  <c r="U151" i="1" s="1"/>
  <c r="V150" i="1"/>
  <c r="W150" i="1" s="1"/>
  <c r="Y150" i="1" s="1"/>
  <c r="Z150" i="1" s="1"/>
  <c r="AA144" i="1" l="1"/>
  <c r="AB144" i="1" s="1"/>
  <c r="T152" i="1"/>
  <c r="U152" i="1" s="1"/>
  <c r="AA145" i="1" l="1"/>
  <c r="AB145" i="1" s="1"/>
  <c r="V151" i="1"/>
  <c r="W151" i="1" s="1"/>
  <c r="Y151" i="1" s="1"/>
  <c r="Z151" i="1" s="1"/>
  <c r="T153" i="1"/>
  <c r="U153" i="1" s="1"/>
  <c r="V152" i="1" l="1"/>
  <c r="W152" i="1" s="1"/>
  <c r="Y152" i="1" s="1"/>
  <c r="Z152" i="1" s="1"/>
  <c r="T154" i="1"/>
  <c r="U154" i="1" s="1"/>
  <c r="V153" i="1" l="1"/>
  <c r="W153" i="1" s="1"/>
  <c r="Y153" i="1" s="1"/>
  <c r="Z153" i="1" s="1"/>
  <c r="T155" i="1"/>
  <c r="U155" i="1" s="1"/>
  <c r="V154" i="1" l="1"/>
  <c r="W154" i="1" s="1"/>
  <c r="Y154" i="1" s="1"/>
  <c r="Z154" i="1" s="1"/>
  <c r="T156" i="1"/>
  <c r="U156" i="1" s="1"/>
  <c r="V155" i="1" l="1"/>
  <c r="W155" i="1" s="1"/>
  <c r="Y155" i="1" s="1"/>
  <c r="Z155" i="1" s="1"/>
  <c r="T157" i="1"/>
  <c r="U157" i="1" s="1"/>
  <c r="V156" i="1" l="1"/>
  <c r="W156" i="1" s="1"/>
  <c r="Y156" i="1" s="1"/>
  <c r="Z156" i="1" s="1"/>
  <c r="T158" i="1"/>
  <c r="U158" i="1" s="1"/>
  <c r="V157" i="1" l="1"/>
  <c r="W157" i="1" s="1"/>
  <c r="Y157" i="1" s="1"/>
  <c r="Z157" i="1" s="1"/>
  <c r="T159" i="1"/>
  <c r="U159" i="1" s="1"/>
  <c r="V158" i="1" l="1"/>
  <c r="W158" i="1" s="1"/>
  <c r="Y158" i="1" s="1"/>
  <c r="Z158" i="1" s="1"/>
  <c r="T160" i="1"/>
  <c r="T161" i="1" l="1"/>
  <c r="U161" i="1" s="1"/>
  <c r="U160" i="1"/>
  <c r="V159" i="1"/>
  <c r="W159" i="1" s="1"/>
  <c r="Y159" i="1" s="1"/>
  <c r="Z159" i="1" s="1"/>
  <c r="V160" i="1" l="1"/>
  <c r="W160" i="1" s="1"/>
  <c r="Y160" i="1" s="1"/>
  <c r="Z160" i="1" s="1"/>
  <c r="T162" i="1"/>
  <c r="U162" i="1" l="1"/>
  <c r="U163" i="1" s="1"/>
  <c r="T163" i="1"/>
  <c r="V161" i="1"/>
  <c r="W161" i="1" s="1"/>
  <c r="Y161" i="1" s="1"/>
  <c r="Z161" i="1" s="1"/>
  <c r="T164" i="1"/>
  <c r="U164" i="1" s="1"/>
  <c r="V162" i="1" l="1"/>
  <c r="T165" i="1"/>
  <c r="U165" i="1" s="1"/>
  <c r="W162" i="1" l="1"/>
  <c r="V163" i="1"/>
  <c r="V164" i="1"/>
  <c r="W164" i="1" s="1"/>
  <c r="Y164" i="1" s="1"/>
  <c r="Z164" i="1" s="1"/>
  <c r="T166" i="1"/>
  <c r="U166" i="1" s="1"/>
  <c r="Y162" i="1" l="1"/>
  <c r="Z162" i="1" s="1"/>
  <c r="W163" i="1"/>
  <c r="V165" i="1"/>
  <c r="W165" i="1" s="1"/>
  <c r="Y165" i="1" s="1"/>
  <c r="Z165" i="1" s="1"/>
  <c r="T167" i="1"/>
  <c r="U167" i="1" s="1"/>
  <c r="V166" i="1" l="1"/>
  <c r="W166" i="1" s="1"/>
  <c r="Y166" i="1" s="1"/>
  <c r="Z166" i="1" s="1"/>
  <c r="T168" i="1"/>
  <c r="U168" i="1" s="1"/>
  <c r="V167" i="1" l="1"/>
  <c r="W167" i="1" s="1"/>
  <c r="Y167" i="1" s="1"/>
  <c r="Z167" i="1" s="1"/>
  <c r="V168" i="1"/>
  <c r="W168" i="1" s="1"/>
  <c r="Y168" i="1" l="1"/>
  <c r="Z168" i="1" l="1"/>
  <c r="Y146" i="1"/>
  <c r="Z146" i="1" l="1"/>
  <c r="AA146" i="1" s="1"/>
  <c r="Y163" i="1"/>
  <c r="H141" i="1" l="1"/>
  <c r="Z163" i="1"/>
  <c r="AB146" i="1"/>
  <c r="AA147" i="1"/>
  <c r="AA148" i="1" l="1"/>
  <c r="AB147" i="1"/>
  <c r="AB148" i="1" l="1"/>
  <c r="AA149" i="1"/>
  <c r="AA150" i="1" l="1"/>
  <c r="AB149" i="1"/>
  <c r="AA151" i="1" l="1"/>
  <c r="AB150" i="1"/>
  <c r="AB151" i="1" l="1"/>
  <c r="AA152" i="1"/>
  <c r="AB152" i="1" l="1"/>
  <c r="AA153" i="1"/>
  <c r="AB153" i="1" l="1"/>
  <c r="AA154" i="1"/>
  <c r="AA155" i="1" l="1"/>
  <c r="AB154" i="1"/>
  <c r="AA156" i="1" l="1"/>
  <c r="AB155" i="1"/>
  <c r="AB156" i="1" l="1"/>
  <c r="AA157" i="1"/>
  <c r="AB157" i="1" l="1"/>
  <c r="AA158" i="1"/>
  <c r="AA159" i="1" l="1"/>
  <c r="AB158" i="1"/>
  <c r="AA160" i="1" l="1"/>
  <c r="AB159" i="1"/>
  <c r="AA161" i="1" l="1"/>
  <c r="AB160" i="1"/>
  <c r="AB161" i="1" l="1"/>
  <c r="AA162" i="1"/>
  <c r="AB162" i="1" l="1"/>
  <c r="AA164" i="1"/>
  <c r="H140" i="1" l="1"/>
  <c r="H22" i="1" s="1"/>
  <c r="AB163" i="1"/>
  <c r="AB164" i="1"/>
  <c r="AA165" i="1"/>
  <c r="AB165" i="1" l="1"/>
  <c r="AA166" i="1"/>
  <c r="AB166" i="1" l="1"/>
  <c r="AA167" i="1"/>
  <c r="AB167" i="1" l="1"/>
  <c r="AA168" i="1"/>
  <c r="AB168" i="1" s="1"/>
</calcChain>
</file>

<file path=xl/sharedStrings.xml><?xml version="1.0" encoding="utf-8"?>
<sst xmlns="http://schemas.openxmlformats.org/spreadsheetml/2006/main" count="781" uniqueCount="356">
  <si>
    <t>BGF</t>
  </si>
  <si>
    <t>Nutzung</t>
  </si>
  <si>
    <t>Wohnen</t>
  </si>
  <si>
    <t>[-]</t>
  </si>
  <si>
    <r>
      <t>[m</t>
    </r>
    <r>
      <rPr>
        <vertAlign val="superscript"/>
        <sz val="11"/>
        <color theme="1"/>
        <rFont val="Calibri"/>
        <family val="2"/>
        <scheme val="minor"/>
      </rPr>
      <t>2</t>
    </r>
    <r>
      <rPr>
        <sz val="11"/>
        <color theme="1"/>
        <rFont val="Calibri"/>
        <family val="2"/>
        <scheme val="minor"/>
      </rPr>
      <t>]</t>
    </r>
  </si>
  <si>
    <t>[m]</t>
  </si>
  <si>
    <t>Ausgabe</t>
  </si>
  <si>
    <t>[kWp]</t>
  </si>
  <si>
    <t>[kWh]</t>
  </si>
  <si>
    <t>[kWh/kWp]</t>
  </si>
  <si>
    <t>Nicht-Wohnen</t>
  </si>
  <si>
    <t>Nicht-Wohnen Bauordnung</t>
  </si>
  <si>
    <t>[kWp/100m2]</t>
  </si>
  <si>
    <t>(1)</t>
  </si>
  <si>
    <t>durchschnittlicher lc</t>
  </si>
  <si>
    <r>
      <t>Zusatz</t>
    </r>
    <r>
      <rPr>
        <vertAlign val="superscript"/>
        <sz val="11"/>
        <color theme="1"/>
        <rFont val="Calibri"/>
        <family val="2"/>
        <scheme val="minor"/>
      </rPr>
      <t>(2)</t>
    </r>
  </si>
  <si>
    <t>(2)</t>
  </si>
  <si>
    <t>Potentialabschätzung</t>
  </si>
  <si>
    <t>Legende</t>
  </si>
  <si>
    <t>Eingabe erforderlich</t>
  </si>
  <si>
    <t>Eingabe nicht unbedingt erforderlich</t>
  </si>
  <si>
    <t>Zusatzinformation</t>
  </si>
  <si>
    <r>
      <t>verfügbare Dachfläche</t>
    </r>
    <r>
      <rPr>
        <vertAlign val="superscript"/>
        <sz val="11"/>
        <color theme="1"/>
        <rFont val="Calibri"/>
        <family val="2"/>
        <scheme val="minor"/>
      </rPr>
      <t>(3)</t>
    </r>
  </si>
  <si>
    <t>(3)</t>
  </si>
  <si>
    <t>(4)</t>
  </si>
  <si>
    <t>[Wp]</t>
  </si>
  <si>
    <t>Modulfläche</t>
  </si>
  <si>
    <t>durchschnittliche Modulleistung</t>
  </si>
  <si>
    <t>durchschnittliche Modulfläche</t>
  </si>
  <si>
    <t>(5)</t>
  </si>
  <si>
    <t>aus Planungsunterlagen bzw. Datenblättern der Module wenn eine Information zum Modell angegeben ist</t>
  </si>
  <si>
    <t>mögliche Modulanzahl</t>
  </si>
  <si>
    <t>erforderlich laut Bauordnung</t>
  </si>
  <si>
    <t>möglich laut Potentialabschätzung</t>
  </si>
  <si>
    <t>Liste Modulflächen</t>
  </si>
  <si>
    <t>(6)</t>
  </si>
  <si>
    <t>grob nach Abmessungen vorhandener Pläne ohne Abzüge</t>
  </si>
  <si>
    <r>
      <t>Fassadenfläche</t>
    </r>
    <r>
      <rPr>
        <vertAlign val="superscript"/>
        <sz val="11"/>
        <color theme="1"/>
        <rFont val="Calibri"/>
        <family val="2"/>
        <scheme val="minor"/>
      </rPr>
      <t>(6)</t>
    </r>
  </si>
  <si>
    <t>Faktor nach Fensterabzug</t>
  </si>
  <si>
    <t>Umrechnungsfaktor Energie Dach</t>
  </si>
  <si>
    <t>Gesamtleistung</t>
  </si>
  <si>
    <t>Diagramm</t>
  </si>
  <si>
    <t>(7)</t>
  </si>
  <si>
    <t>grob nach Abzug der Fensterflächen und ungeeigneter Flächen (Türen, Verschattung durch Balkone oder umgebende Gebäude)</t>
  </si>
  <si>
    <t>Eigenverbrauch</t>
  </si>
  <si>
    <t>[%]</t>
  </si>
  <si>
    <t>PV Austria</t>
  </si>
  <si>
    <t>[kWh/a]</t>
  </si>
  <si>
    <t>Punkt 1</t>
  </si>
  <si>
    <t>Punkt 2</t>
  </si>
  <si>
    <t>Punkt 3</t>
  </si>
  <si>
    <t>Punkt 4</t>
  </si>
  <si>
    <t>Punkt 5</t>
  </si>
  <si>
    <t>bei 1 kWp, keine Batterie</t>
  </si>
  <si>
    <t>Punkt 6</t>
  </si>
  <si>
    <t>bei 3 kWp, keine Batterie</t>
  </si>
  <si>
    <t>bei 7 kWp, keine Batterie</t>
  </si>
  <si>
    <t>Eigenverbrauchsanteil in Abhängigkeit vom Strombedarf</t>
  </si>
  <si>
    <t>Eigenverbrauchsanteil-Funktion in Abhängigkeit von der Anlagengröße</t>
  </si>
  <si>
    <t>[d]</t>
  </si>
  <si>
    <t>Durchschnitt k</t>
  </si>
  <si>
    <t>Formel für richtiges d</t>
  </si>
  <si>
    <t>Formel für richtigen Eigenverbrauch</t>
  </si>
  <si>
    <t>y2 = 0,0046*x+y1</t>
  </si>
  <si>
    <t>y1 = -5,0211*x+36,322</t>
  </si>
  <si>
    <t>Photovoltaik-Eigenverbrauchsrechner (pvaustria.at)</t>
  </si>
  <si>
    <t>Anlagengröße</t>
  </si>
  <si>
    <t>alternative Anlagengröße</t>
  </si>
  <si>
    <t>[€]</t>
  </si>
  <si>
    <t>[€/kWp]</t>
  </si>
  <si>
    <t>typischer Wert</t>
  </si>
  <si>
    <t>Investitionsförderung</t>
  </si>
  <si>
    <t>[c/kWh]</t>
  </si>
  <si>
    <t>Jahre</t>
  </si>
  <si>
    <t>Jahresertrag</t>
  </si>
  <si>
    <t>Leistungsminderung der Module</t>
  </si>
  <si>
    <t>[%/a]</t>
  </si>
  <si>
    <t>Strombedarf</t>
  </si>
  <si>
    <t>spezifische Leistung</t>
  </si>
  <si>
    <t>[kWp/MWh]</t>
  </si>
  <si>
    <t>VZNRW_HTW-BERLIN_PV-Wirtschaftlichkeit.pdf (verbraucherzentrale.nrw)</t>
  </si>
  <si>
    <t>%</t>
  </si>
  <si>
    <t>von</t>
  </si>
  <si>
    <t>bis</t>
  </si>
  <si>
    <r>
      <t>Anlagengröße</t>
    </r>
    <r>
      <rPr>
        <vertAlign val="superscript"/>
        <sz val="11"/>
        <color theme="1"/>
        <rFont val="Calibri"/>
        <family val="2"/>
        <scheme val="minor"/>
      </rPr>
      <t>(8)</t>
    </r>
  </si>
  <si>
    <t>(8)</t>
  </si>
  <si>
    <t>wird von oben übernommen, sofern nicht alternativ etwas angegeben wird.</t>
  </si>
  <si>
    <t>&gt;2,5</t>
  </si>
  <si>
    <t>[a]</t>
  </si>
  <si>
    <t>aktueller Strompreis</t>
  </si>
  <si>
    <t>laufende Kosten (Wartung etc.)?</t>
  </si>
  <si>
    <t>Kosten</t>
  </si>
  <si>
    <t>Investitionskosten gesamt</t>
  </si>
  <si>
    <t>Ammortisation</t>
  </si>
  <si>
    <t>Kapital</t>
  </si>
  <si>
    <t>Investitionsföderungen</t>
  </si>
  <si>
    <t>von [kWp]</t>
  </si>
  <si>
    <t>bis [kWp]</t>
  </si>
  <si>
    <t>Erlöse</t>
  </si>
  <si>
    <t>[€/a]</t>
  </si>
  <si>
    <t>Strompreis Steigerung</t>
  </si>
  <si>
    <t>Kalkulationszinssatz</t>
  </si>
  <si>
    <t>Wartungskosten</t>
  </si>
  <si>
    <t>Überschuss</t>
  </si>
  <si>
    <t>Ammortisationszeit</t>
  </si>
  <si>
    <t>Liste Eigenverbrauchswerte</t>
  </si>
  <si>
    <t>erforderliche Leistung</t>
  </si>
  <si>
    <t>erforderliche spezifische Leistung</t>
  </si>
  <si>
    <t xml:space="preserve">(9) </t>
  </si>
  <si>
    <t>als Alternativen zu sehen</t>
  </si>
  <si>
    <t>Umrechnungsdafor kWp Dach/Fassade</t>
  </si>
  <si>
    <t>Erste Abschätzungen</t>
  </si>
  <si>
    <t>alternativer Strombedarf</t>
  </si>
  <si>
    <t>spezifischer Strombedarf Wohnen</t>
  </si>
  <si>
    <t>spezifischer Strombedarf Nicht-Wohnen</t>
  </si>
  <si>
    <r>
      <t>[kWh/m</t>
    </r>
    <r>
      <rPr>
        <vertAlign val="superscript"/>
        <sz val="11"/>
        <color theme="1"/>
        <rFont val="Calibri"/>
        <family val="2"/>
        <scheme val="minor"/>
      </rPr>
      <t>2</t>
    </r>
    <r>
      <rPr>
        <sz val="11"/>
        <color theme="1"/>
        <rFont val="Calibri"/>
        <family val="2"/>
        <scheme val="minor"/>
      </rPr>
      <t>]</t>
    </r>
  </si>
  <si>
    <t>Leistung</t>
  </si>
  <si>
    <t>Zielwertsuche</t>
  </si>
  <si>
    <t>veränderbar</t>
  </si>
  <si>
    <r>
      <t>COP</t>
    </r>
    <r>
      <rPr>
        <vertAlign val="subscript"/>
        <sz val="11"/>
        <color theme="1"/>
        <rFont val="Calibri"/>
        <family val="2"/>
        <scheme val="minor"/>
      </rPr>
      <t>Heizen</t>
    </r>
  </si>
  <si>
    <r>
      <t>COP</t>
    </r>
    <r>
      <rPr>
        <vertAlign val="subscript"/>
        <sz val="11"/>
        <color theme="1"/>
        <rFont val="Calibri"/>
        <family val="2"/>
        <scheme val="minor"/>
      </rPr>
      <t>Kühlen</t>
    </r>
  </si>
  <si>
    <t>spezifische Heizlast</t>
  </si>
  <si>
    <t>WW</t>
  </si>
  <si>
    <t>spezifische Kühllast</t>
  </si>
  <si>
    <t>Wohnen EFH</t>
  </si>
  <si>
    <t>Wohnen MFH</t>
  </si>
  <si>
    <t>Schule</t>
  </si>
  <si>
    <t>Anteil BGF</t>
  </si>
  <si>
    <r>
      <t>BGF</t>
    </r>
    <r>
      <rPr>
        <vertAlign val="subscript"/>
        <sz val="11"/>
        <color theme="1"/>
        <rFont val="Calibri"/>
        <family val="2"/>
        <scheme val="minor"/>
      </rPr>
      <t>WohnenEFH</t>
    </r>
  </si>
  <si>
    <r>
      <t>BGF</t>
    </r>
    <r>
      <rPr>
        <vertAlign val="subscript"/>
        <sz val="11"/>
        <color theme="1"/>
        <rFont val="Calibri"/>
        <family val="2"/>
        <scheme val="minor"/>
      </rPr>
      <t>WohnenMFH</t>
    </r>
  </si>
  <si>
    <r>
      <t>BGF</t>
    </r>
    <r>
      <rPr>
        <vertAlign val="subscript"/>
        <sz val="11"/>
        <color theme="1"/>
        <rFont val="Calibri"/>
        <family val="2"/>
        <scheme val="minor"/>
      </rPr>
      <t>Schule</t>
    </r>
  </si>
  <si>
    <t>Fläche</t>
  </si>
  <si>
    <t>Heizlast</t>
  </si>
  <si>
    <t>Kühllast</t>
  </si>
  <si>
    <t>Summe</t>
  </si>
  <si>
    <r>
      <t>COP</t>
    </r>
    <r>
      <rPr>
        <vertAlign val="subscript"/>
        <sz val="11"/>
        <color theme="1"/>
        <rFont val="Calibri"/>
        <family val="2"/>
        <scheme val="minor"/>
      </rPr>
      <t>Heizen</t>
    </r>
    <r>
      <rPr>
        <sz val="11"/>
        <color theme="1"/>
        <rFont val="Calibri"/>
        <family val="2"/>
        <scheme val="minor"/>
      </rPr>
      <t xml:space="preserve"> Durchschnitt</t>
    </r>
  </si>
  <si>
    <r>
      <t>COP</t>
    </r>
    <r>
      <rPr>
        <vertAlign val="subscript"/>
        <sz val="11"/>
        <color theme="1"/>
        <rFont val="Calibri"/>
        <family val="2"/>
        <scheme val="minor"/>
      </rPr>
      <t>Kühlen</t>
    </r>
    <r>
      <rPr>
        <sz val="11"/>
        <color theme="1"/>
        <rFont val="Calibri"/>
        <family val="2"/>
        <scheme val="minor"/>
      </rPr>
      <t xml:space="preserve"> Durchschnitt</t>
    </r>
  </si>
  <si>
    <t>Dimensionierung</t>
  </si>
  <si>
    <t>[kW]</t>
  </si>
  <si>
    <t>elektr. Leistung der WP Heizfall</t>
  </si>
  <si>
    <t>elektr. Leistung der WP Kühlfall</t>
  </si>
  <si>
    <r>
      <t>[kW/m</t>
    </r>
    <r>
      <rPr>
        <vertAlign val="subscript"/>
        <sz val="11"/>
        <color theme="1"/>
        <rFont val="Calibri"/>
        <family val="2"/>
        <scheme val="minor"/>
      </rPr>
      <t>Sonde</t>
    </r>
    <r>
      <rPr>
        <sz val="11"/>
        <color theme="1"/>
        <rFont val="Calibri"/>
        <family val="2"/>
        <scheme val="minor"/>
      </rPr>
      <t>]</t>
    </r>
  </si>
  <si>
    <t>Sondenanzahl</t>
  </si>
  <si>
    <t>[W]</t>
  </si>
  <si>
    <t>Heizlast + WW</t>
  </si>
  <si>
    <t>Angabe Kühllast</t>
  </si>
  <si>
    <t>Angabe Heizlast + WW</t>
  </si>
  <si>
    <t>Heizfall</t>
  </si>
  <si>
    <t>Kühlfall</t>
  </si>
  <si>
    <t>erforderliche elektr. Anschlussleistung</t>
  </si>
  <si>
    <t xml:space="preserve">(10) </t>
  </si>
  <si>
    <t>abhängig von der Beschaffenheit des Untergrunds</t>
  </si>
  <si>
    <t>Bodenarten</t>
  </si>
  <si>
    <t xml:space="preserve">Art </t>
  </si>
  <si>
    <t>Entzugsleistung [W/m]</t>
  </si>
  <si>
    <t>Torf/Ton</t>
  </si>
  <si>
    <t>Schluff</t>
  </si>
  <si>
    <t>Sand</t>
  </si>
  <si>
    <t>Kies</t>
  </si>
  <si>
    <t>Steine</t>
  </si>
  <si>
    <t>Sandstein</t>
  </si>
  <si>
    <t>Tonstein</t>
  </si>
  <si>
    <t>Kalkstein</t>
  </si>
  <si>
    <t>Mergel/Lehm</t>
  </si>
  <si>
    <t>Steine, fein</t>
  </si>
  <si>
    <t>Mittelsand/Grobsand</t>
  </si>
  <si>
    <t>Bodenart</t>
  </si>
  <si>
    <r>
      <t>BGF</t>
    </r>
    <r>
      <rPr>
        <vertAlign val="subscript"/>
        <sz val="11"/>
        <color theme="1"/>
        <rFont val="Calibri"/>
        <family val="2"/>
        <scheme val="minor"/>
      </rPr>
      <t>Wohnen</t>
    </r>
  </si>
  <si>
    <r>
      <t>BGF</t>
    </r>
    <r>
      <rPr>
        <vertAlign val="subscript"/>
        <sz val="11"/>
        <color theme="1"/>
        <rFont val="Calibri"/>
        <family val="2"/>
        <scheme val="minor"/>
      </rPr>
      <t>Nicht-Wohnen</t>
    </r>
  </si>
  <si>
    <r>
      <t>nutzbare Dachfläche</t>
    </r>
    <r>
      <rPr>
        <vertAlign val="superscript"/>
        <sz val="11"/>
        <color theme="1"/>
        <rFont val="Calibri"/>
        <family val="2"/>
        <scheme val="minor"/>
      </rPr>
      <t>(4)</t>
    </r>
  </si>
  <si>
    <r>
      <t>nutzbare Fassadenfläche</t>
    </r>
    <r>
      <rPr>
        <vertAlign val="superscript"/>
        <sz val="11"/>
        <color theme="1"/>
        <rFont val="Calibri"/>
        <family val="2"/>
        <scheme val="minor"/>
      </rPr>
      <t>(7)</t>
    </r>
  </si>
  <si>
    <t>PV Leistung Dach</t>
  </si>
  <si>
    <t>PV Leistung Fassade</t>
  </si>
  <si>
    <t>Jahresertrag Dach</t>
  </si>
  <si>
    <t>Jahresertrag Fassade</t>
  </si>
  <si>
    <t>Jahresertrag gesamt</t>
  </si>
  <si>
    <t xml:space="preserve">spezifische Leistung </t>
  </si>
  <si>
    <r>
      <t>[kWp/100m</t>
    </r>
    <r>
      <rPr>
        <vertAlign val="superscript"/>
        <sz val="11"/>
        <color theme="1"/>
        <rFont val="Calibri"/>
        <family val="2"/>
        <scheme val="minor"/>
      </rPr>
      <t>2</t>
    </r>
    <r>
      <rPr>
        <vertAlign val="subscript"/>
        <sz val="11"/>
        <color theme="1"/>
        <rFont val="Calibri"/>
        <family val="2"/>
        <scheme val="minor"/>
      </rPr>
      <t>BGF</t>
    </r>
    <r>
      <rPr>
        <sz val="11"/>
        <color theme="1"/>
        <rFont val="Calibri"/>
        <family val="2"/>
        <scheme val="minor"/>
      </rPr>
      <t>]</t>
    </r>
  </si>
  <si>
    <r>
      <t>Angabe Modulleistung</t>
    </r>
    <r>
      <rPr>
        <vertAlign val="superscript"/>
        <sz val="11"/>
        <color theme="1"/>
        <rFont val="Calibri"/>
        <family val="2"/>
        <scheme val="minor"/>
      </rPr>
      <t>(5)</t>
    </r>
  </si>
  <si>
    <t>Modulleistung</t>
  </si>
  <si>
    <t xml:space="preserve">spezifische Gesamtleistung </t>
  </si>
  <si>
    <t xml:space="preserve">(11) </t>
  </si>
  <si>
    <r>
      <t>erforderliche m</t>
    </r>
    <r>
      <rPr>
        <vertAlign val="superscript"/>
        <sz val="11"/>
        <color theme="1"/>
        <rFont val="Calibri"/>
        <family val="2"/>
        <scheme val="minor"/>
      </rPr>
      <t>2</t>
    </r>
    <r>
      <rPr>
        <sz val="11"/>
        <color theme="1"/>
        <rFont val="Calibri"/>
        <family val="2"/>
        <scheme val="minor"/>
      </rPr>
      <t xml:space="preserve"> PV (wenn 100% Dach belegt)</t>
    </r>
  </si>
  <si>
    <r>
      <t>erforderliche m</t>
    </r>
    <r>
      <rPr>
        <vertAlign val="superscript"/>
        <sz val="11"/>
        <color theme="1"/>
        <rFont val="Calibri"/>
        <family val="2"/>
        <scheme val="minor"/>
      </rPr>
      <t>2</t>
    </r>
    <r>
      <rPr>
        <sz val="11"/>
        <color theme="1"/>
        <rFont val="Calibri"/>
        <family val="2"/>
        <scheme val="minor"/>
      </rPr>
      <t xml:space="preserve"> PV (wenn 100% Fassade belegt)</t>
    </r>
  </si>
  <si>
    <t xml:space="preserve">als Eigenverbrauch wird der Anteil des selbst genutzten Stroms am produzierten Strom bezeichnet. </t>
  </si>
  <si>
    <t>Mit steigendem Strombedarf gegenüber der installierten Leistung, steigt daher auch der Eigenbedarf.</t>
  </si>
  <si>
    <t>Hoher Strombedarf und kleine installierte Leistung (spezifische Leistung [kWp/MWh] ist klein) begünstigen damit einen hohen Eigenbedarf.</t>
  </si>
  <si>
    <t>Nicht zu verwechseln mit Autarkiegrad.</t>
  </si>
  <si>
    <r>
      <t>erforderliche m</t>
    </r>
    <r>
      <rPr>
        <vertAlign val="superscript"/>
        <sz val="11"/>
        <color theme="1"/>
        <rFont val="Calibri"/>
        <family val="2"/>
        <scheme val="minor"/>
      </rPr>
      <t>2</t>
    </r>
    <r>
      <rPr>
        <sz val="11"/>
        <color theme="1"/>
        <rFont val="Calibri"/>
        <family val="2"/>
        <scheme val="minor"/>
      </rPr>
      <t xml:space="preserve"> PV (bei links angegebener Belegung)</t>
    </r>
  </si>
  <si>
    <t>Fläche Fassade</t>
  </si>
  <si>
    <t>Fläche Dach</t>
  </si>
  <si>
    <t>Cash Flow</t>
  </si>
  <si>
    <t>Barwert</t>
  </si>
  <si>
    <t>erwünschter Eigenverbrauchswert</t>
  </si>
  <si>
    <t>Eigenverbrauchsanteile Wohnen</t>
  </si>
  <si>
    <t>Faktor nach Abzug verschatteter Flächen (Nordseite, untere Geschoße)</t>
  </si>
  <si>
    <t>interner Zinssatz</t>
  </si>
  <si>
    <t>Autarkie</t>
  </si>
  <si>
    <t>Autarkiegrad Wohnen</t>
  </si>
  <si>
    <t xml:space="preserve">(12) </t>
  </si>
  <si>
    <t>Autarkie entspricht dem Anteil des genutzten PV Stroms am Gesamtstrombedarf.</t>
  </si>
  <si>
    <t>Wechselrichtertausch</t>
  </si>
  <si>
    <t>Ja</t>
  </si>
  <si>
    <t>Nein</t>
  </si>
  <si>
    <t>einmalige Kosten (WR Tausch)</t>
  </si>
  <si>
    <t>max Eigenverb</t>
  </si>
  <si>
    <t>Variante 1</t>
  </si>
  <si>
    <t>Variante 2</t>
  </si>
  <si>
    <t>Variante 3</t>
  </si>
  <si>
    <t>Inflationsrate</t>
  </si>
  <si>
    <t>mit/ohne WP</t>
  </si>
  <si>
    <t>Wärmepumpe</t>
  </si>
  <si>
    <t>Liste WP</t>
  </si>
  <si>
    <t>Eigenverbrauchsanteil gesamt</t>
  </si>
  <si>
    <t>Einspeisetarif</t>
  </si>
  <si>
    <t>WW+HL zusammen</t>
  </si>
  <si>
    <t>Liste Nutzungen</t>
  </si>
  <si>
    <t xml:space="preserve">Nicht-Wohnen </t>
  </si>
  <si>
    <t>für Hilfe siehe Tabellenblatt "Hinweise"</t>
  </si>
  <si>
    <t>Büro</t>
  </si>
  <si>
    <t>Gewerbe</t>
  </si>
  <si>
    <r>
      <t>BGF</t>
    </r>
    <r>
      <rPr>
        <vertAlign val="subscript"/>
        <sz val="11"/>
        <color theme="1"/>
        <rFont val="Calibri"/>
        <family val="2"/>
        <scheme val="minor"/>
      </rPr>
      <t>Büro</t>
    </r>
  </si>
  <si>
    <r>
      <t>BGF</t>
    </r>
    <r>
      <rPr>
        <vertAlign val="subscript"/>
        <sz val="11"/>
        <color theme="1"/>
        <rFont val="Calibri"/>
        <family val="2"/>
        <scheme val="minor"/>
      </rPr>
      <t>Gewerbe</t>
    </r>
  </si>
  <si>
    <r>
      <t>BGF</t>
    </r>
    <r>
      <rPr>
        <vertAlign val="subscript"/>
        <sz val="11"/>
        <color theme="1"/>
        <rFont val="Calibri"/>
        <family val="2"/>
        <scheme val="minor"/>
      </rPr>
      <t>Nicht-Wohnen, Durchschnitt</t>
    </r>
  </si>
  <si>
    <t>erforderliche Leistung laut Wiener Bauordnung für Neubau</t>
  </si>
  <si>
    <t>Allgemeine Daten</t>
  </si>
  <si>
    <t>Eingabe</t>
  </si>
  <si>
    <t>Formel</t>
  </si>
  <si>
    <t>Berechnungen</t>
  </si>
  <si>
    <t>Faktor für nutzbare Dachfläche</t>
  </si>
  <si>
    <t>nach Abzug von Barrieren für PV (Lifthäuser, Lüftungsgeräte, Auslässe, Rauchfänge) und notwendiger Randabstände und Modulabstände bzw. verschatteter Flächen</t>
  </si>
  <si>
    <t>zu installierende Gesamtleistung laut Bauordnung</t>
  </si>
  <si>
    <t>Modulanzahl</t>
  </si>
  <si>
    <t>bei 100% BGF Wohnen</t>
  </si>
  <si>
    <t>bei 100% BGF Nicht-Wohnen</t>
  </si>
  <si>
    <t>Gesamtmodulfläche</t>
  </si>
  <si>
    <t>Berechnung des Eigenverbrauchs</t>
  </si>
  <si>
    <t>Betonkernaktivierung</t>
  </si>
  <si>
    <t>Eigenverbrauchsanteil Wohnen</t>
  </si>
  <si>
    <t>Faktor Eigenverbrauch bei Nutzungsmischung</t>
  </si>
  <si>
    <t>Eigenverbrauchsanteile Wohnen BKA</t>
  </si>
  <si>
    <t>Eigenverbrauchsanteil Wohnen ohne BKA</t>
  </si>
  <si>
    <t>Eigenverbrauchsanteil Wohnen mit BKA</t>
  </si>
  <si>
    <r>
      <t xml:space="preserve">erforderliche PV Anlagengröße für erhöhten Eigenverbrauch </t>
    </r>
    <r>
      <rPr>
        <vertAlign val="superscript"/>
        <sz val="11"/>
        <color theme="1"/>
        <rFont val="Calibri"/>
        <family val="2"/>
        <scheme val="minor"/>
      </rPr>
      <t>(10)</t>
    </r>
  </si>
  <si>
    <t>erforderliche spezifische Leistung ohne BKA</t>
  </si>
  <si>
    <t>erforderliche spezifische Leistung mit BKA</t>
  </si>
  <si>
    <t>Anteil der PV Fläche auf Dachfläche</t>
  </si>
  <si>
    <t>Anteil der PV Fläche auf Fassadenfläche</t>
  </si>
  <si>
    <r>
      <t xml:space="preserve">Autarkieberechnung </t>
    </r>
    <r>
      <rPr>
        <vertAlign val="superscript"/>
        <sz val="11"/>
        <color theme="1"/>
        <rFont val="Calibri"/>
        <family val="2"/>
        <scheme val="minor"/>
      </rPr>
      <t>(11)</t>
    </r>
  </si>
  <si>
    <t>Autarkiegrad Wohnen ohne BKA</t>
  </si>
  <si>
    <t>Autarkiegrad Wohnen mit BKA</t>
  </si>
  <si>
    <t>Autarkiegrad gesamt</t>
  </si>
  <si>
    <t>Wirtschaftlichkeit - Betrachtungszeitraum 25 Jahre</t>
  </si>
  <si>
    <t>alternative Angabe zu Investitionsförderung</t>
  </si>
  <si>
    <t>Kosten der Anlage</t>
  </si>
  <si>
    <r>
      <t>[m</t>
    </r>
    <r>
      <rPr>
        <vertAlign val="superscript"/>
        <sz val="11"/>
        <color theme="1"/>
        <rFont val="Calibri"/>
        <family val="2"/>
        <scheme val="minor"/>
      </rPr>
      <t>2</t>
    </r>
    <r>
      <rPr>
        <vertAlign val="subscript"/>
        <sz val="11"/>
        <color theme="1"/>
        <rFont val="Calibri"/>
        <family val="2"/>
        <scheme val="minor"/>
      </rPr>
      <t>PV</t>
    </r>
    <r>
      <rPr>
        <sz val="11"/>
        <color theme="1"/>
        <rFont val="Calibri"/>
        <family val="2"/>
        <scheme val="minor"/>
      </rPr>
      <t>]</t>
    </r>
  </si>
  <si>
    <t>Wirtschaftlichkeit</t>
  </si>
  <si>
    <t>Varianten</t>
  </si>
  <si>
    <t>zum Übernehmen in den Variantenvergleich:</t>
  </si>
  <si>
    <t>um die Werte in die Tabellen zu übernehmen, bitte Tabellenblatt "Photovoltaik" ausfüllen und auf entsprechenden Button im Bereich K14:L26 klicken</t>
  </si>
  <si>
    <t>Leistung [kWp]</t>
  </si>
  <si>
    <r>
      <t>Modulfläche [m</t>
    </r>
    <r>
      <rPr>
        <vertAlign val="superscript"/>
        <sz val="11"/>
        <color theme="0"/>
        <rFont val="Calibri"/>
        <family val="2"/>
        <scheme val="minor"/>
      </rPr>
      <t>2</t>
    </r>
    <r>
      <rPr>
        <sz val="11"/>
        <color theme="0"/>
        <rFont val="Calibri"/>
        <family val="2"/>
        <scheme val="minor"/>
      </rPr>
      <t>]</t>
    </r>
  </si>
  <si>
    <t>Lastberechnung</t>
  </si>
  <si>
    <t>soweit bekannt, Grobschätzung</t>
  </si>
  <si>
    <t>Verweise</t>
  </si>
  <si>
    <t>Photovoltaik</t>
  </si>
  <si>
    <t>allgemeine Daten</t>
  </si>
  <si>
    <t>diese Angaben werden benötigt, damit die Berechnung durchgeführt werden kann</t>
  </si>
  <si>
    <t>falls Daten vorhanden sind, bitte angeben. Falls nicht, werden automatisch typische/durchschnittliche Werte angenommen.</t>
  </si>
  <si>
    <t xml:space="preserve">typische Entzugsleistung </t>
  </si>
  <si>
    <t>Sondenlänge</t>
  </si>
  <si>
    <t>Erdreich</t>
  </si>
  <si>
    <t>HWB</t>
  </si>
  <si>
    <t>KB</t>
  </si>
  <si>
    <t>WWB</t>
  </si>
  <si>
    <t>aus SIA</t>
  </si>
  <si>
    <r>
      <t>JAZ</t>
    </r>
    <r>
      <rPr>
        <vertAlign val="subscript"/>
        <sz val="11"/>
        <color theme="1"/>
        <rFont val="Calibri"/>
        <family val="2"/>
        <scheme val="minor"/>
      </rPr>
      <t>Heizen</t>
    </r>
  </si>
  <si>
    <r>
      <t>JAZ</t>
    </r>
    <r>
      <rPr>
        <vertAlign val="subscript"/>
        <sz val="11"/>
        <color theme="1"/>
        <rFont val="Calibri"/>
        <family val="2"/>
        <scheme val="minor"/>
      </rPr>
      <t>Heizen</t>
    </r>
    <r>
      <rPr>
        <sz val="11"/>
        <color theme="1"/>
        <rFont val="Calibri"/>
        <family val="2"/>
        <scheme val="minor"/>
      </rPr>
      <t xml:space="preserve"> Angabe</t>
    </r>
  </si>
  <si>
    <r>
      <t>JAZ</t>
    </r>
    <r>
      <rPr>
        <vertAlign val="subscript"/>
        <sz val="11"/>
        <color theme="1"/>
        <rFont val="Calibri"/>
        <family val="2"/>
        <scheme val="minor"/>
      </rPr>
      <t>Kühlen</t>
    </r>
  </si>
  <si>
    <r>
      <t>JAZ</t>
    </r>
    <r>
      <rPr>
        <vertAlign val="subscript"/>
        <sz val="11"/>
        <color theme="1"/>
        <rFont val="Calibri"/>
        <family val="2"/>
        <scheme val="minor"/>
      </rPr>
      <t>KÜhlen</t>
    </r>
    <r>
      <rPr>
        <sz val="11"/>
        <color theme="1"/>
        <rFont val="Calibri"/>
        <family val="2"/>
        <scheme val="minor"/>
      </rPr>
      <t xml:space="preserve"> Angabe</t>
    </r>
  </si>
  <si>
    <t xml:space="preserve">Erdreich-Wärmeentzug </t>
  </si>
  <si>
    <t>elektrische Energie</t>
  </si>
  <si>
    <t>Differenz</t>
  </si>
  <si>
    <t xml:space="preserve">Wärmeentzug gegenüber -abgabe </t>
  </si>
  <si>
    <t>Sondenabstand</t>
  </si>
  <si>
    <t>Erdreich-Wärmeabgabe</t>
  </si>
  <si>
    <r>
      <t>[€/m</t>
    </r>
    <r>
      <rPr>
        <vertAlign val="subscript"/>
        <sz val="11"/>
        <color theme="1"/>
        <rFont val="Calibri"/>
        <family val="2"/>
        <scheme val="minor"/>
      </rPr>
      <t>Sonde</t>
    </r>
    <r>
      <rPr>
        <sz val="11"/>
        <color theme="1"/>
        <rFont val="Calibri"/>
        <family val="2"/>
        <scheme val="minor"/>
      </rPr>
      <t>]</t>
    </r>
  </si>
  <si>
    <t>benötigte Fläche</t>
  </si>
  <si>
    <t>lc</t>
  </si>
  <si>
    <r>
      <t xml:space="preserve">lc </t>
    </r>
    <r>
      <rPr>
        <vertAlign val="superscript"/>
        <sz val="11"/>
        <color theme="1"/>
        <rFont val="Calibri"/>
        <family val="2"/>
        <scheme val="minor"/>
      </rPr>
      <t>(1)</t>
    </r>
  </si>
  <si>
    <t>charakteristische Länge; ergibt sich aus Gebäudegeometrie (lc = beheiztes Bruttovolumen/Oberfläche der Gebäudehülle): beispielsweise Energieausweis zu entnehmen</t>
  </si>
  <si>
    <t>Übersichtstabelle der PV Ergebnisse</t>
  </si>
  <si>
    <t>Solarfibel Baden Württemberg</t>
  </si>
  <si>
    <t>Wert aus Grafik</t>
  </si>
  <si>
    <t>[1/m]</t>
  </si>
  <si>
    <t>Dach-Potential</t>
  </si>
  <si>
    <t>Fassaden-Potential</t>
  </si>
  <si>
    <t>Gesamt</t>
  </si>
  <si>
    <t>Fassade</t>
  </si>
  <si>
    <t>Bauordnung</t>
  </si>
  <si>
    <t>spezifischer Jahresertrag</t>
  </si>
  <si>
    <r>
      <t>[kWh/100m</t>
    </r>
    <r>
      <rPr>
        <vertAlign val="superscript"/>
        <sz val="11"/>
        <color theme="1"/>
        <rFont val="Calibri"/>
        <family val="2"/>
        <scheme val="minor"/>
      </rPr>
      <t>2</t>
    </r>
    <r>
      <rPr>
        <vertAlign val="subscript"/>
        <sz val="11"/>
        <color theme="1"/>
        <rFont val="Calibri"/>
        <family val="2"/>
        <scheme val="minor"/>
      </rPr>
      <t>BGF</t>
    </r>
    <r>
      <rPr>
        <sz val="11"/>
        <color theme="1"/>
        <rFont val="Calibri"/>
        <family val="2"/>
        <scheme val="minor"/>
      </rPr>
      <t>]</t>
    </r>
  </si>
  <si>
    <t>Angabe Entzugsleistung</t>
  </si>
  <si>
    <t xml:space="preserve">Sondenlänge  </t>
  </si>
  <si>
    <t>Angabe Sondenlänge</t>
  </si>
  <si>
    <r>
      <t>Angabe COP</t>
    </r>
    <r>
      <rPr>
        <vertAlign val="subscript"/>
        <sz val="11"/>
        <color theme="1"/>
        <rFont val="Calibri"/>
        <family val="2"/>
        <scheme val="minor"/>
      </rPr>
      <t>Heizen</t>
    </r>
    <r>
      <rPr>
        <sz val="11"/>
        <color theme="1"/>
        <rFont val="Calibri"/>
        <family val="2"/>
        <scheme val="minor"/>
      </rPr>
      <t xml:space="preserve"> </t>
    </r>
  </si>
  <si>
    <r>
      <t>Angabe COP</t>
    </r>
    <r>
      <rPr>
        <vertAlign val="subscript"/>
        <sz val="11"/>
        <color theme="1"/>
        <rFont val="Calibri"/>
        <family val="2"/>
        <scheme val="minor"/>
      </rPr>
      <t>Kühlen</t>
    </r>
    <r>
      <rPr>
        <sz val="11"/>
        <color theme="1"/>
        <rFont val="Calibri"/>
        <family val="2"/>
        <scheme val="minor"/>
      </rPr>
      <t xml:space="preserve"> </t>
    </r>
  </si>
  <si>
    <t>erforderliche Sondenanzahl</t>
  </si>
  <si>
    <r>
      <t>[MWh</t>
    </r>
    <r>
      <rPr>
        <vertAlign val="subscript"/>
        <sz val="11"/>
        <color theme="1"/>
        <rFont val="Calibri"/>
        <family val="2"/>
        <scheme val="minor"/>
      </rPr>
      <t>el</t>
    </r>
    <r>
      <rPr>
        <sz val="11"/>
        <color theme="1"/>
        <rFont val="Calibri"/>
        <family val="2"/>
        <scheme val="minor"/>
      </rPr>
      <t>]</t>
    </r>
  </si>
  <si>
    <r>
      <t>[MWh</t>
    </r>
    <r>
      <rPr>
        <vertAlign val="subscript"/>
        <sz val="11"/>
        <color theme="1"/>
        <rFont val="Calibri"/>
        <family val="2"/>
        <scheme val="minor"/>
      </rPr>
      <t>th</t>
    </r>
    <r>
      <rPr>
        <sz val="11"/>
        <color theme="1"/>
        <rFont val="Calibri"/>
        <family val="2"/>
        <scheme val="minor"/>
      </rPr>
      <t>]</t>
    </r>
  </si>
  <si>
    <t>aktive Kühlung</t>
  </si>
  <si>
    <t xml:space="preserve">(13) </t>
  </si>
  <si>
    <t>Aktive Kühlung entspricht dem Betrieb einer reversiblen Wärmepumpe im Wohnbau. Bei "Nein" wird eine Temperierung vorgenommen (Direct Cooling).</t>
  </si>
  <si>
    <r>
      <t xml:space="preserve">aktive Kühlung Wohnen? </t>
    </r>
    <r>
      <rPr>
        <vertAlign val="superscript"/>
        <sz val="11"/>
        <color theme="1"/>
        <rFont val="Calibri"/>
        <family val="2"/>
        <scheme val="minor"/>
      </rPr>
      <t>(12)</t>
    </r>
  </si>
  <si>
    <r>
      <t>Entzugsleistung</t>
    </r>
    <r>
      <rPr>
        <vertAlign val="superscript"/>
        <sz val="11"/>
        <color theme="1"/>
        <rFont val="Calibri"/>
        <family val="2"/>
        <scheme val="minor"/>
      </rPr>
      <t>(13)</t>
    </r>
  </si>
  <si>
    <t>spezifische Kühllast Temperierung</t>
  </si>
  <si>
    <t>Erdwärmeleistung</t>
  </si>
  <si>
    <t>Wärmeabgabe</t>
  </si>
  <si>
    <t>Heizen</t>
  </si>
  <si>
    <t>Kühlen</t>
  </si>
  <si>
    <t>[MWh]</t>
  </si>
  <si>
    <t>Saldo</t>
  </si>
  <si>
    <t>KB Temperierung</t>
  </si>
  <si>
    <t>Diagramm Erdreich</t>
  </si>
  <si>
    <t>Diagramm Bedarf</t>
  </si>
  <si>
    <r>
      <t>[Mwh</t>
    </r>
    <r>
      <rPr>
        <vertAlign val="subscript"/>
        <sz val="11"/>
        <color theme="1"/>
        <rFont val="Calibri"/>
        <family val="2"/>
        <scheme val="minor"/>
      </rPr>
      <t>el</t>
    </r>
    <r>
      <rPr>
        <sz val="11"/>
        <color theme="1"/>
        <rFont val="Calibri"/>
        <family val="2"/>
        <scheme val="minor"/>
      </rPr>
      <t>]</t>
    </r>
  </si>
  <si>
    <t>Wärme</t>
  </si>
  <si>
    <t>Kälte</t>
  </si>
  <si>
    <t>Strom</t>
  </si>
  <si>
    <t>keine Eingabe - Rechenfeld</t>
  </si>
  <si>
    <t>hier bitte nichts eingeben, außer die Berechnung soll verändert werden.</t>
  </si>
  <si>
    <t xml:space="preserve">(14) </t>
  </si>
  <si>
    <t>tatsächliche Modulfläche nach Aufrundung auf ganze Module</t>
  </si>
  <si>
    <t>theor. Notw. Modulfläche</t>
  </si>
  <si>
    <t>was bei selber Gesamtfläche aber jeweils 100%iger Nutzung Wohnen bzw. Nicht-Wohnen notwendig wäre</t>
  </si>
  <si>
    <t>einmaliger Wechselrichtertausch während der 25 Jahre</t>
  </si>
  <si>
    <t>Erdsonden</t>
  </si>
  <si>
    <t xml:space="preserve">Energie Fassade </t>
  </si>
  <si>
    <t>theoretisch erforderliche Modulfläche</t>
  </si>
  <si>
    <r>
      <t>[W/m</t>
    </r>
    <r>
      <rPr>
        <vertAlign val="superscript"/>
        <sz val="11"/>
        <color theme="1"/>
        <rFont val="Calibri"/>
        <family val="2"/>
        <scheme val="minor"/>
      </rPr>
      <t>2</t>
    </r>
    <r>
      <rPr>
        <vertAlign val="subscript"/>
        <sz val="11"/>
        <color theme="1"/>
        <rFont val="Calibri"/>
        <family val="2"/>
        <scheme val="minor"/>
      </rPr>
      <t>BGF</t>
    </r>
    <r>
      <rPr>
        <sz val="11"/>
        <color theme="1"/>
        <rFont val="Calibri"/>
        <family val="2"/>
        <scheme val="minor"/>
      </rPr>
      <t>]</t>
    </r>
  </si>
  <si>
    <t>Kühlfall / Temperierung</t>
  </si>
  <si>
    <t>SIA nachschauen</t>
  </si>
  <si>
    <t>erforderliche Dachfläche</t>
  </si>
  <si>
    <r>
      <t xml:space="preserve">tatsächlich erforderliche Modulfläche </t>
    </r>
    <r>
      <rPr>
        <vertAlign val="superscript"/>
        <sz val="11"/>
        <color theme="1"/>
        <rFont val="Calibri"/>
        <family val="2"/>
        <scheme val="minor"/>
      </rPr>
      <t>(14)</t>
    </r>
  </si>
  <si>
    <r>
      <t>[m</t>
    </r>
    <r>
      <rPr>
        <vertAlign val="superscript"/>
        <sz val="11"/>
        <color theme="1"/>
        <rFont val="Calibri"/>
        <family val="2"/>
        <scheme val="minor"/>
      </rPr>
      <t>2</t>
    </r>
    <r>
      <rPr>
        <sz val="11"/>
        <color theme="1"/>
        <rFont val="Calibri"/>
        <family val="2"/>
        <scheme val="minor"/>
      </rPr>
      <t>/kWp]</t>
    </r>
  </si>
  <si>
    <r>
      <t>[Wp/m</t>
    </r>
    <r>
      <rPr>
        <vertAlign val="superscript"/>
        <sz val="11"/>
        <color theme="1"/>
        <rFont val="Calibri"/>
        <family val="2"/>
        <scheme val="minor"/>
      </rPr>
      <t>2</t>
    </r>
    <r>
      <rPr>
        <sz val="11"/>
        <color theme="1"/>
        <rFont val="Calibri"/>
        <family val="2"/>
        <scheme val="minor"/>
      </rPr>
      <t>]</t>
    </r>
  </si>
  <si>
    <t>Faktor für Dachfläche/Modulfläche</t>
  </si>
  <si>
    <t>Grenze</t>
  </si>
  <si>
    <t xml:space="preserve">Dach </t>
  </si>
  <si>
    <t>Ertragswert</t>
  </si>
  <si>
    <r>
      <t>JAZ</t>
    </r>
    <r>
      <rPr>
        <vertAlign val="subscript"/>
        <sz val="11"/>
        <rFont val="Calibri"/>
        <family val="2"/>
        <scheme val="minor"/>
      </rPr>
      <t>Kühlen</t>
    </r>
  </si>
  <si>
    <r>
      <t>[kWh/m</t>
    </r>
    <r>
      <rPr>
        <vertAlign val="superscript"/>
        <sz val="11"/>
        <rFont val="Calibri"/>
        <family val="2"/>
        <scheme val="minor"/>
      </rPr>
      <t>2</t>
    </r>
    <r>
      <rPr>
        <sz val="11"/>
        <rFont val="Calibri"/>
        <family val="2"/>
        <scheme val="minor"/>
      </rPr>
      <t>]</t>
    </r>
  </si>
  <si>
    <t>für Hilfe und zusätzliche Info siehe Tabellenblatt "Hinweise"</t>
  </si>
  <si>
    <r>
      <t xml:space="preserve">Eigenverbrauch </t>
    </r>
    <r>
      <rPr>
        <sz val="9"/>
        <color theme="1"/>
        <rFont val="Calibri"/>
        <family val="2"/>
        <scheme val="minor"/>
      </rPr>
      <t>(bei max./alternativer Anlagengröße)</t>
    </r>
  </si>
  <si>
    <r>
      <t xml:space="preserve">Autarkie </t>
    </r>
    <r>
      <rPr>
        <sz val="9"/>
        <color theme="1"/>
        <rFont val="Calibri"/>
        <family val="2"/>
        <scheme val="minor"/>
      </rPr>
      <t>(bei max./alternativer Anlagengröße)</t>
    </r>
  </si>
  <si>
    <r>
      <t xml:space="preserve">Wirtschaftlichkeit </t>
    </r>
    <r>
      <rPr>
        <sz val="9"/>
        <color theme="1"/>
        <rFont val="Calibri"/>
        <family val="2"/>
        <scheme val="minor"/>
      </rPr>
      <t>(bei max./alternativer Anlagengröße)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</si>
</sst>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 _€_-;\-* #,##0\ _€_-;_-* &quot;-&quot;\ _€_-;_-@_-"/>
    <numFmt numFmtId="43" formatCode="_-* #,##0.00\ _€_-;\-* #,##0.00\ _€_-;_-* &quot;-&quot;??\ _€_-;_-@_-"/>
    <numFmt numFmtId="167" formatCode="_-* #,##0.0\ _€_-;\-* #,##0.0\ _€_-;_-* &quot;-&quot;?\ _€_-;_-@_-"/>
    <numFmt numFmtId="168" formatCode="_-* #,##0.0\ _€_-;\-* #,##0.0\ _€_-;_-* &quot;-&quot;??\ _€_-;_-@_-"/>
    <numFmt numFmtId="169" formatCode="_-* #,##0\ _€_-;\-* #,##0\ _€_-;_-* &quot;-&quot;??\ _€_-;_-@_-"/>
    <numFmt numFmtId="170" formatCode="_-* #,##0\ _€_-;\-* #,##0\ _€_-;_-* &quot;-&quot;?\ _€_-;_-@_-"/>
    <numFmt numFmtId="171" formatCode="_-* #,##0.0\ _€_-;\-* #,##0.0\ _€_-;_-* &quot;-&quot;\ _€_-;_-@_-"/>
  </numFmts>
  <fonts count="23" x14ac:knownFonts="1">
    <font>
      <sz val="11"/>
      <color theme="1"/>
      <name val="Calibri"/>
      <family val="2"/>
      <scheme val="minor"/>
    </font>
    <font>
      <sz val="11"/>
      <color theme="1"/>
      <name val="Calibri"/>
      <family val="2"/>
      <scheme val="minor"/>
    </font>
    <font>
      <b/>
      <sz val="11"/>
      <color theme="1"/>
      <name val="Calibri"/>
      <family val="2"/>
      <scheme val="minor"/>
    </font>
    <font>
      <vertAlign val="superscript"/>
      <sz val="11"/>
      <color theme="1"/>
      <name val="Calibri"/>
      <family val="2"/>
      <scheme val="minor"/>
    </font>
    <font>
      <vertAlign val="subscript"/>
      <sz val="11"/>
      <color theme="1"/>
      <name val="Calibri"/>
      <family val="2"/>
      <scheme val="minor"/>
    </font>
    <font>
      <sz val="11"/>
      <color rgb="FFFF0000"/>
      <name val="Calibri"/>
      <family val="2"/>
      <scheme val="minor"/>
    </font>
    <font>
      <sz val="10"/>
      <color theme="1"/>
      <name val="Calibri"/>
      <family val="2"/>
      <scheme val="minor"/>
    </font>
    <font>
      <u/>
      <sz val="11"/>
      <color theme="10"/>
      <name val="Calibri"/>
      <family val="2"/>
      <scheme val="minor"/>
    </font>
    <font>
      <sz val="11"/>
      <color theme="0" tint="-0.499984740745262"/>
      <name val="Calibri"/>
      <family val="2"/>
      <scheme val="minor"/>
    </font>
    <font>
      <u/>
      <sz val="11"/>
      <color theme="0" tint="-0.499984740745262"/>
      <name val="Calibri"/>
      <family val="2"/>
      <scheme val="minor"/>
    </font>
    <font>
      <sz val="11"/>
      <name val="Calibri"/>
      <family val="2"/>
      <scheme val="minor"/>
    </font>
    <font>
      <b/>
      <sz val="11"/>
      <name val="Calibri"/>
      <family val="2"/>
      <scheme val="minor"/>
    </font>
    <font>
      <sz val="9"/>
      <color theme="1"/>
      <name val="Calibri"/>
      <family val="2"/>
      <scheme val="minor"/>
    </font>
    <font>
      <sz val="11"/>
      <color indexed="8"/>
      <name val="Calibri"/>
      <family val="2"/>
      <scheme val="minor"/>
    </font>
    <font>
      <sz val="11"/>
      <color theme="0" tint="-0.34998626667073579"/>
      <name val="Calibri"/>
      <family val="2"/>
      <scheme val="minor"/>
    </font>
    <font>
      <sz val="11"/>
      <color theme="0"/>
      <name val="Calibri"/>
      <family val="2"/>
      <scheme val="minor"/>
    </font>
    <font>
      <sz val="11"/>
      <color rgb="FF0070C0"/>
      <name val="Calibri"/>
      <family val="2"/>
      <scheme val="minor"/>
    </font>
    <font>
      <sz val="11"/>
      <color rgb="FF406FC4"/>
      <name val="Calibri"/>
      <family val="2"/>
      <scheme val="minor"/>
    </font>
    <font>
      <vertAlign val="superscript"/>
      <sz val="11"/>
      <color theme="0"/>
      <name val="Calibri"/>
      <family val="2"/>
      <scheme val="minor"/>
    </font>
    <font>
      <sz val="11"/>
      <color rgb="FF000000"/>
      <name val="Calibri"/>
      <family val="2"/>
    </font>
    <font>
      <sz val="12"/>
      <color theme="1"/>
      <name val="Calibri"/>
      <family val="2"/>
      <scheme val="minor"/>
    </font>
    <font>
      <vertAlign val="subscript"/>
      <sz val="11"/>
      <name val="Calibri"/>
      <family val="2"/>
      <scheme val="minor"/>
    </font>
    <font>
      <vertAlign val="superscript"/>
      <sz val="11"/>
      <name val="Calibri"/>
      <family val="2"/>
      <scheme val="minor"/>
    </font>
  </fonts>
  <fills count="20">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57867"/>
        <bgColor indexed="64"/>
      </patternFill>
    </fill>
    <fill>
      <patternFill patternType="solid">
        <fgColor rgb="FFFAB9B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0"/>
        <bgColor indexed="64"/>
      </patternFill>
    </fill>
    <fill>
      <patternFill patternType="solid">
        <fgColor rgb="FF406FC4"/>
        <bgColor indexed="64"/>
      </patternFill>
    </fill>
    <fill>
      <patternFill patternType="solid">
        <fgColor theme="7" tint="0.39997558519241921"/>
        <bgColor indexed="64"/>
      </patternFill>
    </fill>
    <fill>
      <patternFill patternType="solid">
        <fgColor rgb="FFF4A6F2"/>
        <bgColor indexed="64"/>
      </patternFill>
    </fill>
    <fill>
      <patternFill patternType="solid">
        <fgColor rgb="FFEA9436"/>
        <bgColor indexed="64"/>
      </patternFill>
    </fill>
    <fill>
      <patternFill patternType="solid">
        <fgColor rgb="FFEFAE67"/>
        <bgColor indexed="64"/>
      </patternFill>
    </fill>
    <fill>
      <patternFill patternType="solid">
        <fgColor rgb="FF7ADCD7"/>
        <bgColor indexed="64"/>
      </patternFill>
    </fill>
    <fill>
      <patternFill patternType="solid">
        <fgColor theme="6" tint="0.79998168889431442"/>
        <bgColor indexed="64"/>
      </patternFill>
    </fill>
    <fill>
      <patternFill patternType="solid">
        <fgColor rgb="FFFFDB75"/>
        <bgColor indexed="64"/>
      </patternFill>
    </fill>
    <fill>
      <patternFill patternType="solid">
        <fgColor rgb="FFFFC819"/>
        <bgColor indexed="64"/>
      </patternFill>
    </fill>
    <fill>
      <patternFill patternType="solid">
        <fgColor theme="7" tint="0.79998168889431442"/>
        <bgColor indexed="64"/>
      </patternFill>
    </fill>
  </fills>
  <borders count="34">
    <border>
      <left/>
      <right/>
      <top/>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bottom style="thin">
        <color indexed="64"/>
      </bottom>
      <diagonal/>
    </border>
    <border>
      <left style="thin">
        <color indexed="64"/>
      </left>
      <right style="double">
        <color indexed="64"/>
      </right>
      <top/>
      <bottom/>
      <diagonal/>
    </border>
    <border>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medium">
        <color indexed="64"/>
      </right>
      <top/>
      <bottom/>
      <diagonal/>
    </border>
    <border>
      <left/>
      <right style="medium">
        <color indexed="64"/>
      </right>
      <top style="thin">
        <color indexed="64"/>
      </top>
      <bottom/>
      <diagonal/>
    </border>
    <border>
      <left style="medium">
        <color indexed="64"/>
      </left>
      <right/>
      <top/>
      <bottom/>
      <diagonal/>
    </border>
    <border>
      <left/>
      <right/>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s>
  <cellStyleXfs count="3">
    <xf numFmtId="0" fontId="0" fillId="0" borderId="0"/>
    <xf numFmtId="43" fontId="1" fillId="0" borderId="0" applyFont="0" applyFill="0" applyBorder="0" applyAlignment="0" applyProtection="0"/>
    <xf numFmtId="0" fontId="7" fillId="0" borderId="0" applyNumberFormat="0" applyFill="0" applyBorder="0" applyAlignment="0" applyProtection="0"/>
  </cellStyleXfs>
  <cellXfs count="310">
    <xf numFmtId="0" fontId="0" fillId="0" borderId="0" xfId="0"/>
    <xf numFmtId="0" fontId="0" fillId="2" borderId="0" xfId="0" applyFill="1"/>
    <xf numFmtId="0" fontId="0" fillId="0" borderId="2" xfId="0" applyBorder="1"/>
    <xf numFmtId="0" fontId="0" fillId="0" borderId="3" xfId="0" applyBorder="1"/>
    <xf numFmtId="0" fontId="0" fillId="0" borderId="5" xfId="0" applyBorder="1" applyAlignment="1">
      <alignment horizontal="left"/>
    </xf>
    <xf numFmtId="0" fontId="0" fillId="0" borderId="5" xfId="0" applyBorder="1"/>
    <xf numFmtId="43" fontId="0" fillId="0" borderId="0" xfId="1" applyFont="1"/>
    <xf numFmtId="0" fontId="0" fillId="0" borderId="1" xfId="0" applyBorder="1" applyAlignment="1">
      <alignment horizontal="center"/>
    </xf>
    <xf numFmtId="0" fontId="5" fillId="0" borderId="0" xfId="0" applyFont="1"/>
    <xf numFmtId="0" fontId="0" fillId="0" borderId="4" xfId="0" applyBorder="1"/>
    <xf numFmtId="0" fontId="0" fillId="0" borderId="0" xfId="0" applyBorder="1"/>
    <xf numFmtId="43" fontId="0" fillId="0" borderId="0" xfId="0" applyNumberFormat="1"/>
    <xf numFmtId="0" fontId="0" fillId="3" borderId="0" xfId="0" applyFill="1"/>
    <xf numFmtId="0" fontId="0" fillId="2" borderId="3" xfId="0" applyFill="1" applyBorder="1"/>
    <xf numFmtId="0" fontId="0" fillId="0" borderId="6" xfId="0" applyBorder="1"/>
    <xf numFmtId="43" fontId="0" fillId="0" borderId="6" xfId="1" applyFont="1" applyBorder="1"/>
    <xf numFmtId="43" fontId="0" fillId="0" borderId="0" xfId="1" applyFont="1" applyFill="1"/>
    <xf numFmtId="0" fontId="0" fillId="0" borderId="7" xfId="0" applyBorder="1"/>
    <xf numFmtId="43" fontId="0" fillId="0" borderId="7" xfId="1" applyFont="1" applyFill="1" applyBorder="1"/>
    <xf numFmtId="0" fontId="0" fillId="0" borderId="8" xfId="0" applyBorder="1"/>
    <xf numFmtId="0" fontId="7" fillId="0" borderId="0" xfId="2"/>
    <xf numFmtId="0" fontId="0" fillId="0" borderId="0" xfId="0" applyBorder="1" applyAlignment="1">
      <alignment horizontal="left"/>
    </xf>
    <xf numFmtId="0" fontId="8" fillId="0" borderId="0" xfId="0" applyFont="1"/>
    <xf numFmtId="0" fontId="9" fillId="0" borderId="0" xfId="2" applyFont="1"/>
    <xf numFmtId="0" fontId="8" fillId="0" borderId="0" xfId="0" applyFont="1" applyAlignment="1">
      <alignment horizontal="left"/>
    </xf>
    <xf numFmtId="43" fontId="8" fillId="0" borderId="0" xfId="0" applyNumberFormat="1" applyFont="1"/>
    <xf numFmtId="0" fontId="0" fillId="0" borderId="1" xfId="0" applyBorder="1"/>
    <xf numFmtId="0" fontId="0" fillId="0" borderId="10" xfId="0" applyBorder="1"/>
    <xf numFmtId="0" fontId="0" fillId="0" borderId="0" xfId="0" applyFill="1" applyBorder="1"/>
    <xf numFmtId="0" fontId="0" fillId="3" borderId="6" xfId="0" applyFill="1" applyBorder="1"/>
    <xf numFmtId="43" fontId="0" fillId="3" borderId="6" xfId="1" applyFont="1" applyFill="1" applyBorder="1"/>
    <xf numFmtId="0" fontId="0" fillId="0" borderId="9" xfId="0" applyBorder="1"/>
    <xf numFmtId="0" fontId="0" fillId="0" borderId="3" xfId="0" applyFill="1" applyBorder="1"/>
    <xf numFmtId="0" fontId="0" fillId="0" borderId="11" xfId="0" applyBorder="1"/>
    <xf numFmtId="0" fontId="0" fillId="0" borderId="0" xfId="0" applyAlignment="1">
      <alignment horizontal="center"/>
    </xf>
    <xf numFmtId="0" fontId="0" fillId="0" borderId="12" xfId="0" applyBorder="1"/>
    <xf numFmtId="0" fontId="10" fillId="0" borderId="0" xfId="0" applyFont="1"/>
    <xf numFmtId="0" fontId="5" fillId="4" borderId="0" xfId="0" applyFont="1" applyFill="1"/>
    <xf numFmtId="0" fontId="0" fillId="4" borderId="0" xfId="0" applyFill="1"/>
    <xf numFmtId="0" fontId="11" fillId="4" borderId="0" xfId="0" applyFont="1" applyFill="1"/>
    <xf numFmtId="0" fontId="0" fillId="0" borderId="0" xfId="0" applyFill="1"/>
    <xf numFmtId="0" fontId="12" fillId="0" borderId="0" xfId="0" applyFont="1"/>
    <xf numFmtId="43" fontId="5" fillId="0" borderId="0" xfId="1" applyFont="1"/>
    <xf numFmtId="0" fontId="13" fillId="0" borderId="0" xfId="0" applyFont="1"/>
    <xf numFmtId="0" fontId="2" fillId="2" borderId="0" xfId="0" applyFont="1" applyFill="1"/>
    <xf numFmtId="0" fontId="0" fillId="0" borderId="0" xfId="0" applyFill="1" applyBorder="1" applyAlignment="1">
      <alignment horizontal="left"/>
    </xf>
    <xf numFmtId="0" fontId="0" fillId="0" borderId="13" xfId="0" applyBorder="1" applyAlignment="1">
      <alignment horizontal="center"/>
    </xf>
    <xf numFmtId="0" fontId="0" fillId="0" borderId="14" xfId="0" applyBorder="1" applyAlignment="1">
      <alignment horizontal="center"/>
    </xf>
    <xf numFmtId="0" fontId="0" fillId="0" borderId="2" xfId="0" applyFill="1" applyBorder="1"/>
    <xf numFmtId="43" fontId="0" fillId="0" borderId="0" xfId="1" applyFont="1" applyFill="1" applyBorder="1"/>
    <xf numFmtId="43" fontId="5" fillId="0" borderId="0" xfId="0" applyNumberFormat="1" applyFont="1"/>
    <xf numFmtId="0" fontId="0" fillId="0" borderId="11" xfId="0" applyBorder="1" applyAlignment="1">
      <alignment horizontal="center"/>
    </xf>
    <xf numFmtId="0" fontId="0" fillId="0" borderId="16" xfId="0" applyBorder="1" applyAlignment="1">
      <alignment horizontal="center"/>
    </xf>
    <xf numFmtId="0" fontId="14" fillId="0" borderId="0" xfId="0" applyFont="1" applyAlignment="1">
      <alignment horizontal="center"/>
    </xf>
    <xf numFmtId="43" fontId="14" fillId="0" borderId="0" xfId="1" applyFont="1"/>
    <xf numFmtId="43" fontId="14" fillId="0" borderId="0" xfId="0" applyNumberFormat="1" applyFont="1"/>
    <xf numFmtId="43" fontId="10" fillId="0" borderId="0" xfId="1" applyFont="1"/>
    <xf numFmtId="43" fontId="0" fillId="0" borderId="0" xfId="0" applyNumberFormat="1" applyFill="1" applyBorder="1"/>
    <xf numFmtId="43" fontId="5" fillId="0" borderId="0" xfId="0" applyNumberFormat="1" applyFont="1" applyFill="1"/>
    <xf numFmtId="0" fontId="0" fillId="0" borderId="5" xfId="0" applyFill="1" applyBorder="1"/>
    <xf numFmtId="0" fontId="5" fillId="2" borderId="0" xfId="0" applyFont="1" applyFill="1"/>
    <xf numFmtId="43" fontId="0" fillId="0" borderId="0" xfId="1" applyFont="1" applyBorder="1"/>
    <xf numFmtId="0" fontId="15" fillId="0" borderId="0" xfId="0" applyFont="1"/>
    <xf numFmtId="0" fontId="0" fillId="3" borderId="0" xfId="0" applyFill="1" applyBorder="1"/>
    <xf numFmtId="0" fontId="0" fillId="0" borderId="1" xfId="0" applyBorder="1" applyAlignment="1">
      <alignment horizontal="center"/>
    </xf>
    <xf numFmtId="0" fontId="0" fillId="0" borderId="0" xfId="0" applyAlignment="1">
      <alignment horizontal="center"/>
    </xf>
    <xf numFmtId="0" fontId="0" fillId="0" borderId="1" xfId="0" applyBorder="1" applyAlignment="1">
      <alignment horizontal="center"/>
    </xf>
    <xf numFmtId="0" fontId="0" fillId="0" borderId="8" xfId="0" applyBorder="1" applyAlignment="1">
      <alignment horizontal="center"/>
    </xf>
    <xf numFmtId="0" fontId="0" fillId="2" borderId="0" xfId="0" applyFill="1" applyBorder="1"/>
    <xf numFmtId="0" fontId="8" fillId="2" borderId="0" xfId="0" applyFont="1" applyFill="1"/>
    <xf numFmtId="0" fontId="2" fillId="0" borderId="0" xfId="0" applyFont="1"/>
    <xf numFmtId="0" fontId="2" fillId="0" borderId="0" xfId="0" applyFont="1" applyFill="1"/>
    <xf numFmtId="0" fontId="0" fillId="5" borderId="0" xfId="0" applyFill="1" applyAlignment="1">
      <alignment horizontal="center"/>
    </xf>
    <xf numFmtId="0" fontId="0" fillId="5" borderId="7" xfId="0" applyFill="1" applyBorder="1" applyAlignment="1">
      <alignment horizontal="center"/>
    </xf>
    <xf numFmtId="43" fontId="0" fillId="0" borderId="0" xfId="0" applyNumberFormat="1" applyFill="1"/>
    <xf numFmtId="43" fontId="5" fillId="0" borderId="0" xfId="0" applyNumberFormat="1" applyFont="1" applyFill="1" applyBorder="1"/>
    <xf numFmtId="0" fontId="16" fillId="0" borderId="0" xfId="0" applyFont="1"/>
    <xf numFmtId="0" fontId="5" fillId="0" borderId="0" xfId="0" applyFont="1" applyFill="1"/>
    <xf numFmtId="0" fontId="5" fillId="4" borderId="0" xfId="0" applyFont="1" applyFill="1" applyBorder="1"/>
    <xf numFmtId="0" fontId="5" fillId="0" borderId="0" xfId="0" applyFont="1" applyBorder="1"/>
    <xf numFmtId="0" fontId="5" fillId="2" borderId="0" xfId="0" applyFont="1" applyFill="1" applyBorder="1"/>
    <xf numFmtId="0" fontId="5" fillId="0" borderId="0" xfId="0" applyFont="1" applyFill="1" applyBorder="1"/>
    <xf numFmtId="0" fontId="0" fillId="0" borderId="25" xfId="0" applyBorder="1"/>
    <xf numFmtId="0" fontId="0" fillId="2" borderId="25" xfId="0" applyFill="1" applyBorder="1"/>
    <xf numFmtId="0" fontId="0" fillId="4" borderId="0" xfId="0" applyFill="1" applyBorder="1"/>
    <xf numFmtId="0" fontId="0" fillId="0" borderId="20" xfId="0" applyBorder="1"/>
    <xf numFmtId="0" fontId="6" fillId="0" borderId="26" xfId="0" applyFont="1" applyBorder="1"/>
    <xf numFmtId="0" fontId="0" fillId="0" borderId="0" xfId="0" applyBorder="1" applyAlignment="1"/>
    <xf numFmtId="0" fontId="0" fillId="9" borderId="3" xfId="0" applyFill="1" applyBorder="1"/>
    <xf numFmtId="0" fontId="0" fillId="9" borderId="10" xfId="0" applyFill="1" applyBorder="1"/>
    <xf numFmtId="0" fontId="0" fillId="9" borderId="4" xfId="0" applyFill="1" applyBorder="1" applyAlignment="1">
      <alignment horizontal="left"/>
    </xf>
    <xf numFmtId="0" fontId="0" fillId="9" borderId="5" xfId="0" applyFill="1" applyBorder="1" applyAlignment="1">
      <alignment horizontal="left"/>
    </xf>
    <xf numFmtId="0" fontId="0" fillId="9" borderId="0" xfId="0" applyFill="1" applyBorder="1"/>
    <xf numFmtId="0" fontId="0" fillId="9" borderId="0" xfId="0" applyFill="1" applyBorder="1" applyAlignment="1">
      <alignment horizontal="left"/>
    </xf>
    <xf numFmtId="0" fontId="12" fillId="9" borderId="5" xfId="0" applyFont="1" applyFill="1" applyBorder="1" applyAlignment="1">
      <alignment horizontal="left"/>
    </xf>
    <xf numFmtId="0" fontId="0" fillId="9" borderId="0" xfId="0" applyFill="1"/>
    <xf numFmtId="0" fontId="5" fillId="9" borderId="0" xfId="0" applyFont="1" applyFill="1"/>
    <xf numFmtId="0" fontId="5" fillId="9" borderId="0" xfId="0" applyFont="1" applyFill="1" applyBorder="1"/>
    <xf numFmtId="0" fontId="0" fillId="9" borderId="0" xfId="0" applyFill="1" applyAlignment="1">
      <alignment horizontal="center"/>
    </xf>
    <xf numFmtId="43" fontId="0" fillId="9" borderId="0" xfId="1" applyFont="1" applyFill="1" applyAlignment="1">
      <alignment horizontal="center"/>
    </xf>
    <xf numFmtId="0" fontId="0" fillId="9" borderId="7" xfId="0" applyFill="1" applyBorder="1"/>
    <xf numFmtId="0" fontId="0" fillId="9" borderId="7" xfId="0" applyFill="1" applyBorder="1" applyAlignment="1">
      <alignment horizontal="center"/>
    </xf>
    <xf numFmtId="43" fontId="0" fillId="9" borderId="0" xfId="1" applyFont="1" applyFill="1" applyBorder="1" applyAlignment="1">
      <alignment horizontal="center"/>
    </xf>
    <xf numFmtId="43" fontId="15" fillId="9" borderId="0" xfId="0" applyNumberFormat="1" applyFont="1" applyFill="1"/>
    <xf numFmtId="0" fontId="0" fillId="9" borderId="5" xfId="0" applyFill="1" applyBorder="1"/>
    <xf numFmtId="0" fontId="0" fillId="9" borderId="27" xfId="0" applyFill="1" applyBorder="1"/>
    <xf numFmtId="0" fontId="0" fillId="9" borderId="26" xfId="0" applyFill="1" applyBorder="1"/>
    <xf numFmtId="0" fontId="0" fillId="9" borderId="2" xfId="0" applyFill="1" applyBorder="1"/>
    <xf numFmtId="0" fontId="0" fillId="9" borderId="9" xfId="0" applyFill="1" applyBorder="1"/>
    <xf numFmtId="0" fontId="0" fillId="9" borderId="28" xfId="0" applyFill="1" applyBorder="1"/>
    <xf numFmtId="0" fontId="0" fillId="9" borderId="26" xfId="0" applyFill="1" applyBorder="1" applyAlignment="1">
      <alignment horizontal="left"/>
    </xf>
    <xf numFmtId="0" fontId="0" fillId="0" borderId="26" xfId="0" applyBorder="1"/>
    <xf numFmtId="0" fontId="0" fillId="3" borderId="10" xfId="0" applyFill="1" applyBorder="1"/>
    <xf numFmtId="43" fontId="0" fillId="3" borderId="10" xfId="1" applyFont="1" applyFill="1" applyBorder="1"/>
    <xf numFmtId="43" fontId="0" fillId="0" borderId="25" xfId="0" applyNumberFormat="1" applyBorder="1"/>
    <xf numFmtId="0" fontId="0" fillId="0" borderId="30" xfId="0" applyBorder="1"/>
    <xf numFmtId="0" fontId="0" fillId="4" borderId="31" xfId="0" applyFill="1" applyBorder="1"/>
    <xf numFmtId="0" fontId="0" fillId="5" borderId="24" xfId="0" applyFill="1" applyBorder="1"/>
    <xf numFmtId="0" fontId="0" fillId="6" borderId="25" xfId="0" applyFill="1" applyBorder="1"/>
    <xf numFmtId="0" fontId="0" fillId="3" borderId="32" xfId="0" applyFill="1" applyBorder="1"/>
    <xf numFmtId="43" fontId="0" fillId="9" borderId="7" xfId="1" applyFont="1" applyFill="1" applyBorder="1"/>
    <xf numFmtId="0" fontId="0" fillId="9" borderId="0" xfId="0" applyFill="1" applyBorder="1" applyAlignment="1"/>
    <xf numFmtId="0" fontId="0" fillId="9" borderId="26" xfId="0" applyFill="1" applyBorder="1" applyAlignment="1"/>
    <xf numFmtId="0" fontId="0" fillId="9" borderId="8" xfId="0" applyFill="1" applyBorder="1"/>
    <xf numFmtId="0" fontId="0" fillId="0" borderId="28" xfId="0" applyBorder="1"/>
    <xf numFmtId="0" fontId="0" fillId="0" borderId="6" xfId="0" applyFont="1" applyBorder="1"/>
    <xf numFmtId="43" fontId="1" fillId="0" borderId="6" xfId="1" applyFont="1" applyBorder="1"/>
    <xf numFmtId="43" fontId="13" fillId="9" borderId="7" xfId="1" applyFont="1" applyFill="1" applyBorder="1"/>
    <xf numFmtId="0" fontId="0" fillId="9" borderId="27" xfId="0" applyFill="1" applyBorder="1" applyAlignment="1">
      <alignment horizontal="left"/>
    </xf>
    <xf numFmtId="0" fontId="10" fillId="9" borderId="3" xfId="0" applyFont="1" applyFill="1" applyBorder="1"/>
    <xf numFmtId="0" fontId="0" fillId="0" borderId="3" xfId="0" applyBorder="1" applyAlignment="1"/>
    <xf numFmtId="0" fontId="10" fillId="0" borderId="0" xfId="0" applyFont="1" applyBorder="1" applyAlignment="1">
      <alignment horizontal="left"/>
    </xf>
    <xf numFmtId="0" fontId="0" fillId="0" borderId="7" xfId="0" applyBorder="1" applyAlignment="1"/>
    <xf numFmtId="43" fontId="5" fillId="0" borderId="0" xfId="1" applyFont="1" applyFill="1" applyBorder="1"/>
    <xf numFmtId="0" fontId="15" fillId="9" borderId="0" xfId="0" applyFont="1" applyFill="1"/>
    <xf numFmtId="0" fontId="0" fillId="9" borderId="3" xfId="0" applyFill="1" applyBorder="1" applyAlignment="1"/>
    <xf numFmtId="0" fontId="0" fillId="9" borderId="7" xfId="0" applyFill="1" applyBorder="1" applyAlignment="1"/>
    <xf numFmtId="43" fontId="0" fillId="9" borderId="0" xfId="1" applyFont="1" applyFill="1" applyBorder="1"/>
    <xf numFmtId="43" fontId="13" fillId="9" borderId="0" xfId="1" applyFont="1" applyFill="1" applyBorder="1"/>
    <xf numFmtId="0" fontId="0" fillId="9" borderId="8" xfId="0" applyFill="1" applyBorder="1" applyAlignment="1">
      <alignment horizontal="center"/>
    </xf>
    <xf numFmtId="0" fontId="0" fillId="0" borderId="29" xfId="0" applyBorder="1"/>
    <xf numFmtId="0" fontId="10" fillId="2" borderId="0" xfId="0" applyFont="1" applyFill="1"/>
    <xf numFmtId="0" fontId="17" fillId="9" borderId="7" xfId="0" applyFont="1" applyFill="1" applyBorder="1"/>
    <xf numFmtId="0" fontId="10" fillId="0" borderId="0" xfId="0" applyFont="1" applyFill="1" applyBorder="1"/>
    <xf numFmtId="0" fontId="10" fillId="0" borderId="29" xfId="0" applyFont="1" applyFill="1" applyBorder="1"/>
    <xf numFmtId="0" fontId="0" fillId="0" borderId="29" xfId="0" applyFill="1" applyBorder="1"/>
    <xf numFmtId="43" fontId="0" fillId="9" borderId="0" xfId="0" applyNumberFormat="1" applyFill="1" applyBorder="1"/>
    <xf numFmtId="43" fontId="0" fillId="5" borderId="0" xfId="1" applyFont="1" applyFill="1" applyBorder="1" applyAlignment="1">
      <alignment horizontal="center"/>
    </xf>
    <xf numFmtId="0" fontId="0" fillId="7" borderId="10" xfId="0" applyFill="1" applyBorder="1"/>
    <xf numFmtId="0" fontId="0" fillId="7" borderId="6" xfId="0" applyFill="1" applyBorder="1"/>
    <xf numFmtId="43" fontId="0" fillId="7" borderId="6" xfId="0" applyNumberFormat="1" applyFill="1" applyBorder="1"/>
    <xf numFmtId="0" fontId="0" fillId="7" borderId="2" xfId="0" applyFill="1" applyBorder="1"/>
    <xf numFmtId="0" fontId="0" fillId="3" borderId="19" xfId="0" applyFill="1" applyBorder="1"/>
    <xf numFmtId="0" fontId="0" fillId="3" borderId="0" xfId="0" applyFill="1" applyAlignment="1">
      <alignment horizontal="center"/>
    </xf>
    <xf numFmtId="0" fontId="17" fillId="0" borderId="7" xfId="0" applyFont="1" applyBorder="1"/>
    <xf numFmtId="43" fontId="0" fillId="8" borderId="8" xfId="1" applyFont="1" applyFill="1" applyBorder="1"/>
    <xf numFmtId="0" fontId="0" fillId="0" borderId="18" xfId="0" applyBorder="1"/>
    <xf numFmtId="43" fontId="0" fillId="8" borderId="18" xfId="1" applyFont="1" applyFill="1" applyBorder="1"/>
    <xf numFmtId="0" fontId="0" fillId="0" borderId="0" xfId="0" applyFill="1" applyBorder="1" applyAlignment="1">
      <alignment horizontal="center" vertical="center"/>
    </xf>
    <xf numFmtId="0" fontId="0" fillId="0" borderId="0" xfId="0" applyFill="1" applyBorder="1" applyAlignment="1"/>
    <xf numFmtId="0" fontId="2" fillId="0" borderId="0" xfId="0" applyFont="1" applyFill="1" applyBorder="1"/>
    <xf numFmtId="0" fontId="17" fillId="0" borderId="0" xfId="0" applyFont="1"/>
    <xf numFmtId="0" fontId="0" fillId="8" borderId="25" xfId="0" applyFill="1" applyBorder="1"/>
    <xf numFmtId="0" fontId="0" fillId="10" borderId="0" xfId="0" applyFill="1" applyAlignment="1">
      <alignment horizontal="center"/>
    </xf>
    <xf numFmtId="0" fontId="0" fillId="0" borderId="17" xfId="0" applyBorder="1" applyAlignment="1">
      <alignment horizontal="center"/>
    </xf>
    <xf numFmtId="0" fontId="0" fillId="13" borderId="3" xfId="0" applyFill="1" applyBorder="1" applyAlignment="1">
      <alignment horizontal="center"/>
    </xf>
    <xf numFmtId="0" fontId="0" fillId="11" borderId="7" xfId="0" applyFill="1" applyBorder="1" applyAlignment="1">
      <alignment horizontal="center"/>
    </xf>
    <xf numFmtId="0" fontId="0" fillId="9" borderId="11" xfId="0" applyFill="1" applyBorder="1"/>
    <xf numFmtId="0" fontId="0" fillId="9" borderId="33" xfId="0" applyFill="1" applyBorder="1" applyAlignment="1">
      <alignment horizontal="left"/>
    </xf>
    <xf numFmtId="0" fontId="17" fillId="9" borderId="0" xfId="0" applyFont="1" applyFill="1"/>
    <xf numFmtId="0" fontId="0" fillId="9" borderId="18" xfId="0" applyFill="1" applyBorder="1"/>
    <xf numFmtId="0" fontId="0" fillId="0" borderId="25" xfId="0" applyFill="1" applyBorder="1"/>
    <xf numFmtId="0" fontId="14" fillId="0" borderId="0" xfId="0" applyFont="1" applyAlignment="1">
      <alignment horizontal="left"/>
    </xf>
    <xf numFmtId="0" fontId="14" fillId="0" borderId="0" xfId="0" applyFont="1"/>
    <xf numFmtId="43" fontId="0" fillId="6" borderId="7" xfId="1" applyFont="1" applyFill="1" applyBorder="1"/>
    <xf numFmtId="0" fontId="0" fillId="8" borderId="0" xfId="0" applyFill="1"/>
    <xf numFmtId="0" fontId="0" fillId="0" borderId="1" xfId="0" applyBorder="1" applyAlignment="1">
      <alignment horizontal="center"/>
    </xf>
    <xf numFmtId="0" fontId="12" fillId="9" borderId="0" xfId="0" applyFont="1" applyFill="1" applyBorder="1" applyAlignment="1">
      <alignment horizontal="left"/>
    </xf>
    <xf numFmtId="43" fontId="15" fillId="0" borderId="7" xfId="0" applyNumberFormat="1" applyFont="1" applyFill="1" applyBorder="1"/>
    <xf numFmtId="43" fontId="0" fillId="0" borderId="0" xfId="1" applyFont="1" applyFill="1" applyAlignment="1">
      <alignment horizontal="center"/>
    </xf>
    <xf numFmtId="43" fontId="15" fillId="0" borderId="7" xfId="0" applyNumberFormat="1" applyFont="1" applyBorder="1"/>
    <xf numFmtId="0" fontId="0" fillId="0" borderId="10" xfId="0" applyFill="1" applyBorder="1"/>
    <xf numFmtId="43" fontId="0" fillId="0" borderId="6" xfId="1" applyFont="1" applyFill="1" applyBorder="1"/>
    <xf numFmtId="0" fontId="0" fillId="0" borderId="4" xfId="0" applyFill="1" applyBorder="1" applyAlignment="1">
      <alignment horizontal="left"/>
    </xf>
    <xf numFmtId="0" fontId="0" fillId="0" borderId="0" xfId="0" applyFill="1" applyAlignment="1">
      <alignment horizontal="center"/>
    </xf>
    <xf numFmtId="0" fontId="0" fillId="0" borderId="5" xfId="0" applyFill="1" applyBorder="1" applyAlignment="1">
      <alignment horizontal="left"/>
    </xf>
    <xf numFmtId="0" fontId="0" fillId="0" borderId="7" xfId="0" applyFill="1" applyBorder="1"/>
    <xf numFmtId="0" fontId="0" fillId="0" borderId="7" xfId="0" applyFill="1" applyBorder="1" applyAlignment="1">
      <alignment horizontal="center"/>
    </xf>
    <xf numFmtId="43" fontId="0" fillId="0" borderId="0" xfId="1" applyFont="1" applyFill="1" applyBorder="1" applyAlignment="1">
      <alignment horizontal="center"/>
    </xf>
    <xf numFmtId="0" fontId="12" fillId="0" borderId="0" xfId="0" applyFont="1" applyFill="1" applyBorder="1" applyAlignment="1">
      <alignment horizontal="left"/>
    </xf>
    <xf numFmtId="43" fontId="0" fillId="16" borderId="0" xfId="1" applyFont="1" applyFill="1"/>
    <xf numFmtId="0" fontId="10" fillId="0" borderId="3" xfId="0" applyFont="1" applyFill="1" applyBorder="1"/>
    <xf numFmtId="43" fontId="14" fillId="0" borderId="0" xfId="1" applyFont="1" applyAlignment="1">
      <alignment horizontal="center"/>
    </xf>
    <xf numFmtId="0" fontId="0" fillId="0" borderId="6" xfId="0" applyBorder="1" applyAlignment="1">
      <alignment horizontal="center"/>
    </xf>
    <xf numFmtId="0" fontId="14" fillId="0" borderId="0" xfId="0" applyFont="1" applyFill="1" applyBorder="1"/>
    <xf numFmtId="0" fontId="14" fillId="0" borderId="0" xfId="0" applyFont="1" applyFill="1"/>
    <xf numFmtId="43" fontId="1" fillId="0" borderId="0" xfId="1" applyFont="1"/>
    <xf numFmtId="43" fontId="1" fillId="0" borderId="0" xfId="0" applyNumberFormat="1" applyFont="1"/>
    <xf numFmtId="43" fontId="0" fillId="0" borderId="0" xfId="0" applyNumberFormat="1" applyFont="1"/>
    <xf numFmtId="43" fontId="10" fillId="0" borderId="0" xfId="0" applyNumberFormat="1" applyFont="1"/>
    <xf numFmtId="0" fontId="0" fillId="8" borderId="2" xfId="0" applyFill="1" applyBorder="1"/>
    <xf numFmtId="0" fontId="0" fillId="8" borderId="3" xfId="0" applyFill="1" applyBorder="1"/>
    <xf numFmtId="0" fontId="10" fillId="8" borderId="3" xfId="0" applyFont="1" applyFill="1" applyBorder="1"/>
    <xf numFmtId="0" fontId="0" fillId="0" borderId="6" xfId="0" applyFill="1" applyBorder="1"/>
    <xf numFmtId="0" fontId="0" fillId="9" borderId="25" xfId="0" applyFill="1" applyBorder="1"/>
    <xf numFmtId="43" fontId="0" fillId="6" borderId="0" xfId="1" applyFont="1" applyFill="1"/>
    <xf numFmtId="49" fontId="0" fillId="9" borderId="0" xfId="0" applyNumberFormat="1" applyFill="1" applyAlignment="1">
      <alignment horizontal="center"/>
    </xf>
    <xf numFmtId="0" fontId="0" fillId="0" borderId="0" xfId="0" applyAlignment="1">
      <alignment horizontal="center"/>
    </xf>
    <xf numFmtId="0" fontId="0" fillId="10" borderId="0" xfId="0" applyFill="1" applyBorder="1" applyAlignment="1">
      <alignment horizontal="center" vertical="center" textRotation="90"/>
    </xf>
    <xf numFmtId="43" fontId="0" fillId="0" borderId="0" xfId="0" applyNumberFormat="1" applyAlignment="1"/>
    <xf numFmtId="0" fontId="5" fillId="0" borderId="0" xfId="0" applyFont="1" applyBorder="1" applyAlignment="1"/>
    <xf numFmtId="0" fontId="15" fillId="0" borderId="0" xfId="0" applyFont="1" applyFill="1" applyAlignment="1"/>
    <xf numFmtId="0" fontId="15" fillId="0" borderId="26" xfId="0" applyFont="1" applyFill="1" applyBorder="1" applyAlignment="1"/>
    <xf numFmtId="0" fontId="0" fillId="0" borderId="1" xfId="0" applyBorder="1" applyAlignment="1">
      <alignment horizontal="center"/>
    </xf>
    <xf numFmtId="0" fontId="0" fillId="0" borderId="10" xfId="0" applyBorder="1" applyAlignment="1">
      <alignment horizontal="center"/>
    </xf>
    <xf numFmtId="0" fontId="0" fillId="5" borderId="21" xfId="0" applyFill="1" applyBorder="1" applyAlignment="1">
      <alignment horizontal="center"/>
    </xf>
    <xf numFmtId="0" fontId="0" fillId="5" borderId="22" xfId="0" applyFill="1" applyBorder="1" applyAlignment="1">
      <alignment horizontal="center"/>
    </xf>
    <xf numFmtId="0" fontId="0" fillId="5" borderId="23" xfId="0" applyFill="1" applyBorder="1" applyAlignment="1">
      <alignment horizontal="center"/>
    </xf>
    <xf numFmtId="0" fontId="0" fillId="8" borderId="21" xfId="0" applyFill="1" applyBorder="1" applyAlignment="1">
      <alignment horizontal="center"/>
    </xf>
    <xf numFmtId="0" fontId="0" fillId="8" borderId="22" xfId="0" applyFill="1" applyBorder="1" applyAlignment="1">
      <alignment horizontal="center"/>
    </xf>
    <xf numFmtId="0" fontId="0" fillId="8" borderId="23" xfId="0" applyFill="1" applyBorder="1" applyAlignment="1">
      <alignment horizontal="center"/>
    </xf>
    <xf numFmtId="0" fontId="0" fillId="9" borderId="21" xfId="0" applyFill="1" applyBorder="1" applyAlignment="1">
      <alignment horizontal="center"/>
    </xf>
    <xf numFmtId="0" fontId="0" fillId="9" borderId="22" xfId="0" applyFill="1" applyBorder="1" applyAlignment="1">
      <alignment horizontal="center"/>
    </xf>
    <xf numFmtId="0" fontId="0" fillId="9" borderId="23" xfId="0" applyFill="1" applyBorder="1" applyAlignment="1">
      <alignment horizontal="center"/>
    </xf>
    <xf numFmtId="0" fontId="0" fillId="10" borderId="29" xfId="0" applyFill="1" applyBorder="1" applyAlignment="1">
      <alignment horizontal="center" vertical="center" textRotation="90"/>
    </xf>
    <xf numFmtId="0" fontId="20" fillId="17" borderId="29" xfId="0" applyFont="1" applyFill="1" applyBorder="1" applyAlignment="1">
      <alignment horizontal="center" vertical="center" textRotation="90"/>
    </xf>
    <xf numFmtId="0" fontId="0" fillId="0" borderId="29" xfId="0" applyBorder="1" applyAlignment="1">
      <alignment horizontal="center"/>
    </xf>
    <xf numFmtId="0" fontId="0" fillId="0" borderId="0" xfId="0" applyAlignment="1">
      <alignment horizontal="center"/>
    </xf>
    <xf numFmtId="0" fontId="20" fillId="19" borderId="29" xfId="0" applyFont="1" applyFill="1" applyBorder="1" applyAlignment="1">
      <alignment horizontal="center" vertical="center" textRotation="90"/>
    </xf>
    <xf numFmtId="0" fontId="20" fillId="18" borderId="29" xfId="0" applyFont="1" applyFill="1" applyBorder="1" applyAlignment="1">
      <alignment horizontal="center" vertical="center" textRotation="90"/>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12" xfId="0" applyBorder="1" applyAlignment="1">
      <alignment horizontal="center"/>
    </xf>
    <xf numFmtId="0" fontId="2" fillId="8" borderId="0" xfId="0" applyFont="1" applyFill="1" applyAlignment="1">
      <alignment horizontal="left" vertical="center" wrapText="1"/>
    </xf>
    <xf numFmtId="0" fontId="0" fillId="0" borderId="6" xfId="0" applyBorder="1" applyAlignment="1">
      <alignment horizontal="center"/>
    </xf>
    <xf numFmtId="0" fontId="2" fillId="9" borderId="21" xfId="0" applyFont="1" applyFill="1" applyBorder="1" applyAlignment="1">
      <alignment horizontal="center"/>
    </xf>
    <xf numFmtId="0" fontId="2" fillId="9" borderId="22" xfId="0" applyFont="1" applyFill="1" applyBorder="1" applyAlignment="1">
      <alignment horizontal="center"/>
    </xf>
    <xf numFmtId="0" fontId="2" fillId="9" borderId="23" xfId="0" applyFont="1" applyFill="1" applyBorder="1" applyAlignment="1">
      <alignment horizontal="center"/>
    </xf>
    <xf numFmtId="0" fontId="2" fillId="14" borderId="1" xfId="0" applyFont="1" applyFill="1" applyBorder="1" applyAlignment="1">
      <alignment horizontal="center"/>
    </xf>
    <xf numFmtId="0" fontId="2" fillId="12" borderId="1" xfId="0" applyFont="1" applyFill="1" applyBorder="1" applyAlignment="1">
      <alignment horizontal="center"/>
    </xf>
    <xf numFmtId="0" fontId="2" fillId="15" borderId="1" xfId="0" applyFont="1" applyFill="1" applyBorder="1" applyAlignment="1">
      <alignment horizontal="center"/>
    </xf>
    <xf numFmtId="41" fontId="0" fillId="5" borderId="6" xfId="1" applyNumberFormat="1" applyFont="1" applyFill="1" applyBorder="1"/>
    <xf numFmtId="167" fontId="0" fillId="6" borderId="7" xfId="1" applyNumberFormat="1" applyFont="1" applyFill="1" applyBorder="1"/>
    <xf numFmtId="41" fontId="0" fillId="6" borderId="7" xfId="1" applyNumberFormat="1" applyFont="1" applyFill="1" applyBorder="1"/>
    <xf numFmtId="41" fontId="10" fillId="9" borderId="7" xfId="1" applyNumberFormat="1" applyFont="1" applyFill="1" applyBorder="1" applyAlignment="1">
      <alignment horizontal="center"/>
    </xf>
    <xf numFmtId="41" fontId="10" fillId="0" borderId="7" xfId="1" applyNumberFormat="1" applyFont="1" applyFill="1" applyBorder="1" applyAlignment="1">
      <alignment horizontal="center"/>
    </xf>
    <xf numFmtId="41" fontId="10" fillId="0" borderId="9" xfId="1" applyNumberFormat="1" applyFont="1" applyFill="1" applyBorder="1" applyAlignment="1">
      <alignment horizontal="center"/>
    </xf>
    <xf numFmtId="167" fontId="10" fillId="9" borderId="7" xfId="1" applyNumberFormat="1" applyFont="1" applyFill="1" applyBorder="1" applyAlignment="1">
      <alignment horizontal="center"/>
    </xf>
    <xf numFmtId="41" fontId="0" fillId="8" borderId="8" xfId="1" applyNumberFormat="1" applyFont="1" applyFill="1" applyBorder="1"/>
    <xf numFmtId="169" fontId="0" fillId="8" borderId="18" xfId="1" applyNumberFormat="1" applyFont="1" applyFill="1" applyBorder="1"/>
    <xf numFmtId="169" fontId="0" fillId="8" borderId="8" xfId="1" applyNumberFormat="1" applyFont="1" applyFill="1" applyBorder="1"/>
    <xf numFmtId="168" fontId="0" fillId="0" borderId="7" xfId="1" applyNumberFormat="1" applyFont="1" applyBorder="1"/>
    <xf numFmtId="169" fontId="0" fillId="0" borderId="0" xfId="0" applyNumberFormat="1" applyBorder="1"/>
    <xf numFmtId="169" fontId="0" fillId="0" borderId="0" xfId="1" applyNumberFormat="1" applyFont="1" applyFill="1" applyBorder="1"/>
    <xf numFmtId="169" fontId="0" fillId="0" borderId="7" xfId="1" applyNumberFormat="1" applyFont="1" applyBorder="1"/>
    <xf numFmtId="169" fontId="0" fillId="0" borderId="7" xfId="1" applyNumberFormat="1" applyFont="1" applyFill="1" applyBorder="1"/>
    <xf numFmtId="169" fontId="0" fillId="8" borderId="7" xfId="1" applyNumberFormat="1" applyFont="1" applyFill="1" applyBorder="1"/>
    <xf numFmtId="168" fontId="0" fillId="0" borderId="0" xfId="1" applyNumberFormat="1" applyFont="1"/>
    <xf numFmtId="168" fontId="0" fillId="0" borderId="7" xfId="0" applyNumberFormat="1" applyFill="1" applyBorder="1"/>
    <xf numFmtId="169" fontId="0" fillId="0" borderId="0" xfId="1" applyNumberFormat="1" applyFont="1" applyFill="1"/>
    <xf numFmtId="169" fontId="0" fillId="8" borderId="0" xfId="1" applyNumberFormat="1" applyFont="1" applyFill="1"/>
    <xf numFmtId="169" fontId="0" fillId="0" borderId="0" xfId="1" applyNumberFormat="1" applyFont="1"/>
    <xf numFmtId="169" fontId="0" fillId="0" borderId="7" xfId="0" applyNumberFormat="1" applyBorder="1"/>
    <xf numFmtId="169" fontId="0" fillId="8" borderId="7" xfId="0" applyNumberFormat="1" applyFill="1" applyBorder="1"/>
    <xf numFmtId="169" fontId="0" fillId="0" borderId="9" xfId="0" applyNumberFormat="1" applyBorder="1"/>
    <xf numFmtId="169" fontId="0" fillId="0" borderId="3" xfId="1" applyNumberFormat="1" applyFont="1" applyFill="1" applyBorder="1"/>
    <xf numFmtId="169" fontId="0" fillId="0" borderId="0" xfId="0" applyNumberFormat="1"/>
    <xf numFmtId="169" fontId="0" fillId="8" borderId="3" xfId="0" applyNumberFormat="1" applyFill="1" applyBorder="1"/>
    <xf numFmtId="169" fontId="0" fillId="8" borderId="9" xfId="0" applyNumberFormat="1" applyFill="1" applyBorder="1"/>
    <xf numFmtId="169" fontId="0" fillId="0" borderId="7" xfId="0" applyNumberFormat="1" applyFill="1" applyBorder="1"/>
    <xf numFmtId="169" fontId="10" fillId="8" borderId="7" xfId="1" applyNumberFormat="1" applyFont="1" applyFill="1" applyBorder="1"/>
    <xf numFmtId="170" fontId="0" fillId="6" borderId="7" xfId="1" applyNumberFormat="1" applyFont="1" applyFill="1" applyBorder="1"/>
    <xf numFmtId="169" fontId="0" fillId="3" borderId="0" xfId="1" applyNumberFormat="1" applyFont="1" applyFill="1"/>
    <xf numFmtId="169" fontId="0" fillId="3" borderId="7" xfId="1" applyNumberFormat="1" applyFont="1" applyFill="1" applyBorder="1"/>
    <xf numFmtId="169" fontId="0" fillId="0" borderId="3" xfId="0" applyNumberFormat="1" applyBorder="1"/>
    <xf numFmtId="171" fontId="0" fillId="6" borderId="7" xfId="1" applyNumberFormat="1" applyFont="1" applyFill="1" applyBorder="1"/>
    <xf numFmtId="169" fontId="0" fillId="9" borderId="13" xfId="1" applyNumberFormat="1" applyFont="1" applyFill="1" applyBorder="1"/>
    <xf numFmtId="168" fontId="0" fillId="9" borderId="7" xfId="1" applyNumberFormat="1" applyFont="1" applyFill="1" applyBorder="1"/>
    <xf numFmtId="169" fontId="0" fillId="9" borderId="7" xfId="1" applyNumberFormat="1" applyFont="1" applyFill="1" applyBorder="1"/>
    <xf numFmtId="168" fontId="10" fillId="9" borderId="7" xfId="1" applyNumberFormat="1" applyFont="1" applyFill="1" applyBorder="1"/>
    <xf numFmtId="169" fontId="0" fillId="0" borderId="17" xfId="1" applyNumberFormat="1" applyFont="1" applyBorder="1"/>
    <xf numFmtId="169" fontId="0" fillId="0" borderId="3" xfId="1" applyNumberFormat="1" applyFont="1" applyBorder="1"/>
    <xf numFmtId="169" fontId="0" fillId="0" borderId="15" xfId="0" applyNumberFormat="1" applyFill="1" applyBorder="1"/>
    <xf numFmtId="169" fontId="0" fillId="8" borderId="2" xfId="0" applyNumberFormat="1" applyFill="1" applyBorder="1"/>
    <xf numFmtId="168" fontId="0" fillId="6" borderId="7" xfId="1" applyNumberFormat="1" applyFont="1" applyFill="1" applyBorder="1"/>
    <xf numFmtId="169" fontId="0" fillId="6" borderId="7" xfId="1" applyNumberFormat="1" applyFont="1" applyFill="1" applyBorder="1"/>
    <xf numFmtId="43" fontId="0" fillId="9" borderId="7" xfId="1" applyNumberFormat="1" applyFont="1" applyFill="1" applyBorder="1"/>
    <xf numFmtId="169" fontId="0" fillId="0" borderId="0" xfId="0" applyNumberFormat="1" applyFill="1"/>
    <xf numFmtId="169" fontId="0" fillId="8" borderId="0" xfId="0" applyNumberFormat="1" applyFill="1"/>
    <xf numFmtId="169" fontId="0" fillId="16" borderId="0" xfId="1" applyNumberFormat="1" applyFont="1" applyFill="1"/>
    <xf numFmtId="169" fontId="0" fillId="0" borderId="8" xfId="1" applyNumberFormat="1" applyFont="1" applyBorder="1"/>
    <xf numFmtId="169" fontId="0" fillId="16" borderId="0" xfId="0" applyNumberFormat="1" applyFill="1"/>
    <xf numFmtId="169" fontId="0" fillId="0" borderId="4" xfId="1" applyNumberFormat="1" applyFont="1" applyBorder="1"/>
    <xf numFmtId="169" fontId="0" fillId="0" borderId="6" xfId="0" applyNumberFormat="1" applyBorder="1"/>
    <xf numFmtId="169" fontId="0" fillId="0" borderId="0" xfId="0" applyNumberFormat="1" applyAlignment="1"/>
    <xf numFmtId="169" fontId="0" fillId="16" borderId="8" xfId="0" applyNumberFormat="1" applyFill="1" applyBorder="1"/>
    <xf numFmtId="43" fontId="14" fillId="0" borderId="0" xfId="1" applyFont="1" applyFill="1"/>
    <xf numFmtId="0" fontId="8" fillId="0" borderId="0" xfId="0" applyFont="1" applyFill="1"/>
    <xf numFmtId="43" fontId="8" fillId="0" borderId="0" xfId="0" applyNumberFormat="1" applyFont="1" applyFill="1"/>
    <xf numFmtId="0" fontId="8" fillId="0" borderId="0" xfId="0" applyFont="1" applyFill="1" applyBorder="1"/>
    <xf numFmtId="43" fontId="8" fillId="0" borderId="0" xfId="1" applyFont="1" applyFill="1"/>
    <xf numFmtId="0" fontId="15" fillId="0" borderId="0" xfId="0" applyFont="1" applyAlignment="1">
      <alignment horizontal="center"/>
    </xf>
    <xf numFmtId="169" fontId="0" fillId="3" borderId="0" xfId="0" applyNumberFormat="1" applyFill="1"/>
    <xf numFmtId="169" fontId="0" fillId="3" borderId="0" xfId="0" applyNumberFormat="1" applyFill="1" applyBorder="1"/>
    <xf numFmtId="169" fontId="0" fillId="3" borderId="0" xfId="1" applyNumberFormat="1" applyFont="1" applyFill="1" applyBorder="1"/>
    <xf numFmtId="169" fontId="0" fillId="3" borderId="1" xfId="0" applyNumberFormat="1" applyFill="1" applyBorder="1"/>
    <xf numFmtId="169" fontId="2" fillId="3" borderId="1" xfId="0" applyNumberFormat="1" applyFont="1" applyFill="1" applyBorder="1"/>
    <xf numFmtId="169" fontId="10" fillId="0" borderId="0" xfId="1" applyNumberFormat="1" applyFont="1" applyFill="1" applyBorder="1"/>
    <xf numFmtId="41" fontId="0" fillId="5" borderId="7" xfId="1" applyNumberFormat="1" applyFont="1" applyFill="1" applyBorder="1"/>
  </cellXfs>
  <cellStyles count="3">
    <cellStyle name="Komma" xfId="1" builtinId="3"/>
    <cellStyle name="Link" xfId="2" builtinId="8"/>
    <cellStyle name="Standard" xfId="0" builtinId="0"/>
  </cellStyles>
  <dxfs count="2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2CC"/>
      <color rgb="FF406FC4"/>
      <color rgb="FFFFDB75"/>
      <color rgb="FFFFE7A3"/>
      <color rgb="FFFFC819"/>
      <color rgb="FFFAB9B0"/>
      <color rgb="FFEA9436"/>
      <color rgb="FFF57867"/>
      <color rgb="FFFFD55D"/>
      <color rgb="FFFFD1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0" i="0" u="none" strike="noStrike" kern="1200" spc="0" baseline="0">
                <a:solidFill>
                  <a:srgbClr val="FF0000"/>
                </a:solidFill>
                <a:latin typeface="+mn-lt"/>
                <a:ea typeface="+mn-ea"/>
                <a:cs typeface="+mn-cs"/>
              </a:defRPr>
            </a:pPr>
            <a:r>
              <a:rPr lang="de-DE"/>
              <a:t>zu installierende Leistung  nach Bauordnung</a:t>
            </a:r>
            <a:br>
              <a:rPr lang="de-DE"/>
            </a:br>
            <a:r>
              <a:rPr lang="de-DE"/>
              <a:t>je nach Nutzung [kWp]</a:t>
            </a:r>
          </a:p>
        </c:rich>
      </c:tx>
      <c:layout>
        <c:manualLayout>
          <c:xMode val="edge"/>
          <c:yMode val="edge"/>
          <c:x val="5.9635335267774398E-2"/>
          <c:y val="0.10334369655985275"/>
        </c:manualLayout>
      </c:layout>
      <c:overlay val="0"/>
      <c:spPr>
        <a:noFill/>
        <a:ln>
          <a:noFill/>
        </a:ln>
        <a:effectLst/>
      </c:spPr>
      <c:txPr>
        <a:bodyPr rot="0" spcFirstLastPara="1" vertOverflow="ellipsis" vert="horz" wrap="square" anchor="ctr" anchorCtr="1"/>
        <a:lstStyle/>
        <a:p>
          <a:pPr algn="l">
            <a:defRPr sz="1200" b="0" i="0" u="none" strike="noStrike" kern="1200" spc="0" baseline="0">
              <a:solidFill>
                <a:srgbClr val="FF0000"/>
              </a:solidFill>
              <a:latin typeface="+mn-lt"/>
              <a:ea typeface="+mn-ea"/>
              <a:cs typeface="+mn-cs"/>
            </a:defRPr>
          </a:pPr>
          <a:endParaRPr lang="de-DE"/>
        </a:p>
      </c:txPr>
    </c:title>
    <c:autoTitleDeleted val="0"/>
    <c:plotArea>
      <c:layout>
        <c:manualLayout>
          <c:layoutTarget val="inner"/>
          <c:xMode val="edge"/>
          <c:yMode val="edge"/>
          <c:x val="0.62269357319296192"/>
          <c:y val="7.7162187353811196E-2"/>
          <c:w val="0.34224827765101806"/>
          <c:h val="0.8280680327526293"/>
        </c:manualLayout>
      </c:layout>
      <c:pieChart>
        <c:varyColors val="1"/>
        <c:ser>
          <c:idx val="0"/>
          <c:order val="0"/>
          <c:dPt>
            <c:idx val="0"/>
            <c:bubble3D val="0"/>
            <c:spPr>
              <a:solidFill>
                <a:srgbClr val="80A1D6"/>
              </a:solidFill>
              <a:ln w="9525">
                <a:solidFill>
                  <a:schemeClr val="bg1"/>
                </a:solidFill>
              </a:ln>
              <a:effectLst/>
            </c:spPr>
            <c:extLst>
              <c:ext xmlns:c16="http://schemas.microsoft.com/office/drawing/2014/chart" uri="{C3380CC4-5D6E-409C-BE32-E72D297353CC}">
                <c16:uniqueId val="{00000002-A4C0-4851-BCCA-B90580D95AB3}"/>
              </c:ext>
            </c:extLst>
          </c:dPt>
          <c:dPt>
            <c:idx val="1"/>
            <c:bubble3D val="0"/>
            <c:spPr>
              <a:solidFill>
                <a:srgbClr val="406FC4"/>
              </a:solidFill>
              <a:ln w="9525">
                <a:solidFill>
                  <a:schemeClr val="bg1"/>
                </a:solidFill>
              </a:ln>
              <a:effectLst/>
            </c:spPr>
            <c:extLst>
              <c:ext xmlns:c16="http://schemas.microsoft.com/office/drawing/2014/chart" uri="{C3380CC4-5D6E-409C-BE32-E72D297353CC}">
                <c16:uniqueId val="{00000001-A4C0-4851-BCCA-B90580D95AB3}"/>
              </c:ext>
            </c:extLst>
          </c:dPt>
          <c:dLbls>
            <c:dLbl>
              <c:idx val="1"/>
              <c:layout>
                <c:manualLayout>
                  <c:x val="0.11365871138711449"/>
                  <c:y val="-5.66503273729268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4C0-4851-BCCA-B90580D95AB3}"/>
                </c:ext>
              </c:extLst>
            </c:dLbl>
            <c:spPr>
              <a:noFill/>
              <a:ln>
                <a:noFill/>
              </a:ln>
              <a:effectLst/>
            </c:spPr>
            <c:txPr>
              <a:bodyPr rot="0" spcFirstLastPara="1" vertOverflow="ellipsis" vert="horz" wrap="square" anchor="ctr" anchorCtr="1"/>
              <a:lstStyle/>
              <a:p>
                <a:pPr>
                  <a:defRPr sz="1000" b="0" i="0" u="none" strike="noStrike" kern="1200" baseline="0">
                    <a:solidFill>
                      <a:srgbClr val="FF0000"/>
                    </a:solidFill>
                    <a:latin typeface="+mn-lt"/>
                    <a:ea typeface="+mn-ea"/>
                    <a:cs typeface="+mn-cs"/>
                  </a:defRPr>
                </a:pPr>
                <a:endParaRPr lang="de-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('Dateneingabe &amp; Photovoltaik'!$S$39,'Dateneingabe &amp; Photovoltaik'!$S$40)</c:f>
              <c:strCache>
                <c:ptCount val="2"/>
                <c:pt idx="0">
                  <c:v>Wohnen</c:v>
                </c:pt>
                <c:pt idx="1">
                  <c:v>Nicht-Wohnen</c:v>
                </c:pt>
              </c:strCache>
            </c:strRef>
          </c:cat>
          <c:val>
            <c:numRef>
              <c:f>('Dateneingabe &amp; Photovoltaik'!$T$39,'Dateneingabe &amp; Photovoltaik'!$T$40)</c:f>
              <c:numCache>
                <c:formatCode>_-* #,##0.0\ _€_-;\-* #,##0.0\ _€_-;_-* "-"??\ _€_-;_-@_-</c:formatCode>
                <c:ptCount val="2"/>
                <c:pt idx="0">
                  <c:v>56.634482758620692</c:v>
                </c:pt>
                <c:pt idx="1">
                  <c:v>8.75</c:v>
                </c:pt>
              </c:numCache>
            </c:numRef>
          </c:val>
          <c:extLst>
            <c:ext xmlns:c16="http://schemas.microsoft.com/office/drawing/2014/chart" uri="{C3380CC4-5D6E-409C-BE32-E72D297353CC}">
              <c16:uniqueId val="{00000000-A4C0-4851-BCCA-B90580D95AB3}"/>
            </c:ext>
          </c:extLst>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9.5641616916935485E-2"/>
          <c:y val="0.47861754446341614"/>
          <c:w val="0.37464756817493194"/>
          <c:h val="0.27000188976377959"/>
        </c:manualLayout>
      </c:layout>
      <c:overlay val="0"/>
      <c:spPr>
        <a:noFill/>
        <a:ln>
          <a:noFill/>
        </a:ln>
        <a:effectLst/>
      </c:spPr>
      <c:txPr>
        <a:bodyPr rot="0" spcFirstLastPara="1" vertOverflow="ellipsis" vert="horz" wrap="square" anchor="ctr" anchorCtr="1"/>
        <a:lstStyle/>
        <a:p>
          <a:pPr rtl="0">
            <a:defRPr sz="1000" b="0" i="0" u="none" strike="noStrike" kern="1200" baseline="0">
              <a:solidFill>
                <a:srgbClr val="FF0000"/>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75000"/>
        </a:schemeClr>
      </a:solidFill>
      <a:round/>
    </a:ln>
    <a:effectLst/>
  </c:spPr>
  <c:txPr>
    <a:bodyPr/>
    <a:lstStyle/>
    <a:p>
      <a:pPr>
        <a:defRPr sz="1000">
          <a:solidFill>
            <a:srgbClr val="FF0000"/>
          </a:solidFill>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56206093587794"/>
          <c:y val="3.8796675427624341E-2"/>
          <c:w val="0.83700774220350516"/>
          <c:h val="0.74166026089409554"/>
        </c:manualLayout>
      </c:layout>
      <c:scatterChart>
        <c:scatterStyle val="lineMarker"/>
        <c:varyColors val="0"/>
        <c:ser>
          <c:idx val="0"/>
          <c:order val="0"/>
          <c:tx>
            <c:v>1 kWp</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e-DE"/>
                </a:p>
              </c:txPr>
            </c:trendlineLbl>
          </c:trendline>
          <c:xVal>
            <c:numRef>
              <c:f>'Dateneingabe &amp; Photovoltaik'!$BD$84:$BD$89</c:f>
              <c:numCache>
                <c:formatCode>General</c:formatCode>
                <c:ptCount val="6"/>
                <c:pt idx="0">
                  <c:v>2000</c:v>
                </c:pt>
                <c:pt idx="1">
                  <c:v>3000</c:v>
                </c:pt>
                <c:pt idx="2">
                  <c:v>4000</c:v>
                </c:pt>
                <c:pt idx="3">
                  <c:v>5000</c:v>
                </c:pt>
                <c:pt idx="4">
                  <c:v>6000</c:v>
                </c:pt>
                <c:pt idx="5">
                  <c:v>7000</c:v>
                </c:pt>
              </c:numCache>
            </c:numRef>
          </c:xVal>
          <c:yVal>
            <c:numRef>
              <c:f>'Dateneingabe &amp; Photovoltaik'!$BE$84:$BE$89</c:f>
              <c:numCache>
                <c:formatCode>General</c:formatCode>
                <c:ptCount val="6"/>
                <c:pt idx="0">
                  <c:v>44</c:v>
                </c:pt>
                <c:pt idx="1">
                  <c:v>53</c:v>
                </c:pt>
                <c:pt idx="2">
                  <c:v>59</c:v>
                </c:pt>
                <c:pt idx="3">
                  <c:v>64</c:v>
                </c:pt>
                <c:pt idx="4">
                  <c:v>67</c:v>
                </c:pt>
                <c:pt idx="5">
                  <c:v>69</c:v>
                </c:pt>
              </c:numCache>
            </c:numRef>
          </c:yVal>
          <c:smooth val="0"/>
          <c:extLst>
            <c:ext xmlns:c16="http://schemas.microsoft.com/office/drawing/2014/chart" uri="{C3380CC4-5D6E-409C-BE32-E72D297353CC}">
              <c16:uniqueId val="{00000000-82AE-4651-ACC0-B2D4CDAB9796}"/>
            </c:ext>
          </c:extLst>
        </c:ser>
        <c:ser>
          <c:idx val="1"/>
          <c:order val="1"/>
          <c:tx>
            <c:v>3 kWp</c:v>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e-DE"/>
                </a:p>
              </c:txPr>
            </c:trendlineLbl>
          </c:trendline>
          <c:xVal>
            <c:numRef>
              <c:f>'Dateneingabe &amp; Photovoltaik'!$BD$91:$BD$96</c:f>
              <c:numCache>
                <c:formatCode>General</c:formatCode>
                <c:ptCount val="6"/>
                <c:pt idx="0">
                  <c:v>2000</c:v>
                </c:pt>
                <c:pt idx="1">
                  <c:v>3000</c:v>
                </c:pt>
                <c:pt idx="2">
                  <c:v>4000</c:v>
                </c:pt>
                <c:pt idx="3">
                  <c:v>5000</c:v>
                </c:pt>
                <c:pt idx="4">
                  <c:v>6000</c:v>
                </c:pt>
                <c:pt idx="5">
                  <c:v>7000</c:v>
                </c:pt>
              </c:numCache>
            </c:numRef>
          </c:xVal>
          <c:yVal>
            <c:numRef>
              <c:f>'Dateneingabe &amp; Photovoltaik'!$BE$91:$BE$96</c:f>
              <c:numCache>
                <c:formatCode>General</c:formatCode>
                <c:ptCount val="6"/>
                <c:pt idx="0">
                  <c:v>21</c:v>
                </c:pt>
                <c:pt idx="1">
                  <c:v>29</c:v>
                </c:pt>
                <c:pt idx="2">
                  <c:v>35</c:v>
                </c:pt>
                <c:pt idx="3">
                  <c:v>40</c:v>
                </c:pt>
                <c:pt idx="4">
                  <c:v>44</c:v>
                </c:pt>
                <c:pt idx="5">
                  <c:v>48</c:v>
                </c:pt>
              </c:numCache>
            </c:numRef>
          </c:yVal>
          <c:smooth val="0"/>
          <c:extLst>
            <c:ext xmlns:c16="http://schemas.microsoft.com/office/drawing/2014/chart" uri="{C3380CC4-5D6E-409C-BE32-E72D297353CC}">
              <c16:uniqueId val="{00000001-82AE-4651-ACC0-B2D4CDAB9796}"/>
            </c:ext>
          </c:extLst>
        </c:ser>
        <c:ser>
          <c:idx val="2"/>
          <c:order val="2"/>
          <c:tx>
            <c:v>7 kWp</c:v>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e-DE"/>
                </a:p>
              </c:txPr>
            </c:trendlineLbl>
          </c:trendline>
          <c:xVal>
            <c:numRef>
              <c:f>'Dateneingabe &amp; Photovoltaik'!$BD$98:$BD$103</c:f>
              <c:numCache>
                <c:formatCode>General</c:formatCode>
                <c:ptCount val="6"/>
                <c:pt idx="0">
                  <c:v>2000</c:v>
                </c:pt>
                <c:pt idx="1">
                  <c:v>3000</c:v>
                </c:pt>
                <c:pt idx="2">
                  <c:v>4000</c:v>
                </c:pt>
                <c:pt idx="3">
                  <c:v>5000</c:v>
                </c:pt>
                <c:pt idx="4">
                  <c:v>6000</c:v>
                </c:pt>
                <c:pt idx="5">
                  <c:v>7000</c:v>
                </c:pt>
              </c:numCache>
            </c:numRef>
          </c:xVal>
          <c:yVal>
            <c:numRef>
              <c:f>'Dateneingabe &amp; Photovoltaik'!$BE$98:$BE$103</c:f>
              <c:numCache>
                <c:formatCode>General</c:formatCode>
                <c:ptCount val="6"/>
                <c:pt idx="0">
                  <c:v>11</c:v>
                </c:pt>
                <c:pt idx="1">
                  <c:v>15</c:v>
                </c:pt>
                <c:pt idx="2">
                  <c:v>19</c:v>
                </c:pt>
                <c:pt idx="3">
                  <c:v>22</c:v>
                </c:pt>
                <c:pt idx="4">
                  <c:v>26</c:v>
                </c:pt>
                <c:pt idx="5">
                  <c:v>29</c:v>
                </c:pt>
              </c:numCache>
            </c:numRef>
          </c:yVal>
          <c:smooth val="0"/>
          <c:extLst>
            <c:ext xmlns:c16="http://schemas.microsoft.com/office/drawing/2014/chart" uri="{C3380CC4-5D6E-409C-BE32-E72D297353CC}">
              <c16:uniqueId val="{00000002-82AE-4651-ACC0-B2D4CDAB9796}"/>
            </c:ext>
          </c:extLst>
        </c:ser>
        <c:dLbls>
          <c:showLegendKey val="0"/>
          <c:showVal val="0"/>
          <c:showCatName val="0"/>
          <c:showSerName val="0"/>
          <c:showPercent val="0"/>
          <c:showBubbleSize val="0"/>
        </c:dLbls>
        <c:axId val="520093960"/>
        <c:axId val="520095272"/>
      </c:scatterChart>
      <c:valAx>
        <c:axId val="52009396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de-DE"/>
                  <a:t>Strombedarf</a:t>
                </a:r>
              </a:p>
            </c:rich>
          </c:tx>
          <c:layout>
            <c:manualLayout>
              <c:xMode val="edge"/>
              <c:yMode val="edge"/>
              <c:x val="0.48125597002208342"/>
              <c:y val="0.9294605901315921"/>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e-DE"/>
          </a:p>
        </c:txPr>
        <c:crossAx val="520095272"/>
        <c:crosses val="autoZero"/>
        <c:crossBetween val="midCat"/>
      </c:valAx>
      <c:valAx>
        <c:axId val="520095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de-DE"/>
                  <a:t>Eigenverbrauchsanteil [%]</a:t>
                </a:r>
              </a:p>
            </c:rich>
          </c:tx>
          <c:layout>
            <c:manualLayout>
              <c:xMode val="edge"/>
              <c:yMode val="edge"/>
              <c:x val="3.5758187464508186E-2"/>
              <c:y val="0.2496409155237801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e-DE"/>
          </a:p>
        </c:txPr>
        <c:crossAx val="520093960"/>
        <c:crosses val="autoZero"/>
        <c:crossBetween val="midCat"/>
      </c:valAx>
      <c:spPr>
        <a:noFill/>
        <a:ln>
          <a:noFill/>
        </a:ln>
        <a:effectLst/>
      </c:spPr>
    </c:plotArea>
    <c:legend>
      <c:legendPos val="b"/>
      <c:layout>
        <c:manualLayout>
          <c:xMode val="edge"/>
          <c:yMode val="edge"/>
          <c:x val="0.14875266298320836"/>
          <c:y val="0.86057257681890043"/>
          <c:w val="0.72584933945485741"/>
          <c:h val="5.6187451956705721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056202510834251"/>
          <c:y val="3.8796675427624341E-2"/>
          <c:w val="0.82900774346334749"/>
          <c:h val="0.70170501915439609"/>
        </c:manualLayout>
      </c:layout>
      <c:scatterChart>
        <c:scatterStyle val="lineMarker"/>
        <c:varyColors val="0"/>
        <c:ser>
          <c:idx val="2"/>
          <c:order val="0"/>
          <c:tx>
            <c:v>d</c:v>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linear"/>
            <c:dispRSqr val="0"/>
            <c:dispEq val="1"/>
            <c:trendlineLbl>
              <c:layout>
                <c:manualLayout>
                  <c:x val="-3.04095156662532E-2"/>
                  <c:y val="-0.3012126082581740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e-DE"/>
                </a:p>
              </c:txPr>
            </c:trendlineLbl>
          </c:trendline>
          <c:xVal>
            <c:numRef>
              <c:f>'Dateneingabe &amp; Photovoltaik'!$BP$84:$BP$86</c:f>
              <c:numCache>
                <c:formatCode>General</c:formatCode>
                <c:ptCount val="3"/>
                <c:pt idx="0">
                  <c:v>1</c:v>
                </c:pt>
                <c:pt idx="1">
                  <c:v>3</c:v>
                </c:pt>
                <c:pt idx="2">
                  <c:v>7</c:v>
                </c:pt>
              </c:numCache>
            </c:numRef>
          </c:xVal>
          <c:yVal>
            <c:numRef>
              <c:f>'Dateneingabe &amp; Photovoltaik'!$BQ$84:$BQ$86</c:f>
              <c:numCache>
                <c:formatCode>General</c:formatCode>
                <c:ptCount val="3"/>
                <c:pt idx="0">
                  <c:v>37.219000000000001</c:v>
                </c:pt>
                <c:pt idx="1">
                  <c:v>12.381</c:v>
                </c:pt>
                <c:pt idx="2">
                  <c:v>4.1333000000000002</c:v>
                </c:pt>
              </c:numCache>
            </c:numRef>
          </c:yVal>
          <c:smooth val="0"/>
          <c:extLst>
            <c:ext xmlns:c16="http://schemas.microsoft.com/office/drawing/2014/chart" uri="{C3380CC4-5D6E-409C-BE32-E72D297353CC}">
              <c16:uniqueId val="{00000005-45CE-4EB3-9544-17B1D9025CA3}"/>
            </c:ext>
          </c:extLst>
        </c:ser>
        <c:dLbls>
          <c:showLegendKey val="0"/>
          <c:showVal val="0"/>
          <c:showCatName val="0"/>
          <c:showSerName val="0"/>
          <c:showPercent val="0"/>
          <c:showBubbleSize val="0"/>
        </c:dLbls>
        <c:axId val="520093960"/>
        <c:axId val="520095272"/>
      </c:scatterChart>
      <c:valAx>
        <c:axId val="52009396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de-DE"/>
                  <a:t>kWp</a:t>
                </a:r>
              </a:p>
            </c:rich>
          </c:tx>
          <c:layout>
            <c:manualLayout>
              <c:xMode val="edge"/>
              <c:yMode val="edge"/>
              <c:x val="0.49725598468409687"/>
              <c:y val="0.8562093696614919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e-DE"/>
          </a:p>
        </c:txPr>
        <c:crossAx val="520095272"/>
        <c:crosses val="autoZero"/>
        <c:crossBetween val="midCat"/>
      </c:valAx>
      <c:valAx>
        <c:axId val="520095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de-DE"/>
                  <a:t>d</a:t>
                </a:r>
              </a:p>
            </c:rich>
          </c:tx>
          <c:layout>
            <c:manualLayout>
              <c:xMode val="edge"/>
              <c:yMode val="edge"/>
              <c:x val="3.5758187464508186E-2"/>
              <c:y val="0.2496409155237801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e-DE"/>
          </a:p>
        </c:txPr>
        <c:crossAx val="5200939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646872162014089"/>
          <c:y val="4.3525272925974981E-2"/>
          <c:w val="0.78684709873189607"/>
          <c:h val="0.80030352808771621"/>
        </c:manualLayout>
      </c:layout>
      <c:barChart>
        <c:barDir val="col"/>
        <c:grouping val="clustered"/>
        <c:varyColors val="0"/>
        <c:ser>
          <c:idx val="0"/>
          <c:order val="0"/>
          <c:tx>
            <c:strRef>
              <c:f>'Dateneingabe &amp; Photovoltaik'!$S$137:$S$162</c:f>
              <c:strCach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strCache>
            </c:strRef>
          </c:tx>
          <c:spPr>
            <a:solidFill>
              <a:schemeClr val="tx1"/>
            </a:solidFill>
            <a:ln>
              <a:noFill/>
            </a:ln>
            <a:effectLst/>
          </c:spPr>
          <c:invertIfNegative val="0"/>
          <c:cat>
            <c:strRef>
              <c:f>'Dateneingabe &amp; Photovoltaik'!$S$137:$S$168</c:f>
              <c:strCache>
                <c:ptCount val="3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Summe</c:v>
                </c:pt>
                <c:pt idx="27">
                  <c:v>26</c:v>
                </c:pt>
                <c:pt idx="28">
                  <c:v>27</c:v>
                </c:pt>
                <c:pt idx="29">
                  <c:v>28</c:v>
                </c:pt>
                <c:pt idx="30">
                  <c:v>29</c:v>
                </c:pt>
                <c:pt idx="31">
                  <c:v>30</c:v>
                </c:pt>
              </c:strCache>
            </c:strRef>
          </c:cat>
          <c:val>
            <c:numRef>
              <c:f>'Dateneingabe &amp; Photovoltaik'!$AA$137:$AA$162</c:f>
              <c:numCache>
                <c:formatCode>_-* #,##0\ _€_-;\-* #,##0\ _€_-;_-* "-"??\ _€_-;_-@_-</c:formatCode>
                <c:ptCount val="26"/>
                <c:pt idx="0">
                  <c:v>-1673892</c:v>
                </c:pt>
                <c:pt idx="1">
                  <c:v>-1538213.2294010629</c:v>
                </c:pt>
                <c:pt idx="2">
                  <c:v>-1404945.2531694686</c:v>
                </c:pt>
                <c:pt idx="3">
                  <c:v>-1274040.247130496</c:v>
                </c:pt>
                <c:pt idx="4">
                  <c:v>-1145451.458374138</c:v>
                </c:pt>
                <c:pt idx="5">
                  <c:v>-1019133.1785808711</c:v>
                </c:pt>
                <c:pt idx="6">
                  <c:v>-895040.71806305274</c:v>
                </c:pt>
                <c:pt idx="7">
                  <c:v>-773130.38050186436</c:v>
                </c:pt>
                <c:pt idx="8">
                  <c:v>-653359.43836029805</c:v>
                </c:pt>
                <c:pt idx="9">
                  <c:v>-535686.10895324231</c:v>
                </c:pt>
                <c:pt idx="10">
                  <c:v>-420069.53115626902</c:v>
                </c:pt>
                <c:pt idx="11">
                  <c:v>-306469.74273525155</c:v>
                </c:pt>
                <c:pt idx="12">
                  <c:v>-194847.65827945579</c:v>
                </c:pt>
                <c:pt idx="13">
                  <c:v>-86556.506266389522</c:v>
                </c:pt>
                <c:pt idx="14">
                  <c:v>21224.026028829699</c:v>
                </c:pt>
                <c:pt idx="15">
                  <c:v>127139.06161833335</c:v>
                </c:pt>
                <c:pt idx="16">
                  <c:v>231224.38779891902</c:v>
                </c:pt>
                <c:pt idx="17">
                  <c:v>333515.01689987211</c:v>
                </c:pt>
                <c:pt idx="18">
                  <c:v>434045.20506663388</c:v>
                </c:pt>
                <c:pt idx="19">
                  <c:v>532848.47054933256</c:v>
                </c:pt>
                <c:pt idx="20">
                  <c:v>629957.61150993244</c:v>
                </c:pt>
                <c:pt idx="21">
                  <c:v>725404.7233613627</c:v>
                </c:pt>
                <c:pt idx="22">
                  <c:v>819221.21565160551</c:v>
                </c:pt>
                <c:pt idx="23">
                  <c:v>911437.82850535272</c:v>
                </c:pt>
                <c:pt idx="24">
                  <c:v>1002084.6486354789</c:v>
                </c:pt>
                <c:pt idx="25">
                  <c:v>1091191.1249362309</c:v>
                </c:pt>
              </c:numCache>
            </c:numRef>
          </c:val>
          <c:extLst>
            <c:ext xmlns:c16="http://schemas.microsoft.com/office/drawing/2014/chart" uri="{C3380CC4-5D6E-409C-BE32-E72D297353CC}">
              <c16:uniqueId val="{00000000-664C-4360-9549-049342B02622}"/>
            </c:ext>
          </c:extLst>
        </c:ser>
        <c:dLbls>
          <c:showLegendKey val="0"/>
          <c:showVal val="0"/>
          <c:showCatName val="0"/>
          <c:showSerName val="0"/>
          <c:showPercent val="0"/>
          <c:showBubbleSize val="0"/>
        </c:dLbls>
        <c:gapWidth val="219"/>
        <c:overlap val="-27"/>
        <c:axId val="567694560"/>
        <c:axId val="567692264"/>
      </c:barChart>
      <c:catAx>
        <c:axId val="567694560"/>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de-DE"/>
                  <a:t>Jahre</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de-DE"/>
            </a:p>
          </c:txPr>
        </c:title>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de-DE"/>
          </a:p>
        </c:txPr>
        <c:crossAx val="567692264"/>
        <c:crosses val="autoZero"/>
        <c:auto val="1"/>
        <c:lblAlgn val="ctr"/>
        <c:lblOffset val="100"/>
        <c:noMultiLvlLbl val="0"/>
      </c:catAx>
      <c:valAx>
        <c:axId val="567692264"/>
        <c:scaling>
          <c:orientation val="minMax"/>
          <c:min val="-15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de-DE"/>
                  <a:t>Kapital [€]</a:t>
                </a:r>
              </a:p>
            </c:rich>
          </c:tx>
          <c:layout>
            <c:manualLayout>
              <c:xMode val="edge"/>
              <c:yMode val="edge"/>
              <c:x val="2.9897843048527977E-2"/>
              <c:y val="0.34622351944796542"/>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de-DE"/>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de-DE"/>
          </a:p>
        </c:txPr>
        <c:crossAx val="567694560"/>
        <c:crosses val="autoZero"/>
        <c:crossBetween val="between"/>
        <c:majorUnit val="10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100">
          <a:solidFill>
            <a:sysClr val="windowText" lastClr="000000"/>
          </a:solidFill>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b="0"/>
            </a:pPr>
            <a:r>
              <a:rPr lang="en-US" b="0"/>
              <a:t>Vergleich Bauordnung - </a:t>
            </a:r>
            <a:r>
              <a:rPr lang="en-US" sz="1320" b="0" i="0" u="none" strike="noStrike" baseline="0">
                <a:effectLst/>
              </a:rPr>
              <a:t>Potentialabschätzung</a:t>
            </a:r>
            <a:endParaRPr lang="en-US" b="0"/>
          </a:p>
        </c:rich>
      </c:tx>
      <c:overlay val="0"/>
      <c:spPr>
        <a:noFill/>
        <a:ln>
          <a:noFill/>
        </a:ln>
        <a:effectLst/>
      </c:spPr>
    </c:title>
    <c:autoTitleDeleted val="0"/>
    <c:plotArea>
      <c:layout>
        <c:manualLayout>
          <c:layoutTarget val="inner"/>
          <c:xMode val="edge"/>
          <c:yMode val="edge"/>
          <c:x val="0.2269321348285207"/>
          <c:y val="0.13211800209692534"/>
          <c:w val="0.68605079016487469"/>
          <c:h val="0.67708042442074767"/>
        </c:manualLayout>
      </c:layout>
      <c:barChart>
        <c:barDir val="col"/>
        <c:grouping val="stacked"/>
        <c:varyColors val="0"/>
        <c:ser>
          <c:idx val="0"/>
          <c:order val="0"/>
          <c:tx>
            <c:strRef>
              <c:f>'Dateneingabe &amp; Photovoltaik'!$T$65</c:f>
              <c:strCache>
                <c:ptCount val="1"/>
                <c:pt idx="0">
                  <c:v>Dach </c:v>
                </c:pt>
              </c:strCache>
            </c:strRef>
          </c:tx>
          <c:spPr>
            <a:solidFill>
              <a:srgbClr val="FFDB75"/>
            </a:solidFill>
            <a:ln>
              <a:solidFill>
                <a:schemeClr val="bg2">
                  <a:lumMod val="50000"/>
                </a:schemeClr>
              </a:solidFill>
            </a:ln>
          </c:spPr>
          <c:invertIfNegative val="0"/>
          <c:dPt>
            <c:idx val="0"/>
            <c:invertIfNegative val="0"/>
            <c:bubble3D val="0"/>
            <c:spPr>
              <a:solidFill>
                <a:srgbClr val="406FC4"/>
              </a:solidFill>
              <a:ln>
                <a:solidFill>
                  <a:schemeClr val="bg2">
                    <a:lumMod val="50000"/>
                  </a:schemeClr>
                </a:solidFill>
              </a:ln>
            </c:spPr>
            <c:extLst>
              <c:ext xmlns:c16="http://schemas.microsoft.com/office/drawing/2014/chart" uri="{C3380CC4-5D6E-409C-BE32-E72D297353CC}">
                <c16:uniqueId val="{00000007-86A9-42F8-9575-DADA87BC38C8}"/>
              </c:ext>
            </c:extLst>
          </c:dPt>
          <c:dLbls>
            <c:dLbl>
              <c:idx val="0"/>
              <c:layout>
                <c:manualLayout>
                  <c:x val="-6.9229097683842057E-17"/>
                  <c:y val="-5.15750947952153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6A9-42F8-9575-DADA87BC38C8}"/>
                </c:ext>
              </c:extLst>
            </c:dLbl>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'Dateneingabe &amp; Photovoltaik'!$S$67:$S$68</c:f>
              <c:strCache>
                <c:ptCount val="2"/>
                <c:pt idx="0">
                  <c:v>erforderlich laut Bauordnung</c:v>
                </c:pt>
                <c:pt idx="1">
                  <c:v>möglich laut Potentialabschätzung</c:v>
                </c:pt>
              </c:strCache>
            </c:strRef>
          </c:cat>
          <c:val>
            <c:numRef>
              <c:f>'Dateneingabe &amp; Photovoltaik'!$T$67:$T$68</c:f>
              <c:numCache>
                <c:formatCode>_-* #,##0\ _€_-;\-* #,##0\ _€_-;_-* "-"??\ _€_-;_-@_-</c:formatCode>
                <c:ptCount val="2"/>
                <c:pt idx="0">
                  <c:v>65.384482758620692</c:v>
                </c:pt>
                <c:pt idx="1">
                  <c:v>1394.91</c:v>
                </c:pt>
              </c:numCache>
            </c:numRef>
          </c:val>
          <c:extLst>
            <c:ext xmlns:c16="http://schemas.microsoft.com/office/drawing/2014/chart" uri="{C3380CC4-5D6E-409C-BE32-E72D297353CC}">
              <c16:uniqueId val="{00000004-86A9-42F8-9575-DADA87BC38C8}"/>
            </c:ext>
          </c:extLst>
        </c:ser>
        <c:ser>
          <c:idx val="1"/>
          <c:order val="1"/>
          <c:tx>
            <c:strRef>
              <c:f>'Dateneingabe &amp; Photovoltaik'!$U$65</c:f>
              <c:strCache>
                <c:ptCount val="1"/>
                <c:pt idx="0">
                  <c:v>Fassade</c:v>
                </c:pt>
              </c:strCache>
            </c:strRef>
          </c:tx>
          <c:spPr>
            <a:solidFill>
              <a:srgbClr val="FFF2CC"/>
            </a:solidFill>
            <a:ln>
              <a:solidFill>
                <a:schemeClr val="bg2">
                  <a:lumMod val="50000"/>
                </a:schemeClr>
              </a:solidFill>
            </a:ln>
          </c:spPr>
          <c:invertIfNegative val="0"/>
          <c:dLbls>
            <c:dLbl>
              <c:idx val="1"/>
              <c:layout>
                <c:manualLayout>
                  <c:x val="0"/>
                  <c:y val="-3.94397783728117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6A9-42F8-9575-DADA87BC38C8}"/>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a:noFill/>
                    </a:ln>
                  </c:spPr>
                </c15:leaderLines>
              </c:ext>
            </c:extLst>
          </c:dLbls>
          <c:cat>
            <c:strRef>
              <c:f>'Dateneingabe &amp; Photovoltaik'!$S$67:$S$68</c:f>
              <c:strCache>
                <c:ptCount val="2"/>
                <c:pt idx="0">
                  <c:v>erforderlich laut Bauordnung</c:v>
                </c:pt>
                <c:pt idx="1">
                  <c:v>möglich laut Potentialabschätzung</c:v>
                </c:pt>
              </c:strCache>
            </c:strRef>
          </c:cat>
          <c:val>
            <c:numRef>
              <c:f>'Dateneingabe &amp; Photovoltaik'!$U$67:$U$68</c:f>
              <c:numCache>
                <c:formatCode>_(* #,##0.00_);_(* \(#,##0.00\);_(* "-"??_);_(@_)</c:formatCode>
                <c:ptCount val="2"/>
                <c:pt idx="1">
                  <c:v>0</c:v>
                </c:pt>
              </c:numCache>
            </c:numRef>
          </c:val>
          <c:extLst>
            <c:ext xmlns:c16="http://schemas.microsoft.com/office/drawing/2014/chart" uri="{C3380CC4-5D6E-409C-BE32-E72D297353CC}">
              <c16:uniqueId val="{00000005-86A9-42F8-9575-DADA87BC38C8}"/>
            </c:ext>
          </c:extLst>
        </c:ser>
        <c:dLbls>
          <c:showLegendKey val="0"/>
          <c:showVal val="0"/>
          <c:showCatName val="0"/>
          <c:showSerName val="0"/>
          <c:showPercent val="0"/>
          <c:showBubbleSize val="0"/>
        </c:dLbls>
        <c:gapWidth val="219"/>
        <c:overlap val="100"/>
        <c:axId val="520088712"/>
        <c:axId val="520079856"/>
      </c:barChart>
      <c:catAx>
        <c:axId val="520088712"/>
        <c:scaling>
          <c:orientation val="minMax"/>
        </c:scaling>
        <c:delete val="0"/>
        <c:axPos val="b"/>
        <c:numFmt formatCode="General" sourceLinked="1"/>
        <c:majorTickMark val="out"/>
        <c:minorTickMark val="none"/>
        <c:tickLblPos val="nextTo"/>
        <c:crossAx val="520079856"/>
        <c:crosses val="autoZero"/>
        <c:auto val="1"/>
        <c:lblAlgn val="ctr"/>
        <c:lblOffset val="100"/>
        <c:noMultiLvlLbl val="0"/>
      </c:catAx>
      <c:valAx>
        <c:axId val="520079856"/>
        <c:scaling>
          <c:orientation val="minMax"/>
        </c:scaling>
        <c:delete val="0"/>
        <c:axPos val="l"/>
        <c:majorGridlines>
          <c:spPr>
            <a:ln w="9525" cap="flat" cmpd="sng" algn="ctr">
              <a:noFill/>
              <a:round/>
            </a:ln>
            <a:effectLst/>
          </c:spPr>
        </c:majorGridlines>
        <c:title>
          <c:tx>
            <c:rich>
              <a:bodyPr rot="-5400000" vert="horz"/>
              <a:lstStyle/>
              <a:p>
                <a:pPr>
                  <a:defRPr b="0"/>
                </a:pPr>
                <a:r>
                  <a:rPr lang="de-DE" b="0"/>
                  <a:t>Leistung [kWp]</a:t>
                </a:r>
              </a:p>
            </c:rich>
          </c:tx>
          <c:layout>
            <c:manualLayout>
              <c:xMode val="edge"/>
              <c:yMode val="edge"/>
              <c:x val="4.4923457559689545E-2"/>
              <c:y val="0.29711700677850483"/>
            </c:manualLayout>
          </c:layout>
          <c:overlay val="0"/>
          <c:spPr>
            <a:noFill/>
            <a:ln>
              <a:noFill/>
            </a:ln>
            <a:effectLst/>
          </c:spPr>
        </c:title>
        <c:numFmt formatCode="_-* #,##0\ _€_-;\-* #,##0\ _€_-;_-* &quot;-&quot;??\ _€_-;_-@_-" sourceLinked="1"/>
        <c:majorTickMark val="none"/>
        <c:minorTickMark val="none"/>
        <c:tickLblPos val="nextTo"/>
        <c:spPr>
          <a:noFill/>
          <a:ln>
            <a:noFill/>
          </a:ln>
          <a:effectLst/>
        </c:spPr>
        <c:txPr>
          <a:bodyPr rot="-60000000" vert="horz"/>
          <a:lstStyle/>
          <a:p>
            <a:pPr>
              <a:defRPr/>
            </a:pPr>
            <a:endParaRPr lang="de-DE"/>
          </a:p>
        </c:txPr>
        <c:crossAx val="520088712"/>
        <c:crosses val="autoZero"/>
        <c:crossBetween val="between"/>
      </c:valAx>
      <c:spPr>
        <a:noFill/>
        <a:ln>
          <a:noFill/>
        </a:ln>
        <a:effectLst/>
      </c:spPr>
    </c:plotArea>
    <c:legend>
      <c:legendPos val="b"/>
      <c:layout>
        <c:manualLayout>
          <c:xMode val="edge"/>
          <c:yMode val="edge"/>
          <c:x val="0.65152375400679796"/>
          <c:y val="0.8790833199554331"/>
          <c:w val="0.18219098799190828"/>
          <c:h val="0.10101337058652517"/>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sz="1100">
          <a:solidFill>
            <a:sysClr val="windowText" lastClr="000000"/>
          </a:solidFill>
        </a:defRPr>
      </a:pPr>
      <a:endParaRPr lang="de-DE"/>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r>
              <a:rPr lang="de-DE"/>
              <a:t>zu installierende Leistung laut Bauordnung je nach Nutzung</a:t>
            </a:r>
          </a:p>
        </c:rich>
      </c:tx>
      <c:layout>
        <c:manualLayout>
          <c:xMode val="edge"/>
          <c:yMode val="edge"/>
          <c:x val="4.1462014890265519E-2"/>
          <c:y val="2.6554557898966095E-2"/>
        </c:manualLayout>
      </c:layout>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de-DE"/>
        </a:p>
      </c:txPr>
    </c:title>
    <c:autoTitleDeleted val="0"/>
    <c:plotArea>
      <c:layout>
        <c:manualLayout>
          <c:layoutTarget val="inner"/>
          <c:xMode val="edge"/>
          <c:yMode val="edge"/>
          <c:x val="0.10580105332193136"/>
          <c:y val="0.19398632949480549"/>
          <c:w val="0.89419894667806865"/>
          <c:h val="0.73071032305465666"/>
        </c:manualLayout>
      </c:layout>
      <c:ofPieChart>
        <c:ofPieType val="pie"/>
        <c:varyColors val="1"/>
        <c:ser>
          <c:idx val="0"/>
          <c:order val="0"/>
          <c:spPr>
            <a:solidFill>
              <a:srgbClr val="406FC4"/>
            </a:solidFill>
            <a:ln w="3175">
              <a:solidFill>
                <a:schemeClr val="bg1"/>
              </a:solidFill>
            </a:ln>
          </c:spPr>
          <c:dPt>
            <c:idx val="0"/>
            <c:bubble3D val="0"/>
            <c:spPr>
              <a:solidFill>
                <a:schemeClr val="accent5">
                  <a:lumMod val="40000"/>
                  <a:lumOff val="60000"/>
                </a:schemeClr>
              </a:solidFill>
              <a:ln w="3175">
                <a:solidFill>
                  <a:schemeClr val="bg2">
                    <a:lumMod val="50000"/>
                  </a:schemeClr>
                </a:solidFill>
              </a:ln>
              <a:effectLst/>
            </c:spPr>
            <c:extLst>
              <c:ext xmlns:c16="http://schemas.microsoft.com/office/drawing/2014/chart" uri="{C3380CC4-5D6E-409C-BE32-E72D297353CC}">
                <c16:uniqueId val="{00000001-EBE0-48BB-A1C6-BE57EF8A2684}"/>
              </c:ext>
            </c:extLst>
          </c:dPt>
          <c:dPt>
            <c:idx val="1"/>
            <c:bubble3D val="0"/>
            <c:spPr>
              <a:solidFill>
                <a:schemeClr val="accent5">
                  <a:lumMod val="60000"/>
                  <a:lumOff val="40000"/>
                </a:schemeClr>
              </a:solidFill>
              <a:ln w="3175">
                <a:solidFill>
                  <a:schemeClr val="bg2">
                    <a:lumMod val="50000"/>
                  </a:schemeClr>
                </a:solidFill>
              </a:ln>
              <a:effectLst/>
            </c:spPr>
            <c:extLst>
              <c:ext xmlns:c16="http://schemas.microsoft.com/office/drawing/2014/chart" uri="{C3380CC4-5D6E-409C-BE32-E72D297353CC}">
                <c16:uniqueId val="{00000004-EBE0-48BB-A1C6-BE57EF8A2684}"/>
              </c:ext>
            </c:extLst>
          </c:dPt>
          <c:dPt>
            <c:idx val="2"/>
            <c:bubble3D val="0"/>
            <c:spPr>
              <a:solidFill>
                <a:srgbClr val="406FC4"/>
              </a:solidFill>
              <a:ln w="3175">
                <a:solidFill>
                  <a:srgbClr val="406FC4"/>
                </a:solidFill>
              </a:ln>
              <a:effectLst/>
            </c:spPr>
            <c:extLst>
              <c:ext xmlns:c16="http://schemas.microsoft.com/office/drawing/2014/chart" uri="{C3380CC4-5D6E-409C-BE32-E72D297353CC}">
                <c16:uniqueId val="{00000002-EBE0-48BB-A1C6-BE57EF8A2684}"/>
              </c:ext>
            </c:extLst>
          </c:dPt>
          <c:dPt>
            <c:idx val="3"/>
            <c:bubble3D val="0"/>
            <c:spPr>
              <a:solidFill>
                <a:srgbClr val="406FC4"/>
              </a:solidFill>
              <a:ln w="3175">
                <a:solidFill>
                  <a:srgbClr val="406FC4"/>
                </a:solidFill>
              </a:ln>
              <a:effectLst/>
            </c:spPr>
            <c:extLst>
              <c:ext xmlns:c16="http://schemas.microsoft.com/office/drawing/2014/chart" uri="{C3380CC4-5D6E-409C-BE32-E72D297353CC}">
                <c16:uniqueId val="{00000003-EBE0-48BB-A1C6-BE57EF8A2684}"/>
              </c:ext>
            </c:extLst>
          </c:dPt>
          <c:dLbls>
            <c:dLbl>
              <c:idx val="0"/>
              <c:layout>
                <c:manualLayout>
                  <c:x val="0.10446533962150138"/>
                  <c:y val="0.18837602358773367"/>
                </c:manualLayout>
              </c:layout>
              <c:showLegendKey val="0"/>
              <c:showVal val="1"/>
              <c:showCatName val="0"/>
              <c:showSerName val="0"/>
              <c:showPercent val="0"/>
              <c:showBubbleSize val="0"/>
              <c:extLst>
                <c:ext xmlns:c15="http://schemas.microsoft.com/office/drawing/2012/chart" uri="{CE6537A1-D6FC-4f65-9D91-7224C49458BB}">
                  <c15:layout>
                    <c:manualLayout>
                      <c:w val="0.14012418151153311"/>
                      <c:h val="0.14306342645459291"/>
                    </c:manualLayout>
                  </c15:layout>
                </c:ext>
                <c:ext xmlns:c16="http://schemas.microsoft.com/office/drawing/2014/chart" uri="{C3380CC4-5D6E-409C-BE32-E72D297353CC}">
                  <c16:uniqueId val="{00000001-EBE0-48BB-A1C6-BE57EF8A2684}"/>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BE0-48BB-A1C6-BE57EF8A2684}"/>
                </c:ext>
              </c:extLst>
            </c:dLbl>
            <c:dLbl>
              <c:idx val="3"/>
              <c:layout>
                <c:manualLayout>
                  <c:x val="-0.20278982947441962"/>
                  <c:y val="-1.554329420365181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BE0-48BB-A1C6-BE57EF8A2684}"/>
                </c:ext>
              </c:extLst>
            </c:dLbl>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s>
          <c:cat>
            <c:strRef>
              <c:f>'Dateneingabe &amp; Photovoltaik'!$S$39:$S$41</c:f>
              <c:strCache>
                <c:ptCount val="3"/>
                <c:pt idx="0">
                  <c:v>Wohnen</c:v>
                </c:pt>
                <c:pt idx="1">
                  <c:v>Nicht-Wohnen</c:v>
                </c:pt>
                <c:pt idx="2">
                  <c:v>erforderlich laut Bauordnung</c:v>
                </c:pt>
              </c:strCache>
            </c:strRef>
          </c:cat>
          <c:val>
            <c:numRef>
              <c:f>'Dateneingabe &amp; Photovoltaik'!$T$39:$T$41</c:f>
              <c:numCache>
                <c:formatCode>_-* #,##0.0\ _€_-;\-* #,##0.0\ _€_-;_-* "-"??\ _€_-;_-@_-</c:formatCode>
                <c:ptCount val="3"/>
                <c:pt idx="0">
                  <c:v>56.634482758620692</c:v>
                </c:pt>
                <c:pt idx="1">
                  <c:v>8.75</c:v>
                </c:pt>
                <c:pt idx="2">
                  <c:v>65.384482758620692</c:v>
                </c:pt>
              </c:numCache>
            </c:numRef>
          </c:val>
          <c:extLst>
            <c:ext xmlns:c16="http://schemas.microsoft.com/office/drawing/2014/chart" uri="{C3380CC4-5D6E-409C-BE32-E72D297353CC}">
              <c16:uniqueId val="{00000000-EBE0-48BB-A1C6-BE57EF8A2684}"/>
            </c:ext>
          </c:extLst>
        </c:ser>
        <c:dLbls>
          <c:showLegendKey val="0"/>
          <c:showVal val="0"/>
          <c:showCatName val="0"/>
          <c:showSerName val="0"/>
          <c:showPercent val="0"/>
          <c:showBubbleSize val="0"/>
          <c:showLeaderLines val="1"/>
        </c:dLbls>
        <c:gapWidth val="100"/>
        <c:splitType val="cust"/>
        <c:custSplit>
          <c:secondPiePt val="0"/>
          <c:secondPiePt val="1"/>
        </c:custSplit>
        <c:secondPieSize val="75"/>
        <c:serLines>
          <c:spPr>
            <a:ln w="9525" cap="flat" cmpd="sng" algn="ctr">
              <a:solidFill>
                <a:schemeClr val="bg2">
                  <a:lumMod val="50000"/>
                </a:schemeClr>
              </a:solidFill>
              <a:round/>
            </a:ln>
            <a:effectLst/>
          </c:spPr>
        </c:serLines>
      </c:ofPieChart>
      <c:spPr>
        <a:noFill/>
        <a:ln>
          <a:noFill/>
        </a:ln>
        <a:effectLst/>
      </c:spPr>
    </c:plotArea>
    <c:legend>
      <c:legendPos val="b"/>
      <c:layout>
        <c:manualLayout>
          <c:xMode val="edge"/>
          <c:yMode val="edge"/>
          <c:x val="1.4790292632662553E-4"/>
          <c:y val="0.18484136815197016"/>
          <c:w val="0.23037628719046765"/>
          <c:h val="0.74473254148484735"/>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sz="1100">
          <a:solidFill>
            <a:sysClr val="windowText" lastClr="000000"/>
          </a:solidFill>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50217784040083957"/>
          <c:y val="9.2699721261129214E-2"/>
          <c:w val="0.2934409210155961"/>
          <c:h val="0.50675830634866836"/>
        </c:manualLayout>
      </c:layout>
      <c:pieChart>
        <c:varyColors val="1"/>
        <c:ser>
          <c:idx val="1"/>
          <c:order val="0"/>
          <c:tx>
            <c:strRef>
              <c:f>'Dateneingabe &amp; Photovoltaik'!$S$69</c:f>
              <c:strCache>
                <c:ptCount val="1"/>
                <c:pt idx="0">
                  <c:v>Gesamtleistung</c:v>
                </c:pt>
              </c:strCache>
            </c:strRef>
          </c:tx>
          <c:spPr>
            <a:solidFill>
              <a:schemeClr val="bg1"/>
            </a:solidFill>
            <a:ln>
              <a:solidFill>
                <a:schemeClr val="bg1"/>
              </a:solidFill>
            </a:ln>
          </c:spPr>
          <c:dPt>
            <c:idx val="0"/>
            <c:bubble3D val="0"/>
            <c:spPr>
              <a:solidFill>
                <a:schemeClr val="bg1"/>
              </a:solidFill>
              <a:ln w="19050">
                <a:solidFill>
                  <a:schemeClr val="bg1"/>
                </a:solidFill>
              </a:ln>
              <a:effectLst/>
            </c:spPr>
            <c:extLst>
              <c:ext xmlns:c16="http://schemas.microsoft.com/office/drawing/2014/chart" uri="{C3380CC4-5D6E-409C-BE32-E72D297353CC}">
                <c16:uniqueId val="{00000002-221D-438F-8C85-5E5D26FA9030}"/>
              </c:ext>
            </c:extLst>
          </c:dPt>
          <c:dLbls>
            <c:dLbl>
              <c:idx val="0"/>
              <c:layout>
                <c:manualLayout>
                  <c:x val="-0.30844838088756155"/>
                  <c:y val="-0.3433297755882474"/>
                </c:manualLayout>
              </c:layout>
              <c:spPr>
                <a:noFill/>
                <a:ln>
                  <a:noFill/>
                </a:ln>
                <a:effectLst/>
              </c:spPr>
              <c:txPr>
                <a:bodyPr rot="0" spcFirstLastPara="1" vertOverflow="ellipsis" vert="horz" wrap="square" lIns="38100" tIns="19050" rIns="38100" bIns="19050" anchor="ctr" anchorCtr="1">
                  <a:no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15:layout>
                    <c:manualLayout>
                      <c:w val="0.55578430474187357"/>
                      <c:h val="0.58399717062162115"/>
                    </c:manualLayout>
                  </c15:layout>
                </c:ext>
                <c:ext xmlns:c16="http://schemas.microsoft.com/office/drawing/2014/chart" uri="{C3380CC4-5D6E-409C-BE32-E72D297353CC}">
                  <c16:uniqueId val="{00000002-221D-438F-8C85-5E5D26FA903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extLst>
          </c:dLbls>
          <c:cat>
            <c:strRef>
              <c:f>'Dateneingabe &amp; Photovoltaik'!$S$67:$S$69</c:f>
              <c:strCache>
                <c:ptCount val="3"/>
                <c:pt idx="0">
                  <c:v>erforderlich laut Bauordnung</c:v>
                </c:pt>
                <c:pt idx="1">
                  <c:v>möglich laut Potentialabschätzung</c:v>
                </c:pt>
                <c:pt idx="2">
                  <c:v>Gesamtleistung</c:v>
                </c:pt>
              </c:strCache>
            </c:strRef>
          </c:cat>
          <c:val>
            <c:numRef>
              <c:f>'Dateneingabe &amp; Photovoltaik'!$T$69</c:f>
              <c:numCache>
                <c:formatCode>_-* #,##0\ _€_-;\-* #,##0\ _€_-;_-* "-"??\ _€_-;_-@_-</c:formatCode>
                <c:ptCount val="1"/>
                <c:pt idx="0">
                  <c:v>1394.91</c:v>
                </c:pt>
              </c:numCache>
            </c:numRef>
          </c:val>
          <c:extLst>
            <c:ext xmlns:c16="http://schemas.microsoft.com/office/drawing/2014/chart" uri="{C3380CC4-5D6E-409C-BE32-E72D297353CC}">
              <c16:uniqueId val="{00000001-221D-438F-8C85-5E5D26FA9030}"/>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Erdsonden!$W$29:$W$30</c:f>
              <c:strCache>
                <c:ptCount val="2"/>
                <c:pt idx="0">
                  <c:v>Heizlast</c:v>
                </c:pt>
                <c:pt idx="1">
                  <c:v>Kühllast</c:v>
                </c:pt>
              </c:strCache>
            </c:strRef>
          </c:tx>
          <c:spPr>
            <a:solidFill>
              <a:schemeClr val="accent1"/>
            </a:solidFill>
            <a:ln>
              <a:solidFill>
                <a:schemeClr val="bg2">
                  <a:lumMod val="50000"/>
                </a:schemeClr>
              </a:solidFill>
            </a:ln>
            <a:effectLst/>
          </c:spPr>
          <c:invertIfNegative val="0"/>
          <c:dPt>
            <c:idx val="0"/>
            <c:invertIfNegative val="0"/>
            <c:bubble3D val="0"/>
            <c:spPr>
              <a:solidFill>
                <a:srgbClr val="EA9436"/>
              </a:solidFill>
              <a:ln>
                <a:solidFill>
                  <a:schemeClr val="bg2">
                    <a:lumMod val="50000"/>
                  </a:schemeClr>
                </a:solidFill>
              </a:ln>
              <a:effectLst/>
            </c:spPr>
            <c:extLst>
              <c:ext xmlns:c16="http://schemas.microsoft.com/office/drawing/2014/chart" uri="{C3380CC4-5D6E-409C-BE32-E72D297353CC}">
                <c16:uniqueId val="{00000002-325E-4A2A-8B86-2C336E28E9DA}"/>
              </c:ext>
            </c:extLst>
          </c:dPt>
          <c:dPt>
            <c:idx val="1"/>
            <c:invertIfNegative val="0"/>
            <c:bubble3D val="0"/>
            <c:extLst>
              <c:ext xmlns:c16="http://schemas.microsoft.com/office/drawing/2014/chart" uri="{C3380CC4-5D6E-409C-BE32-E72D297353CC}">
                <c16:uniqueId val="{00000003-325E-4A2A-8B86-2C336E28E9DA}"/>
              </c:ext>
            </c:extLst>
          </c:dPt>
          <c:dLbls>
            <c:dLbl>
              <c:idx val="0"/>
              <c:layout>
                <c:manualLayout>
                  <c:x val="-3.0968890612108568E-4"/>
                  <c:y val="-3.2048035282399426E-2"/>
                </c:manualLayout>
              </c:layout>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25E-4A2A-8B86-2C336E28E9DA}"/>
                </c:ext>
              </c:extLst>
            </c:dLbl>
            <c:dLbl>
              <c:idx val="1"/>
              <c:layout>
                <c:manualLayout>
                  <c:x val="-8.1474652366808709E-17"/>
                  <c:y val="-5.4939489055541878E-2"/>
                </c:manualLayout>
              </c:layout>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25E-4A2A-8B86-2C336E28E9DA}"/>
                </c:ext>
              </c:extLst>
            </c:dLbl>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de-DE"/>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Erdsonden!$W$29:$W$30</c:f>
              <c:strCache>
                <c:ptCount val="2"/>
                <c:pt idx="0">
                  <c:v>Heizlast</c:v>
                </c:pt>
                <c:pt idx="1">
                  <c:v>Kühllast</c:v>
                </c:pt>
              </c:strCache>
            </c:strRef>
          </c:cat>
          <c:val>
            <c:numRef>
              <c:f>Erdsonden!$X$29:$X$30</c:f>
              <c:numCache>
                <c:formatCode>_-* #,##0\ _€_-;\-* #,##0\ _€_-;_-* "-"??\ _€_-;_-@_-</c:formatCode>
                <c:ptCount val="2"/>
                <c:pt idx="0">
                  <c:v>993.15839999999992</c:v>
                </c:pt>
                <c:pt idx="1">
                  <c:v>616.13900000000001</c:v>
                </c:pt>
              </c:numCache>
            </c:numRef>
          </c:val>
          <c:extLst>
            <c:ext xmlns:c16="http://schemas.microsoft.com/office/drawing/2014/chart" uri="{C3380CC4-5D6E-409C-BE32-E72D297353CC}">
              <c16:uniqueId val="{00000000-325E-4A2A-8B86-2C336E28E9DA}"/>
            </c:ext>
          </c:extLst>
        </c:ser>
        <c:ser>
          <c:idx val="1"/>
          <c:order val="1"/>
          <c:tx>
            <c:strRef>
              <c:f>Erdsonden!$W$28</c:f>
              <c:strCache>
                <c:ptCount val="1"/>
                <c:pt idx="0">
                  <c:v>WW</c:v>
                </c:pt>
              </c:strCache>
            </c:strRef>
          </c:tx>
          <c:spPr>
            <a:solidFill>
              <a:schemeClr val="accent4">
                <a:lumMod val="60000"/>
                <a:lumOff val="40000"/>
              </a:schemeClr>
            </a:solidFill>
            <a:ln>
              <a:noFill/>
            </a:ln>
            <a:effectLst/>
          </c:spPr>
          <c:invertIfNegative val="0"/>
          <c:dPt>
            <c:idx val="0"/>
            <c:invertIfNegative val="0"/>
            <c:bubble3D val="0"/>
            <c:spPr>
              <a:solidFill>
                <a:schemeClr val="accent4">
                  <a:lumMod val="60000"/>
                  <a:lumOff val="40000"/>
                </a:schemeClr>
              </a:solidFill>
              <a:ln>
                <a:solidFill>
                  <a:schemeClr val="bg2">
                    <a:lumMod val="50000"/>
                  </a:schemeClr>
                </a:solidFill>
              </a:ln>
              <a:effectLst/>
            </c:spPr>
            <c:extLst>
              <c:ext xmlns:c16="http://schemas.microsoft.com/office/drawing/2014/chart" uri="{C3380CC4-5D6E-409C-BE32-E72D297353CC}">
                <c16:uniqueId val="{00000003-1A89-41FA-B7AE-48CF08A3C984}"/>
              </c:ext>
            </c:extLst>
          </c:dPt>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Erdsonden!$W$29:$W$30</c:f>
              <c:strCache>
                <c:ptCount val="2"/>
                <c:pt idx="0">
                  <c:v>Heizlast</c:v>
                </c:pt>
                <c:pt idx="1">
                  <c:v>Kühllast</c:v>
                </c:pt>
              </c:strCache>
            </c:strRef>
          </c:cat>
          <c:val>
            <c:numRef>
              <c:f>Erdsonden!$X$28</c:f>
              <c:numCache>
                <c:formatCode>_-* #,##0\ _€_-;\-* #,##0\ _€_-;_-* "-"??\ _€_-;_-@_-</c:formatCode>
                <c:ptCount val="1"/>
                <c:pt idx="0">
                  <c:v>492.72</c:v>
                </c:pt>
              </c:numCache>
            </c:numRef>
          </c:val>
          <c:extLst>
            <c:ext xmlns:c16="http://schemas.microsoft.com/office/drawing/2014/chart" uri="{C3380CC4-5D6E-409C-BE32-E72D297353CC}">
              <c16:uniqueId val="{00000001-325E-4A2A-8B86-2C336E28E9DA}"/>
            </c:ext>
          </c:extLst>
        </c:ser>
        <c:dLbls>
          <c:showLegendKey val="0"/>
          <c:showVal val="0"/>
          <c:showCatName val="0"/>
          <c:showSerName val="0"/>
          <c:showPercent val="0"/>
          <c:showBubbleSize val="0"/>
        </c:dLbls>
        <c:gapWidth val="150"/>
        <c:overlap val="100"/>
        <c:axId val="622675480"/>
        <c:axId val="622678760"/>
      </c:barChart>
      <c:valAx>
        <c:axId val="622678760"/>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de-DE"/>
                  <a:t>Last [kW]</a:t>
                </a:r>
              </a:p>
            </c:rich>
          </c:tx>
          <c:layout>
            <c:manualLayout>
              <c:xMode val="edge"/>
              <c:yMode val="edge"/>
              <c:x val="3.0555555555555555E-2"/>
              <c:y val="0.3238772236803733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de-DE"/>
            </a:p>
          </c:txPr>
        </c:title>
        <c:numFmt formatCode="_-* #,##0\ _€_-;\-* #,##0\ _€_-;_-* &quot;-&quot;??\ _€_-;_-@_-"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de-DE"/>
          </a:p>
        </c:txPr>
        <c:crossAx val="622675480"/>
        <c:crosses val="autoZero"/>
        <c:crossBetween val="between"/>
      </c:valAx>
      <c:catAx>
        <c:axId val="622675480"/>
        <c:scaling>
          <c:orientation val="minMax"/>
        </c:scaling>
        <c:delete val="1"/>
        <c:axPos val="b"/>
        <c:numFmt formatCode="General" sourceLinked="1"/>
        <c:majorTickMark val="out"/>
        <c:minorTickMark val="none"/>
        <c:tickLblPos val="nextTo"/>
        <c:crossAx val="622678760"/>
        <c:crosses val="autoZero"/>
        <c:auto val="1"/>
        <c:lblAlgn val="ctr"/>
        <c:lblOffset val="100"/>
        <c:noMultiLvlLbl val="0"/>
      </c:catAx>
      <c:spPr>
        <a:noFill/>
        <a:ln>
          <a:solidFill>
            <a:schemeClr val="bg1">
              <a:lumMod val="8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50000"/>
          <a:alpha val="98000"/>
        </a:schemeClr>
      </a:solidFill>
      <a:round/>
    </a:ln>
    <a:effectLst/>
  </c:spPr>
  <c:txPr>
    <a:bodyPr/>
    <a:lstStyle/>
    <a:p>
      <a:pPr>
        <a:defRPr sz="1100">
          <a:solidFill>
            <a:sysClr val="windowText" lastClr="000000"/>
          </a:solidFill>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01367203867806"/>
          <c:y val="9.5351815695894848E-2"/>
          <c:w val="0.77651294144020921"/>
          <c:h val="0.71538425290331298"/>
        </c:manualLayout>
      </c:layout>
      <c:barChart>
        <c:barDir val="col"/>
        <c:grouping val="clustered"/>
        <c:varyColors val="0"/>
        <c:ser>
          <c:idx val="0"/>
          <c:order val="0"/>
          <c:tx>
            <c:strRef>
              <c:f>Erdsonden!$T$74</c:f>
              <c:strCache>
                <c:ptCount val="1"/>
                <c:pt idx="0">
                  <c:v>Erdreich-Wärmeentzug </c:v>
                </c:pt>
              </c:strCache>
            </c:strRef>
          </c:tx>
          <c:spPr>
            <a:solidFill>
              <a:srgbClr val="9ED8E6"/>
            </a:solidFill>
            <a:ln>
              <a:solidFill>
                <a:schemeClr val="bg2">
                  <a:lumMod val="50000"/>
                </a:schemeClr>
              </a:solidFill>
            </a:ln>
            <a:effectLst/>
          </c:spPr>
          <c:invertIfNegative val="0"/>
          <c:dLbls>
            <c:spPr>
              <a:noFill/>
              <a:ln>
                <a:noFill/>
              </a:ln>
              <a:effectLst/>
            </c:spPr>
            <c:txPr>
              <a:bodyPr rot="0" spcFirstLastPara="1" vertOverflow="ellipsis" vert="horz" wrap="square" anchor="ctr" anchorCtr="1"/>
              <a:lstStyle/>
              <a:p>
                <a:pPr>
                  <a:defRPr lang="de-DE" sz="1100" b="0" i="0" u="none" strike="noStrike" kern="1200" baseline="0">
                    <a:solidFill>
                      <a:sysClr val="windowText" lastClr="000000"/>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Erdsonden!$U$74</c:f>
              <c:numCache>
                <c:formatCode>_-* #,##0\ _€_-;\-* #,##0\ _€_-;_-* "-"??\ _€_-;_-@_-</c:formatCode>
                <c:ptCount val="1"/>
                <c:pt idx="0">
                  <c:v>-1748.5567500000002</c:v>
                </c:pt>
              </c:numCache>
            </c:numRef>
          </c:val>
          <c:extLst>
            <c:ext xmlns:c16="http://schemas.microsoft.com/office/drawing/2014/chart" uri="{C3380CC4-5D6E-409C-BE32-E72D297353CC}">
              <c16:uniqueId val="{00000001-5913-48A8-A25B-73F867BCA200}"/>
            </c:ext>
          </c:extLst>
        </c:ser>
        <c:ser>
          <c:idx val="1"/>
          <c:order val="1"/>
          <c:tx>
            <c:strRef>
              <c:f>Erdsonden!$T$75</c:f>
              <c:strCache>
                <c:ptCount val="1"/>
                <c:pt idx="0">
                  <c:v>Erdreich-Wärmeabgabe</c:v>
                </c:pt>
              </c:strCache>
            </c:strRef>
          </c:tx>
          <c:spPr>
            <a:solidFill>
              <a:srgbClr val="FF3737"/>
            </a:solidFill>
            <a:ln>
              <a:solidFill>
                <a:schemeClr val="bg2">
                  <a:lumMod val="50000"/>
                </a:schemeClr>
              </a:solidFill>
            </a:ln>
            <a:effectLst/>
          </c:spPr>
          <c:invertIfNegative val="0"/>
          <c:dLbls>
            <c:spPr>
              <a:noFill/>
              <a:ln>
                <a:noFill/>
              </a:ln>
              <a:effectLst/>
            </c:spPr>
            <c:txPr>
              <a:bodyPr rot="0" spcFirstLastPara="1" vertOverflow="ellipsis" vert="horz" wrap="square" anchor="ctr" anchorCtr="1"/>
              <a:lstStyle/>
              <a:p>
                <a:pPr>
                  <a:defRPr lang="de-DE" sz="1100" b="0" i="0" u="none" strike="noStrike" kern="1200" baseline="0">
                    <a:solidFill>
                      <a:sysClr val="windowText" lastClr="000000"/>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Erdsonden!$U$75</c:f>
              <c:numCache>
                <c:formatCode>_-* #,##0\ _€_-;\-* #,##0\ _€_-;_-* "-"??\ _€_-;_-@_-</c:formatCode>
                <c:ptCount val="1"/>
                <c:pt idx="0">
                  <c:v>819.18533333333335</c:v>
                </c:pt>
              </c:numCache>
            </c:numRef>
          </c:val>
          <c:extLst>
            <c:ext xmlns:c16="http://schemas.microsoft.com/office/drawing/2014/chart" uri="{C3380CC4-5D6E-409C-BE32-E72D297353CC}">
              <c16:uniqueId val="{00000002-5913-48A8-A25B-73F867BCA200}"/>
            </c:ext>
          </c:extLst>
        </c:ser>
        <c:ser>
          <c:idx val="2"/>
          <c:order val="2"/>
          <c:tx>
            <c:strRef>
              <c:f>Erdsonden!$T$76</c:f>
              <c:strCache>
                <c:ptCount val="1"/>
                <c:pt idx="0">
                  <c:v>Saldo</c:v>
                </c:pt>
              </c:strCache>
            </c:strRef>
          </c:tx>
          <c:spPr>
            <a:solidFill>
              <a:schemeClr val="bg2">
                <a:lumMod val="50000"/>
              </a:schemeClr>
            </a:solidFill>
            <a:ln>
              <a:solidFill>
                <a:schemeClr val="bg2">
                  <a:lumMod val="50000"/>
                </a:schemeClr>
              </a:solidFill>
            </a:ln>
            <a:effectLst/>
          </c:spPr>
          <c:invertIfNegative val="0"/>
          <c:dLbls>
            <c:spPr>
              <a:noFill/>
              <a:ln>
                <a:noFill/>
              </a:ln>
              <a:effectLst/>
            </c:spPr>
            <c:txPr>
              <a:bodyPr rot="0" spcFirstLastPara="1" vertOverflow="ellipsis" vert="horz" wrap="square" anchor="ctr" anchorCtr="1"/>
              <a:lstStyle/>
              <a:p>
                <a:pPr>
                  <a:defRPr lang="de-DE" sz="1100" b="0" i="0" u="none" strike="noStrike" kern="1200" baseline="0">
                    <a:solidFill>
                      <a:sysClr val="windowText" lastClr="000000"/>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Erdsonden!$U$76</c:f>
              <c:numCache>
                <c:formatCode>_-* #,##0\ _€_-;\-* #,##0\ _€_-;_-* "-"??\ _€_-;_-@_-</c:formatCode>
                <c:ptCount val="1"/>
                <c:pt idx="0">
                  <c:v>-929.37141666666685</c:v>
                </c:pt>
              </c:numCache>
            </c:numRef>
          </c:val>
          <c:extLst>
            <c:ext xmlns:c16="http://schemas.microsoft.com/office/drawing/2014/chart" uri="{C3380CC4-5D6E-409C-BE32-E72D297353CC}">
              <c16:uniqueId val="{00000003-5913-48A8-A25B-73F867BCA200}"/>
            </c:ext>
          </c:extLst>
        </c:ser>
        <c:dLbls>
          <c:showLegendKey val="0"/>
          <c:showVal val="0"/>
          <c:showCatName val="0"/>
          <c:showSerName val="0"/>
          <c:showPercent val="0"/>
          <c:showBubbleSize val="0"/>
        </c:dLbls>
        <c:gapWidth val="219"/>
        <c:overlap val="-27"/>
        <c:axId val="417439400"/>
        <c:axId val="417446616"/>
      </c:barChart>
      <c:catAx>
        <c:axId val="417439400"/>
        <c:scaling>
          <c:orientation val="minMax"/>
        </c:scaling>
        <c:delete val="1"/>
        <c:axPos val="b"/>
        <c:numFmt formatCode="General" sourceLinked="1"/>
        <c:majorTickMark val="none"/>
        <c:minorTickMark val="none"/>
        <c:tickLblPos val="nextTo"/>
        <c:crossAx val="417446616"/>
        <c:crosses val="autoZero"/>
        <c:auto val="1"/>
        <c:lblAlgn val="ctr"/>
        <c:lblOffset val="100"/>
        <c:noMultiLvlLbl val="0"/>
      </c:catAx>
      <c:valAx>
        <c:axId val="4174466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de-DE" sz="1100" b="0" i="0" u="none" strike="noStrike" kern="1200" baseline="0">
                    <a:solidFill>
                      <a:sysClr val="windowText" lastClr="000000"/>
                    </a:solidFill>
                    <a:latin typeface="+mn-lt"/>
                    <a:ea typeface="+mn-ea"/>
                    <a:cs typeface="+mn-cs"/>
                  </a:defRPr>
                </a:pPr>
                <a:r>
                  <a:rPr lang="de-DE"/>
                  <a:t>Energie [MWh]</a:t>
                </a:r>
              </a:p>
            </c:rich>
          </c:tx>
          <c:layout>
            <c:manualLayout>
              <c:xMode val="edge"/>
              <c:yMode val="edge"/>
              <c:x val="2.6260609577560001E-2"/>
              <c:y val="0.29532698843176092"/>
            </c:manualLayout>
          </c:layout>
          <c:overlay val="0"/>
          <c:spPr>
            <a:noFill/>
            <a:ln>
              <a:noFill/>
            </a:ln>
            <a:effectLst/>
          </c:spPr>
          <c:txPr>
            <a:bodyPr rot="-5400000" spcFirstLastPara="1" vertOverflow="ellipsis" vert="horz" wrap="square" anchor="ctr" anchorCtr="1"/>
            <a:lstStyle/>
            <a:p>
              <a:pPr>
                <a:defRPr lang="de-DE" sz="1100" b="0" i="0" u="none" strike="noStrike" kern="1200" baseline="0">
                  <a:solidFill>
                    <a:sysClr val="windowText" lastClr="000000"/>
                  </a:solidFill>
                  <a:latin typeface="+mn-lt"/>
                  <a:ea typeface="+mn-ea"/>
                  <a:cs typeface="+mn-cs"/>
                </a:defRPr>
              </a:pPr>
              <a:endParaRPr lang="de-DE"/>
            </a:p>
          </c:txPr>
        </c:title>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lang="de-DE" sz="1100" b="0" i="0" u="none" strike="noStrike" kern="1200" baseline="0">
                <a:solidFill>
                  <a:sysClr val="windowText" lastClr="000000"/>
                </a:solidFill>
                <a:latin typeface="+mn-lt"/>
                <a:ea typeface="+mn-ea"/>
                <a:cs typeface="+mn-cs"/>
              </a:defRPr>
            </a:pPr>
            <a:endParaRPr lang="de-DE"/>
          </a:p>
        </c:txPr>
        <c:crossAx val="417439400"/>
        <c:crosses val="autoZero"/>
        <c:crossBetween val="between"/>
      </c:valAx>
      <c:spPr>
        <a:noFill/>
        <a:ln>
          <a:solidFill>
            <a:schemeClr val="bg2">
              <a:lumMod val="90000"/>
            </a:schemeClr>
          </a:solidFill>
        </a:ln>
        <a:effectLst/>
      </c:spPr>
    </c:plotArea>
    <c:legend>
      <c:legendPos val="b"/>
      <c:layout>
        <c:manualLayout>
          <c:xMode val="edge"/>
          <c:yMode val="edge"/>
          <c:x val="0.17818819661382498"/>
          <c:y val="0.86916277964079947"/>
          <c:w val="0.73287292541043791"/>
          <c:h val="8.6176277795282683E-2"/>
        </c:manualLayout>
      </c:layout>
      <c:overlay val="0"/>
      <c:spPr>
        <a:noFill/>
        <a:ln>
          <a:noFill/>
        </a:ln>
        <a:effectLst/>
      </c:spPr>
      <c:txPr>
        <a:bodyPr rot="0" spcFirstLastPara="1" vertOverflow="ellipsis" vert="horz" wrap="square" anchor="ctr" anchorCtr="1"/>
        <a:lstStyle/>
        <a:p>
          <a:pPr>
            <a:defRPr lang="de-DE" sz="1100" b="0" i="0" u="none" strike="noStrike" kern="1200" baseline="0">
              <a:solidFill>
                <a:sysClr val="windowText" lastClr="000000"/>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50000"/>
        </a:schemeClr>
      </a:solidFill>
      <a:round/>
    </a:ln>
    <a:effectLst/>
  </c:spPr>
  <c:txPr>
    <a:bodyPr/>
    <a:lstStyle/>
    <a:p>
      <a:pPr>
        <a:defRPr lang="de-DE" sz="1100" b="0" i="0" u="none" strike="noStrike" kern="1200" baseline="0">
          <a:solidFill>
            <a:sysClr val="windowText" lastClr="000000"/>
          </a:solidFill>
          <a:latin typeface="+mn-lt"/>
          <a:ea typeface="+mn-ea"/>
          <a:cs typeface="+mn-cs"/>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Erdsonden!$X$75:$X$77</c:f>
              <c:strCache>
                <c:ptCount val="3"/>
                <c:pt idx="0">
                  <c:v>Wärme</c:v>
                </c:pt>
                <c:pt idx="1">
                  <c:v>Kälte</c:v>
                </c:pt>
                <c:pt idx="2">
                  <c:v>Strom</c:v>
                </c:pt>
              </c:strCache>
            </c:strRef>
          </c:tx>
          <c:spPr>
            <a:solidFill>
              <a:schemeClr val="accent1"/>
            </a:solidFill>
            <a:ln>
              <a:solidFill>
                <a:schemeClr val="bg2">
                  <a:lumMod val="50000"/>
                </a:schemeClr>
              </a:solidFill>
            </a:ln>
            <a:effectLst/>
          </c:spPr>
          <c:invertIfNegative val="0"/>
          <c:dPt>
            <c:idx val="0"/>
            <c:invertIfNegative val="0"/>
            <c:bubble3D val="0"/>
            <c:spPr>
              <a:solidFill>
                <a:srgbClr val="EA9436"/>
              </a:solidFill>
              <a:ln>
                <a:solidFill>
                  <a:schemeClr val="bg2">
                    <a:lumMod val="50000"/>
                  </a:schemeClr>
                </a:solidFill>
              </a:ln>
              <a:effectLst/>
            </c:spPr>
            <c:extLst>
              <c:ext xmlns:c16="http://schemas.microsoft.com/office/drawing/2014/chart" uri="{C3380CC4-5D6E-409C-BE32-E72D297353CC}">
                <c16:uniqueId val="{00000001-F641-41B5-A5D0-797E60C91DDA}"/>
              </c:ext>
            </c:extLst>
          </c:dPt>
          <c:dPt>
            <c:idx val="2"/>
            <c:invertIfNegative val="0"/>
            <c:bubble3D val="0"/>
            <c:spPr>
              <a:solidFill>
                <a:schemeClr val="bg1">
                  <a:lumMod val="95000"/>
                </a:schemeClr>
              </a:solidFill>
              <a:ln>
                <a:solidFill>
                  <a:schemeClr val="bg2">
                    <a:lumMod val="50000"/>
                  </a:schemeClr>
                </a:solidFill>
              </a:ln>
              <a:effectLst/>
            </c:spPr>
            <c:extLst>
              <c:ext xmlns:c16="http://schemas.microsoft.com/office/drawing/2014/chart" uri="{C3380CC4-5D6E-409C-BE32-E72D297353CC}">
                <c16:uniqueId val="{00000006-F641-41B5-A5D0-797E60C91DDA}"/>
              </c:ext>
            </c:extLst>
          </c:dPt>
          <c:dLbls>
            <c:dLbl>
              <c:idx val="0"/>
              <c:spPr>
                <a:noFill/>
                <a:ln>
                  <a:noFill/>
                </a:ln>
                <a:effectLst/>
              </c:spPr>
              <c:txPr>
                <a:bodyPr rot="0" spcFirstLastPara="1" vertOverflow="ellipsis" vert="horz" wrap="square" lIns="38100" tIns="19050" rIns="38100" bIns="19050" anchor="ctr" anchorCtr="1">
                  <a:noAutofit/>
                </a:bodyPr>
                <a:lstStyle/>
                <a:p>
                  <a:pPr>
                    <a:defRPr sz="1100" b="0" i="0" u="none" strike="noStrike" kern="1200" baseline="0">
                      <a:solidFill>
                        <a:sysClr val="windowText" lastClr="000000"/>
                      </a:solidFill>
                      <a:latin typeface="+mn-lt"/>
                      <a:ea typeface="+mn-ea"/>
                      <a:cs typeface="+mn-cs"/>
                    </a:defRPr>
                  </a:pPr>
                  <a:endParaRPr lang="de-DE"/>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F641-41B5-A5D0-797E60C91DDA}"/>
                </c:ext>
              </c:extLst>
            </c:dLbl>
            <c:dLbl>
              <c:idx val="1"/>
              <c:spPr>
                <a:noFill/>
                <a:ln>
                  <a:noFill/>
                </a:ln>
                <a:effectLst/>
              </c:spPr>
              <c:txPr>
                <a:bodyPr rot="0" spcFirstLastPara="1" vertOverflow="ellipsis" vert="horz" wrap="square" lIns="38100" tIns="19050" rIns="38100" bIns="19050" anchor="ctr" anchorCtr="1">
                  <a:noAutofit/>
                </a:bodyPr>
                <a:lstStyle/>
                <a:p>
                  <a:pPr>
                    <a:defRPr sz="1100" b="0" i="0" u="none" strike="noStrike" kern="1200" baseline="0">
                      <a:solidFill>
                        <a:sysClr val="windowText" lastClr="000000"/>
                      </a:solidFill>
                      <a:latin typeface="+mn-lt"/>
                      <a:ea typeface="+mn-ea"/>
                      <a:cs typeface="+mn-cs"/>
                    </a:defRPr>
                  </a:pPr>
                  <a:endParaRPr lang="de-DE"/>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2-F641-41B5-A5D0-797E60C91DDA}"/>
                </c:ext>
              </c:extLst>
            </c:dLbl>
            <c:dLbl>
              <c:idx val="2"/>
              <c:layout>
                <c:manualLayout>
                  <c:x val="-3.7813770509615855E-3"/>
                  <c:y val="-2.2916677526859427E-2"/>
                </c:manualLayout>
              </c:layout>
              <c:tx>
                <c:rich>
                  <a:bodyPr rot="0" spcFirstLastPara="1" vertOverflow="ellipsis" vert="horz" wrap="square" lIns="38100" tIns="19050" rIns="38100" bIns="19050" anchor="ctr" anchorCtr="1">
                    <a:noAutofit/>
                  </a:bodyPr>
                  <a:lstStyle/>
                  <a:p>
                    <a:pPr>
                      <a:defRPr sz="1100" b="0" i="0" u="none" strike="noStrike" kern="1200" baseline="0">
                        <a:solidFill>
                          <a:sysClr val="windowText" lastClr="000000"/>
                        </a:solidFill>
                        <a:latin typeface="+mn-lt"/>
                        <a:ea typeface="+mn-ea"/>
                        <a:cs typeface="+mn-cs"/>
                      </a:defRPr>
                    </a:pPr>
                    <a:fld id="{6F9E9907-AF47-414F-967F-69E8B85457CE}" type="CATEGORYNAME">
                      <a:rPr lang="en-US"/>
                      <a:pPr>
                        <a:defRPr sz="1100" b="0" i="0" u="none" strike="noStrike" kern="1200" baseline="0">
                          <a:solidFill>
                            <a:sysClr val="windowText" lastClr="000000"/>
                          </a:solidFill>
                          <a:latin typeface="+mn-lt"/>
                          <a:ea typeface="+mn-ea"/>
                          <a:cs typeface="+mn-cs"/>
                        </a:defRPr>
                      </a:pPr>
                      <a:t>[RUBRIKENNAME]</a:t>
                    </a:fld>
                    <a:r>
                      <a:rPr lang="en-US" baseline="0"/>
                      <a:t>; </a:t>
                    </a:r>
                  </a:p>
                  <a:p>
                    <a:pPr>
                      <a:defRPr sz="1100" b="0" i="0" u="none" strike="noStrike" kern="1200" baseline="0">
                        <a:solidFill>
                          <a:sysClr val="windowText" lastClr="000000"/>
                        </a:solidFill>
                        <a:latin typeface="+mn-lt"/>
                        <a:ea typeface="+mn-ea"/>
                        <a:cs typeface="+mn-cs"/>
                      </a:defRPr>
                    </a:pPr>
                    <a:fld id="{BDB1FF5A-0BA9-4BB7-B226-06EBF2114DFE}" type="VALUE">
                      <a:rPr lang="en-US" baseline="0"/>
                      <a:pPr>
                        <a:defRPr sz="1100" b="0" i="0" u="none" strike="noStrike" kern="1200" baseline="0">
                          <a:solidFill>
                            <a:sysClr val="windowText" lastClr="000000"/>
                          </a:solidFill>
                          <a:latin typeface="+mn-lt"/>
                          <a:ea typeface="+mn-ea"/>
                          <a:cs typeface="+mn-cs"/>
                        </a:defRPr>
                      </a:pPr>
                      <a:t>[WERT]</a:t>
                    </a:fld>
                    <a:endParaRPr lang="de-DE"/>
                  </a:p>
                </c:rich>
              </c:tx>
              <c:spPr>
                <a:noFill/>
                <a:ln>
                  <a:noFill/>
                </a:ln>
                <a:effectLst/>
              </c:spPr>
              <c:showLegendKey val="0"/>
              <c:showVal val="1"/>
              <c:showCatName val="1"/>
              <c:showSerName val="0"/>
              <c:showPercent val="0"/>
              <c:showBubbleSize val="0"/>
              <c:extLst>
                <c:ext xmlns:c15="http://schemas.microsoft.com/office/drawing/2012/chart" uri="{CE6537A1-D6FC-4f65-9D91-7224C49458BB}">
                  <c15:layout>
                    <c:manualLayout>
                      <c:w val="0.21317176879897817"/>
                      <c:h val="0.33320849124053609"/>
                    </c:manualLayout>
                  </c15:layout>
                  <c15:dlblFieldTable/>
                  <c15:showDataLabelsRange val="0"/>
                </c:ext>
                <c:ext xmlns:c16="http://schemas.microsoft.com/office/drawing/2014/chart" uri="{C3380CC4-5D6E-409C-BE32-E72D297353CC}">
                  <c16:uniqueId val="{00000006-F641-41B5-A5D0-797E60C91DDA}"/>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de-DE"/>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Erdsonden!$X$75:$X$77</c:f>
              <c:strCache>
                <c:ptCount val="3"/>
                <c:pt idx="0">
                  <c:v>Wärme</c:v>
                </c:pt>
                <c:pt idx="1">
                  <c:v>Kälte</c:v>
                </c:pt>
                <c:pt idx="2">
                  <c:v>Strom</c:v>
                </c:pt>
              </c:strCache>
            </c:strRef>
          </c:cat>
          <c:val>
            <c:numRef>
              <c:f>Erdsonden!$Y$75:$Y$77</c:f>
              <c:numCache>
                <c:formatCode>_-* #,##0\ _€_-;\-* #,##0\ _€_-;_-* "-"??\ _€_-;_-@_-</c:formatCode>
                <c:ptCount val="3"/>
                <c:pt idx="0">
                  <c:v>1345.9690000000001</c:v>
                </c:pt>
                <c:pt idx="1">
                  <c:v>614.38900000000001</c:v>
                </c:pt>
                <c:pt idx="2">
                  <c:v>787.64858333333336</c:v>
                </c:pt>
              </c:numCache>
            </c:numRef>
          </c:val>
          <c:extLst>
            <c:ext xmlns:c16="http://schemas.microsoft.com/office/drawing/2014/chart" uri="{C3380CC4-5D6E-409C-BE32-E72D297353CC}">
              <c16:uniqueId val="{00000003-F641-41B5-A5D0-797E60C91DDA}"/>
            </c:ext>
          </c:extLst>
        </c:ser>
        <c:ser>
          <c:idx val="1"/>
          <c:order val="1"/>
          <c:tx>
            <c:strRef>
              <c:f>Erdsonden!$X$74</c:f>
              <c:strCache>
                <c:ptCount val="1"/>
                <c:pt idx="0">
                  <c:v>WW</c:v>
                </c:pt>
              </c:strCache>
            </c:strRef>
          </c:tx>
          <c:spPr>
            <a:solidFill>
              <a:schemeClr val="accent2"/>
            </a:solidFill>
            <a:ln>
              <a:solidFill>
                <a:schemeClr val="bg2">
                  <a:lumMod val="50000"/>
                </a:schemeClr>
              </a:solidFill>
            </a:ln>
            <a:effectLst/>
          </c:spPr>
          <c:invertIfNegative val="0"/>
          <c:dPt>
            <c:idx val="0"/>
            <c:invertIfNegative val="0"/>
            <c:bubble3D val="0"/>
            <c:spPr>
              <a:solidFill>
                <a:srgbClr val="FFC000"/>
              </a:solidFill>
              <a:ln>
                <a:solidFill>
                  <a:schemeClr val="bg2">
                    <a:lumMod val="50000"/>
                  </a:schemeClr>
                </a:solidFill>
              </a:ln>
              <a:effectLst/>
            </c:spPr>
            <c:extLst>
              <c:ext xmlns:c16="http://schemas.microsoft.com/office/drawing/2014/chart" uri="{C3380CC4-5D6E-409C-BE32-E72D297353CC}">
                <c16:uniqueId val="{00000005-F641-41B5-A5D0-797E60C91DDA}"/>
              </c:ext>
            </c:extLst>
          </c:dPt>
          <c:dLbls>
            <c:dLbl>
              <c:idx val="0"/>
              <c:spPr>
                <a:noFill/>
                <a:ln>
                  <a:noFill/>
                </a:ln>
                <a:effectLst/>
              </c:spPr>
              <c:txPr>
                <a:bodyPr rot="0" spcFirstLastPara="1" vertOverflow="ellipsis" vert="horz" wrap="square" lIns="38100" tIns="19050" rIns="38100" bIns="19050" anchor="ctr" anchorCtr="1">
                  <a:noAutofit/>
                </a:bodyPr>
                <a:lstStyle/>
                <a:p>
                  <a:pPr>
                    <a:defRPr sz="1100" b="0" i="0" u="none" strike="noStrike" kern="1200" baseline="0">
                      <a:solidFill>
                        <a:sysClr val="windowText" lastClr="000000"/>
                      </a:solidFill>
                      <a:latin typeface="+mn-lt"/>
                      <a:ea typeface="+mn-ea"/>
                      <a:cs typeface="+mn-cs"/>
                    </a:defRPr>
                  </a:pPr>
                  <a:endParaRPr lang="de-DE"/>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F641-41B5-A5D0-797E60C91DDA}"/>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de-DE"/>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Erdsonden!$X$75:$X$77</c:f>
              <c:strCache>
                <c:ptCount val="3"/>
                <c:pt idx="0">
                  <c:v>Wärme</c:v>
                </c:pt>
                <c:pt idx="1">
                  <c:v>Kälte</c:v>
                </c:pt>
                <c:pt idx="2">
                  <c:v>Strom</c:v>
                </c:pt>
              </c:strCache>
            </c:strRef>
          </c:cat>
          <c:val>
            <c:numRef>
              <c:f>Erdsonden!$Y$74</c:f>
              <c:numCache>
                <c:formatCode>_-* #,##0\ _€_-;\-* #,##0\ _€_-;_-* "-"??\ _€_-;_-@_-</c:formatCode>
                <c:ptCount val="1"/>
                <c:pt idx="0">
                  <c:v>985.44</c:v>
                </c:pt>
              </c:numCache>
            </c:numRef>
          </c:val>
          <c:extLst>
            <c:ext xmlns:c16="http://schemas.microsoft.com/office/drawing/2014/chart" uri="{C3380CC4-5D6E-409C-BE32-E72D297353CC}">
              <c16:uniqueId val="{00000004-F641-41B5-A5D0-797E60C91DDA}"/>
            </c:ext>
          </c:extLst>
        </c:ser>
        <c:dLbls>
          <c:showLegendKey val="0"/>
          <c:showVal val="0"/>
          <c:showCatName val="0"/>
          <c:showSerName val="0"/>
          <c:showPercent val="0"/>
          <c:showBubbleSize val="0"/>
        </c:dLbls>
        <c:gapWidth val="150"/>
        <c:overlap val="100"/>
        <c:axId val="622675480"/>
        <c:axId val="622678760"/>
      </c:barChart>
      <c:valAx>
        <c:axId val="622678760"/>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de-DE"/>
                  <a:t>Bedarf [MWh]</a:t>
                </a:r>
              </a:p>
            </c:rich>
          </c:tx>
          <c:layout>
            <c:manualLayout>
              <c:xMode val="edge"/>
              <c:yMode val="edge"/>
              <c:x val="1.9445313925695307E-2"/>
              <c:y val="0.3238773003657946"/>
            </c:manualLayout>
          </c:layout>
          <c:overlay val="0"/>
          <c:spPr>
            <a:noFill/>
            <a:ln>
              <a:noFill/>
            </a:ln>
            <a:effectLst/>
          </c:spPr>
        </c:title>
        <c:numFmt formatCode="_-* #,##0\ _€_-;\-* #,##0\ _€_-;_-* &quot;-&quot;??\ _€_-;_-@_-"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de-DE"/>
          </a:p>
        </c:txPr>
        <c:crossAx val="622675480"/>
        <c:crosses val="autoZero"/>
        <c:crossBetween val="between"/>
      </c:valAx>
      <c:catAx>
        <c:axId val="622675480"/>
        <c:scaling>
          <c:orientation val="minMax"/>
        </c:scaling>
        <c:delete val="1"/>
        <c:axPos val="b"/>
        <c:numFmt formatCode="General" sourceLinked="1"/>
        <c:majorTickMark val="out"/>
        <c:minorTickMark val="none"/>
        <c:tickLblPos val="nextTo"/>
        <c:crossAx val="622678760"/>
        <c:crosses val="autoZero"/>
        <c:auto val="1"/>
        <c:lblAlgn val="ctr"/>
        <c:lblOffset val="100"/>
        <c:noMultiLvlLbl val="0"/>
      </c:catAx>
      <c:spPr>
        <a:noFill/>
        <a:ln>
          <a:solidFill>
            <a:schemeClr val="bg1">
              <a:lumMod val="8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50000"/>
          <a:alpha val="98000"/>
        </a:schemeClr>
      </a:solidFill>
      <a:round/>
    </a:ln>
    <a:effectLst/>
  </c:spPr>
  <c:txPr>
    <a:bodyPr/>
    <a:lstStyle/>
    <a:p>
      <a:pPr>
        <a:defRPr sz="1100">
          <a:solidFill>
            <a:sysClr val="windowText" lastClr="000000"/>
          </a:solidFill>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821122155584403"/>
          <c:y val="5.0032465590592608E-2"/>
          <c:w val="0.68983975548637233"/>
          <c:h val="0.66158355439660743"/>
        </c:manualLayout>
      </c:layout>
      <c:barChart>
        <c:barDir val="bar"/>
        <c:grouping val="clustered"/>
        <c:varyColors val="0"/>
        <c:ser>
          <c:idx val="2"/>
          <c:order val="0"/>
          <c:tx>
            <c:strRef>
              <c:f>PV_Varianten!$A$25</c:f>
              <c:strCache>
                <c:ptCount val="1"/>
                <c:pt idx="0">
                  <c:v>Variante 3</c:v>
                </c:pt>
              </c:strCache>
            </c:strRef>
          </c:tx>
          <c:spPr>
            <a:solidFill>
              <a:srgbClr val="7ADCD7"/>
            </a:solidFill>
            <a:ln>
              <a:noFill/>
            </a:ln>
            <a:effectLst/>
          </c:spPr>
          <c:invertIfNegative val="0"/>
          <c:cat>
            <c:strRef>
              <c:f>PV_Varianten!$A$13:$B$13</c:f>
              <c:strCache>
                <c:ptCount val="2"/>
                <c:pt idx="0">
                  <c:v>Ammortisationszeit</c:v>
                </c:pt>
                <c:pt idx="1">
                  <c:v> 14,00   </c:v>
                </c:pt>
              </c:strCache>
            </c:strRef>
          </c:cat>
          <c:val>
            <c:numRef>
              <c:f>PV_Varianten!$B$33</c:f>
              <c:numCache>
                <c:formatCode>_(* #,##0.00_);_(* \(#,##0.00\);_(* "-"??_);_(@_)</c:formatCode>
                <c:ptCount val="1"/>
                <c:pt idx="0">
                  <c:v>18</c:v>
                </c:pt>
              </c:numCache>
            </c:numRef>
          </c:val>
          <c:extLst>
            <c:ext xmlns:c16="http://schemas.microsoft.com/office/drawing/2014/chart" uri="{C3380CC4-5D6E-409C-BE32-E72D297353CC}">
              <c16:uniqueId val="{00000004-E6EC-4DD9-B5E3-B415BAD63C30}"/>
            </c:ext>
          </c:extLst>
        </c:ser>
        <c:ser>
          <c:idx val="1"/>
          <c:order val="1"/>
          <c:tx>
            <c:strRef>
              <c:f>PV_Varianten!$A$15</c:f>
              <c:strCache>
                <c:ptCount val="1"/>
                <c:pt idx="0">
                  <c:v>Variante 2</c:v>
                </c:pt>
              </c:strCache>
            </c:strRef>
          </c:tx>
          <c:spPr>
            <a:solidFill>
              <a:srgbClr val="F4A6F2"/>
            </a:solidFill>
            <a:ln>
              <a:noFill/>
            </a:ln>
            <a:effectLst/>
          </c:spPr>
          <c:invertIfNegative val="0"/>
          <c:cat>
            <c:strRef>
              <c:f>PV_Varianten!$A$13:$B$13</c:f>
              <c:strCache>
                <c:ptCount val="2"/>
                <c:pt idx="0">
                  <c:v>Ammortisationszeit</c:v>
                </c:pt>
                <c:pt idx="1">
                  <c:v> 14,00   </c:v>
                </c:pt>
              </c:strCache>
            </c:strRef>
          </c:cat>
          <c:val>
            <c:numRef>
              <c:f>PV_Varianten!$B$23</c:f>
              <c:numCache>
                <c:formatCode>_(* #,##0.00_);_(* \(#,##0.00\);_(* "-"??_);_(@_)</c:formatCode>
                <c:ptCount val="1"/>
                <c:pt idx="0">
                  <c:v>18</c:v>
                </c:pt>
              </c:numCache>
            </c:numRef>
          </c:val>
          <c:extLst>
            <c:ext xmlns:c16="http://schemas.microsoft.com/office/drawing/2014/chart" uri="{C3380CC4-5D6E-409C-BE32-E72D297353CC}">
              <c16:uniqueId val="{00000003-E6EC-4DD9-B5E3-B415BAD63C30}"/>
            </c:ext>
          </c:extLst>
        </c:ser>
        <c:ser>
          <c:idx val="0"/>
          <c:order val="2"/>
          <c:tx>
            <c:strRef>
              <c:f>PV_Varianten!$A$5</c:f>
              <c:strCache>
                <c:ptCount val="1"/>
                <c:pt idx="0">
                  <c:v>Variante 1</c:v>
                </c:pt>
              </c:strCache>
            </c:strRef>
          </c:tx>
          <c:spPr>
            <a:solidFill>
              <a:srgbClr val="EFAE67"/>
            </a:solidFill>
            <a:ln>
              <a:noFill/>
            </a:ln>
            <a:effectLst/>
          </c:spPr>
          <c:invertIfNegative val="0"/>
          <c:cat>
            <c:strRef>
              <c:f>PV_Varianten!$A$13:$B$13</c:f>
              <c:strCache>
                <c:ptCount val="2"/>
                <c:pt idx="0">
                  <c:v>Ammortisationszeit</c:v>
                </c:pt>
                <c:pt idx="1">
                  <c:v> 14,00   </c:v>
                </c:pt>
              </c:strCache>
            </c:strRef>
          </c:cat>
          <c:val>
            <c:numRef>
              <c:f>PV_Varianten!$B$13</c:f>
              <c:numCache>
                <c:formatCode>_(* #,##0.00_);_(* \(#,##0.00\);_(* "-"??_);_(@_)</c:formatCode>
                <c:ptCount val="1"/>
                <c:pt idx="0">
                  <c:v>14</c:v>
                </c:pt>
              </c:numCache>
            </c:numRef>
          </c:val>
          <c:extLst>
            <c:ext xmlns:c16="http://schemas.microsoft.com/office/drawing/2014/chart" uri="{C3380CC4-5D6E-409C-BE32-E72D297353CC}">
              <c16:uniqueId val="{00000002-E6EC-4DD9-B5E3-B415BAD63C30}"/>
            </c:ext>
          </c:extLst>
        </c:ser>
        <c:dLbls>
          <c:showLegendKey val="0"/>
          <c:showVal val="0"/>
          <c:showCatName val="0"/>
          <c:showSerName val="0"/>
          <c:showPercent val="0"/>
          <c:showBubbleSize val="0"/>
        </c:dLbls>
        <c:gapWidth val="182"/>
        <c:axId val="492592048"/>
        <c:axId val="534122800"/>
      </c:barChart>
      <c:catAx>
        <c:axId val="492592048"/>
        <c:scaling>
          <c:orientation val="minMax"/>
        </c:scaling>
        <c:delete val="1"/>
        <c:axPos val="l"/>
        <c:numFmt formatCode="General" sourceLinked="1"/>
        <c:majorTickMark val="none"/>
        <c:minorTickMark val="none"/>
        <c:tickLblPos val="nextTo"/>
        <c:crossAx val="534122800"/>
        <c:crosses val="autoZero"/>
        <c:auto val="1"/>
        <c:lblAlgn val="ctr"/>
        <c:lblOffset val="100"/>
        <c:noMultiLvlLbl val="0"/>
      </c:catAx>
      <c:valAx>
        <c:axId val="5341228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de-DE"/>
                  <a:t>Ammortisationszeit [a]</a:t>
                </a:r>
              </a:p>
            </c:rich>
          </c:tx>
          <c:layout>
            <c:manualLayout>
              <c:xMode val="edge"/>
              <c:yMode val="edge"/>
              <c:x val="0.46997710792662462"/>
              <c:y val="0.8444215949719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e-DE"/>
          </a:p>
        </c:txPr>
        <c:crossAx val="492592048"/>
        <c:crosses val="autoZero"/>
        <c:crossBetween val="between"/>
      </c:valAx>
      <c:spPr>
        <a:noFill/>
        <a:ln>
          <a:noFill/>
        </a:ln>
        <a:effectLst/>
      </c:spPr>
    </c:plotArea>
    <c:legend>
      <c:legendPos val="b"/>
      <c:layout>
        <c:manualLayout>
          <c:xMode val="edge"/>
          <c:yMode val="edge"/>
          <c:x val="2.241434120022661E-2"/>
          <c:y val="0.20004856408256325"/>
          <c:w val="0.18831332126867195"/>
          <c:h val="0.39059489926713353"/>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98322848327"/>
          <c:y val="5.5555555555555552E-2"/>
          <c:w val="0.83223800668760595"/>
          <c:h val="0.70799358413531654"/>
        </c:manualLayout>
      </c:layout>
      <c:barChart>
        <c:barDir val="col"/>
        <c:grouping val="clustered"/>
        <c:varyColors val="0"/>
        <c:ser>
          <c:idx val="0"/>
          <c:order val="0"/>
          <c:tx>
            <c:strRef>
              <c:f>PV_Varianten!$A$5</c:f>
              <c:strCache>
                <c:ptCount val="1"/>
                <c:pt idx="0">
                  <c:v>Variante 1</c:v>
                </c:pt>
              </c:strCache>
            </c:strRef>
          </c:tx>
          <c:spPr>
            <a:solidFill>
              <a:srgbClr val="EFAE67"/>
            </a:solidFill>
            <a:ln>
              <a:noFill/>
            </a:ln>
            <a:effectLst/>
          </c:spPr>
          <c:invertIfNegative val="0"/>
          <c:cat>
            <c:strRef>
              <c:f>PV_Varianten!$A$10:$A$11</c:f>
              <c:strCache>
                <c:ptCount val="2"/>
                <c:pt idx="0">
                  <c:v>Eigenverbrauch</c:v>
                </c:pt>
                <c:pt idx="1">
                  <c:v>Autarkie</c:v>
                </c:pt>
              </c:strCache>
            </c:strRef>
          </c:cat>
          <c:val>
            <c:numRef>
              <c:f>PV_Varianten!$B$10:$B$11</c:f>
              <c:numCache>
                <c:formatCode>_(* #,##0.00_);_(* \(#,##0.00\);_(* "-"??_);_(@_)</c:formatCode>
                <c:ptCount val="2"/>
                <c:pt idx="0">
                  <c:v>51.743075417030731</c:v>
                </c:pt>
                <c:pt idx="1">
                  <c:v>41.614642732101601</c:v>
                </c:pt>
              </c:numCache>
            </c:numRef>
          </c:val>
          <c:extLst>
            <c:ext xmlns:c16="http://schemas.microsoft.com/office/drawing/2014/chart" uri="{C3380CC4-5D6E-409C-BE32-E72D297353CC}">
              <c16:uniqueId val="{00000000-085E-4D78-AF7D-08E384397A89}"/>
            </c:ext>
          </c:extLst>
        </c:ser>
        <c:ser>
          <c:idx val="1"/>
          <c:order val="1"/>
          <c:tx>
            <c:strRef>
              <c:f>PV_Varianten!$A$15</c:f>
              <c:strCache>
                <c:ptCount val="1"/>
                <c:pt idx="0">
                  <c:v>Variante 2</c:v>
                </c:pt>
              </c:strCache>
            </c:strRef>
          </c:tx>
          <c:spPr>
            <a:solidFill>
              <a:srgbClr val="F4A6F2"/>
            </a:solidFill>
            <a:ln>
              <a:noFill/>
            </a:ln>
            <a:effectLst/>
          </c:spPr>
          <c:invertIfNegative val="0"/>
          <c:cat>
            <c:strRef>
              <c:f>PV_Varianten!$A$10:$A$11</c:f>
              <c:strCache>
                <c:ptCount val="2"/>
                <c:pt idx="0">
                  <c:v>Eigenverbrauch</c:v>
                </c:pt>
                <c:pt idx="1">
                  <c:v>Autarkie</c:v>
                </c:pt>
              </c:strCache>
            </c:strRef>
          </c:cat>
          <c:val>
            <c:numRef>
              <c:f>PV_Varianten!$B$20:$B$21</c:f>
              <c:numCache>
                <c:formatCode>_(* #,##0.00_);_(* \(#,##0.00\);_(* "-"??_);_(@_)</c:formatCode>
                <c:ptCount val="2"/>
                <c:pt idx="0">
                  <c:v>36.818648027184018</c:v>
                </c:pt>
                <c:pt idx="1">
                  <c:v>45.239296251694427</c:v>
                </c:pt>
              </c:numCache>
            </c:numRef>
          </c:val>
          <c:extLst>
            <c:ext xmlns:c16="http://schemas.microsoft.com/office/drawing/2014/chart" uri="{C3380CC4-5D6E-409C-BE32-E72D297353CC}">
              <c16:uniqueId val="{00000001-085E-4D78-AF7D-08E384397A89}"/>
            </c:ext>
          </c:extLst>
        </c:ser>
        <c:ser>
          <c:idx val="2"/>
          <c:order val="2"/>
          <c:tx>
            <c:strRef>
              <c:f>PV_Varianten!$A$25</c:f>
              <c:strCache>
                <c:ptCount val="1"/>
                <c:pt idx="0">
                  <c:v>Variante 3</c:v>
                </c:pt>
              </c:strCache>
            </c:strRef>
          </c:tx>
          <c:spPr>
            <a:solidFill>
              <a:srgbClr val="7ADCD7"/>
            </a:solidFill>
            <a:ln>
              <a:noFill/>
            </a:ln>
            <a:effectLst/>
          </c:spPr>
          <c:invertIfNegative val="0"/>
          <c:cat>
            <c:strRef>
              <c:f>PV_Varianten!$A$10:$A$11</c:f>
              <c:strCache>
                <c:ptCount val="2"/>
                <c:pt idx="0">
                  <c:v>Eigenverbrauch</c:v>
                </c:pt>
                <c:pt idx="1">
                  <c:v>Autarkie</c:v>
                </c:pt>
              </c:strCache>
            </c:strRef>
          </c:cat>
          <c:val>
            <c:numRef>
              <c:f>PV_Varianten!$B$30:$B$31</c:f>
              <c:numCache>
                <c:formatCode>_(* #,##0.00_);_(* \(#,##0.00\);_(* "-"??_);_(@_)</c:formatCode>
                <c:ptCount val="2"/>
                <c:pt idx="0">
                  <c:v>36.818648027184018</c:v>
                </c:pt>
                <c:pt idx="1">
                  <c:v>45.239296251694427</c:v>
                </c:pt>
              </c:numCache>
            </c:numRef>
          </c:val>
          <c:extLst>
            <c:ext xmlns:c16="http://schemas.microsoft.com/office/drawing/2014/chart" uri="{C3380CC4-5D6E-409C-BE32-E72D297353CC}">
              <c16:uniqueId val="{00000002-085E-4D78-AF7D-08E384397A89}"/>
            </c:ext>
          </c:extLst>
        </c:ser>
        <c:dLbls>
          <c:showLegendKey val="0"/>
          <c:showVal val="0"/>
          <c:showCatName val="0"/>
          <c:showSerName val="0"/>
          <c:showPercent val="0"/>
          <c:showBubbleSize val="0"/>
        </c:dLbls>
        <c:gapWidth val="219"/>
        <c:overlap val="-27"/>
        <c:axId val="622680400"/>
        <c:axId val="622675152"/>
      </c:barChart>
      <c:catAx>
        <c:axId val="622680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crossAx val="622675152"/>
        <c:crosses val="autoZero"/>
        <c:auto val="1"/>
        <c:lblAlgn val="ctr"/>
        <c:lblOffset val="100"/>
        <c:noMultiLvlLbl val="0"/>
      </c:catAx>
      <c:valAx>
        <c:axId val="622675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de-DE"/>
                  <a:t>[%]</a:t>
                </a:r>
              </a:p>
            </c:rich>
          </c:tx>
          <c:layout>
            <c:manualLayout>
              <c:xMode val="edge"/>
              <c:yMode val="edge"/>
              <c:x val="1.3053815149350147E-2"/>
              <c:y val="0.3302004957713619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crossAx val="622680400"/>
        <c:crosses val="autoZero"/>
        <c:crossBetween val="between"/>
      </c:valAx>
      <c:spPr>
        <a:noFill/>
        <a:ln>
          <a:noFill/>
        </a:ln>
        <a:effectLst/>
      </c:spPr>
    </c:plotArea>
    <c:legend>
      <c:legendPos val="b"/>
      <c:layout>
        <c:manualLayout>
          <c:xMode val="edge"/>
          <c:yMode val="edge"/>
          <c:x val="0.35415204831876879"/>
          <c:y val="0.88020778652668419"/>
          <c:w val="0.43026713617819867"/>
          <c:h val="0.1017936547899350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98028654697389"/>
          <c:y val="6.057525054628065E-2"/>
          <c:w val="0.8503204364328657"/>
          <c:h val="0.61294958536318633"/>
        </c:manualLayout>
      </c:layout>
      <c:barChart>
        <c:barDir val="col"/>
        <c:grouping val="clustered"/>
        <c:varyColors val="0"/>
        <c:ser>
          <c:idx val="0"/>
          <c:order val="0"/>
          <c:tx>
            <c:strRef>
              <c:f>PV_Varianten!$A$5</c:f>
              <c:strCache>
                <c:ptCount val="1"/>
                <c:pt idx="0">
                  <c:v>Variante 1</c:v>
                </c:pt>
              </c:strCache>
            </c:strRef>
          </c:tx>
          <c:spPr>
            <a:solidFill>
              <a:srgbClr val="EFAE67"/>
            </a:solidFill>
            <a:ln>
              <a:noFill/>
            </a:ln>
            <a:effectLst/>
          </c:spPr>
          <c:invertIfNegative val="0"/>
          <c:cat>
            <c:strRef>
              <c:f>PV_Varianten!$J$4:$K$4</c:f>
              <c:strCache>
                <c:ptCount val="2"/>
                <c:pt idx="0">
                  <c:v>Leistung [kWp]</c:v>
                </c:pt>
                <c:pt idx="1">
                  <c:v>Modulfläche [m2]</c:v>
                </c:pt>
              </c:strCache>
            </c:strRef>
          </c:cat>
          <c:val>
            <c:numRef>
              <c:f>PV_Varianten!$B$8:$C$8</c:f>
              <c:numCache>
                <c:formatCode>_(* #,##0.00_);_(* \(#,##0.00\);_(* "-"??_);_(@_)</c:formatCode>
                <c:ptCount val="2"/>
                <c:pt idx="0">
                  <c:v>1394.91</c:v>
                </c:pt>
                <c:pt idx="1">
                  <c:v>7185.9</c:v>
                </c:pt>
              </c:numCache>
            </c:numRef>
          </c:val>
          <c:extLst>
            <c:ext xmlns:c16="http://schemas.microsoft.com/office/drawing/2014/chart" uri="{C3380CC4-5D6E-409C-BE32-E72D297353CC}">
              <c16:uniqueId val="{00000000-6E6E-424B-8054-EDF0BECE7166}"/>
            </c:ext>
          </c:extLst>
        </c:ser>
        <c:ser>
          <c:idx val="1"/>
          <c:order val="1"/>
          <c:tx>
            <c:strRef>
              <c:f>PV_Varianten!$A$15</c:f>
              <c:strCache>
                <c:ptCount val="1"/>
                <c:pt idx="0">
                  <c:v>Variante 2</c:v>
                </c:pt>
              </c:strCache>
            </c:strRef>
          </c:tx>
          <c:spPr>
            <a:solidFill>
              <a:srgbClr val="F4A6F2"/>
            </a:solidFill>
            <a:ln>
              <a:noFill/>
            </a:ln>
            <a:effectLst/>
          </c:spPr>
          <c:invertIfNegative val="0"/>
          <c:cat>
            <c:strRef>
              <c:f>PV_Varianten!$J$4:$K$4</c:f>
              <c:strCache>
                <c:ptCount val="2"/>
                <c:pt idx="0">
                  <c:v>Leistung [kWp]</c:v>
                </c:pt>
                <c:pt idx="1">
                  <c:v>Modulfläche [m2]</c:v>
                </c:pt>
              </c:strCache>
            </c:strRef>
          </c:cat>
          <c:val>
            <c:numRef>
              <c:f>PV_Varianten!$B$18:$C$18</c:f>
              <c:numCache>
                <c:formatCode>_(* #,##0.00_);_(* \(#,##0.00\);_(* "-"??_);_(@_)</c:formatCode>
                <c:ptCount val="2"/>
                <c:pt idx="0">
                  <c:v>944.13</c:v>
                </c:pt>
                <c:pt idx="1">
                  <c:v>4863.7</c:v>
                </c:pt>
              </c:numCache>
            </c:numRef>
          </c:val>
          <c:extLst>
            <c:ext xmlns:c16="http://schemas.microsoft.com/office/drawing/2014/chart" uri="{C3380CC4-5D6E-409C-BE32-E72D297353CC}">
              <c16:uniqueId val="{00000001-6E6E-424B-8054-EDF0BECE7166}"/>
            </c:ext>
          </c:extLst>
        </c:ser>
        <c:ser>
          <c:idx val="2"/>
          <c:order val="2"/>
          <c:tx>
            <c:strRef>
              <c:f>PV_Varianten!$A$25</c:f>
              <c:strCache>
                <c:ptCount val="1"/>
                <c:pt idx="0">
                  <c:v>Variante 3</c:v>
                </c:pt>
              </c:strCache>
            </c:strRef>
          </c:tx>
          <c:spPr>
            <a:solidFill>
              <a:srgbClr val="7ADCD7"/>
            </a:solidFill>
            <a:ln>
              <a:noFill/>
            </a:ln>
            <a:effectLst/>
          </c:spPr>
          <c:invertIfNegative val="0"/>
          <c:cat>
            <c:strRef>
              <c:f>PV_Varianten!$J$4:$K$4</c:f>
              <c:strCache>
                <c:ptCount val="2"/>
                <c:pt idx="0">
                  <c:v>Leistung [kWp]</c:v>
                </c:pt>
                <c:pt idx="1">
                  <c:v>Modulfläche [m2]</c:v>
                </c:pt>
              </c:strCache>
            </c:strRef>
          </c:cat>
          <c:val>
            <c:numRef>
              <c:f>PV_Varianten!$B$28:$C$28</c:f>
              <c:numCache>
                <c:formatCode>_(* #,##0.00_);_(* \(#,##0.00\);_(* "-"??_);_(@_)</c:formatCode>
                <c:ptCount val="2"/>
                <c:pt idx="0">
                  <c:v>944.13</c:v>
                </c:pt>
                <c:pt idx="1">
                  <c:v>4863.7</c:v>
                </c:pt>
              </c:numCache>
            </c:numRef>
          </c:val>
          <c:extLst>
            <c:ext xmlns:c16="http://schemas.microsoft.com/office/drawing/2014/chart" uri="{C3380CC4-5D6E-409C-BE32-E72D297353CC}">
              <c16:uniqueId val="{00000002-6E6E-424B-8054-EDF0BECE7166}"/>
            </c:ext>
          </c:extLst>
        </c:ser>
        <c:dLbls>
          <c:showLegendKey val="0"/>
          <c:showVal val="0"/>
          <c:showCatName val="0"/>
          <c:showSerName val="0"/>
          <c:showPercent val="0"/>
          <c:showBubbleSize val="0"/>
        </c:dLbls>
        <c:gapWidth val="219"/>
        <c:overlap val="-27"/>
        <c:axId val="539343768"/>
        <c:axId val="501443896"/>
      </c:barChart>
      <c:catAx>
        <c:axId val="539343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crossAx val="501443896"/>
        <c:crosses val="autoZero"/>
        <c:auto val="1"/>
        <c:lblAlgn val="ctr"/>
        <c:lblOffset val="100"/>
        <c:noMultiLvlLbl val="0"/>
      </c:catAx>
      <c:valAx>
        <c:axId val="501443896"/>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crossAx val="539343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4.xml"/><Relationship Id="rId10" Type="http://schemas.openxmlformats.org/officeDocument/2006/relationships/chart" Target="../charts/chart7.xml"/><Relationship Id="rId4" Type="http://schemas.openxmlformats.org/officeDocument/2006/relationships/image" Target="../media/image1.png"/><Relationship Id="rId9" Type="http://schemas.openxmlformats.org/officeDocument/2006/relationships/chart" Target="../charts/chart6.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21</xdr:col>
      <xdr:colOff>875146</xdr:colOff>
      <xdr:row>33</xdr:row>
      <xdr:rowOff>103909</xdr:rowOff>
    </xdr:from>
    <xdr:to>
      <xdr:col>27</xdr:col>
      <xdr:colOff>150091</xdr:colOff>
      <xdr:row>45</xdr:row>
      <xdr:rowOff>69273</xdr:rowOff>
    </xdr:to>
    <xdr:graphicFrame macro="">
      <xdr:nvGraphicFramePr>
        <xdr:cNvPr id="2" name="Diagramm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57</xdr:col>
      <xdr:colOff>281213</xdr:colOff>
      <xdr:row>81</xdr:row>
      <xdr:rowOff>86446</xdr:rowOff>
    </xdr:from>
    <xdr:to>
      <xdr:col>65</xdr:col>
      <xdr:colOff>90714</xdr:colOff>
      <xdr:row>102</xdr:row>
      <xdr:rowOff>90714</xdr:rowOff>
    </xdr:to>
    <xdr:graphicFrame macro="">
      <xdr:nvGraphicFramePr>
        <xdr:cNvPr id="6" name="Diagramm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69</xdr:col>
      <xdr:colOff>181429</xdr:colOff>
      <xdr:row>84</xdr:row>
      <xdr:rowOff>108856</xdr:rowOff>
    </xdr:from>
    <xdr:to>
      <xdr:col>74</xdr:col>
      <xdr:colOff>136072</xdr:colOff>
      <xdr:row>97</xdr:row>
      <xdr:rowOff>149410</xdr:rowOff>
    </xdr:to>
    <xdr:graphicFrame macro="">
      <xdr:nvGraphicFramePr>
        <xdr:cNvPr id="7" name="Diagramm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24</xdr:col>
      <xdr:colOff>279838</xdr:colOff>
      <xdr:row>82</xdr:row>
      <xdr:rowOff>18144</xdr:rowOff>
    </xdr:from>
    <xdr:to>
      <xdr:col>28</xdr:col>
      <xdr:colOff>208519</xdr:colOff>
      <xdr:row>103</xdr:row>
      <xdr:rowOff>27068</xdr:rowOff>
    </xdr:to>
    <xdr:pic>
      <xdr:nvPicPr>
        <xdr:cNvPr id="8" name="Grafik 7" descr="Optimale Dimensionierung von PV-Speichersystemen">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485052" y="10150930"/>
          <a:ext cx="4826469" cy="40277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150673</xdr:colOff>
      <xdr:row>123</xdr:row>
      <xdr:rowOff>114223</xdr:rowOff>
    </xdr:from>
    <xdr:to>
      <xdr:col>16</xdr:col>
      <xdr:colOff>558159</xdr:colOff>
      <xdr:row>143</xdr:row>
      <xdr:rowOff>4271</xdr:rowOff>
    </xdr:to>
    <xdr:graphicFrame macro="">
      <xdr:nvGraphicFramePr>
        <xdr:cNvPr id="3" name="Diagramm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24</xdr:col>
      <xdr:colOff>1064407</xdr:colOff>
      <xdr:row>108</xdr:row>
      <xdr:rowOff>82702</xdr:rowOff>
    </xdr:from>
    <xdr:to>
      <xdr:col>27</xdr:col>
      <xdr:colOff>82879</xdr:colOff>
      <xdr:row>121</xdr:row>
      <xdr:rowOff>113092</xdr:rowOff>
    </xdr:to>
    <xdr:pic>
      <xdr:nvPicPr>
        <xdr:cNvPr id="11" name="Grafik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6"/>
        <a:stretch>
          <a:fillRect/>
        </a:stretch>
      </xdr:blipFill>
      <xdr:spPr>
        <a:xfrm>
          <a:off x="34410190" y="20739528"/>
          <a:ext cx="2908182" cy="2448912"/>
        </a:xfrm>
        <a:prstGeom prst="rect">
          <a:avLst/>
        </a:prstGeom>
      </xdr:spPr>
    </xdr:pic>
    <xdr:clientData/>
  </xdr:twoCellAnchor>
  <xdr:oneCellAnchor>
    <xdr:from>
      <xdr:col>2</xdr:col>
      <xdr:colOff>223983</xdr:colOff>
      <xdr:row>34</xdr:row>
      <xdr:rowOff>132197</xdr:rowOff>
    </xdr:from>
    <xdr:ext cx="1516495" cy="381000"/>
    <mc:AlternateContent xmlns:mc="http://schemas.openxmlformats.org/markup-compatibility/2006" xmlns:a14="http://schemas.microsoft.com/office/drawing/2010/main">
      <mc:Choice Requires="a14">
        <xdr:sp macro="" textlink="">
          <xdr:nvSpPr>
            <xdr:cNvPr id="15" name="Textfeld 14">
              <a:extLst>
                <a:ext uri="{FF2B5EF4-FFF2-40B4-BE49-F238E27FC236}">
                  <a16:creationId xmlns:a16="http://schemas.microsoft.com/office/drawing/2014/main" id="{00000000-0008-0000-0000-00000F000000}"/>
                </a:ext>
              </a:extLst>
            </xdr:cNvPr>
            <xdr:cNvSpPr txBox="1"/>
          </xdr:nvSpPr>
          <xdr:spPr>
            <a:xfrm>
              <a:off x="4553528" y="6459106"/>
              <a:ext cx="1516495" cy="38100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left"/>
                  </m:oMathParaPr>
                  <m:oMath xmlns:m="http://schemas.openxmlformats.org/officeDocument/2006/math">
                    <m:sSub>
                      <m:sSubPr>
                        <m:ctrlPr>
                          <a:rPr lang="de-AT" sz="1100" i="1">
                            <a:latin typeface="Cambria Math" panose="02040503050406030204" pitchFamily="18" charset="0"/>
                          </a:rPr>
                        </m:ctrlPr>
                      </m:sSubPr>
                      <m:e>
                        <m:r>
                          <a:rPr lang="de-AT" sz="1100" b="0" i="1">
                            <a:latin typeface="Cambria Math" panose="02040503050406030204" pitchFamily="18" charset="0"/>
                          </a:rPr>
                          <m:t>𝑃</m:t>
                        </m:r>
                      </m:e>
                      <m:sub>
                        <m:r>
                          <a:rPr lang="de-AT" sz="1100" b="0" i="1">
                            <a:latin typeface="Cambria Math" panose="02040503050406030204" pitchFamily="18" charset="0"/>
                          </a:rPr>
                          <m:t>𝑃𝑉</m:t>
                        </m:r>
                        <m:r>
                          <a:rPr lang="de-DE" sz="1100" b="0" i="1">
                            <a:latin typeface="Cambria Math" panose="02040503050406030204" pitchFamily="18" charset="0"/>
                          </a:rPr>
                          <m:t>,</m:t>
                        </m:r>
                        <m:r>
                          <a:rPr lang="de-DE" sz="1100" b="0" i="1">
                            <a:latin typeface="Cambria Math" panose="02040503050406030204" pitchFamily="18" charset="0"/>
                          </a:rPr>
                          <m:t>𝑊𝑜h𝑛𝑒𝑛</m:t>
                        </m:r>
                      </m:sub>
                    </m:sSub>
                    <m:r>
                      <a:rPr lang="de-AT" sz="1100" b="0" i="1">
                        <a:latin typeface="Cambria Math" panose="02040503050406030204" pitchFamily="18" charset="0"/>
                      </a:rPr>
                      <m:t>=</m:t>
                    </m:r>
                    <m:f>
                      <m:fPr>
                        <m:ctrlPr>
                          <a:rPr lang="de-AT" sz="1100" b="0" i="1">
                            <a:latin typeface="Cambria Math" panose="02040503050406030204" pitchFamily="18" charset="0"/>
                          </a:rPr>
                        </m:ctrlPr>
                      </m:fPr>
                      <m:num>
                        <m:sSub>
                          <m:sSubPr>
                            <m:ctrlPr>
                              <a:rPr lang="de-AT" sz="1100" b="0" i="1">
                                <a:latin typeface="Cambria Math" panose="02040503050406030204" pitchFamily="18" charset="0"/>
                              </a:rPr>
                            </m:ctrlPr>
                          </m:sSubPr>
                          <m:e>
                            <m:r>
                              <a:rPr lang="de-AT" sz="1100" b="0" i="1">
                                <a:latin typeface="Cambria Math" panose="02040503050406030204" pitchFamily="18" charset="0"/>
                              </a:rPr>
                              <m:t>𝐵𝐺𝐹</m:t>
                            </m:r>
                          </m:e>
                          <m:sub>
                            <m:r>
                              <a:rPr lang="de-AT" sz="1100" b="0" i="1">
                                <a:latin typeface="Cambria Math" panose="02040503050406030204" pitchFamily="18" charset="0"/>
                              </a:rPr>
                              <m:t>𝑘𝑜𝑛𝑑</m:t>
                            </m:r>
                            <m:r>
                              <a:rPr lang="de-AT" sz="1100" b="0" i="1">
                                <a:latin typeface="Cambria Math" panose="02040503050406030204" pitchFamily="18" charset="0"/>
                              </a:rPr>
                              <m:t>.</m:t>
                            </m:r>
                          </m:sub>
                        </m:sSub>
                      </m:num>
                      <m:den>
                        <m:r>
                          <a:rPr lang="de-AT" sz="1100" b="0" i="1">
                            <a:latin typeface="Cambria Math" panose="02040503050406030204" pitchFamily="18" charset="0"/>
                          </a:rPr>
                          <m:t>300∗</m:t>
                        </m:r>
                        <m:sSub>
                          <m:sSubPr>
                            <m:ctrlPr>
                              <a:rPr lang="de-AT" sz="1100" b="0" i="1">
                                <a:latin typeface="Cambria Math" panose="02040503050406030204" pitchFamily="18" charset="0"/>
                              </a:rPr>
                            </m:ctrlPr>
                          </m:sSubPr>
                          <m:e>
                            <m:r>
                              <a:rPr lang="de-AT" sz="1100" b="0" i="1">
                                <a:latin typeface="Cambria Math" panose="02040503050406030204" pitchFamily="18" charset="0"/>
                              </a:rPr>
                              <m:t>𝑙</m:t>
                            </m:r>
                          </m:e>
                          <m:sub>
                            <m:r>
                              <a:rPr lang="de-AT" sz="1100" b="0" i="1">
                                <a:latin typeface="Cambria Math" panose="02040503050406030204" pitchFamily="18" charset="0"/>
                              </a:rPr>
                              <m:t>𝐶</m:t>
                            </m:r>
                          </m:sub>
                        </m:sSub>
                      </m:den>
                    </m:f>
                  </m:oMath>
                </m:oMathPara>
              </a14:m>
              <a:endParaRPr lang="de-AT" sz="1100"/>
            </a:p>
          </xdr:txBody>
        </xdr:sp>
      </mc:Choice>
      <mc:Fallback xmlns="">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4553528" y="6459106"/>
              <a:ext cx="1516495" cy="38100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de-AT" sz="1100" b="0" i="0">
                  <a:latin typeface="Cambria Math" panose="02040503050406030204" pitchFamily="18" charset="0"/>
                </a:rPr>
                <a:t>𝑃_(𝑃𝑉</a:t>
              </a:r>
              <a:r>
                <a:rPr lang="de-DE" sz="1100" b="0" i="0">
                  <a:latin typeface="Cambria Math" panose="02040503050406030204" pitchFamily="18" charset="0"/>
                </a:rPr>
                <a:t>,𝑊𝑜ℎ𝑛𝑒𝑛</a:t>
              </a:r>
              <a:r>
                <a:rPr lang="de-AT" sz="1100" b="0" i="0">
                  <a:latin typeface="Cambria Math" panose="02040503050406030204" pitchFamily="18" charset="0"/>
                </a:rPr>
                <a:t>)=〖𝐵𝐺𝐹〗_(𝑘𝑜𝑛𝑑.)/(300∗𝑙_𝐶 )</a:t>
              </a:r>
              <a:endParaRPr lang="de-AT" sz="1100"/>
            </a:p>
          </xdr:txBody>
        </xdr:sp>
      </mc:Fallback>
    </mc:AlternateContent>
    <xdr:clientData/>
  </xdr:oneCellAnchor>
  <xdr:oneCellAnchor>
    <xdr:from>
      <xdr:col>2</xdr:col>
      <xdr:colOff>69271</xdr:colOff>
      <xdr:row>40</xdr:row>
      <xdr:rowOff>115455</xdr:rowOff>
    </xdr:from>
    <xdr:ext cx="1708727" cy="415636"/>
    <mc:AlternateContent xmlns:mc="http://schemas.openxmlformats.org/markup-compatibility/2006" xmlns:a14="http://schemas.microsoft.com/office/drawing/2010/main">
      <mc:Choice Requires="a14">
        <xdr:sp macro="" textlink="">
          <xdr:nvSpPr>
            <xdr:cNvPr id="16" name="Textfeld 15">
              <a:extLst>
                <a:ext uri="{FF2B5EF4-FFF2-40B4-BE49-F238E27FC236}">
                  <a16:creationId xmlns:a16="http://schemas.microsoft.com/office/drawing/2014/main" id="{00000000-0008-0000-0000-000010000000}"/>
                </a:ext>
              </a:extLst>
            </xdr:cNvPr>
            <xdr:cNvSpPr txBox="1"/>
          </xdr:nvSpPr>
          <xdr:spPr>
            <a:xfrm>
              <a:off x="3590635" y="7585364"/>
              <a:ext cx="1708727" cy="41563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left"/>
                  </m:oMathParaPr>
                  <m:oMath xmlns:m="http://schemas.openxmlformats.org/officeDocument/2006/math">
                    <m:sSub>
                      <m:sSubPr>
                        <m:ctrlPr>
                          <a:rPr lang="de-AT" sz="1100" i="1">
                            <a:latin typeface="Cambria Math" panose="02040503050406030204" pitchFamily="18" charset="0"/>
                          </a:rPr>
                        </m:ctrlPr>
                      </m:sSubPr>
                      <m:e>
                        <m:r>
                          <a:rPr lang="de-AT" sz="1100" b="0" i="1">
                            <a:latin typeface="Cambria Math" panose="02040503050406030204" pitchFamily="18" charset="0"/>
                          </a:rPr>
                          <m:t>𝑃</m:t>
                        </m:r>
                      </m:e>
                      <m:sub>
                        <m:r>
                          <a:rPr lang="de-AT" sz="1100" b="0" i="1">
                            <a:latin typeface="Cambria Math" panose="02040503050406030204" pitchFamily="18" charset="0"/>
                          </a:rPr>
                          <m:t>𝑃𝑉</m:t>
                        </m:r>
                        <m:r>
                          <a:rPr lang="de-DE" sz="1100" b="0" i="1">
                            <a:latin typeface="Cambria Math" panose="02040503050406030204" pitchFamily="18" charset="0"/>
                          </a:rPr>
                          <m:t>,</m:t>
                        </m:r>
                        <m:r>
                          <a:rPr lang="de-DE" sz="1100" b="0" i="1">
                            <a:latin typeface="Cambria Math" panose="02040503050406030204" pitchFamily="18" charset="0"/>
                          </a:rPr>
                          <m:t>𝑁𝑖𝑐h𝑡</m:t>
                        </m:r>
                        <m:r>
                          <a:rPr lang="de-DE" sz="1100" b="0" i="1">
                            <a:latin typeface="Cambria Math" panose="02040503050406030204" pitchFamily="18" charset="0"/>
                          </a:rPr>
                          <m:t>−</m:t>
                        </m:r>
                        <m:r>
                          <a:rPr lang="de-DE" sz="1100" b="0" i="1">
                            <a:latin typeface="Cambria Math" panose="02040503050406030204" pitchFamily="18" charset="0"/>
                          </a:rPr>
                          <m:t>𝑊𝑜h𝑛𝑒𝑛</m:t>
                        </m:r>
                      </m:sub>
                    </m:sSub>
                    <m:r>
                      <a:rPr lang="de-AT" sz="1100" b="0" i="1">
                        <a:latin typeface="Cambria Math" panose="02040503050406030204" pitchFamily="18" charset="0"/>
                      </a:rPr>
                      <m:t>=</m:t>
                    </m:r>
                    <m:f>
                      <m:fPr>
                        <m:ctrlPr>
                          <a:rPr lang="de-AT" sz="1100" b="0" i="1">
                            <a:latin typeface="Cambria Math" panose="02040503050406030204" pitchFamily="18" charset="0"/>
                          </a:rPr>
                        </m:ctrlPr>
                      </m:fPr>
                      <m:num>
                        <m:sSub>
                          <m:sSubPr>
                            <m:ctrlPr>
                              <a:rPr lang="de-AT" sz="1100" b="0" i="1">
                                <a:latin typeface="Cambria Math" panose="02040503050406030204" pitchFamily="18" charset="0"/>
                              </a:rPr>
                            </m:ctrlPr>
                          </m:sSubPr>
                          <m:e>
                            <m:r>
                              <a:rPr lang="de-AT" sz="1100" b="0" i="1">
                                <a:latin typeface="Cambria Math" panose="02040503050406030204" pitchFamily="18" charset="0"/>
                              </a:rPr>
                              <m:t>𝐵𝐺𝐹</m:t>
                            </m:r>
                          </m:e>
                          <m:sub>
                            <m:r>
                              <a:rPr lang="de-AT" sz="1100" b="0" i="1">
                                <a:latin typeface="Cambria Math" panose="02040503050406030204" pitchFamily="18" charset="0"/>
                              </a:rPr>
                              <m:t>𝑘𝑜𝑛𝑑</m:t>
                            </m:r>
                            <m:r>
                              <a:rPr lang="de-AT" sz="1100" b="0" i="1">
                                <a:latin typeface="Cambria Math" panose="02040503050406030204" pitchFamily="18" charset="0"/>
                              </a:rPr>
                              <m:t>.</m:t>
                            </m:r>
                          </m:sub>
                        </m:sSub>
                      </m:num>
                      <m:den>
                        <m:r>
                          <a:rPr lang="de-DE" sz="1100" b="0" i="1">
                            <a:latin typeface="Cambria Math" panose="02040503050406030204" pitchFamily="18" charset="0"/>
                          </a:rPr>
                          <m:t>100</m:t>
                        </m:r>
                      </m:den>
                    </m:f>
                  </m:oMath>
                </m:oMathPara>
              </a14:m>
              <a:endParaRPr lang="de-AT" sz="1100"/>
            </a:p>
          </xdr:txBody>
        </xdr:sp>
      </mc:Choice>
      <mc:Fallback xmlns="">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3590635" y="7585364"/>
              <a:ext cx="1708727" cy="41563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de-AT" sz="1100" b="0" i="0">
                  <a:latin typeface="Cambria Math" panose="02040503050406030204" pitchFamily="18" charset="0"/>
                </a:rPr>
                <a:t>𝑃_(𝑃𝑉</a:t>
              </a:r>
              <a:r>
                <a:rPr lang="de-DE" sz="1100" b="0" i="0">
                  <a:latin typeface="Cambria Math" panose="02040503050406030204" pitchFamily="18" charset="0"/>
                </a:rPr>
                <a:t>,𝑁𝑖𝑐ℎ𝑡−𝑊𝑜ℎ𝑛𝑒𝑛</a:t>
              </a:r>
              <a:r>
                <a:rPr lang="de-AT" sz="1100" b="0" i="0">
                  <a:latin typeface="Cambria Math" panose="02040503050406030204" pitchFamily="18" charset="0"/>
                </a:rPr>
                <a:t>)=〖𝐵𝐺𝐹〗_(𝑘𝑜𝑛𝑑.)/</a:t>
              </a:r>
              <a:r>
                <a:rPr lang="de-DE" sz="1100" b="0" i="0">
                  <a:latin typeface="Cambria Math" panose="02040503050406030204" pitchFamily="18" charset="0"/>
                </a:rPr>
                <a:t>100</a:t>
              </a:r>
              <a:endParaRPr lang="de-AT" sz="1100"/>
            </a:p>
          </xdr:txBody>
        </xdr:sp>
      </mc:Fallback>
    </mc:AlternateContent>
    <xdr:clientData/>
  </xdr:oneCellAnchor>
  <xdr:twoCellAnchor>
    <xdr:from>
      <xdr:col>10</xdr:col>
      <xdr:colOff>168275</xdr:colOff>
      <xdr:row>54</xdr:row>
      <xdr:rowOff>83381</xdr:rowOff>
    </xdr:from>
    <xdr:to>
      <xdr:col>16</xdr:col>
      <xdr:colOff>55706</xdr:colOff>
      <xdr:row>75</xdr:row>
      <xdr:rowOff>11835</xdr:rowOff>
    </xdr:to>
    <xdr:graphicFrame macro="">
      <xdr:nvGraphicFramePr>
        <xdr:cNvPr id="17" name="Diagramm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868456</xdr:colOff>
      <xdr:row>97</xdr:row>
      <xdr:rowOff>102721</xdr:rowOff>
    </xdr:from>
    <xdr:to>
      <xdr:col>28</xdr:col>
      <xdr:colOff>112059</xdr:colOff>
      <xdr:row>97</xdr:row>
      <xdr:rowOff>121397</xdr:rowOff>
    </xdr:to>
    <xdr:cxnSp macro="">
      <xdr:nvCxnSpPr>
        <xdr:cNvPr id="12" name="Gerader Verbinder 11">
          <a:extLst>
            <a:ext uri="{FF2B5EF4-FFF2-40B4-BE49-F238E27FC236}">
              <a16:creationId xmlns:a16="http://schemas.microsoft.com/office/drawing/2014/main" id="{00000000-0008-0000-0000-00000C000000}"/>
            </a:ext>
          </a:extLst>
        </xdr:cNvPr>
        <xdr:cNvCxnSpPr/>
      </xdr:nvCxnSpPr>
      <xdr:spPr>
        <a:xfrm>
          <a:off x="33337500" y="17723971"/>
          <a:ext cx="3483162" cy="1867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19050</xdr:colOff>
      <xdr:row>117</xdr:row>
      <xdr:rowOff>139700</xdr:rowOff>
    </xdr:from>
    <xdr:to>
      <xdr:col>27</xdr:col>
      <xdr:colOff>349250</xdr:colOff>
      <xdr:row>117</xdr:row>
      <xdr:rowOff>165100</xdr:rowOff>
    </xdr:to>
    <xdr:cxnSp macro="">
      <xdr:nvCxnSpPr>
        <xdr:cNvPr id="19" name="Gerader Verbinder 18">
          <a:extLst>
            <a:ext uri="{FF2B5EF4-FFF2-40B4-BE49-F238E27FC236}">
              <a16:creationId xmlns:a16="http://schemas.microsoft.com/office/drawing/2014/main" id="{00000000-0008-0000-0000-000013000000}"/>
            </a:ext>
          </a:extLst>
        </xdr:cNvPr>
        <xdr:cNvCxnSpPr/>
      </xdr:nvCxnSpPr>
      <xdr:spPr>
        <a:xfrm flipV="1">
          <a:off x="34683700" y="21539200"/>
          <a:ext cx="2139950" cy="2540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10</xdr:col>
          <xdr:colOff>647700</xdr:colOff>
          <xdr:row>15</xdr:row>
          <xdr:rowOff>69850</xdr:rowOff>
        </xdr:from>
        <xdr:to>
          <xdr:col>11</xdr:col>
          <xdr:colOff>1720850</xdr:colOff>
          <xdr:row>17</xdr:row>
          <xdr:rowOff>95250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als Variante 1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635000</xdr:colOff>
          <xdr:row>17</xdr:row>
          <xdr:rowOff>165100</xdr:rowOff>
        </xdr:from>
        <xdr:to>
          <xdr:col>11</xdr:col>
          <xdr:colOff>1708150</xdr:colOff>
          <xdr:row>19</xdr:row>
          <xdr:rowOff>139700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als Variante 2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635000</xdr:colOff>
          <xdr:row>20</xdr:row>
          <xdr:rowOff>50800</xdr:rowOff>
        </xdr:from>
        <xdr:to>
          <xdr:col>11</xdr:col>
          <xdr:colOff>1708150</xdr:colOff>
          <xdr:row>22</xdr:row>
          <xdr:rowOff>25400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als Variante 3 übernehmen</a:t>
              </a:r>
            </a:p>
          </xdr:txBody>
        </xdr:sp>
        <xdr:clientData fPrintsWithSheet="0"/>
      </xdr:twoCellAnchor>
    </mc:Choice>
    <mc:Fallback/>
  </mc:AlternateContent>
  <xdr:twoCellAnchor editAs="oneCell">
    <xdr:from>
      <xdr:col>18</xdr:col>
      <xdr:colOff>0</xdr:colOff>
      <xdr:row>14</xdr:row>
      <xdr:rowOff>32328</xdr:rowOff>
    </xdr:from>
    <xdr:to>
      <xdr:col>18</xdr:col>
      <xdr:colOff>4431844</xdr:colOff>
      <xdr:row>29</xdr:row>
      <xdr:rowOff>6350</xdr:rowOff>
    </xdr:to>
    <xdr:pic>
      <xdr:nvPicPr>
        <xdr:cNvPr id="4" name="Grafik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8"/>
        <a:srcRect l="3372"/>
        <a:stretch/>
      </xdr:blipFill>
      <xdr:spPr>
        <a:xfrm>
          <a:off x="23406100" y="2762828"/>
          <a:ext cx="4425494" cy="3002972"/>
        </a:xfrm>
        <a:prstGeom prst="rect">
          <a:avLst/>
        </a:prstGeom>
      </xdr:spPr>
    </xdr:pic>
    <xdr:clientData/>
  </xdr:twoCellAnchor>
  <xdr:twoCellAnchor>
    <xdr:from>
      <xdr:col>19</xdr:col>
      <xdr:colOff>0</xdr:colOff>
      <xdr:row>14</xdr:row>
      <xdr:rowOff>34637</xdr:rowOff>
    </xdr:from>
    <xdr:to>
      <xdr:col>21</xdr:col>
      <xdr:colOff>647700</xdr:colOff>
      <xdr:row>19</xdr:row>
      <xdr:rowOff>127000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7876500" y="2765137"/>
          <a:ext cx="2794000" cy="11083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Die</a:t>
          </a:r>
          <a:r>
            <a:rPr lang="de-DE" sz="1200" baseline="0"/>
            <a:t> Kompaktheit = Oberfläche/beheiztes Bruttovolumen entspricht dem Kehrwert der charakterisitschen Länge. Für lc daher bitte den Kehrwert der Zahlen in der Grafik bilden.</a:t>
          </a:r>
          <a:endParaRPr lang="de-DE" sz="1200"/>
        </a:p>
      </xdr:txBody>
    </xdr:sp>
    <xdr:clientData/>
  </xdr:twoCellAnchor>
  <xdr:twoCellAnchor>
    <xdr:from>
      <xdr:col>5</xdr:col>
      <xdr:colOff>660110</xdr:colOff>
      <xdr:row>31</xdr:row>
      <xdr:rowOff>58881</xdr:rowOff>
    </xdr:from>
    <xdr:to>
      <xdr:col>8</xdr:col>
      <xdr:colOff>1104899</xdr:colOff>
      <xdr:row>43</xdr:row>
      <xdr:rowOff>93520</xdr:rowOff>
    </xdr:to>
    <xdr:graphicFrame macro="">
      <xdr:nvGraphicFramePr>
        <xdr:cNvPr id="9" name="Diagramm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276259</xdr:colOff>
      <xdr:row>56</xdr:row>
      <xdr:rowOff>29798</xdr:rowOff>
    </xdr:from>
    <xdr:to>
      <xdr:col>14</xdr:col>
      <xdr:colOff>685137</xdr:colOff>
      <xdr:row>57</xdr:row>
      <xdr:rowOff>82827</xdr:rowOff>
    </xdr:to>
    <xdr:graphicFrame macro="">
      <xdr:nvGraphicFramePr>
        <xdr:cNvPr id="18" name="Diagramm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6350</xdr:colOff>
      <xdr:row>3</xdr:row>
      <xdr:rowOff>95250</xdr:rowOff>
    </xdr:from>
    <xdr:to>
      <xdr:col>13</xdr:col>
      <xdr:colOff>54429</xdr:colOff>
      <xdr:row>10</xdr:row>
      <xdr:rowOff>40821</xdr:rowOff>
    </xdr:to>
    <xdr:sp macro="" textlink="">
      <xdr:nvSpPr>
        <xdr:cNvPr id="10" name="Textfeld 9">
          <a:extLst>
            <a:ext uri="{FF2B5EF4-FFF2-40B4-BE49-F238E27FC236}">
              <a16:creationId xmlns:a16="http://schemas.microsoft.com/office/drawing/2014/main" id="{EFC3AC82-07FE-4913-AF18-718A67631D5F}"/>
            </a:ext>
          </a:extLst>
        </xdr:cNvPr>
        <xdr:cNvSpPr txBox="1"/>
      </xdr:nvSpPr>
      <xdr:spPr>
        <a:xfrm>
          <a:off x="8755743" y="707571"/>
          <a:ext cx="11437257" cy="1211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u="sng"/>
            <a:t>Welche Fragen</a:t>
          </a:r>
          <a:r>
            <a:rPr lang="de-DE" sz="1100" b="1" u="sng" baseline="0"/>
            <a:t> werden in diesem Tool beantwortet?</a:t>
          </a:r>
        </a:p>
        <a:p>
          <a:r>
            <a:rPr lang="de-DE" sz="1100" b="1" baseline="0"/>
            <a:t>- Welche Anlagengröße ist laut Bauordnung mindestens erforderlich?</a:t>
          </a:r>
        </a:p>
        <a:p>
          <a:r>
            <a:rPr lang="de-DE" sz="1100" b="1" baseline="0"/>
            <a:t>- Welche Anlagengröße ist laut Potentialabschätzung maximal möglich?</a:t>
          </a:r>
        </a:p>
        <a:p>
          <a:r>
            <a:rPr lang="de-DE" sz="1100" b="1" baseline="0"/>
            <a:t>- Welche Anlagengröße resultiert in einem EIgenvebrauch &gt;90% und kann damit als wirtschaftlich sinnvoll betrachtet werden?</a:t>
          </a:r>
        </a:p>
        <a:p>
          <a:endParaRPr lang="de-DE" sz="1100" b="1" baseline="0"/>
        </a:p>
        <a:p>
          <a:r>
            <a:rPr lang="de-DE" sz="1100" b="1" baseline="0"/>
            <a:t>dabei werden Anlagengrößen in Form der Leistung [kWp] und in Quadratmetern Modul-/Dachfläche [m</a:t>
          </a:r>
          <a:r>
            <a:rPr lang="de-DE" sz="1100" b="1" baseline="30000"/>
            <a:t>2</a:t>
          </a:r>
          <a:r>
            <a:rPr lang="de-DE" sz="1100" b="1" baseline="0"/>
            <a:t>] angegeben.</a:t>
          </a:r>
          <a:endParaRPr lang="de-DE"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184314</xdr:colOff>
      <xdr:row>16</xdr:row>
      <xdr:rowOff>115702</xdr:rowOff>
    </xdr:from>
    <xdr:to>
      <xdr:col>16</xdr:col>
      <xdr:colOff>2101273</xdr:colOff>
      <xdr:row>30</xdr:row>
      <xdr:rowOff>49481</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207818</xdr:colOff>
      <xdr:row>72</xdr:row>
      <xdr:rowOff>54262</xdr:rowOff>
    </xdr:from>
    <xdr:to>
      <xdr:col>16</xdr:col>
      <xdr:colOff>2101273</xdr:colOff>
      <xdr:row>86</xdr:row>
      <xdr:rowOff>127001</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219363</xdr:colOff>
      <xdr:row>58</xdr:row>
      <xdr:rowOff>127001</xdr:rowOff>
    </xdr:from>
    <xdr:to>
      <xdr:col>16</xdr:col>
      <xdr:colOff>2090140</xdr:colOff>
      <xdr:row>70</xdr:row>
      <xdr:rowOff>173181</xdr:rowOff>
    </xdr:to>
    <xdr:graphicFrame macro="">
      <xdr:nvGraphicFramePr>
        <xdr:cNvPr id="6" name="Diagramm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4</xdr:row>
      <xdr:rowOff>0</xdr:rowOff>
    </xdr:from>
    <xdr:to>
      <xdr:col>16</xdr:col>
      <xdr:colOff>19957</xdr:colOff>
      <xdr:row>8</xdr:row>
      <xdr:rowOff>127000</xdr:rowOff>
    </xdr:to>
    <xdr:sp macro="" textlink="">
      <xdr:nvSpPr>
        <xdr:cNvPr id="7" name="Textfeld 6">
          <a:extLst>
            <a:ext uri="{FF2B5EF4-FFF2-40B4-BE49-F238E27FC236}">
              <a16:creationId xmlns:a16="http://schemas.microsoft.com/office/drawing/2014/main" id="{D72686A0-ECFC-4335-AEA8-D43BD718CD06}"/>
            </a:ext>
          </a:extLst>
        </xdr:cNvPr>
        <xdr:cNvSpPr txBox="1"/>
      </xdr:nvSpPr>
      <xdr:spPr>
        <a:xfrm>
          <a:off x="6238875" y="801688"/>
          <a:ext cx="11434082" cy="8651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u="sng"/>
            <a:t>Welche Fragen</a:t>
          </a:r>
          <a:r>
            <a:rPr lang="de-DE" sz="1100" b="1" u="sng" baseline="0"/>
            <a:t> werden in diesem Tool beantwortet?</a:t>
          </a:r>
        </a:p>
        <a:p>
          <a:r>
            <a:rPr lang="de-DE" sz="1100" b="1" baseline="0"/>
            <a:t>- Welche Sondenanzahl, -abstand und entsprechende Grundfläche sind erforderlich?</a:t>
          </a:r>
        </a:p>
        <a:p>
          <a:r>
            <a:rPr lang="de-DE" sz="1100" b="1" baseline="0"/>
            <a:t>- Ist demnach eine reine Versorgung über eine Wärmepumpe und Erdsonden möglich?</a:t>
          </a:r>
        </a:p>
        <a:p>
          <a:r>
            <a:rPr lang="de-DE" sz="1100" b="1" baseline="0"/>
            <a:t>- Wie sieht voraussichtlich die Balance im Erdreich dabei aus (erste Schätzung)?</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315923</xdr:colOff>
      <xdr:row>12</xdr:row>
      <xdr:rowOff>47331</xdr:rowOff>
    </xdr:from>
    <xdr:to>
      <xdr:col>9</xdr:col>
      <xdr:colOff>1764630</xdr:colOff>
      <xdr:row>19</xdr:row>
      <xdr:rowOff>140805</xdr:rowOff>
    </xdr:to>
    <xdr:sp macro="" textlink="">
      <xdr:nvSpPr>
        <xdr:cNvPr id="2" name="Textfeld 1">
          <a:extLst>
            <a:ext uri="{FF2B5EF4-FFF2-40B4-BE49-F238E27FC236}">
              <a16:creationId xmlns:a16="http://schemas.microsoft.com/office/drawing/2014/main" id="{00000000-0008-0000-0200-000002000000}"/>
            </a:ext>
          </a:extLst>
        </xdr:cNvPr>
        <xdr:cNvSpPr txBox="1"/>
      </xdr:nvSpPr>
      <xdr:spPr>
        <a:xfrm>
          <a:off x="315923" y="2267070"/>
          <a:ext cx="9400011" cy="1368996"/>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Die hier angegebenen Daten werden für die Berechnung im Photovoltaik-Tabellenblatt, und im Erdsonden-Tabellenblatt</a:t>
          </a:r>
          <a:r>
            <a:rPr lang="de-DE" sz="1100" baseline="0"/>
            <a:t> verwendet. Für die manuelle Angabe des lc Wertes kann die Grafik im Berechnungsbereich rechts zur Hilfe genommen werden. </a:t>
          </a:r>
        </a:p>
        <a:p>
          <a:r>
            <a:rPr lang="de-DE" sz="1100" baseline="0"/>
            <a:t>Nach vollständiger Angabe aller relevanten Werte (auch Angabe zur Dach und Fassadenfläche), werden die berechneten Daten automatisch in die nebenstehende Übersichtstabelle übernommen.</a:t>
          </a:r>
          <a:br>
            <a:rPr lang="de-DE" sz="1100" baseline="0"/>
          </a:br>
          <a:r>
            <a:rPr lang="de-DE" sz="1100" baseline="0"/>
            <a:t>Für die Übernahme in das Blatt PV_Varianten, können die Buttons genutzt werden. Dafür müssen Makros aktiviert sein (Datei &gt; Optionen &gt; Trust Center &gt; Einstellungen für ... &gt; Makroeinstellungen &gt; Alle aktivieren) . Alternativ können die Werte auch manuell (durch kopieren und einfügen der </a:t>
          </a:r>
          <a:r>
            <a:rPr lang="de-DE" sz="1100" b="1" baseline="0"/>
            <a:t>Werte - nicht Formeln</a:t>
          </a:r>
          <a:r>
            <a:rPr lang="de-DE" sz="1100" b="0" baseline="0"/>
            <a:t>) übernommen werden.</a:t>
          </a:r>
          <a:endParaRPr lang="de-DE" sz="1100" baseline="0"/>
        </a:p>
      </xdr:txBody>
    </xdr:sp>
    <xdr:clientData/>
  </xdr:twoCellAnchor>
  <xdr:twoCellAnchor>
    <xdr:from>
      <xdr:col>0</xdr:col>
      <xdr:colOff>353786</xdr:colOff>
      <xdr:row>6</xdr:row>
      <xdr:rowOff>90717</xdr:rowOff>
    </xdr:from>
    <xdr:to>
      <xdr:col>9</xdr:col>
      <xdr:colOff>1850571</xdr:colOff>
      <xdr:row>9</xdr:row>
      <xdr:rowOff>54429</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353786" y="1197431"/>
          <a:ext cx="9452428" cy="507998"/>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Die Eingabe erfolgt im linken Bereich, rechts daneben erfolgt die Ausgabe. Für Verändern der Berechnung, Darstellug oder "typischen/durchschnittlichen Faktoren" kann der Bereich "Berechnungen" rechts verändert werden.</a:t>
          </a:r>
        </a:p>
      </xdr:txBody>
    </xdr:sp>
    <xdr:clientData/>
  </xdr:twoCellAnchor>
  <xdr:twoCellAnchor>
    <xdr:from>
      <xdr:col>0</xdr:col>
      <xdr:colOff>297542</xdr:colOff>
      <xdr:row>21</xdr:row>
      <xdr:rowOff>97974</xdr:rowOff>
    </xdr:from>
    <xdr:to>
      <xdr:col>9</xdr:col>
      <xdr:colOff>1739899</xdr:colOff>
      <xdr:row>27</xdr:row>
      <xdr:rowOff>79830</xdr:rowOff>
    </xdr:to>
    <xdr:sp macro="" textlink="">
      <xdr:nvSpPr>
        <xdr:cNvPr id="4" name="Textfeld 3">
          <a:extLst>
            <a:ext uri="{FF2B5EF4-FFF2-40B4-BE49-F238E27FC236}">
              <a16:creationId xmlns:a16="http://schemas.microsoft.com/office/drawing/2014/main" id="{00000000-0008-0000-0200-000004000000}"/>
            </a:ext>
          </a:extLst>
        </xdr:cNvPr>
        <xdr:cNvSpPr txBox="1"/>
      </xdr:nvSpPr>
      <xdr:spPr>
        <a:xfrm>
          <a:off x="297542" y="3935188"/>
          <a:ext cx="9398000" cy="1070428"/>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Die Berechnung erfolgt entsprechend der angegebenen Formeln im Eingabebereich. Im Ausgabebereich werden dann die zu installierende Leistung und entsprechende PV Fläche angegeben. Dabei ist zu beachten, dass als Modulgröße und Leistung jene Werte herangezogen werden, die im Bereich C58:C60 für Dachnutzung eingegeben sind. Dementsprechend wird hier auch mit einem Ertrag von 950 kWh/kWp (für Dachnutzung) gerechnet.</a:t>
          </a:r>
          <a:br>
            <a:rPr lang="de-DE" sz="1100" baseline="0"/>
          </a:br>
          <a:r>
            <a:rPr lang="de-DE" sz="1100" baseline="0"/>
            <a:t>Die theoretisch notwendige Modulfläche stellt dabei jene Fläche dar, die mindestens installiert werden muss; die tatsächliche Modulfläche stellt jene nach Aufrunden auf ganze Module dar.</a:t>
          </a:r>
        </a:p>
      </xdr:txBody>
    </xdr:sp>
    <xdr:clientData/>
  </xdr:twoCellAnchor>
  <xdr:twoCellAnchor>
    <xdr:from>
      <xdr:col>0</xdr:col>
      <xdr:colOff>286656</xdr:colOff>
      <xdr:row>30</xdr:row>
      <xdr:rowOff>114303</xdr:rowOff>
    </xdr:from>
    <xdr:to>
      <xdr:col>9</xdr:col>
      <xdr:colOff>1729013</xdr:colOff>
      <xdr:row>35</xdr:row>
      <xdr:rowOff>90714</xdr:rowOff>
    </xdr:to>
    <xdr:sp macro="" textlink="">
      <xdr:nvSpPr>
        <xdr:cNvPr id="5" name="Textfeld 4">
          <a:extLst>
            <a:ext uri="{FF2B5EF4-FFF2-40B4-BE49-F238E27FC236}">
              <a16:creationId xmlns:a16="http://schemas.microsoft.com/office/drawing/2014/main" id="{00000000-0008-0000-0200-000005000000}"/>
            </a:ext>
          </a:extLst>
        </xdr:cNvPr>
        <xdr:cNvSpPr txBox="1"/>
      </xdr:nvSpPr>
      <xdr:spPr>
        <a:xfrm>
          <a:off x="286656" y="5593446"/>
          <a:ext cx="9398000" cy="883554"/>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Nach Angabe der verfügbaren Dachfläche und der verfügbaren Fassadenfläche, werden jeweils über Faktoren die tatsächlich nutzbaren Flächen berechnet (siehe auch Hinweise). Diese Flächen werden für die Abschätzung herangezogen. Bei Bedarf können die Faktoren in den Zellen T55 und T58,T59 verändert werden.</a:t>
          </a:r>
          <a:br>
            <a:rPr lang="de-DE" sz="1100" baseline="0"/>
          </a:br>
          <a:r>
            <a:rPr lang="de-DE" sz="1100" baseline="0"/>
            <a:t>Hier werden die maximal installierbare Leistung und Modulfläche am Dach, der Fassade und Gesamt ausgegeben. Dabei wird für den Ertrag auf der Fassade ein geringerer Wert (750 kWh/kWp) angenommen, als am Dach.</a:t>
          </a:r>
        </a:p>
      </xdr:txBody>
    </xdr:sp>
    <xdr:clientData/>
  </xdr:twoCellAnchor>
  <xdr:twoCellAnchor>
    <xdr:from>
      <xdr:col>0</xdr:col>
      <xdr:colOff>239484</xdr:colOff>
      <xdr:row>37</xdr:row>
      <xdr:rowOff>157846</xdr:rowOff>
    </xdr:from>
    <xdr:to>
      <xdr:col>9</xdr:col>
      <xdr:colOff>1681841</xdr:colOff>
      <xdr:row>45</xdr:row>
      <xdr:rowOff>27214</xdr:rowOff>
    </xdr:to>
    <xdr:sp macro="" textlink="">
      <xdr:nvSpPr>
        <xdr:cNvPr id="6" name="Textfeld 5">
          <a:extLst>
            <a:ext uri="{FF2B5EF4-FFF2-40B4-BE49-F238E27FC236}">
              <a16:creationId xmlns:a16="http://schemas.microsoft.com/office/drawing/2014/main" id="{00000000-0008-0000-0200-000006000000}"/>
            </a:ext>
          </a:extLst>
        </xdr:cNvPr>
        <xdr:cNvSpPr txBox="1"/>
      </xdr:nvSpPr>
      <xdr:spPr>
        <a:xfrm>
          <a:off x="239484" y="6897917"/>
          <a:ext cx="9398000" cy="132079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Auf Basis der Potentialabschätzung und typischer Strombedarfe wird hier der entsprechende Eigenverbrauch ausgegeben. Die PV-Anlagengröße und der Strombedarf können jedoch auch manuell in die Zellen C81 und C86 eingetragen werden, wenn der Eigenverbrauch für eine alternative Anlage berechnet werden soll oder bereits Werte zum Strombedarf verfügbar sind. Bei der Angabe einer Wärmepumpennutzung wird der Strombedarf um typische Werte erhöht, ebenso bei Nutzung von Betonkernaktivierung (rechnerisch wird von einer Speicherkapazität von 0,5kWh/MWh laut Grafik im Bereich Y82:AC101 ausgegangen).</a:t>
          </a:r>
          <a:br>
            <a:rPr lang="de-DE" sz="1100" baseline="0"/>
          </a:br>
          <a:r>
            <a:rPr lang="de-DE" sz="1100" baseline="0"/>
            <a:t>Falls ein bestimmter Eigenverbrauch das Ziel ist (C93), kann auch auf die entsprechende Anlagengröße rückgerechnet werden. Hier ist es auch möglich die gewünschte Flächenaufteilung (Dach/Fassade) der Anlagen mit den erwünschten EIgenverbrauch anzugeben. Für den Flächenbedarf der PV auf der Fassade wird ein Faktor von 1,36 angenommen, um den geringeren Ertrag pro m</a:t>
          </a:r>
          <a:r>
            <a:rPr lang="de-DE" sz="1100" baseline="30000"/>
            <a:t>2</a:t>
          </a:r>
          <a:r>
            <a:rPr lang="de-DE" sz="1100" baseline="0"/>
            <a:t> Modul im Vergleich zum Dach auszugleichen.</a:t>
          </a:r>
        </a:p>
        <a:p>
          <a:endParaRPr lang="de-DE" sz="1100" baseline="0"/>
        </a:p>
      </xdr:txBody>
    </xdr:sp>
    <xdr:clientData/>
  </xdr:twoCellAnchor>
  <xdr:twoCellAnchor>
    <xdr:from>
      <xdr:col>0</xdr:col>
      <xdr:colOff>264884</xdr:colOff>
      <xdr:row>48</xdr:row>
      <xdr:rowOff>1816</xdr:rowOff>
    </xdr:from>
    <xdr:to>
      <xdr:col>9</xdr:col>
      <xdr:colOff>1707241</xdr:colOff>
      <xdr:row>51</xdr:row>
      <xdr:rowOff>127000</xdr:rowOff>
    </xdr:to>
    <xdr:sp macro="" textlink="">
      <xdr:nvSpPr>
        <xdr:cNvPr id="7" name="Textfeld 6">
          <a:extLst>
            <a:ext uri="{FF2B5EF4-FFF2-40B4-BE49-F238E27FC236}">
              <a16:creationId xmlns:a16="http://schemas.microsoft.com/office/drawing/2014/main" id="{00000000-0008-0000-0200-000007000000}"/>
            </a:ext>
          </a:extLst>
        </xdr:cNvPr>
        <xdr:cNvSpPr txBox="1"/>
      </xdr:nvSpPr>
      <xdr:spPr>
        <a:xfrm>
          <a:off x="264884" y="8737602"/>
          <a:ext cx="9398000" cy="66946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Zum besseren Vergleich wird auch noch der Autarkiegrad auf Basis der Grafik im Berechnungsbereich angegeben (siehe auch Hinweise). Die Angaben zur Wärmepumpennutzung und zur Betonkernaktivierung werden von oben übernommen.</a:t>
          </a:r>
        </a:p>
        <a:p>
          <a:endParaRPr lang="de-DE" sz="1100" baseline="0"/>
        </a:p>
      </xdr:txBody>
    </xdr:sp>
    <xdr:clientData/>
  </xdr:twoCellAnchor>
  <xdr:twoCellAnchor>
    <xdr:from>
      <xdr:col>0</xdr:col>
      <xdr:colOff>299355</xdr:colOff>
      <xdr:row>54</xdr:row>
      <xdr:rowOff>1</xdr:rowOff>
    </xdr:from>
    <xdr:to>
      <xdr:col>9</xdr:col>
      <xdr:colOff>1741712</xdr:colOff>
      <xdr:row>62</xdr:row>
      <xdr:rowOff>90713</xdr:rowOff>
    </xdr:to>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299355" y="9824358"/>
          <a:ext cx="9398000" cy="1542141"/>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Die Wirtschaftlichkeit wird über einen Zeitraum von 25 Jahren betrachtet. Wird "unwirtschaftlich" als Ergebnis ausgegeben entspricht das daher einer Ammortisationsdauer von mehr als 25 Jahren.</a:t>
          </a:r>
          <a:br>
            <a:rPr lang="de-DE" sz="1100" baseline="0"/>
          </a:br>
          <a:r>
            <a:rPr lang="de-DE" sz="1100" baseline="0"/>
            <a:t>Zu beachten: ohne alternative Angabe zur Anlagengröße im Bereich "Eigenverbauch" wird mit der maximlen Anlagengröße, also der Potentialabschätzung und den tatsächlichen Ertragswerten (inkl. der Unterscheidung von Fassadenanteil und Dachanteil) gerechnet. Bei einer alternativen Angabe wird hier für die Berechnung des Jahresertrags jedoch mit einem Ertrag von 1000 kWh/kWp (reine Dachanlage) gerechnet, wodurch der die EInsparungen durch den Eigenverbrauch entsprechend höher angesetzt sind, als es bei einer Fassadenanlage der Fall wäre. </a:t>
          </a:r>
        </a:p>
        <a:p>
          <a:r>
            <a:rPr lang="de-DE" sz="1100" baseline="0"/>
            <a:t>Die Angaben zu Investitionsförderung und EInspeisetarif (-förderung?) können manuell vorgenommen werden. Im Moment sind durchschnittliche Werte hinterlegt, die auch im Bereich AF126:AF132 zu finden sind.</a:t>
          </a:r>
        </a:p>
        <a:p>
          <a:endParaRPr lang="de-DE" sz="1100" baseline="0"/>
        </a:p>
      </xdr:txBody>
    </xdr:sp>
    <xdr:clientData/>
  </xdr:twoCellAnchor>
  <xdr:twoCellAnchor>
    <xdr:from>
      <xdr:col>0</xdr:col>
      <xdr:colOff>261472</xdr:colOff>
      <xdr:row>67</xdr:row>
      <xdr:rowOff>1578</xdr:rowOff>
    </xdr:from>
    <xdr:to>
      <xdr:col>9</xdr:col>
      <xdr:colOff>1710179</xdr:colOff>
      <xdr:row>71</xdr:row>
      <xdr:rowOff>107260</xdr:rowOff>
    </xdr:to>
    <xdr:sp macro="" textlink="">
      <xdr:nvSpPr>
        <xdr:cNvPr id="9" name="Textfeld 8">
          <a:extLst>
            <a:ext uri="{FF2B5EF4-FFF2-40B4-BE49-F238E27FC236}">
              <a16:creationId xmlns:a16="http://schemas.microsoft.com/office/drawing/2014/main" id="{00000000-0008-0000-0200-000009000000}"/>
            </a:ext>
          </a:extLst>
        </xdr:cNvPr>
        <xdr:cNvSpPr txBox="1"/>
      </xdr:nvSpPr>
      <xdr:spPr>
        <a:xfrm>
          <a:off x="261472" y="12259839"/>
          <a:ext cx="9400011" cy="834551"/>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Die Flächen werden dabei aus dem PV Blatt übernommen. Über spezifische Werte werden Lasten hochgerechnet, die zur Auslegung der Wärmepumpe und der Erdsonden dienen. Hier wird von einer 100%igen Deckung durch Erdsonden (+ Wärmepumpe) ausgegangen. </a:t>
          </a:r>
        </a:p>
        <a:p>
          <a:r>
            <a:rPr lang="de-DE" sz="1100" baseline="0"/>
            <a:t>Das Warmwasser wird hierbei dem Heizfall zugerechnet </a:t>
          </a:r>
          <a:r>
            <a:rPr lang="de-DE" sz="1100" baseline="0">
              <a:solidFill>
                <a:sysClr val="windowText" lastClr="000000"/>
              </a:solidFill>
            </a:rPr>
            <a:t>da der Heizfall bei Wohnutzung typischerweise den kritischeren Fall darstellt. COP Werte können manuell eingegeben werden, sonst werden typische angenommen.</a:t>
          </a:r>
        </a:p>
      </xdr:txBody>
    </xdr:sp>
    <xdr:clientData/>
  </xdr:twoCellAnchor>
  <xdr:twoCellAnchor>
    <xdr:from>
      <xdr:col>0</xdr:col>
      <xdr:colOff>215898</xdr:colOff>
      <xdr:row>73</xdr:row>
      <xdr:rowOff>88901</xdr:rowOff>
    </xdr:from>
    <xdr:to>
      <xdr:col>9</xdr:col>
      <xdr:colOff>1669143</xdr:colOff>
      <xdr:row>78</xdr:row>
      <xdr:rowOff>163286</xdr:rowOff>
    </xdr:to>
    <xdr:sp macro="" textlink="">
      <xdr:nvSpPr>
        <xdr:cNvPr id="10" name="Textfeld 9">
          <a:extLst>
            <a:ext uri="{FF2B5EF4-FFF2-40B4-BE49-F238E27FC236}">
              <a16:creationId xmlns:a16="http://schemas.microsoft.com/office/drawing/2014/main" id="{00000000-0008-0000-0200-00000A000000}"/>
            </a:ext>
          </a:extLst>
        </xdr:cNvPr>
        <xdr:cNvSpPr txBox="1"/>
      </xdr:nvSpPr>
      <xdr:spPr>
        <a:xfrm>
          <a:off x="215898" y="13387615"/>
          <a:ext cx="9408888" cy="981528"/>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Die Berechnung der Sondenanzahl erfolgt über die Berechnung der erforderlichen Wärmeentzugsleistung bzw. Wärmeabgabeleistung im Heiz-/Kühlfall. Dafür werden typische COP Werte, eine mögliche Sondenlänge und Entzugsleistungen pro Laufmeter Sonde angenommen (die auch manuell angegeben werden können).</a:t>
          </a:r>
          <a:br>
            <a:rPr lang="de-DE" sz="1100" baseline="0"/>
          </a:br>
          <a:r>
            <a:rPr lang="de-DE" sz="1100" baseline="0"/>
            <a:t>Es kann außerdem gewählt werden, ob im Wohnbau eine aktive Kühlung, oder eine Temperierung (Direct Cooling) erfolgen soll, da hier (derzeit) laut Bauordnung eigentlich keine Kühlung vorgesehen ist.</a:t>
          </a:r>
          <a:endParaRPr lang="de-DE" sz="1100" baseline="0">
            <a:solidFill>
              <a:sysClr val="windowText" lastClr="000000"/>
            </a:solidFill>
          </a:endParaRPr>
        </a:p>
      </xdr:txBody>
    </xdr:sp>
    <xdr:clientData/>
  </xdr:twoCellAnchor>
  <xdr:twoCellAnchor>
    <xdr:from>
      <xdr:col>0</xdr:col>
      <xdr:colOff>223155</xdr:colOff>
      <xdr:row>81</xdr:row>
      <xdr:rowOff>141515</xdr:rowOff>
    </xdr:from>
    <xdr:to>
      <xdr:col>9</xdr:col>
      <xdr:colOff>1676400</xdr:colOff>
      <xdr:row>87</xdr:row>
      <xdr:rowOff>34472</xdr:rowOff>
    </xdr:to>
    <xdr:sp macro="" textlink="">
      <xdr:nvSpPr>
        <xdr:cNvPr id="11" name="Textfeld 10">
          <a:extLst>
            <a:ext uri="{FF2B5EF4-FFF2-40B4-BE49-F238E27FC236}">
              <a16:creationId xmlns:a16="http://schemas.microsoft.com/office/drawing/2014/main" id="{00000000-0008-0000-0200-00000B000000}"/>
            </a:ext>
          </a:extLst>
        </xdr:cNvPr>
        <xdr:cNvSpPr txBox="1"/>
      </xdr:nvSpPr>
      <xdr:spPr>
        <a:xfrm>
          <a:off x="223155" y="14891658"/>
          <a:ext cx="9408888" cy="981528"/>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aseline="0"/>
            <a:t>Eine Darstellung der energetischen Bedarfe soll zeigen, wie die Situation im Erdreich sich aufgrund der Wärmepumpe gestaltet. Der Differenzwert zeigt, ob über eine Saison hinweg mehr Wärme entzogen, oder abgegeben wird. Liegt der prozentuelle Wert zwischen 0 und 50, also die Regeneration bei mind. 50%, so kann ein Abstand von 7m angenommen werden.</a:t>
          </a:r>
          <a:r>
            <a:rPr lang="de-DE" sz="1100" baseline="0">
              <a:solidFill>
                <a:sysClr val="windowText" lastClr="000000"/>
              </a:solidFill>
            </a:rPr>
            <a:t> SOnst wird ein Abstand von 15m</a:t>
          </a:r>
          <a:r>
            <a:rPr lang="de-DE" sz="1100" baseline="0"/>
            <a:t>. Daraus errechnet sich der Flächenbedarf für die Erdsonden.</a:t>
          </a:r>
          <a:endParaRPr lang="de-DE" sz="1100" baseline="0">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553356</xdr:colOff>
      <xdr:row>25</xdr:row>
      <xdr:rowOff>181643</xdr:rowOff>
    </xdr:from>
    <xdr:to>
      <xdr:col>8</xdr:col>
      <xdr:colOff>197325</xdr:colOff>
      <xdr:row>39</xdr:row>
      <xdr:rowOff>108857</xdr:rowOff>
    </xdr:to>
    <xdr:graphicFrame macro="">
      <xdr:nvGraphicFramePr>
        <xdr:cNvPr id="2" name="Diagramm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553357</xdr:colOff>
      <xdr:row>13</xdr:row>
      <xdr:rowOff>163286</xdr:rowOff>
    </xdr:from>
    <xdr:to>
      <xdr:col>8</xdr:col>
      <xdr:colOff>208642</xdr:colOff>
      <xdr:row>25</xdr:row>
      <xdr:rowOff>196850</xdr:rowOff>
    </xdr:to>
    <xdr:graphicFrame macro="">
      <xdr:nvGraphicFramePr>
        <xdr:cNvPr id="3" name="Diagramm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557892</xdr:colOff>
      <xdr:row>3</xdr:row>
      <xdr:rowOff>111578</xdr:rowOff>
    </xdr:from>
    <xdr:to>
      <xdr:col>8</xdr:col>
      <xdr:colOff>208643</xdr:colOff>
      <xdr:row>13</xdr:row>
      <xdr:rowOff>172356</xdr:rowOff>
    </xdr:to>
    <xdr:graphicFrame macro="">
      <xdr:nvGraphicFramePr>
        <xdr:cNvPr id="9" name="Diagramm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www.verbraucherzentrale.nrw/sites/default/files/2019-03/VZNRW_HTW-BERLIN_PV-Wirtschaftlichkeit.pdf" TargetMode="External"/><Relationship Id="rId1" Type="http://schemas.openxmlformats.org/officeDocument/2006/relationships/hyperlink" Target="https://pvaustria.at/sonnenklar_rechner/"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88E70-0ADA-46B3-B4D8-BD3A5C349944}">
  <sheetPr codeName="Tabelle1"/>
  <dimension ref="A1:BR169"/>
  <sheetViews>
    <sheetView topLeftCell="A43" zoomScale="70" zoomScaleNormal="70" workbookViewId="0">
      <selection activeCell="T47" sqref="T47"/>
    </sheetView>
  </sheetViews>
  <sheetFormatPr baseColWidth="10" defaultRowHeight="14.5" x14ac:dyDescent="0.35"/>
  <cols>
    <col min="1" max="1" width="4.90625" customWidth="1"/>
    <col min="2" max="2" width="57.453125" customWidth="1"/>
    <col min="3" max="3" width="26.08984375" customWidth="1"/>
    <col min="4" max="4" width="26.1796875" style="10" customWidth="1"/>
    <col min="5" max="5" width="1.1796875" style="82" customWidth="1"/>
    <col min="6" max="6" width="9.54296875" customWidth="1"/>
    <col min="7" max="7" width="57.81640625" customWidth="1"/>
    <col min="8" max="8" width="16.7265625" customWidth="1"/>
    <col min="9" max="9" width="16" bestFit="1" customWidth="1"/>
    <col min="10" max="10" width="8.7265625" customWidth="1"/>
    <col min="12" max="12" width="30.81640625" customWidth="1"/>
    <col min="13" max="13" width="23.81640625" bestFit="1" customWidth="1"/>
    <col min="15" max="15" width="12.36328125" customWidth="1"/>
    <col min="17" max="17" width="10.90625" style="10"/>
    <col min="18" max="18" width="1.81640625" style="82" customWidth="1"/>
    <col min="19" max="19" width="63.90625" customWidth="1"/>
    <col min="20" max="20" width="17.54296875" customWidth="1"/>
    <col min="21" max="21" width="15.36328125" customWidth="1"/>
    <col min="22" max="22" width="17.08984375" customWidth="1"/>
    <col min="23" max="23" width="17.7265625" customWidth="1"/>
    <col min="24" max="24" width="16.36328125" customWidth="1"/>
    <col min="25" max="25" width="20.26953125" customWidth="1"/>
    <col min="26" max="26" width="18.6328125" customWidth="1"/>
    <col min="27" max="27" width="16.453125" customWidth="1"/>
    <col min="28" max="28" width="14.453125" bestFit="1" customWidth="1"/>
    <col min="31" max="31" width="23.7265625" bestFit="1" customWidth="1"/>
    <col min="33" max="33" width="35.90625" bestFit="1" customWidth="1"/>
  </cols>
  <sheetData>
    <row r="1" spans="1:33" s="38" customFormat="1" ht="20" customHeight="1" x14ac:dyDescent="0.35">
      <c r="B1" s="39" t="s">
        <v>111</v>
      </c>
      <c r="C1" s="37"/>
      <c r="D1" s="78"/>
      <c r="E1" s="84"/>
      <c r="F1" s="84"/>
      <c r="Q1" s="84"/>
      <c r="R1" s="116"/>
      <c r="S1" s="84"/>
    </row>
    <row r="2" spans="1:33" x14ac:dyDescent="0.35">
      <c r="B2" s="8"/>
      <c r="C2" s="8"/>
      <c r="D2" s="79"/>
      <c r="E2" s="10"/>
      <c r="F2" s="10"/>
      <c r="R2" s="10"/>
      <c r="S2" s="10"/>
    </row>
    <row r="3" spans="1:33" s="1" customFormat="1" x14ac:dyDescent="0.35">
      <c r="B3" s="1" t="s">
        <v>18</v>
      </c>
      <c r="C3" s="60"/>
      <c r="D3" s="80"/>
      <c r="E3" s="68"/>
      <c r="F3" s="68"/>
      <c r="Q3" s="68"/>
      <c r="R3" s="68"/>
      <c r="S3" s="68"/>
    </row>
    <row r="4" spans="1:33" s="40" customFormat="1" x14ac:dyDescent="0.35">
      <c r="B4" t="s">
        <v>352</v>
      </c>
      <c r="C4" s="77"/>
      <c r="D4" s="81"/>
      <c r="E4" s="28"/>
      <c r="F4" s="28"/>
      <c r="Q4" s="28"/>
      <c r="R4" s="28"/>
      <c r="S4" s="28"/>
    </row>
    <row r="5" spans="1:33" ht="15" thickBot="1" x14ac:dyDescent="0.4">
      <c r="C5" s="8"/>
      <c r="D5" s="79"/>
      <c r="E5" s="10"/>
      <c r="F5" s="10"/>
      <c r="G5" s="8"/>
      <c r="R5" s="10"/>
      <c r="S5" s="10"/>
    </row>
    <row r="6" spans="1:33" x14ac:dyDescent="0.35">
      <c r="B6" s="117" t="s">
        <v>19</v>
      </c>
      <c r="C6" s="8"/>
      <c r="D6" s="79"/>
      <c r="E6" s="10"/>
      <c r="F6" s="10"/>
      <c r="R6" s="10"/>
      <c r="S6" s="10"/>
    </row>
    <row r="7" spans="1:33" x14ac:dyDescent="0.35">
      <c r="B7" s="118" t="s">
        <v>20</v>
      </c>
      <c r="C7" s="76"/>
      <c r="D7" s="79"/>
      <c r="E7" s="10"/>
      <c r="F7" s="10"/>
      <c r="R7" s="10"/>
      <c r="S7" s="10"/>
    </row>
    <row r="8" spans="1:33" x14ac:dyDescent="0.35">
      <c r="B8" s="162" t="s">
        <v>6</v>
      </c>
      <c r="C8" s="8"/>
      <c r="D8" s="79"/>
      <c r="E8" s="10"/>
      <c r="F8" s="10"/>
      <c r="R8" s="10"/>
      <c r="S8" s="10"/>
    </row>
    <row r="9" spans="1:33" x14ac:dyDescent="0.35">
      <c r="B9" s="204" t="s">
        <v>329</v>
      </c>
      <c r="C9" s="8"/>
      <c r="D9" s="79"/>
      <c r="E9" s="10"/>
      <c r="F9" s="10"/>
      <c r="R9" s="10"/>
      <c r="S9" s="10"/>
    </row>
    <row r="10" spans="1:33" ht="15" thickBot="1" x14ac:dyDescent="0.4">
      <c r="B10" s="119" t="s">
        <v>21</v>
      </c>
      <c r="C10" s="8"/>
      <c r="D10" s="79"/>
      <c r="E10" s="10"/>
      <c r="F10" s="10"/>
      <c r="R10" s="10"/>
      <c r="S10" s="10"/>
    </row>
    <row r="11" spans="1:33" ht="15" thickBot="1" x14ac:dyDescent="0.4">
      <c r="B11" s="40"/>
      <c r="C11" s="8"/>
      <c r="D11" s="79"/>
      <c r="E11" s="10"/>
      <c r="F11" s="10"/>
      <c r="Q11" s="115"/>
      <c r="R11" s="10"/>
      <c r="S11" s="115"/>
    </row>
    <row r="12" spans="1:33" ht="15" thickBot="1" x14ac:dyDescent="0.4">
      <c r="A12" s="215" t="s">
        <v>226</v>
      </c>
      <c r="B12" s="216"/>
      <c r="C12" s="216"/>
      <c r="D12" s="217"/>
      <c r="E12" s="85"/>
      <c r="F12" s="218" t="s">
        <v>6</v>
      </c>
      <c r="G12" s="219"/>
      <c r="H12" s="219"/>
      <c r="I12" s="219"/>
      <c r="J12" s="219"/>
      <c r="K12" s="219"/>
      <c r="L12" s="219"/>
      <c r="M12" s="219"/>
      <c r="N12" s="219"/>
      <c r="O12" s="219"/>
      <c r="P12" s="219"/>
      <c r="Q12" s="220"/>
      <c r="R12" s="85"/>
      <c r="S12" s="221" t="s">
        <v>228</v>
      </c>
      <c r="T12" s="222"/>
      <c r="U12" s="222"/>
      <c r="V12" s="222"/>
      <c r="W12" s="222"/>
      <c r="X12" s="222"/>
      <c r="Y12" s="222"/>
      <c r="Z12" s="222"/>
      <c r="AA12" s="222"/>
      <c r="AB12" s="222"/>
      <c r="AC12" s="222"/>
      <c r="AD12" s="222"/>
      <c r="AE12" s="222"/>
      <c r="AF12" s="222"/>
      <c r="AG12" s="223"/>
    </row>
    <row r="13" spans="1:33" s="1" customFormat="1" x14ac:dyDescent="0.35">
      <c r="B13" s="1" t="s">
        <v>225</v>
      </c>
      <c r="C13" s="60"/>
      <c r="D13" s="80"/>
      <c r="E13" s="83"/>
      <c r="Q13" s="68"/>
      <c r="R13" s="83"/>
    </row>
    <row r="14" spans="1:33" x14ac:dyDescent="0.35">
      <c r="A14" s="95"/>
      <c r="B14" s="95"/>
      <c r="C14" s="96"/>
      <c r="D14" s="97"/>
      <c r="G14" t="s">
        <v>291</v>
      </c>
      <c r="S14" t="s">
        <v>292</v>
      </c>
    </row>
    <row r="15" spans="1:33" ht="17.5" x14ac:dyDescent="0.45">
      <c r="A15" s="95"/>
      <c r="B15" s="89" t="s">
        <v>0</v>
      </c>
      <c r="C15" s="242">
        <v>50147</v>
      </c>
      <c r="D15" s="90" t="s">
        <v>4</v>
      </c>
      <c r="G15" s="26"/>
      <c r="H15" s="176" t="s">
        <v>7</v>
      </c>
      <c r="I15" s="176" t="s">
        <v>255</v>
      </c>
      <c r="K15" s="70" t="s">
        <v>258</v>
      </c>
      <c r="M15" s="161"/>
      <c r="AA15" s="181" t="s">
        <v>0</v>
      </c>
      <c r="AB15" s="182">
        <f>C15</f>
        <v>50147</v>
      </c>
      <c r="AC15" s="183" t="s">
        <v>4</v>
      </c>
    </row>
    <row r="16" spans="1:33" x14ac:dyDescent="0.35">
      <c r="A16" s="95"/>
      <c r="B16" s="88" t="s">
        <v>1</v>
      </c>
      <c r="C16" s="72" t="s">
        <v>125</v>
      </c>
      <c r="D16" s="90" t="s">
        <v>3</v>
      </c>
      <c r="G16" s="19" t="s">
        <v>224</v>
      </c>
      <c r="H16" s="249">
        <f>H45</f>
        <v>65.384482758620692</v>
      </c>
      <c r="I16" s="251">
        <f>H49</f>
        <v>336.82915360501568</v>
      </c>
      <c r="AA16" s="32" t="s">
        <v>1</v>
      </c>
      <c r="AB16" s="184" t="s">
        <v>125</v>
      </c>
      <c r="AC16" s="183" t="s">
        <v>3</v>
      </c>
    </row>
    <row r="17" spans="1:29" ht="16.5" x14ac:dyDescent="0.35">
      <c r="A17" s="95"/>
      <c r="B17" s="88" t="s">
        <v>0</v>
      </c>
      <c r="C17" s="309">
        <v>49272</v>
      </c>
      <c r="D17" s="110" t="s">
        <v>4</v>
      </c>
      <c r="E17" s="111"/>
      <c r="G17" s="156" t="s">
        <v>17</v>
      </c>
      <c r="H17" s="250">
        <f>H72</f>
        <v>1394.91</v>
      </c>
      <c r="I17" s="250">
        <f>H76</f>
        <v>7185.9</v>
      </c>
      <c r="AA17" s="32" t="s">
        <v>127</v>
      </c>
      <c r="AB17" s="179">
        <f>C17/C15*100</f>
        <v>98.255129918040964</v>
      </c>
      <c r="AC17" s="185" t="s">
        <v>45</v>
      </c>
    </row>
    <row r="18" spans="1:29" x14ac:dyDescent="0.35">
      <c r="A18" s="95"/>
      <c r="B18" s="88"/>
      <c r="C18" s="17"/>
      <c r="D18" s="106"/>
      <c r="E18" s="111"/>
      <c r="G18" s="19"/>
      <c r="H18" s="67" t="s">
        <v>45</v>
      </c>
      <c r="I18" s="67"/>
      <c r="AA18" s="32"/>
      <c r="AB18" s="186"/>
      <c r="AC18" s="28"/>
    </row>
    <row r="19" spans="1:29" x14ac:dyDescent="0.35">
      <c r="A19" s="95"/>
      <c r="B19" s="88" t="s">
        <v>1</v>
      </c>
      <c r="C19" s="73" t="s">
        <v>219</v>
      </c>
      <c r="D19" s="110" t="s">
        <v>3</v>
      </c>
      <c r="E19" s="111"/>
      <c r="G19" s="19" t="s">
        <v>353</v>
      </c>
      <c r="H19" s="251">
        <f>H84</f>
        <v>54.047933697757927</v>
      </c>
      <c r="I19" s="155"/>
      <c r="AA19" s="32" t="s">
        <v>1</v>
      </c>
      <c r="AB19" s="187" t="s">
        <v>219</v>
      </c>
      <c r="AC19" s="45" t="s">
        <v>3</v>
      </c>
    </row>
    <row r="20" spans="1:29" ht="16.5" x14ac:dyDescent="0.35">
      <c r="A20" s="95"/>
      <c r="B20" s="88" t="s">
        <v>0</v>
      </c>
      <c r="C20" s="309">
        <v>500</v>
      </c>
      <c r="D20" s="110" t="s">
        <v>4</v>
      </c>
      <c r="E20" s="111"/>
      <c r="G20" s="156" t="s">
        <v>354</v>
      </c>
      <c r="H20" s="250">
        <f>H113</f>
        <v>41.491716957129476</v>
      </c>
      <c r="I20" s="157"/>
      <c r="X20" s="14" t="s">
        <v>216</v>
      </c>
      <c r="Y20" s="6" t="s">
        <v>134</v>
      </c>
      <c r="AA20" s="32" t="s">
        <v>127</v>
      </c>
      <c r="AB20" s="188">
        <f>C20/C15*100</f>
        <v>0.99706861826230875</v>
      </c>
      <c r="AC20" s="185" t="s">
        <v>45</v>
      </c>
    </row>
    <row r="21" spans="1:29" x14ac:dyDescent="0.35">
      <c r="A21" s="95"/>
      <c r="B21" s="88"/>
      <c r="C21" s="17"/>
      <c r="D21" s="106"/>
      <c r="E21" s="111"/>
      <c r="G21" s="19"/>
      <c r="H21" s="67" t="s">
        <v>88</v>
      </c>
      <c r="I21" s="67"/>
      <c r="T21" t="s">
        <v>293</v>
      </c>
      <c r="U21" s="205">
        <v>0.4</v>
      </c>
      <c r="V21" t="s">
        <v>294</v>
      </c>
      <c r="X21" s="14" t="s">
        <v>124</v>
      </c>
      <c r="Y21" s="6">
        <f>IF(AB16="Wohnen EFH",AB15*AB17/100,IF(AB19="Wohnen EFH",AB15*AB20/100,IF(AB22="Wohnen EFH",AB23/100*AB15,IF(AB25="Wohnen EFH",AB15*AB26/100,0))))</f>
        <v>0</v>
      </c>
      <c r="AA21" s="32"/>
      <c r="AB21" s="186"/>
      <c r="AC21" s="28"/>
    </row>
    <row r="22" spans="1:29" x14ac:dyDescent="0.35">
      <c r="A22" s="95"/>
      <c r="B22" s="88" t="s">
        <v>1</v>
      </c>
      <c r="C22" s="73" t="s">
        <v>220</v>
      </c>
      <c r="D22" s="110" t="s">
        <v>3</v>
      </c>
      <c r="E22" s="111"/>
      <c r="G22" s="19" t="s">
        <v>355</v>
      </c>
      <c r="H22" s="251">
        <f>H140</f>
        <v>13</v>
      </c>
      <c r="I22" s="155"/>
      <c r="T22" t="s">
        <v>288</v>
      </c>
      <c r="U22" s="190">
        <f>1/U21</f>
        <v>2.5</v>
      </c>
      <c r="V22" t="s">
        <v>5</v>
      </c>
      <c r="X22" s="14" t="s">
        <v>125</v>
      </c>
      <c r="Y22" s="6">
        <f>IF(AB16="Wohnen MFH",AB15*AB17/100,IF(AB19="Wohnen MFH",AB15*AB20/100,IF(AB22="Wohnen MFH",AB23/100*AB15,IF(AB25="Wohnen MFH",AB15*AB26/100,0))))</f>
        <v>49272</v>
      </c>
      <c r="AA22" s="32" t="s">
        <v>1</v>
      </c>
      <c r="AB22" s="187" t="s">
        <v>220</v>
      </c>
      <c r="AC22" s="45" t="s">
        <v>3</v>
      </c>
    </row>
    <row r="23" spans="1:29" ht="16.5" x14ac:dyDescent="0.35">
      <c r="A23" s="95"/>
      <c r="B23" s="88" t="s">
        <v>0</v>
      </c>
      <c r="C23" s="309">
        <v>0</v>
      </c>
      <c r="D23" s="110" t="s">
        <v>4</v>
      </c>
      <c r="E23" s="111"/>
      <c r="X23" s="14" t="s">
        <v>219</v>
      </c>
      <c r="Y23" s="6">
        <f>IF(AB16="Büro",AB15*AB17/100,IF(AB19="Büro",AB15*AB20/100,IF(AB22="Büro",AB23/100*AB15,IF(AB25="Büro",AB15*AB26/100,0))))</f>
        <v>500</v>
      </c>
      <c r="AA23" s="32" t="s">
        <v>127</v>
      </c>
      <c r="AB23" s="188">
        <f>C23/C15*100</f>
        <v>0</v>
      </c>
      <c r="AC23" s="185" t="s">
        <v>45</v>
      </c>
    </row>
    <row r="24" spans="1:29" x14ac:dyDescent="0.35">
      <c r="A24" s="95"/>
      <c r="B24" s="88"/>
      <c r="C24" s="17"/>
      <c r="D24" s="106"/>
      <c r="E24" s="111"/>
      <c r="X24" s="14" t="s">
        <v>220</v>
      </c>
      <c r="Y24" s="6">
        <f>IF(AB16="Gewerbe",AB15*AB17/100,IF(AB19="Gewerbe",AB15*AB20/100,IF(AB22="Gewerbe",AB23/100*AB15,IF(AB25="Gewerbe",AB15*AB26/100,0))))</f>
        <v>0</v>
      </c>
      <c r="AA24" s="32"/>
      <c r="AB24" s="186"/>
      <c r="AC24" s="28"/>
    </row>
    <row r="25" spans="1:29" x14ac:dyDescent="0.35">
      <c r="A25" s="95"/>
      <c r="B25" s="88" t="s">
        <v>1</v>
      </c>
      <c r="C25" s="73" t="s">
        <v>126</v>
      </c>
      <c r="D25" s="110" t="s">
        <v>3</v>
      </c>
      <c r="E25" s="111"/>
      <c r="X25" s="14" t="s">
        <v>126</v>
      </c>
      <c r="Y25" s="6">
        <f>IF(AB16="Schule",AB15*AB17/100,IF(AB19="Schule",AB15*AB20/100,IF(AB22="Schule",AB23/100*AB15,IF(AB25="Schule",AB15*AB26/100,0))))</f>
        <v>375</v>
      </c>
      <c r="AA25" s="32" t="s">
        <v>1</v>
      </c>
      <c r="AB25" s="187" t="s">
        <v>126</v>
      </c>
      <c r="AC25" s="45" t="s">
        <v>3</v>
      </c>
    </row>
    <row r="26" spans="1:29" ht="16.5" x14ac:dyDescent="0.35">
      <c r="A26" s="95"/>
      <c r="B26" s="88" t="s">
        <v>0</v>
      </c>
      <c r="C26" s="309">
        <v>375</v>
      </c>
      <c r="D26" s="110" t="s">
        <v>4</v>
      </c>
      <c r="E26" s="111"/>
      <c r="G26" s="302" t="str">
        <f>IF(C82&gt;0,"Achtung! Die berechneten Eigenverbrauchs-/Autarkie- und Wirtschaftlichkeitswerte beziehen sich auf die alternative Angabe. Bitte zugehörige Anlagengröße manuell festhalten."," ")</f>
        <v xml:space="preserve"> </v>
      </c>
      <c r="H26" s="302"/>
      <c r="I26" s="302"/>
      <c r="J26" s="302"/>
      <c r="K26" s="302"/>
      <c r="L26" s="302"/>
      <c r="M26" s="302"/>
      <c r="X26" s="14" t="s">
        <v>217</v>
      </c>
      <c r="Y26" s="6">
        <f>Y25+Y24+Y23</f>
        <v>875</v>
      </c>
      <c r="AA26" s="32" t="s">
        <v>127</v>
      </c>
      <c r="AB26" s="188">
        <f>C26/C15*100</f>
        <v>0.74780146369673162</v>
      </c>
      <c r="AC26" s="185" t="s">
        <v>45</v>
      </c>
    </row>
    <row r="27" spans="1:29" x14ac:dyDescent="0.35">
      <c r="A27" s="95"/>
      <c r="B27" s="88"/>
      <c r="C27" s="180">
        <f>C17+C20+C23+C26</f>
        <v>50147</v>
      </c>
      <c r="D27" s="177" t="str">
        <f>IF(C27&gt;C15,"Summe muss Gesamt-BGF sein",IF(C27&lt;C15,"Summe muss Gesamt-BGF sein"," "))</f>
        <v xml:space="preserve"> </v>
      </c>
      <c r="AA27" s="32"/>
      <c r="AB27" s="178">
        <f>AB26+AB23+AB20+AB17</f>
        <v>100</v>
      </c>
      <c r="AC27" s="189" t="str">
        <f>IF(AB27&gt;100,"Summe muss 100 sein",IF(AB27&lt;100,"Summe muss 100 sein"," "))</f>
        <v xml:space="preserve"> </v>
      </c>
    </row>
    <row r="28" spans="1:29" x14ac:dyDescent="0.35">
      <c r="A28" s="95"/>
      <c r="B28" s="88"/>
      <c r="C28" s="100"/>
      <c r="D28" s="92"/>
      <c r="AA28" s="32"/>
      <c r="AB28" s="186"/>
      <c r="AC28" s="28"/>
    </row>
    <row r="29" spans="1:29" ht="16.5" x14ac:dyDescent="0.35">
      <c r="A29" s="95"/>
      <c r="B29" s="88" t="s">
        <v>289</v>
      </c>
      <c r="C29" s="243">
        <v>2.9</v>
      </c>
      <c r="D29" s="91" t="s">
        <v>5</v>
      </c>
      <c r="AA29" s="32"/>
      <c r="AB29" s="186"/>
      <c r="AC29" s="185"/>
    </row>
    <row r="30" spans="1:29" x14ac:dyDescent="0.35">
      <c r="A30" s="95"/>
      <c r="B30" s="95"/>
      <c r="C30" s="95"/>
      <c r="D30" s="92"/>
      <c r="S30" s="10"/>
      <c r="V30" s="40"/>
      <c r="W30" s="40"/>
      <c r="X30" s="40"/>
    </row>
    <row r="31" spans="1:29" s="1" customFormat="1" x14ac:dyDescent="0.35">
      <c r="B31" s="1" t="s">
        <v>224</v>
      </c>
      <c r="D31" s="68"/>
      <c r="E31" s="83"/>
      <c r="Q31" s="68"/>
      <c r="R31" s="83"/>
    </row>
    <row r="32" spans="1:29" x14ac:dyDescent="0.35">
      <c r="A32" s="95"/>
      <c r="B32" s="95"/>
      <c r="C32" s="95"/>
      <c r="D32" s="92"/>
    </row>
    <row r="33" spans="1:21" ht="16.5" x14ac:dyDescent="0.35">
      <c r="A33" s="95"/>
      <c r="B33" s="88" t="s">
        <v>1</v>
      </c>
      <c r="C33" s="101" t="s">
        <v>2</v>
      </c>
      <c r="D33" s="106" t="s">
        <v>3</v>
      </c>
      <c r="E33" s="86"/>
      <c r="H33" s="11"/>
      <c r="L33" s="213" t="s">
        <v>15</v>
      </c>
      <c r="M33" s="213"/>
      <c r="N33" s="213"/>
    </row>
    <row r="34" spans="1:21" ht="17.5" x14ac:dyDescent="0.45">
      <c r="A34" s="95"/>
      <c r="B34" s="88" t="s">
        <v>167</v>
      </c>
      <c r="C34" s="245">
        <f>Y22+Y21</f>
        <v>49272</v>
      </c>
      <c r="D34" s="91" t="s">
        <v>4</v>
      </c>
      <c r="L34" s="2" t="s">
        <v>233</v>
      </c>
      <c r="M34" s="273">
        <f>IF(C29&gt;0,(AB15/(300*C29)),(AB15/(300*T36)))</f>
        <v>57.640229885057472</v>
      </c>
      <c r="N34" s="9" t="s">
        <v>7</v>
      </c>
      <c r="S34" t="s">
        <v>39</v>
      </c>
      <c r="T34" s="6">
        <v>950</v>
      </c>
      <c r="U34" t="s">
        <v>9</v>
      </c>
    </row>
    <row r="35" spans="1:21" x14ac:dyDescent="0.35">
      <c r="A35" s="95"/>
      <c r="B35" s="88"/>
      <c r="C35" s="179"/>
      <c r="D35" s="91"/>
      <c r="L35" s="3" t="s">
        <v>74</v>
      </c>
      <c r="M35" s="274">
        <f>M34*$T$34</f>
        <v>54758.218390804599</v>
      </c>
      <c r="N35" s="10" t="s">
        <v>8</v>
      </c>
      <c r="S35" t="s">
        <v>11</v>
      </c>
      <c r="T35" s="6">
        <v>1</v>
      </c>
      <c r="U35" t="s">
        <v>12</v>
      </c>
    </row>
    <row r="36" spans="1:21" ht="16.5" x14ac:dyDescent="0.35">
      <c r="A36" s="95"/>
      <c r="B36" s="88" t="s">
        <v>227</v>
      </c>
      <c r="C36" s="95"/>
      <c r="D36" s="105"/>
      <c r="L36" s="3" t="s">
        <v>333</v>
      </c>
      <c r="M36" s="274">
        <f>M34*1000/($C$59/$C$61)</f>
        <v>296.93451758969002</v>
      </c>
      <c r="N36" t="s">
        <v>4</v>
      </c>
      <c r="S36" t="s">
        <v>14</v>
      </c>
      <c r="T36" s="6">
        <v>3.5</v>
      </c>
      <c r="U36" t="s">
        <v>5</v>
      </c>
    </row>
    <row r="37" spans="1:21" x14ac:dyDescent="0.35">
      <c r="A37" s="95"/>
      <c r="B37" s="88"/>
      <c r="C37" s="95"/>
      <c r="D37" s="105"/>
      <c r="L37" s="3" t="s">
        <v>232</v>
      </c>
      <c r="M37" s="274">
        <f>ROUNDUP(M36/$C$61,0)</f>
        <v>175</v>
      </c>
      <c r="N37" t="s">
        <v>3</v>
      </c>
      <c r="T37" s="6"/>
    </row>
    <row r="38" spans="1:21" x14ac:dyDescent="0.35">
      <c r="A38" s="95"/>
      <c r="B38" s="107"/>
      <c r="C38" s="108"/>
      <c r="D38" s="109"/>
      <c r="L38" s="3"/>
      <c r="M38" s="275"/>
      <c r="S38" s="226" t="s">
        <v>41</v>
      </c>
      <c r="T38" s="227"/>
      <c r="U38" s="227"/>
    </row>
    <row r="39" spans="1:21" x14ac:dyDescent="0.35">
      <c r="A39" s="95"/>
      <c r="B39" s="88" t="s">
        <v>1</v>
      </c>
      <c r="C39" s="101" t="s">
        <v>10</v>
      </c>
      <c r="D39" s="110" t="s">
        <v>3</v>
      </c>
      <c r="L39" s="3" t="s">
        <v>234</v>
      </c>
      <c r="M39" s="274">
        <f>AB15*(T35/100)</f>
        <v>501.47</v>
      </c>
      <c r="N39" s="10" t="s">
        <v>7</v>
      </c>
      <c r="S39" t="s">
        <v>2</v>
      </c>
      <c r="T39" s="258">
        <f>IF(C29&gt;0,(C34/(300*C29)),(C34/(300*T36)))</f>
        <v>56.634482758620692</v>
      </c>
      <c r="U39" s="10" t="s">
        <v>7</v>
      </c>
    </row>
    <row r="40" spans="1:21" ht="17.5" x14ac:dyDescent="0.45">
      <c r="A40" s="95"/>
      <c r="B40" s="88" t="s">
        <v>168</v>
      </c>
      <c r="C40" s="245">
        <f>Y26</f>
        <v>875</v>
      </c>
      <c r="D40" s="110" t="s">
        <v>4</v>
      </c>
      <c r="L40" s="3" t="s">
        <v>74</v>
      </c>
      <c r="M40" s="274">
        <f>M39*$T$34</f>
        <v>476396.5</v>
      </c>
      <c r="N40" s="10" t="s">
        <v>8</v>
      </c>
      <c r="S40" t="s">
        <v>10</v>
      </c>
      <c r="T40" s="258">
        <f>C40*(T35/100)</f>
        <v>8.75</v>
      </c>
      <c r="U40" s="10" t="s">
        <v>7</v>
      </c>
    </row>
    <row r="41" spans="1:21" ht="16.5" x14ac:dyDescent="0.35">
      <c r="A41" s="95"/>
      <c r="B41" s="3"/>
      <c r="C41" s="100"/>
      <c r="D41" s="111"/>
      <c r="L41" s="3" t="s">
        <v>333</v>
      </c>
      <c r="M41" s="274">
        <f>M39*1000/($C$59/$C$61)</f>
        <v>2583.3303030303027</v>
      </c>
      <c r="N41" t="s">
        <v>4</v>
      </c>
      <c r="S41" t="s">
        <v>32</v>
      </c>
      <c r="T41" s="258">
        <f>T40+T39</f>
        <v>65.384482758620692</v>
      </c>
      <c r="U41" s="10" t="s">
        <v>7</v>
      </c>
    </row>
    <row r="42" spans="1:21" ht="16.5" x14ac:dyDescent="0.35">
      <c r="A42" s="95"/>
      <c r="B42" s="88" t="s">
        <v>227</v>
      </c>
      <c r="C42" s="100"/>
      <c r="D42" s="106"/>
      <c r="L42" s="3" t="s">
        <v>232</v>
      </c>
      <c r="M42" s="274">
        <f>ROUNDUP(M41/$C$61,0)</f>
        <v>1520</v>
      </c>
      <c r="N42" t="s">
        <v>3</v>
      </c>
      <c r="S42" t="str">
        <f>G51</f>
        <v>erforderliche Dachfläche</v>
      </c>
      <c r="T42" s="262">
        <f>H51</f>
        <v>459.69000000000005</v>
      </c>
      <c r="U42" s="4" t="s">
        <v>4</v>
      </c>
    </row>
    <row r="43" spans="1:21" x14ac:dyDescent="0.35">
      <c r="A43" s="95"/>
      <c r="B43" s="88"/>
      <c r="C43" s="95"/>
      <c r="D43" s="105"/>
    </row>
    <row r="44" spans="1:21" ht="16.5" x14ac:dyDescent="0.35">
      <c r="A44" s="95"/>
      <c r="T44" s="6">
        <v>7</v>
      </c>
      <c r="U44" t="s">
        <v>344</v>
      </c>
    </row>
    <row r="45" spans="1:21" ht="16.5" x14ac:dyDescent="0.35">
      <c r="A45" s="95"/>
      <c r="B45" s="92"/>
      <c r="C45" s="95"/>
      <c r="D45" s="92"/>
      <c r="F45" s="224" t="s">
        <v>299</v>
      </c>
      <c r="G45" s="200" t="s">
        <v>231</v>
      </c>
      <c r="H45" s="251">
        <f>(C40*(T35/100))+IF(C29&gt;0,(C34/(300*C29)),(C34/(300*T36)))</f>
        <v>65.384482758620692</v>
      </c>
      <c r="I45" s="9" t="s">
        <v>7</v>
      </c>
      <c r="T45" s="6">
        <f>330/1.7</f>
        <v>194.11764705882354</v>
      </c>
      <c r="U45" t="s">
        <v>345</v>
      </c>
    </row>
    <row r="46" spans="1:21" ht="17.5" x14ac:dyDescent="0.45">
      <c r="A46" s="95"/>
      <c r="B46" s="92"/>
      <c r="C46" s="95"/>
      <c r="D46" s="92"/>
      <c r="F46" s="224"/>
      <c r="G46" s="3" t="s">
        <v>78</v>
      </c>
      <c r="H46" s="253">
        <f>H45/(C15/100)</f>
        <v>0.13038563175986737</v>
      </c>
      <c r="I46" s="59" t="s">
        <v>177</v>
      </c>
      <c r="T46" s="6">
        <f>1/(T45/1000)</f>
        <v>5.1515151515151514</v>
      </c>
      <c r="U46" t="s">
        <v>344</v>
      </c>
    </row>
    <row r="47" spans="1:21" x14ac:dyDescent="0.35">
      <c r="A47" s="95"/>
      <c r="B47" s="92"/>
      <c r="C47" s="95"/>
      <c r="D47" s="92"/>
      <c r="F47" s="224"/>
      <c r="G47" s="3" t="s">
        <v>74</v>
      </c>
      <c r="H47" s="254">
        <f>H45*$T$34</f>
        <v>62115.258620689659</v>
      </c>
      <c r="I47" s="5" t="s">
        <v>8</v>
      </c>
      <c r="J47" s="76"/>
      <c r="S47" t="s">
        <v>346</v>
      </c>
      <c r="T47" s="6">
        <f>T44/T46</f>
        <v>1.3588235294117648</v>
      </c>
      <c r="U47" t="s">
        <v>3</v>
      </c>
    </row>
    <row r="48" spans="1:21" x14ac:dyDescent="0.35">
      <c r="A48" s="95"/>
      <c r="B48" s="92"/>
      <c r="C48" s="95"/>
      <c r="D48" s="92"/>
      <c r="F48" s="224"/>
      <c r="G48" s="28" t="s">
        <v>232</v>
      </c>
      <c r="H48" s="255">
        <f>ROUNDUP(H49/C61,0)</f>
        <v>199</v>
      </c>
      <c r="I48" s="10" t="s">
        <v>3</v>
      </c>
      <c r="J48" s="76"/>
    </row>
    <row r="49" spans="1:23" ht="16.5" x14ac:dyDescent="0.35">
      <c r="A49" s="95"/>
      <c r="B49" s="92"/>
      <c r="C49" s="95"/>
      <c r="D49" s="92"/>
      <c r="F49" s="224"/>
      <c r="G49" s="32" t="s">
        <v>338</v>
      </c>
      <c r="H49" s="256">
        <f>(H45*1000/(C59/C61))</f>
        <v>336.82915360501568</v>
      </c>
      <c r="I49" s="28" t="s">
        <v>4</v>
      </c>
    </row>
    <row r="50" spans="1:23" ht="16.5" x14ac:dyDescent="0.35">
      <c r="A50" s="95"/>
      <c r="B50" s="92"/>
      <c r="C50" s="95"/>
      <c r="D50" s="92"/>
      <c r="F50" s="224"/>
      <c r="G50" s="32" t="s">
        <v>343</v>
      </c>
      <c r="H50" s="256">
        <f>H48*C61</f>
        <v>338.3</v>
      </c>
      <c r="I50" s="10" t="s">
        <v>4</v>
      </c>
      <c r="J50" s="8"/>
    </row>
    <row r="51" spans="1:23" ht="16.5" x14ac:dyDescent="0.35">
      <c r="A51" s="95"/>
      <c r="B51" s="92"/>
      <c r="C51" s="95"/>
      <c r="D51" s="92"/>
      <c r="F51" s="208"/>
      <c r="G51" s="201" t="s">
        <v>342</v>
      </c>
      <c r="H51" s="257">
        <f>H50*T47</f>
        <v>459.69000000000005</v>
      </c>
      <c r="I51" s="10" t="s">
        <v>4</v>
      </c>
      <c r="J51" s="8"/>
    </row>
    <row r="52" spans="1:23" x14ac:dyDescent="0.35">
      <c r="A52" s="95"/>
      <c r="B52" s="95"/>
      <c r="C52" s="95"/>
      <c r="D52" s="92"/>
    </row>
    <row r="53" spans="1:23" s="1" customFormat="1" x14ac:dyDescent="0.35">
      <c r="B53" s="1" t="s">
        <v>17</v>
      </c>
      <c r="D53" s="68"/>
      <c r="E53" s="83"/>
      <c r="Q53" s="68"/>
      <c r="R53" s="83"/>
    </row>
    <row r="54" spans="1:23" x14ac:dyDescent="0.35">
      <c r="A54" s="95"/>
      <c r="B54" s="95"/>
      <c r="C54" s="95"/>
      <c r="D54" s="92"/>
    </row>
    <row r="55" spans="1:23" x14ac:dyDescent="0.35">
      <c r="A55" s="95"/>
      <c r="B55" s="121"/>
      <c r="C55" s="121"/>
      <c r="D55" s="122"/>
      <c r="E55" s="111"/>
    </row>
    <row r="56" spans="1:23" ht="16.5" customHeight="1" x14ac:dyDescent="0.35">
      <c r="A56" s="95"/>
      <c r="B56" s="95"/>
      <c r="C56" s="95"/>
      <c r="D56" s="92"/>
      <c r="F56" s="225" t="s">
        <v>295</v>
      </c>
      <c r="G56" s="3" t="s">
        <v>169</v>
      </c>
      <c r="H56" s="260">
        <f>C57*T56</f>
        <v>7187</v>
      </c>
      <c r="I56" s="4" t="s">
        <v>4</v>
      </c>
      <c r="S56" t="s">
        <v>229</v>
      </c>
      <c r="T56">
        <v>0.5</v>
      </c>
      <c r="U56" t="s">
        <v>3</v>
      </c>
      <c r="W56" s="125" t="s">
        <v>34</v>
      </c>
    </row>
    <row r="57" spans="1:23" ht="16.5" x14ac:dyDescent="0.35">
      <c r="A57" s="95"/>
      <c r="B57" s="88" t="s">
        <v>22</v>
      </c>
      <c r="C57" s="242">
        <v>14374</v>
      </c>
      <c r="D57" s="110" t="s">
        <v>4</v>
      </c>
      <c r="F57" s="225"/>
      <c r="G57" s="201" t="s">
        <v>171</v>
      </c>
      <c r="H57" s="261">
        <f>H61*C59/1000</f>
        <v>1394.91</v>
      </c>
      <c r="I57" s="5" t="s">
        <v>7</v>
      </c>
      <c r="J57" s="11"/>
      <c r="S57" t="s">
        <v>27</v>
      </c>
      <c r="T57">
        <v>330</v>
      </c>
      <c r="U57" t="s">
        <v>25</v>
      </c>
      <c r="W57" s="126">
        <v>1.7</v>
      </c>
    </row>
    <row r="58" spans="1:23" ht="17.5" x14ac:dyDescent="0.45">
      <c r="A58" s="95"/>
      <c r="B58" s="88"/>
      <c r="C58" s="100"/>
      <c r="D58" s="106"/>
      <c r="F58" s="225"/>
      <c r="G58" s="32" t="s">
        <v>176</v>
      </c>
      <c r="H58" s="258">
        <f>H57/(C15/100)</f>
        <v>2.7816419726005543</v>
      </c>
      <c r="I58" s="59" t="s">
        <v>177</v>
      </c>
      <c r="S58" t="s">
        <v>28</v>
      </c>
      <c r="T58">
        <v>1.7</v>
      </c>
      <c r="U58" s="4" t="s">
        <v>4</v>
      </c>
      <c r="W58" s="15">
        <v>2</v>
      </c>
    </row>
    <row r="59" spans="1:23" x14ac:dyDescent="0.35">
      <c r="A59" s="95"/>
      <c r="B59" s="88" t="s">
        <v>179</v>
      </c>
      <c r="C59" s="245">
        <f>IF(C60&gt;0,C60,T57)</f>
        <v>330</v>
      </c>
      <c r="D59" s="106" t="s">
        <v>25</v>
      </c>
      <c r="F59" s="225"/>
      <c r="G59" s="3" t="s">
        <v>173</v>
      </c>
      <c r="H59" s="260">
        <f>H57*T34</f>
        <v>1325164.5</v>
      </c>
      <c r="I59" s="5" t="s">
        <v>8</v>
      </c>
      <c r="S59" t="s">
        <v>38</v>
      </c>
      <c r="T59">
        <v>0.6</v>
      </c>
      <c r="U59" t="s">
        <v>3</v>
      </c>
      <c r="W59" s="14"/>
    </row>
    <row r="60" spans="1:23" ht="17.5" x14ac:dyDescent="0.45">
      <c r="A60" s="95"/>
      <c r="B60" s="88" t="s">
        <v>178</v>
      </c>
      <c r="C60" s="243"/>
      <c r="D60" s="106" t="s">
        <v>25</v>
      </c>
      <c r="F60" s="225"/>
      <c r="G60" s="28" t="s">
        <v>300</v>
      </c>
      <c r="H60" s="263">
        <f>H59/(C15/100)</f>
        <v>2642.5598739705265</v>
      </c>
      <c r="I60" s="59" t="s">
        <v>301</v>
      </c>
      <c r="S60" t="s">
        <v>195</v>
      </c>
      <c r="T60" s="36">
        <v>0.3</v>
      </c>
      <c r="U60" t="s">
        <v>3</v>
      </c>
      <c r="W60" s="14"/>
    </row>
    <row r="61" spans="1:23" ht="16.5" x14ac:dyDescent="0.35">
      <c r="A61" s="95"/>
      <c r="B61" s="88" t="s">
        <v>26</v>
      </c>
      <c r="C61" s="243">
        <v>1.7</v>
      </c>
      <c r="D61" s="110" t="s">
        <v>4</v>
      </c>
      <c r="F61" s="225"/>
      <c r="G61" s="3" t="s">
        <v>31</v>
      </c>
      <c r="H61" s="260">
        <f>ROUNDDOWN((H56/C61),0)</f>
        <v>4227</v>
      </c>
      <c r="I61" s="5" t="s">
        <v>3</v>
      </c>
    </row>
    <row r="62" spans="1:23" ht="16.5" x14ac:dyDescent="0.35">
      <c r="A62" s="95"/>
      <c r="B62" s="88"/>
      <c r="C62" s="100"/>
      <c r="D62" s="106"/>
      <c r="F62" s="225"/>
      <c r="G62" s="201" t="s">
        <v>26</v>
      </c>
      <c r="H62" s="264">
        <f>H61*C61</f>
        <v>7185.9</v>
      </c>
      <c r="I62" s="4" t="s">
        <v>4</v>
      </c>
      <c r="S62" t="s">
        <v>337</v>
      </c>
      <c r="T62" s="36">
        <v>750</v>
      </c>
      <c r="U62" t="s">
        <v>9</v>
      </c>
    </row>
    <row r="63" spans="1:23" ht="14.5" customHeight="1" x14ac:dyDescent="0.35">
      <c r="A63" s="95"/>
      <c r="B63" s="88"/>
      <c r="C63" s="100"/>
      <c r="D63" s="92"/>
      <c r="F63" s="225"/>
      <c r="G63" s="3"/>
      <c r="H63" s="263"/>
      <c r="I63" s="10"/>
    </row>
    <row r="64" spans="1:23" ht="16.5" customHeight="1" x14ac:dyDescent="0.35">
      <c r="A64" s="95"/>
      <c r="B64" s="107"/>
      <c r="C64" s="108"/>
      <c r="D64" s="109"/>
      <c r="F64" s="228" t="s">
        <v>296</v>
      </c>
      <c r="G64" s="2"/>
      <c r="H64" s="265"/>
      <c r="I64" s="19"/>
      <c r="S64" s="226" t="s">
        <v>41</v>
      </c>
      <c r="T64" s="227"/>
      <c r="U64" s="227"/>
    </row>
    <row r="65" spans="1:25" ht="16.5" x14ac:dyDescent="0.35">
      <c r="A65" s="95"/>
      <c r="B65" s="88"/>
      <c r="C65" s="100"/>
      <c r="D65" s="92"/>
      <c r="F65" s="228"/>
      <c r="G65" s="3" t="s">
        <v>170</v>
      </c>
      <c r="H65" s="266">
        <f>C66*T59*T60</f>
        <v>0</v>
      </c>
      <c r="I65" s="21" t="s">
        <v>4</v>
      </c>
      <c r="T65" t="s">
        <v>348</v>
      </c>
      <c r="U65" t="s">
        <v>298</v>
      </c>
      <c r="V65" s="8"/>
    </row>
    <row r="66" spans="1:25" ht="16.5" x14ac:dyDescent="0.35">
      <c r="A66" s="95"/>
      <c r="B66" s="88" t="s">
        <v>37</v>
      </c>
      <c r="C66" s="242">
        <v>0</v>
      </c>
      <c r="D66" s="93" t="s">
        <v>4</v>
      </c>
      <c r="F66" s="228"/>
      <c r="G66" s="201" t="s">
        <v>172</v>
      </c>
      <c r="H66" s="257">
        <f>IF(ISNUMBER(C68),(H70*C68/1000),T57*H70/1000)</f>
        <v>0</v>
      </c>
      <c r="I66" s="5" t="s">
        <v>7</v>
      </c>
      <c r="T66" s="10" t="s">
        <v>7</v>
      </c>
      <c r="U66" s="10" t="s">
        <v>7</v>
      </c>
    </row>
    <row r="67" spans="1:25" ht="17.5" x14ac:dyDescent="0.45">
      <c r="A67" s="95"/>
      <c r="B67" s="8" t="str">
        <f>IF(H71&lt;$T$58*7,"zu geringe Fassadenfläche für sinnvolle Fassaden-PV Nutzung"," ")</f>
        <v>zu geringe Fassadenfläche für sinnvolle Fassaden-PV Nutzung</v>
      </c>
      <c r="C67" s="100"/>
      <c r="D67" s="92"/>
      <c r="F67" s="228"/>
      <c r="G67" s="32" t="s">
        <v>176</v>
      </c>
      <c r="H67" s="258">
        <f>H66/(C15/100)</f>
        <v>0</v>
      </c>
      <c r="I67" s="59" t="s">
        <v>177</v>
      </c>
      <c r="S67" t="s">
        <v>32</v>
      </c>
      <c r="T67" s="253">
        <f>H45</f>
        <v>65.384482758620692</v>
      </c>
    </row>
    <row r="68" spans="1:25" x14ac:dyDescent="0.35">
      <c r="A68" s="95"/>
      <c r="B68" s="88" t="s">
        <v>179</v>
      </c>
      <c r="C68" s="245">
        <f>IF(C69&gt;0,C69,T57)</f>
        <v>330</v>
      </c>
      <c r="D68" s="92" t="s">
        <v>25</v>
      </c>
      <c r="F68" s="228"/>
      <c r="G68" s="3" t="s">
        <v>174</v>
      </c>
      <c r="H68" s="256">
        <f>H66*T62</f>
        <v>0</v>
      </c>
      <c r="I68" s="5" t="s">
        <v>8</v>
      </c>
      <c r="S68" t="s">
        <v>33</v>
      </c>
      <c r="T68" s="262">
        <f>H57</f>
        <v>1394.91</v>
      </c>
      <c r="U68" s="6">
        <f>H66</f>
        <v>0</v>
      </c>
    </row>
    <row r="69" spans="1:25" ht="17.5" x14ac:dyDescent="0.45">
      <c r="A69" s="95"/>
      <c r="B69" s="88" t="s">
        <v>178</v>
      </c>
      <c r="C69" s="243"/>
      <c r="D69" s="92" t="s">
        <v>25</v>
      </c>
      <c r="F69" s="228"/>
      <c r="G69" s="32" t="s">
        <v>300</v>
      </c>
      <c r="H69" s="267">
        <f>H68/(C15/100)</f>
        <v>0</v>
      </c>
      <c r="I69" s="59" t="s">
        <v>301</v>
      </c>
      <c r="S69" t="s">
        <v>40</v>
      </c>
      <c r="T69" s="295">
        <f>H72</f>
        <v>1394.91</v>
      </c>
      <c r="U69" s="209"/>
      <c r="X69" s="11"/>
      <c r="Y69" s="10"/>
    </row>
    <row r="70" spans="1:25" ht="16.5" x14ac:dyDescent="0.35">
      <c r="A70" s="95"/>
      <c r="B70" s="88" t="s">
        <v>26</v>
      </c>
      <c r="C70" s="243">
        <v>1.7</v>
      </c>
      <c r="D70" s="93" t="s">
        <v>4</v>
      </c>
      <c r="F70" s="228"/>
      <c r="G70" s="3" t="s">
        <v>31</v>
      </c>
      <c r="H70" s="256">
        <f>IF(ISNUMBER(C70),ROUNDDOWN((H65/C70),0),ROUNDDOWN((H65/T58),0))</f>
        <v>0</v>
      </c>
      <c r="I70" s="10" t="s">
        <v>3</v>
      </c>
      <c r="X70" s="11"/>
      <c r="Y70" s="10"/>
    </row>
    <row r="71" spans="1:25" ht="14.5" customHeight="1" x14ac:dyDescent="0.35">
      <c r="A71" s="95"/>
      <c r="B71" s="95"/>
      <c r="C71" s="95"/>
      <c r="D71" s="92"/>
      <c r="F71" s="228"/>
      <c r="G71" s="201" t="s">
        <v>26</v>
      </c>
      <c r="H71" s="268">
        <f>H70*T58</f>
        <v>0</v>
      </c>
      <c r="I71" s="4" t="s">
        <v>4</v>
      </c>
    </row>
    <row r="72" spans="1:25" ht="14.5" customHeight="1" x14ac:dyDescent="0.35">
      <c r="A72" s="95"/>
      <c r="B72" s="95"/>
      <c r="C72" s="95"/>
      <c r="D72" s="92"/>
      <c r="F72" s="229" t="s">
        <v>297</v>
      </c>
      <c r="G72" s="200" t="s">
        <v>40</v>
      </c>
      <c r="H72" s="269">
        <f>H57+H66</f>
        <v>1394.91</v>
      </c>
      <c r="I72" s="19" t="s">
        <v>7</v>
      </c>
    </row>
    <row r="73" spans="1:25" ht="17.5" x14ac:dyDescent="0.45">
      <c r="A73" s="95"/>
      <c r="B73" s="95"/>
      <c r="C73" s="95"/>
      <c r="D73" s="92"/>
      <c r="F73" s="229"/>
      <c r="G73" s="32" t="s">
        <v>180</v>
      </c>
      <c r="H73" s="252">
        <f>H72/(C15/100)</f>
        <v>2.7816419726005543</v>
      </c>
      <c r="I73" s="28" t="s">
        <v>177</v>
      </c>
    </row>
    <row r="74" spans="1:25" x14ac:dyDescent="0.35">
      <c r="A74" s="95"/>
      <c r="B74" s="95"/>
      <c r="C74" s="95"/>
      <c r="D74" s="92"/>
      <c r="F74" s="229"/>
      <c r="G74" s="3" t="s">
        <v>175</v>
      </c>
      <c r="H74" s="270">
        <f>H59+H68</f>
        <v>1325164.5</v>
      </c>
      <c r="I74" s="10" t="s">
        <v>8</v>
      </c>
    </row>
    <row r="75" spans="1:25" ht="17.5" x14ac:dyDescent="0.45">
      <c r="A75" s="95"/>
      <c r="B75" s="95"/>
      <c r="C75" s="95"/>
      <c r="D75" s="92"/>
      <c r="F75" s="229"/>
      <c r="G75" s="3" t="s">
        <v>300</v>
      </c>
      <c r="H75" s="263">
        <f>H74/(C15/100)</f>
        <v>2642.5598739705265</v>
      </c>
      <c r="I75" s="59" t="s">
        <v>301</v>
      </c>
    </row>
    <row r="76" spans="1:25" ht="16.5" x14ac:dyDescent="0.35">
      <c r="A76" s="95"/>
      <c r="B76" s="95"/>
      <c r="C76" s="95"/>
      <c r="D76" s="92"/>
      <c r="F76" s="229"/>
      <c r="G76" s="201" t="s">
        <v>235</v>
      </c>
      <c r="H76" s="264">
        <f>H71+H62</f>
        <v>7185.9</v>
      </c>
      <c r="I76" s="21" t="s">
        <v>4</v>
      </c>
    </row>
    <row r="77" spans="1:25" x14ac:dyDescent="0.35">
      <c r="A77" s="95"/>
      <c r="B77" s="95"/>
      <c r="C77" s="95"/>
      <c r="D77" s="92"/>
    </row>
    <row r="78" spans="1:25" x14ac:dyDescent="0.35">
      <c r="A78" s="95"/>
      <c r="B78" s="95"/>
      <c r="C78" s="95"/>
      <c r="D78" s="92"/>
    </row>
    <row r="79" spans="1:25" s="1" customFormat="1" x14ac:dyDescent="0.35">
      <c r="B79" s="1" t="s">
        <v>236</v>
      </c>
      <c r="D79" s="68"/>
      <c r="E79" s="83"/>
      <c r="Q79" s="68"/>
      <c r="R79" s="83"/>
    </row>
    <row r="80" spans="1:25" x14ac:dyDescent="0.35">
      <c r="A80" s="92"/>
      <c r="B80" s="95"/>
      <c r="C80" s="95"/>
      <c r="D80" s="92"/>
    </row>
    <row r="81" spans="1:70" ht="16.5" x14ac:dyDescent="0.35">
      <c r="A81" s="92"/>
      <c r="B81" s="88" t="s">
        <v>84</v>
      </c>
      <c r="C81" s="245">
        <f>IF(C82&gt;0,C82,H72)</f>
        <v>1394.91</v>
      </c>
      <c r="D81" s="128" t="s">
        <v>7</v>
      </c>
      <c r="E81" s="111"/>
      <c r="F81" s="8"/>
      <c r="G81" s="130"/>
      <c r="H81" s="132"/>
      <c r="I81" s="87"/>
      <c r="T81" s="213" t="s">
        <v>194</v>
      </c>
      <c r="U81" s="213"/>
      <c r="V81" s="213"/>
      <c r="W81" s="213"/>
      <c r="Y81" s="20" t="s">
        <v>80</v>
      </c>
      <c r="AH81" s="213" t="s">
        <v>240</v>
      </c>
      <c r="AI81" s="213"/>
      <c r="AJ81" s="213"/>
      <c r="AK81" s="213"/>
      <c r="BC81" s="22" t="s">
        <v>46</v>
      </c>
      <c r="BD81" s="22"/>
      <c r="BE81" s="22"/>
      <c r="BF81" s="22"/>
      <c r="BG81" s="23" t="s">
        <v>65</v>
      </c>
      <c r="BH81" s="22"/>
      <c r="BI81" s="22"/>
      <c r="BJ81" s="22"/>
      <c r="BK81" s="22"/>
      <c r="BL81" s="22"/>
      <c r="BM81" s="22"/>
      <c r="BN81" s="22"/>
      <c r="BO81" s="22"/>
    </row>
    <row r="82" spans="1:70" x14ac:dyDescent="0.35">
      <c r="A82" s="92"/>
      <c r="B82" s="88" t="s">
        <v>67</v>
      </c>
      <c r="C82" s="272"/>
      <c r="D82" s="93" t="s">
        <v>7</v>
      </c>
      <c r="F82" s="8"/>
      <c r="G82" s="3" t="s">
        <v>238</v>
      </c>
      <c r="H82" s="256">
        <f>IF(C89="Nein",AH96,IF(C89="Ja",AH97,0))</f>
        <v>53.104867472748694</v>
      </c>
      <c r="I82" s="21" t="s">
        <v>45</v>
      </c>
      <c r="J82" s="133" t="str">
        <f>IF(AH96=0,"Eigenverbrauch annähernd 0. Kleinere Anlage bzw. größerer Strombedarf erforderlich"," ")</f>
        <v xml:space="preserve"> </v>
      </c>
      <c r="L82" s="40"/>
      <c r="M82" s="40"/>
      <c r="N82" s="40"/>
      <c r="T82" s="213" t="s">
        <v>79</v>
      </c>
      <c r="U82" s="214"/>
      <c r="V82" s="213" t="s">
        <v>81</v>
      </c>
      <c r="W82" s="213"/>
      <c r="AF82" s="22"/>
      <c r="AH82" s="213" t="s">
        <v>79</v>
      </c>
      <c r="AI82" s="214"/>
      <c r="AJ82" s="213" t="s">
        <v>81</v>
      </c>
      <c r="AK82" s="213"/>
      <c r="BC82" s="22" t="s">
        <v>57</v>
      </c>
      <c r="BD82" s="22"/>
      <c r="BE82" s="22"/>
      <c r="BF82" s="22"/>
      <c r="BG82" s="22"/>
      <c r="BH82" s="22"/>
      <c r="BI82" s="22"/>
      <c r="BJ82" s="22"/>
      <c r="BK82" s="22"/>
      <c r="BL82" s="22"/>
      <c r="BM82" s="22"/>
      <c r="BN82" s="22"/>
      <c r="BO82" s="22" t="s">
        <v>58</v>
      </c>
      <c r="BP82" s="22"/>
      <c r="BQ82" s="22"/>
      <c r="BR82" s="22"/>
    </row>
    <row r="83" spans="1:70" x14ac:dyDescent="0.35">
      <c r="A83" s="92"/>
      <c r="B83" s="92"/>
      <c r="C83" s="127"/>
      <c r="D83" s="92"/>
      <c r="G83" s="3"/>
      <c r="H83" s="263"/>
      <c r="I83" s="10"/>
      <c r="L83" s="40"/>
      <c r="M83" s="40"/>
      <c r="N83" s="40"/>
      <c r="S83" s="8"/>
      <c r="T83" s="26" t="s">
        <v>82</v>
      </c>
      <c r="U83" s="27" t="s">
        <v>83</v>
      </c>
      <c r="V83" s="7" t="s">
        <v>82</v>
      </c>
      <c r="W83" s="7" t="s">
        <v>83</v>
      </c>
      <c r="AF83" s="22"/>
      <c r="AG83" s="8"/>
      <c r="AH83" s="26" t="s">
        <v>82</v>
      </c>
      <c r="AI83" s="27" t="s">
        <v>83</v>
      </c>
      <c r="AJ83" s="66" t="s">
        <v>82</v>
      </c>
      <c r="AK83" s="66" t="s">
        <v>83</v>
      </c>
      <c r="BC83" s="22" t="s">
        <v>53</v>
      </c>
      <c r="BD83" s="22" t="s">
        <v>47</v>
      </c>
      <c r="BE83" s="22" t="s">
        <v>45</v>
      </c>
      <c r="BF83" s="22"/>
      <c r="BG83" s="22"/>
      <c r="BH83" s="22"/>
      <c r="BI83" s="22"/>
      <c r="BJ83" s="22"/>
      <c r="BK83" s="22"/>
      <c r="BL83" s="22"/>
      <c r="BM83" s="22"/>
      <c r="BN83" s="22"/>
      <c r="BO83" s="22"/>
      <c r="BP83" s="22" t="s">
        <v>7</v>
      </c>
      <c r="BQ83" s="24" t="s">
        <v>59</v>
      </c>
      <c r="BR83" s="22"/>
    </row>
    <row r="84" spans="1:70" x14ac:dyDescent="0.35">
      <c r="A84" s="92"/>
      <c r="B84" s="95"/>
      <c r="C84" s="100"/>
      <c r="D84" s="92"/>
      <c r="G84" s="202" t="s">
        <v>213</v>
      </c>
      <c r="H84" s="271">
        <f>IF(AND(C40&gt;0,H82&lt;T102),H82*T101,IF(AND(C40&gt;0,H82&gt;T102),100,IF(C40=0,H82)))</f>
        <v>54.047933697757927</v>
      </c>
      <c r="I84" s="131" t="s">
        <v>45</v>
      </c>
      <c r="J84" s="8"/>
      <c r="L84" s="40"/>
      <c r="M84" s="40"/>
      <c r="N84" s="40"/>
      <c r="O84" s="40"/>
      <c r="P84" s="40"/>
      <c r="S84" s="112">
        <v>10</v>
      </c>
      <c r="T84" t="s">
        <v>87</v>
      </c>
      <c r="U84" s="2">
        <v>2.5</v>
      </c>
      <c r="V84">
        <v>0</v>
      </c>
      <c r="W84">
        <v>0</v>
      </c>
      <c r="AE84" s="14" t="s">
        <v>105</v>
      </c>
      <c r="AF84" s="22"/>
      <c r="AG84" s="29">
        <v>24</v>
      </c>
      <c r="AH84" t="s">
        <v>87</v>
      </c>
      <c r="AI84" s="2">
        <v>2.5</v>
      </c>
      <c r="AJ84">
        <v>0</v>
      </c>
      <c r="AK84">
        <v>0</v>
      </c>
      <c r="BC84" s="22" t="s">
        <v>48</v>
      </c>
      <c r="BD84" s="22">
        <v>2000</v>
      </c>
      <c r="BE84" s="22">
        <v>44</v>
      </c>
      <c r="BF84" s="22"/>
      <c r="BG84" s="22"/>
      <c r="BH84" s="22"/>
      <c r="BI84" s="22"/>
      <c r="BJ84" s="22"/>
      <c r="BK84" s="22"/>
      <c r="BL84" s="22"/>
      <c r="BM84" s="22"/>
      <c r="BN84" s="22"/>
      <c r="BO84" s="22" t="s">
        <v>48</v>
      </c>
      <c r="BP84" s="22">
        <v>1</v>
      </c>
      <c r="BQ84" s="22">
        <v>37.219000000000001</v>
      </c>
      <c r="BR84" s="22"/>
    </row>
    <row r="85" spans="1:70" x14ac:dyDescent="0.35">
      <c r="A85" s="92"/>
      <c r="B85" s="95" t="s">
        <v>211</v>
      </c>
      <c r="C85" s="73" t="s">
        <v>202</v>
      </c>
      <c r="D85" s="92"/>
      <c r="G85" s="3"/>
      <c r="H85" s="18"/>
      <c r="I85" s="10"/>
      <c r="S85" s="113">
        <f t="shared" ref="S85:S93" si="0">((V85-W85)*($T$96-U85)/(T85-U85))+W85</f>
        <v>34.042342704548432</v>
      </c>
      <c r="T85" s="10">
        <v>2.5</v>
      </c>
      <c r="U85" s="3">
        <v>1.78</v>
      </c>
      <c r="V85">
        <v>10</v>
      </c>
      <c r="W85">
        <v>20</v>
      </c>
      <c r="AE85" s="14"/>
      <c r="AF85" s="22"/>
      <c r="AG85" s="30">
        <f t="shared" ref="AG85:AG92" si="1">((AJ85-AK85)*($T$96-AI85)/(AH85-AI85))+AK85</f>
        <v>36.982865060456149</v>
      </c>
      <c r="AH85" s="10">
        <v>2.5</v>
      </c>
      <c r="AI85" s="3">
        <v>1.7</v>
      </c>
      <c r="AJ85">
        <v>24</v>
      </c>
      <c r="AK85">
        <v>30</v>
      </c>
      <c r="BC85" s="22" t="s">
        <v>49</v>
      </c>
      <c r="BD85" s="22">
        <v>3000</v>
      </c>
      <c r="BE85" s="22">
        <v>53</v>
      </c>
      <c r="BF85" s="22"/>
      <c r="BG85" s="22"/>
      <c r="BH85" s="22"/>
      <c r="BI85" s="22"/>
      <c r="BJ85" s="22"/>
      <c r="BK85" s="22"/>
      <c r="BL85" s="22"/>
      <c r="BM85" s="22"/>
      <c r="BN85" s="22"/>
      <c r="BO85" s="22" t="s">
        <v>49</v>
      </c>
      <c r="BP85" s="22">
        <v>3</v>
      </c>
      <c r="BQ85" s="22">
        <v>12.381</v>
      </c>
      <c r="BR85" s="22"/>
    </row>
    <row r="86" spans="1:70" x14ac:dyDescent="0.35">
      <c r="A86" s="92"/>
      <c r="B86" s="88" t="s">
        <v>77</v>
      </c>
      <c r="C86" s="245">
        <f>IF(C87&gt;0,C87,IF(C85="Ja",T98*C34+C40*T99+T100*(C34+C40),IF(C85="Nein",T98*C34+C40*T99)))</f>
        <v>1814042</v>
      </c>
      <c r="D86" s="92" t="s">
        <v>47</v>
      </c>
      <c r="G86" s="3"/>
      <c r="H86" s="17"/>
      <c r="S86" s="113">
        <f t="shared" si="0"/>
        <v>32.962162496506245</v>
      </c>
      <c r="T86" s="10">
        <v>1.78</v>
      </c>
      <c r="U86" s="3">
        <v>1</v>
      </c>
      <c r="V86">
        <v>20</v>
      </c>
      <c r="W86">
        <v>30</v>
      </c>
      <c r="AE86" s="14"/>
      <c r="AF86" s="22"/>
      <c r="AG86" s="30">
        <f t="shared" si="1"/>
        <v>48.620973494549737</v>
      </c>
      <c r="AH86" s="10">
        <v>1.7</v>
      </c>
      <c r="AI86" s="3">
        <v>1.2</v>
      </c>
      <c r="AJ86">
        <v>30</v>
      </c>
      <c r="AK86">
        <v>40</v>
      </c>
      <c r="BC86" s="22" t="s">
        <v>50</v>
      </c>
      <c r="BD86" s="22">
        <v>4000</v>
      </c>
      <c r="BE86" s="22">
        <v>59</v>
      </c>
      <c r="BF86" s="22"/>
      <c r="BG86" s="22"/>
      <c r="BH86" s="22"/>
      <c r="BI86" s="22"/>
      <c r="BJ86" s="22"/>
      <c r="BK86" s="22"/>
      <c r="BL86" s="22"/>
      <c r="BM86" s="22"/>
      <c r="BN86" s="22"/>
      <c r="BO86" s="22" t="s">
        <v>50</v>
      </c>
      <c r="BP86" s="22">
        <v>7</v>
      </c>
      <c r="BQ86" s="22">
        <v>4.1333000000000002</v>
      </c>
      <c r="BR86" s="22"/>
    </row>
    <row r="87" spans="1:70" x14ac:dyDescent="0.35">
      <c r="A87" s="92"/>
      <c r="B87" s="88" t="s">
        <v>112</v>
      </c>
      <c r="C87" s="243"/>
      <c r="D87" s="92" t="s">
        <v>47</v>
      </c>
      <c r="G87" s="3"/>
      <c r="H87" s="17"/>
      <c r="S87" s="113">
        <f t="shared" si="0"/>
        <v>37.001474991742029</v>
      </c>
      <c r="T87" s="10">
        <v>1</v>
      </c>
      <c r="U87" s="3">
        <v>0.67</v>
      </c>
      <c r="V87">
        <v>30</v>
      </c>
      <c r="W87">
        <v>40</v>
      </c>
      <c r="AE87" s="14">
        <v>20</v>
      </c>
      <c r="AF87" s="22"/>
      <c r="AG87" s="30">
        <f t="shared" si="1"/>
        <v>50.776216868187177</v>
      </c>
      <c r="AH87" s="10">
        <v>1.2</v>
      </c>
      <c r="AI87" s="3">
        <v>0.8</v>
      </c>
      <c r="AJ87">
        <v>40</v>
      </c>
      <c r="AK87">
        <v>50</v>
      </c>
      <c r="BC87" s="22" t="s">
        <v>51</v>
      </c>
      <c r="BD87" s="22">
        <v>5000</v>
      </c>
      <c r="BE87" s="22">
        <v>64</v>
      </c>
      <c r="BF87" s="22"/>
      <c r="BG87" s="22"/>
      <c r="BH87" s="22"/>
      <c r="BI87" s="22"/>
      <c r="BJ87" s="22"/>
      <c r="BK87" s="22"/>
      <c r="BL87" s="22"/>
      <c r="BM87" s="22"/>
      <c r="BN87" s="22"/>
      <c r="BO87" s="22"/>
      <c r="BP87" s="22"/>
      <c r="BQ87" s="22"/>
      <c r="BR87" s="22"/>
    </row>
    <row r="88" spans="1:70" x14ac:dyDescent="0.35">
      <c r="A88" s="92"/>
      <c r="B88" s="88"/>
      <c r="C88" s="127"/>
      <c r="D88" s="92"/>
      <c r="G88" s="3"/>
      <c r="H88" s="17"/>
      <c r="S88" s="113">
        <f t="shared" si="0"/>
        <v>35.877028113645288</v>
      </c>
      <c r="T88" s="28">
        <v>0.67</v>
      </c>
      <c r="U88" s="3">
        <v>0.43</v>
      </c>
      <c r="V88">
        <v>40</v>
      </c>
      <c r="W88">
        <v>50</v>
      </c>
      <c r="AE88" s="14">
        <v>30</v>
      </c>
      <c r="AF88" s="22"/>
      <c r="AG88" s="30">
        <f t="shared" si="1"/>
        <v>53.104867472748694</v>
      </c>
      <c r="AH88" s="10">
        <v>0.8</v>
      </c>
      <c r="AI88" s="3">
        <v>0.7</v>
      </c>
      <c r="AJ88">
        <v>50</v>
      </c>
      <c r="AK88">
        <v>60</v>
      </c>
      <c r="BC88" s="22" t="s">
        <v>52</v>
      </c>
      <c r="BD88" s="22">
        <v>6000</v>
      </c>
      <c r="BE88" s="22">
        <v>67</v>
      </c>
      <c r="BF88" s="22"/>
      <c r="BG88" s="22"/>
      <c r="BH88" s="22"/>
      <c r="BI88" s="22"/>
      <c r="BJ88" s="22"/>
      <c r="BK88" s="22"/>
      <c r="BL88" s="22"/>
      <c r="BM88" s="22"/>
      <c r="BN88" s="22"/>
      <c r="BO88" s="22" t="s">
        <v>60</v>
      </c>
      <c r="BP88" s="22">
        <f>(0.0049+0.0053+0.0036)/3</f>
        <v>4.5999999999999999E-3</v>
      </c>
      <c r="BQ88" s="22"/>
      <c r="BR88" s="22"/>
    </row>
    <row r="89" spans="1:70" x14ac:dyDescent="0.35">
      <c r="A89" s="92"/>
      <c r="B89" s="129" t="s">
        <v>237</v>
      </c>
      <c r="C89" s="73" t="s">
        <v>202</v>
      </c>
      <c r="D89" s="97"/>
      <c r="G89" s="3"/>
      <c r="H89" s="17"/>
      <c r="S89" s="113">
        <f t="shared" si="0"/>
        <v>16.104867472748687</v>
      </c>
      <c r="T89" s="10">
        <v>0.43</v>
      </c>
      <c r="U89" s="3">
        <v>0.33</v>
      </c>
      <c r="V89">
        <v>50</v>
      </c>
      <c r="W89">
        <v>60</v>
      </c>
      <c r="AE89" s="14">
        <v>40</v>
      </c>
      <c r="AF89" s="22"/>
      <c r="AG89" s="30">
        <f t="shared" si="1"/>
        <v>55.690542170467928</v>
      </c>
      <c r="AH89" s="10">
        <v>0.7</v>
      </c>
      <c r="AI89" s="3">
        <v>0.54</v>
      </c>
      <c r="AJ89">
        <v>60</v>
      </c>
      <c r="AK89">
        <v>70</v>
      </c>
      <c r="BC89" s="22" t="s">
        <v>54</v>
      </c>
      <c r="BD89" s="22">
        <v>7000</v>
      </c>
      <c r="BE89" s="22">
        <v>69</v>
      </c>
      <c r="BF89" s="22"/>
      <c r="BG89" s="22"/>
      <c r="BH89" s="22"/>
      <c r="BI89" s="22"/>
      <c r="BJ89" s="22"/>
      <c r="BK89" s="22"/>
      <c r="BL89" s="22"/>
      <c r="BM89" s="22"/>
      <c r="BN89" s="22"/>
      <c r="BO89" s="22"/>
      <c r="BP89" s="22"/>
      <c r="BQ89" s="22"/>
      <c r="BR89" s="22"/>
    </row>
    <row r="90" spans="1:70" x14ac:dyDescent="0.35">
      <c r="A90" s="92"/>
      <c r="B90" s="88"/>
      <c r="C90" s="100"/>
      <c r="D90" s="92"/>
      <c r="G90" s="3"/>
      <c r="H90" s="17"/>
      <c r="S90" s="113">
        <f t="shared" si="0"/>
        <v>5.1310843409358711</v>
      </c>
      <c r="T90" s="10">
        <v>0.33</v>
      </c>
      <c r="U90" s="3">
        <v>0.25</v>
      </c>
      <c r="V90">
        <v>60</v>
      </c>
      <c r="W90">
        <v>70</v>
      </c>
      <c r="AE90" s="14">
        <v>50</v>
      </c>
      <c r="AF90" s="22"/>
      <c r="AG90" s="30">
        <f t="shared" si="1"/>
        <v>57.949930248815107</v>
      </c>
      <c r="AH90" s="10">
        <v>0.54</v>
      </c>
      <c r="AI90" s="3">
        <v>0.35</v>
      </c>
      <c r="AJ90">
        <v>70</v>
      </c>
      <c r="AK90">
        <v>80</v>
      </c>
      <c r="BC90" s="22" t="s">
        <v>55</v>
      </c>
      <c r="BD90" s="22" t="s">
        <v>47</v>
      </c>
      <c r="BE90" s="22" t="s">
        <v>45</v>
      </c>
      <c r="BF90" s="22"/>
      <c r="BG90" s="22"/>
      <c r="BH90" s="22"/>
      <c r="BI90" s="22"/>
      <c r="BJ90" s="22"/>
      <c r="BK90" s="22"/>
      <c r="BL90" s="22"/>
      <c r="BM90" s="22"/>
      <c r="BN90" s="22"/>
      <c r="BO90" s="22"/>
      <c r="BP90" s="22"/>
      <c r="BQ90" s="22"/>
      <c r="BR90" s="22"/>
    </row>
    <row r="91" spans="1:70" x14ac:dyDescent="0.35">
      <c r="A91" s="92"/>
      <c r="B91" s="88"/>
      <c r="C91" s="100"/>
      <c r="G91" s="130"/>
      <c r="H91" s="132"/>
      <c r="I91" s="87"/>
      <c r="S91" s="113">
        <f t="shared" si="0"/>
        <v>22.822606793407893</v>
      </c>
      <c r="T91" s="10">
        <v>0.25</v>
      </c>
      <c r="U91" s="3">
        <v>0.14000000000000001</v>
      </c>
      <c r="V91">
        <v>70</v>
      </c>
      <c r="W91">
        <v>80</v>
      </c>
      <c r="AE91" s="14">
        <v>60</v>
      </c>
      <c r="AF91" s="22"/>
      <c r="AG91" s="30">
        <f t="shared" si="1"/>
        <v>10.174779121247809</v>
      </c>
      <c r="AH91" s="10">
        <v>0.35</v>
      </c>
      <c r="AI91" s="3">
        <v>0.28999999999999998</v>
      </c>
      <c r="AJ91">
        <v>80</v>
      </c>
      <c r="AK91">
        <v>90</v>
      </c>
      <c r="BC91" s="22" t="s">
        <v>48</v>
      </c>
      <c r="BD91" s="22">
        <v>2000</v>
      </c>
      <c r="BE91" s="22">
        <v>21</v>
      </c>
      <c r="BF91" s="22"/>
      <c r="BG91" s="22"/>
      <c r="BH91" s="22"/>
      <c r="BI91" s="22"/>
      <c r="BJ91" s="22"/>
      <c r="BK91" s="22"/>
      <c r="BL91" s="22"/>
      <c r="BM91" s="22"/>
      <c r="BN91" s="22"/>
      <c r="BO91" s="22" t="s">
        <v>61</v>
      </c>
      <c r="BP91" s="22"/>
      <c r="BQ91" s="22"/>
      <c r="BR91" s="22"/>
    </row>
    <row r="92" spans="1:70" x14ac:dyDescent="0.35">
      <c r="A92" s="92"/>
      <c r="B92" s="107"/>
      <c r="C92" s="108"/>
      <c r="D92" s="109"/>
      <c r="G92" s="2"/>
      <c r="H92" s="31"/>
      <c r="I92" s="19"/>
      <c r="L92" s="8"/>
      <c r="S92" s="113">
        <f t="shared" si="0"/>
        <v>-77.237831318128258</v>
      </c>
      <c r="T92" s="10">
        <v>0.14000000000000001</v>
      </c>
      <c r="U92" s="3">
        <v>0.1</v>
      </c>
      <c r="V92">
        <v>80</v>
      </c>
      <c r="W92">
        <v>90</v>
      </c>
      <c r="AE92" s="14">
        <v>70</v>
      </c>
      <c r="AF92" s="22"/>
      <c r="AG92" s="30">
        <f t="shared" si="1"/>
        <v>64.792035511972983</v>
      </c>
      <c r="AH92" s="10">
        <v>0.28999999999999998</v>
      </c>
      <c r="AI92" s="3">
        <v>0.1</v>
      </c>
      <c r="AJ92">
        <v>90</v>
      </c>
      <c r="AK92">
        <v>100</v>
      </c>
      <c r="BC92" s="22" t="s">
        <v>49</v>
      </c>
      <c r="BD92" s="22">
        <v>3000</v>
      </c>
      <c r="BE92" s="22">
        <v>29</v>
      </c>
      <c r="BF92" s="22"/>
      <c r="BG92" s="22"/>
      <c r="BH92" s="22"/>
      <c r="BI92" s="22"/>
      <c r="BJ92" s="22"/>
      <c r="BK92" s="22"/>
      <c r="BL92" s="22"/>
      <c r="BM92" s="22"/>
      <c r="BN92" s="22"/>
      <c r="BO92" s="22"/>
      <c r="BP92" s="22"/>
      <c r="BQ92" s="22"/>
      <c r="BR92" s="22"/>
    </row>
    <row r="93" spans="1:70" ht="16.5" x14ac:dyDescent="0.35">
      <c r="A93" s="95"/>
      <c r="B93" s="135" t="s">
        <v>243</v>
      </c>
      <c r="C93" s="136"/>
      <c r="D93" s="122"/>
      <c r="E93" s="111"/>
      <c r="G93" s="3"/>
      <c r="H93" s="17"/>
      <c r="I93" s="10"/>
      <c r="L93" s="8"/>
      <c r="S93" s="113">
        <f t="shared" si="0"/>
        <v>-43.790265054502612</v>
      </c>
      <c r="T93" s="10">
        <v>0.1</v>
      </c>
      <c r="U93" s="3">
        <v>0.05</v>
      </c>
      <c r="V93">
        <v>90</v>
      </c>
      <c r="W93">
        <v>100</v>
      </c>
      <c r="AE93" s="14">
        <v>80</v>
      </c>
      <c r="AF93" s="22"/>
      <c r="AG93" s="29">
        <v>100</v>
      </c>
      <c r="AH93" s="28">
        <v>0.1</v>
      </c>
      <c r="AI93" s="3">
        <v>0</v>
      </c>
      <c r="AJ93">
        <v>100</v>
      </c>
      <c r="AK93">
        <v>100</v>
      </c>
      <c r="BC93" s="22" t="s">
        <v>50</v>
      </c>
      <c r="BD93" s="22">
        <v>4000</v>
      </c>
      <c r="BE93" s="22">
        <v>35</v>
      </c>
      <c r="BF93" s="22"/>
      <c r="BG93" s="22"/>
      <c r="BH93" s="22"/>
      <c r="BI93" s="22"/>
      <c r="BJ93" s="22"/>
      <c r="BK93" s="22"/>
      <c r="BL93" s="22"/>
      <c r="BM93" s="22"/>
      <c r="BN93" s="22"/>
      <c r="BO93" s="22" t="s">
        <v>64</v>
      </c>
      <c r="BP93" s="25">
        <f>-5.0211*C81+36.322</f>
        <v>-6967.6606009999996</v>
      </c>
      <c r="BQ93" s="22"/>
      <c r="BR93" s="22"/>
    </row>
    <row r="94" spans="1:70" x14ac:dyDescent="0.35">
      <c r="A94" s="95"/>
      <c r="B94" s="88" t="s">
        <v>193</v>
      </c>
      <c r="C94" s="244">
        <v>90</v>
      </c>
      <c r="D94" s="105" t="s">
        <v>45</v>
      </c>
      <c r="G94" s="3" t="s">
        <v>107</v>
      </c>
      <c r="H94" s="252">
        <f>IF(C89="Nein",AH99,IF(C89="Ja",AH100,"bitte erwünschten Eigenverbrauch wählen"))</f>
        <v>0.28999999999999998</v>
      </c>
      <c r="I94" s="10" t="s">
        <v>79</v>
      </c>
      <c r="L94" s="8"/>
      <c r="S94" s="112">
        <v>100</v>
      </c>
      <c r="T94" s="28">
        <v>0.05</v>
      </c>
      <c r="U94" s="3">
        <v>0</v>
      </c>
      <c r="V94">
        <v>100</v>
      </c>
      <c r="W94">
        <v>100</v>
      </c>
      <c r="AE94" s="14">
        <v>90</v>
      </c>
      <c r="AF94" s="22"/>
      <c r="BC94" s="22" t="s">
        <v>51</v>
      </c>
      <c r="BD94" s="22">
        <v>5000</v>
      </c>
      <c r="BE94" s="22">
        <v>40</v>
      </c>
      <c r="BF94" s="22"/>
      <c r="BG94" s="22"/>
      <c r="BH94" s="22"/>
      <c r="BI94" s="22"/>
      <c r="BJ94" s="22"/>
      <c r="BK94" s="22"/>
      <c r="BL94" s="22"/>
      <c r="BM94" s="22"/>
      <c r="BN94" s="22"/>
      <c r="BO94" s="22"/>
      <c r="BP94" s="22"/>
      <c r="BQ94" s="22"/>
      <c r="BR94" s="22"/>
    </row>
    <row r="95" spans="1:70" x14ac:dyDescent="0.35">
      <c r="A95" s="95"/>
      <c r="B95" s="88"/>
      <c r="C95" s="100"/>
      <c r="D95" s="106"/>
      <c r="G95" s="201" t="s">
        <v>106</v>
      </c>
      <c r="H95" s="257">
        <f>H94*(C96/1000)</f>
        <v>526.07217999999989</v>
      </c>
      <c r="I95" s="10" t="s">
        <v>7</v>
      </c>
      <c r="K95" s="11"/>
      <c r="L95" s="8"/>
      <c r="M95" s="43"/>
      <c r="AE95" s="14">
        <v>100</v>
      </c>
      <c r="AF95" s="22"/>
      <c r="BC95" s="22" t="s">
        <v>52</v>
      </c>
      <c r="BD95" s="22">
        <v>6000</v>
      </c>
      <c r="BE95" s="22">
        <v>44</v>
      </c>
      <c r="BF95" s="22"/>
      <c r="BG95" s="22"/>
      <c r="BH95" s="22"/>
      <c r="BI95" s="22"/>
      <c r="BJ95" s="22"/>
      <c r="BK95" s="22"/>
      <c r="BL95" s="22"/>
      <c r="BM95" s="22"/>
      <c r="BN95" s="22"/>
      <c r="BO95" s="22" t="s">
        <v>62</v>
      </c>
      <c r="BP95" s="22"/>
      <c r="BQ95" s="22"/>
      <c r="BR95" s="22"/>
    </row>
    <row r="96" spans="1:70" ht="16.5" x14ac:dyDescent="0.35">
      <c r="A96" s="95"/>
      <c r="B96" s="88" t="s">
        <v>77</v>
      </c>
      <c r="C96" s="245">
        <f>C86</f>
        <v>1814042</v>
      </c>
      <c r="D96" s="106" t="s">
        <v>47</v>
      </c>
      <c r="G96" s="3" t="s">
        <v>182</v>
      </c>
      <c r="H96" s="256">
        <f>ROUNDUP(H95/(C59/1000),0)*C61</f>
        <v>2711.5</v>
      </c>
      <c r="I96" s="10" t="s">
        <v>4</v>
      </c>
      <c r="S96" s="10" t="s">
        <v>78</v>
      </c>
      <c r="T96" s="61">
        <f>C81/(C86/1000)</f>
        <v>0.76895132527251309</v>
      </c>
      <c r="U96" t="s">
        <v>79</v>
      </c>
      <c r="AF96" s="22"/>
      <c r="AG96" s="10" t="s">
        <v>241</v>
      </c>
      <c r="AH96" s="49">
        <f>IF(T96&lt;U93,S94,IF(T96&lt;T93,S93,IF(T96&lt;T92,S92,IF(T96&lt;T91,S91,IF(T96&lt;T90,S90,IF(T96&lt;T89,S89,IF(T96&lt;T88,S88,IF(T96&lt;T87,S87,IF(T96&lt;T86,S86,IF(T96&lt;T85,S85,IF(T96&gt;=U84,S84,0)))))))))))</f>
        <v>37.001474991742029</v>
      </c>
      <c r="AI96" s="21" t="s">
        <v>45</v>
      </c>
      <c r="BC96" s="22" t="s">
        <v>54</v>
      </c>
      <c r="BD96" s="22">
        <v>7000</v>
      </c>
      <c r="BE96" s="22">
        <v>48</v>
      </c>
      <c r="BF96" s="22"/>
      <c r="BG96" s="22"/>
      <c r="BH96" s="22"/>
      <c r="BI96" s="22"/>
      <c r="BJ96" s="22"/>
      <c r="BK96" s="22"/>
      <c r="BL96" s="22"/>
      <c r="BM96" s="22"/>
      <c r="BN96" s="22"/>
      <c r="BO96" s="22"/>
      <c r="BP96" s="22"/>
      <c r="BQ96" s="22"/>
      <c r="BR96" s="22"/>
    </row>
    <row r="97" spans="1:70" ht="16.5" x14ac:dyDescent="0.35">
      <c r="A97" s="95"/>
      <c r="B97" s="88"/>
      <c r="C97" s="100"/>
      <c r="D97" s="106"/>
      <c r="G97" s="3" t="s">
        <v>183</v>
      </c>
      <c r="H97" s="256">
        <f>ROUNDUP(H95*T97/(C68/1000),0)*C70</f>
        <v>3434</v>
      </c>
      <c r="I97" s="10" t="s">
        <v>4</v>
      </c>
      <c r="S97" t="s">
        <v>110</v>
      </c>
      <c r="T97" s="56">
        <f>T34/T62</f>
        <v>1.2666666666666666</v>
      </c>
      <c r="U97" t="s">
        <v>3</v>
      </c>
      <c r="V97" s="8"/>
      <c r="AF97" s="22"/>
      <c r="AG97" s="10" t="s">
        <v>242</v>
      </c>
      <c r="AH97" s="49">
        <f>IF(T96&lt;AI92,AG93,IF(T96&lt;AH92,AG92,IF(T96&lt;AH91,AG91,IF(T96&lt;AH90,AG90,IF(T96&lt;AH89,AG89,IF(T96&lt;AH88,AG88,IF(T96&lt;AH87,AG87,IF(T96&lt;AH86,AG86,IF(T96&lt;AH85,AG85,IF(T96&gt;=AI84,AG84,0))))))))))</f>
        <v>53.104867472748694</v>
      </c>
      <c r="AI97" s="21" t="s">
        <v>45</v>
      </c>
      <c r="BC97" s="22" t="s">
        <v>56</v>
      </c>
      <c r="BD97" s="22" t="s">
        <v>47</v>
      </c>
      <c r="BE97" s="22" t="s">
        <v>45</v>
      </c>
      <c r="BF97" s="22"/>
      <c r="BG97" s="22"/>
      <c r="BH97" s="22"/>
      <c r="BI97" s="22"/>
      <c r="BJ97" s="22"/>
      <c r="BK97" s="22"/>
      <c r="BL97" s="22"/>
      <c r="BM97" s="22"/>
      <c r="BN97" s="22"/>
      <c r="BO97" s="22" t="s">
        <v>63</v>
      </c>
      <c r="BP97" s="25">
        <f>0.0046*C86+BP93</f>
        <v>1376.9325989999998</v>
      </c>
      <c r="BQ97" s="22"/>
      <c r="BR97" s="22"/>
    </row>
    <row r="98" spans="1:70" ht="16.5" x14ac:dyDescent="0.35">
      <c r="A98" s="95"/>
      <c r="B98" s="88"/>
      <c r="C98" s="100"/>
      <c r="D98" s="106"/>
      <c r="G98" s="3"/>
      <c r="H98" s="17"/>
      <c r="S98" t="s">
        <v>113</v>
      </c>
      <c r="T98" s="56">
        <v>28</v>
      </c>
      <c r="U98" t="s">
        <v>115</v>
      </c>
      <c r="V98" s="22">
        <v>16</v>
      </c>
      <c r="W98" s="8" t="s">
        <v>341</v>
      </c>
      <c r="AE98" s="14" t="s">
        <v>212</v>
      </c>
      <c r="AF98" s="22"/>
      <c r="BC98" s="22" t="s">
        <v>48</v>
      </c>
      <c r="BD98" s="22">
        <v>2000</v>
      </c>
      <c r="BE98" s="22">
        <v>11</v>
      </c>
      <c r="BF98" s="22"/>
      <c r="BG98" s="22"/>
      <c r="BH98" s="22"/>
      <c r="BI98" s="22"/>
      <c r="BJ98" s="22"/>
      <c r="BK98" s="22"/>
      <c r="BL98" s="22"/>
      <c r="BM98" s="22"/>
      <c r="BN98" s="22"/>
      <c r="BO98" s="22"/>
    </row>
    <row r="99" spans="1:70" ht="16.5" x14ac:dyDescent="0.35">
      <c r="A99" s="95"/>
      <c r="B99" s="88" t="s">
        <v>246</v>
      </c>
      <c r="C99" s="244">
        <v>100</v>
      </c>
      <c r="D99" s="106" t="s">
        <v>45</v>
      </c>
      <c r="G99" s="3"/>
      <c r="H99" s="17"/>
      <c r="S99" t="s">
        <v>114</v>
      </c>
      <c r="T99" s="56">
        <v>38</v>
      </c>
      <c r="U99" t="s">
        <v>115</v>
      </c>
      <c r="V99" s="22">
        <v>25</v>
      </c>
      <c r="AE99" s="14" t="s">
        <v>202</v>
      </c>
      <c r="AF99" s="22"/>
      <c r="AG99" s="10" t="s">
        <v>244</v>
      </c>
      <c r="AH99" s="61">
        <f>IF(C94=20,U85,IF(C94=30,U86,IF(C94=40,U87,IF(C94=50,U88,IF(C94=60,U89,IF(C94=70,U90,IF(C94=80,U91,IF(C94=90,U92,IF(C94=100,U93,"bitte erwünschten Eigenverbrauch wählen")))))))))</f>
        <v>0.1</v>
      </c>
      <c r="AI99" s="10" t="s">
        <v>79</v>
      </c>
      <c r="BC99" s="22" t="s">
        <v>49</v>
      </c>
      <c r="BD99" s="22">
        <v>3000</v>
      </c>
      <c r="BE99" s="22">
        <v>15</v>
      </c>
      <c r="BF99" s="22"/>
      <c r="BG99" s="22"/>
      <c r="BH99" s="22"/>
      <c r="BI99" s="22"/>
      <c r="BJ99" s="22"/>
      <c r="BK99" s="22"/>
      <c r="BL99" s="22"/>
      <c r="BM99" s="22"/>
      <c r="BN99" s="22"/>
      <c r="BO99" s="22"/>
    </row>
    <row r="100" spans="1:70" ht="16.5" x14ac:dyDescent="0.35">
      <c r="A100" s="95"/>
      <c r="B100" s="88"/>
      <c r="C100" s="100" t="str">
        <f>IF(AI103&gt;1,"erforderliche Fläche übersteigt nutzbare Fläche"," ")</f>
        <v xml:space="preserve"> </v>
      </c>
      <c r="D100" s="106"/>
      <c r="G100" s="3"/>
      <c r="H100" s="17"/>
      <c r="S100" s="36" t="s">
        <v>210</v>
      </c>
      <c r="T100" s="42">
        <v>8</v>
      </c>
      <c r="U100" s="36" t="s">
        <v>351</v>
      </c>
      <c r="V100" s="50"/>
      <c r="AE100" s="14" t="s">
        <v>203</v>
      </c>
      <c r="AF100" s="22"/>
      <c r="AG100" s="10" t="s">
        <v>245</v>
      </c>
      <c r="AH100" s="61">
        <f>IF(C94=30,AI85,IF(C94=40,AI86,IF(C94=50,AI87,IF(C94=60,AI88,IF(C94=70,AI89,IF(C94=80,AI90,IF(C94=90,AI91,IF(C94=100,AI92,"bitte erwünschten Eigenverbrauch wählen"))))))))</f>
        <v>0.28999999999999998</v>
      </c>
      <c r="AI100" s="10" t="s">
        <v>79</v>
      </c>
      <c r="BC100" s="22" t="s">
        <v>50</v>
      </c>
      <c r="BD100" s="22">
        <v>4000</v>
      </c>
      <c r="BE100" s="22">
        <v>19</v>
      </c>
      <c r="BF100" s="22"/>
      <c r="BG100" s="22"/>
      <c r="BH100" s="22"/>
      <c r="BI100" s="22"/>
      <c r="BJ100" s="22"/>
      <c r="BK100" s="22"/>
      <c r="BL100" s="22"/>
      <c r="BM100" s="22"/>
      <c r="BN100" s="22"/>
      <c r="BO100" s="22"/>
    </row>
    <row r="101" spans="1:70" x14ac:dyDescent="0.35">
      <c r="A101" s="95"/>
      <c r="B101" s="88" t="s">
        <v>247</v>
      </c>
      <c r="C101" s="244">
        <v>0</v>
      </c>
      <c r="D101" s="106" t="s">
        <v>45</v>
      </c>
      <c r="G101" s="3"/>
      <c r="H101" s="17"/>
      <c r="S101" s="40" t="s">
        <v>239</v>
      </c>
      <c r="T101" s="74">
        <f>IF(C34&gt;C40,1/(C34/(C40+C34)),IF(C40&gt;C34,1/(C40/(C40+C34))))</f>
        <v>1.0177585647020619</v>
      </c>
      <c r="U101" t="s">
        <v>3</v>
      </c>
      <c r="AF101" s="22"/>
      <c r="BC101" s="22" t="s">
        <v>51</v>
      </c>
      <c r="BD101" s="22">
        <v>5000</v>
      </c>
      <c r="BE101" s="22">
        <v>22</v>
      </c>
      <c r="BF101" s="22"/>
      <c r="BG101" s="22"/>
      <c r="BH101" s="22"/>
      <c r="BI101" s="22"/>
      <c r="BJ101" s="22"/>
      <c r="BK101" s="22"/>
      <c r="BL101" s="22"/>
      <c r="BM101" s="22"/>
      <c r="BN101" s="22"/>
      <c r="BO101" s="22"/>
    </row>
    <row r="102" spans="1:70" ht="16.5" x14ac:dyDescent="0.35">
      <c r="A102" s="95"/>
      <c r="B102" s="95"/>
      <c r="C102" s="96" t="str">
        <f>IF(AI104&gt;1,"erforderliche Fläche übersteigt nutzbare Fläche"," ")</f>
        <v xml:space="preserve"> </v>
      </c>
      <c r="D102" s="92"/>
      <c r="G102" s="200" t="s">
        <v>188</v>
      </c>
      <c r="H102" s="269">
        <f>ROUNDUP(H95/(C59/1000),0)*C61*C99/100+ROUNDUP((H95*T97)/(C68/1000),0)*C70*C101/100</f>
        <v>2711.5</v>
      </c>
      <c r="I102" s="19" t="s">
        <v>4</v>
      </c>
      <c r="S102" s="40" t="s">
        <v>347</v>
      </c>
      <c r="T102" s="11">
        <f>100/T101</f>
        <v>98.255129918040964</v>
      </c>
      <c r="U102" t="s">
        <v>3</v>
      </c>
      <c r="V102" s="25"/>
      <c r="AF102" s="22"/>
      <c r="BC102" s="22" t="s">
        <v>52</v>
      </c>
      <c r="BD102" s="22">
        <v>6000</v>
      </c>
      <c r="BE102" s="22">
        <v>26</v>
      </c>
      <c r="BF102" s="22"/>
      <c r="BG102" s="22"/>
      <c r="BH102" s="22"/>
      <c r="BI102" s="22"/>
      <c r="BJ102" s="22"/>
      <c r="BK102" s="22"/>
      <c r="BL102" s="22"/>
      <c r="BM102" s="22"/>
      <c r="BN102" s="22"/>
      <c r="BO102" s="22"/>
    </row>
    <row r="103" spans="1:70" x14ac:dyDescent="0.35">
      <c r="A103" s="95"/>
      <c r="B103" s="96"/>
      <c r="C103" s="134">
        <f>SUM(C99:C101)</f>
        <v>100</v>
      </c>
      <c r="D103" s="97" t="str">
        <f>IF(C103&lt;100,"muss gleich 100 sein",IF(C103&gt;100,"muss gleich 100 sein"," "))</f>
        <v xml:space="preserve"> </v>
      </c>
      <c r="AF103" s="22"/>
      <c r="AG103" t="s">
        <v>190</v>
      </c>
      <c r="AH103" s="61">
        <f>ROUNDUP(H95/(C59/1000),0)*C61*C99/100</f>
        <v>2711.5</v>
      </c>
      <c r="AI103" s="6">
        <f>AH103/H56</f>
        <v>0.37727841936830386</v>
      </c>
      <c r="BC103" s="22" t="s">
        <v>54</v>
      </c>
      <c r="BD103" s="22">
        <v>7000</v>
      </c>
      <c r="BE103" s="22">
        <v>29</v>
      </c>
      <c r="BF103" s="22"/>
      <c r="BG103" s="22"/>
      <c r="BH103" s="22"/>
      <c r="BI103" s="22"/>
      <c r="BJ103" s="22"/>
      <c r="BK103" s="22"/>
      <c r="BL103" s="22"/>
      <c r="BM103" s="22"/>
      <c r="BN103" s="22"/>
      <c r="BO103" s="22"/>
    </row>
    <row r="104" spans="1:70" x14ac:dyDescent="0.35">
      <c r="A104" s="95"/>
      <c r="B104" s="92"/>
      <c r="C104" s="102"/>
      <c r="D104" s="106"/>
      <c r="E104" s="111"/>
      <c r="G104" s="28"/>
      <c r="H104" s="74"/>
      <c r="I104" s="40"/>
      <c r="S104" s="148" t="s">
        <v>117</v>
      </c>
      <c r="T104" s="149">
        <v>36</v>
      </c>
      <c r="U104" s="149"/>
      <c r="V104" s="149" t="s">
        <v>205</v>
      </c>
      <c r="W104" s="149"/>
      <c r="AF104" s="22"/>
      <c r="AG104" t="s">
        <v>189</v>
      </c>
      <c r="AH104" s="6">
        <f>ROUNDUP((H95*T97)/(C68/1000),0)*C70*C101/100</f>
        <v>0</v>
      </c>
      <c r="AI104" s="6">
        <f>IF(C66&gt;0,AH104/H65,0)</f>
        <v>0</v>
      </c>
      <c r="BC104" s="22"/>
      <c r="BD104" s="22"/>
      <c r="BE104" s="22"/>
      <c r="BF104" s="22"/>
      <c r="BG104" s="22"/>
      <c r="BH104" s="22"/>
      <c r="BI104" s="22"/>
      <c r="BJ104" s="22"/>
      <c r="BK104" s="22"/>
      <c r="BL104" s="22"/>
      <c r="BM104" s="22"/>
      <c r="BN104" s="22"/>
      <c r="BO104" s="22"/>
    </row>
    <row r="105" spans="1:70" x14ac:dyDescent="0.35">
      <c r="A105" s="95"/>
      <c r="B105" s="92"/>
      <c r="C105" s="92"/>
      <c r="D105" s="106"/>
      <c r="E105" s="111"/>
      <c r="G105" s="40"/>
      <c r="H105" s="58"/>
      <c r="I105" s="40"/>
      <c r="S105" s="148" t="s">
        <v>118</v>
      </c>
      <c r="T105" s="150">
        <v>10</v>
      </c>
      <c r="U105" s="149" t="s">
        <v>7</v>
      </c>
      <c r="V105" s="150">
        <v>0.4</v>
      </c>
      <c r="W105" s="149" t="s">
        <v>7</v>
      </c>
      <c r="AF105" s="22"/>
      <c r="AH105" s="22"/>
      <c r="AI105" s="22"/>
      <c r="AJ105" s="22"/>
      <c r="AK105" s="22"/>
      <c r="AL105" s="22"/>
      <c r="AM105" s="22"/>
      <c r="AN105" s="22"/>
      <c r="AO105" s="22"/>
      <c r="AP105" s="22"/>
      <c r="AQ105" s="22"/>
      <c r="AR105" s="22"/>
      <c r="AS105" s="22"/>
      <c r="AT105" s="22"/>
    </row>
    <row r="106" spans="1:70" x14ac:dyDescent="0.35">
      <c r="A106" s="95"/>
      <c r="B106" s="92"/>
      <c r="C106" s="102"/>
      <c r="D106" s="106"/>
      <c r="E106" s="111"/>
      <c r="S106" s="151"/>
      <c r="T106" s="150">
        <f>T105/(C86/1000)</f>
        <v>5.5125515285754136E-3</v>
      </c>
      <c r="U106" s="149" t="s">
        <v>79</v>
      </c>
      <c r="V106" s="150">
        <f>V105/(C86/1000)</f>
        <v>2.2050206114301656E-4</v>
      </c>
      <c r="W106" s="149" t="s">
        <v>79</v>
      </c>
      <c r="AF106" s="22"/>
      <c r="AH106" s="22"/>
      <c r="AI106" s="22"/>
      <c r="AJ106" s="22"/>
      <c r="AK106" s="22"/>
      <c r="AL106" s="22"/>
      <c r="AM106" s="22"/>
      <c r="AN106" s="22"/>
      <c r="AO106" s="22"/>
      <c r="AP106" s="22"/>
      <c r="AQ106" s="22"/>
      <c r="AR106" s="22"/>
      <c r="AS106" s="22"/>
      <c r="AT106" s="22"/>
    </row>
    <row r="107" spans="1:70" x14ac:dyDescent="0.35">
      <c r="A107" s="95"/>
      <c r="B107" s="95"/>
      <c r="D107" s="92"/>
      <c r="S107" s="10"/>
      <c r="T107" s="10"/>
      <c r="U107" s="10"/>
      <c r="AF107" s="22"/>
      <c r="AW107" s="22"/>
    </row>
    <row r="108" spans="1:70" s="1" customFormat="1" ht="16.5" x14ac:dyDescent="0.35">
      <c r="B108" s="1" t="s">
        <v>248</v>
      </c>
      <c r="D108" s="68"/>
      <c r="E108" s="83"/>
      <c r="Q108" s="68"/>
      <c r="R108" s="83"/>
      <c r="S108" s="68"/>
      <c r="T108" s="68"/>
      <c r="U108" s="68"/>
      <c r="AF108" s="69"/>
      <c r="AW108" s="69"/>
    </row>
    <row r="109" spans="1:70" x14ac:dyDescent="0.35">
      <c r="A109" s="95"/>
      <c r="B109" s="95"/>
      <c r="C109" s="95"/>
      <c r="D109" s="92"/>
      <c r="S109" s="10"/>
      <c r="T109" s="10"/>
      <c r="U109" s="10"/>
      <c r="AF109" s="22"/>
      <c r="AW109" s="22"/>
    </row>
    <row r="110" spans="1:70" ht="16.5" customHeight="1" x14ac:dyDescent="0.35">
      <c r="A110" s="95"/>
      <c r="B110" s="121"/>
      <c r="C110" s="121"/>
      <c r="D110" s="122"/>
      <c r="E110" s="111"/>
      <c r="G110" s="87"/>
      <c r="H110" s="87"/>
      <c r="I110" s="87"/>
      <c r="T110" s="213" t="s">
        <v>198</v>
      </c>
      <c r="U110" s="213"/>
      <c r="V110" s="213"/>
      <c r="W110" s="213"/>
      <c r="AD110" s="213" t="s">
        <v>198</v>
      </c>
      <c r="AE110" s="213"/>
      <c r="AF110" s="213"/>
      <c r="AG110" s="213"/>
      <c r="AW110" s="22"/>
    </row>
    <row r="111" spans="1:70" ht="16.5" x14ac:dyDescent="0.35">
      <c r="A111" s="95"/>
      <c r="B111" s="88" t="s">
        <v>84</v>
      </c>
      <c r="C111" s="245">
        <f>C81</f>
        <v>1394.91</v>
      </c>
      <c r="D111" s="93" t="s">
        <v>7</v>
      </c>
      <c r="G111" s="3" t="s">
        <v>198</v>
      </c>
      <c r="H111" s="256">
        <f>IF(C89="Nein",T120,IF(C89="Ja",T121,0))</f>
        <v>40.767740401453402</v>
      </c>
      <c r="I111" s="21" t="s">
        <v>45</v>
      </c>
      <c r="T111" s="213" t="s">
        <v>79</v>
      </c>
      <c r="U111" s="214"/>
      <c r="V111" s="213" t="s">
        <v>81</v>
      </c>
      <c r="W111" s="213"/>
      <c r="AD111" s="213" t="s">
        <v>79</v>
      </c>
      <c r="AE111" s="214"/>
      <c r="AF111" s="213" t="s">
        <v>81</v>
      </c>
      <c r="AG111" s="213"/>
      <c r="AW111" s="22"/>
    </row>
    <row r="112" spans="1:70" x14ac:dyDescent="0.35">
      <c r="A112" s="95"/>
      <c r="B112" s="88" t="s">
        <v>77</v>
      </c>
      <c r="C112" s="245">
        <f>C86</f>
        <v>1814042</v>
      </c>
      <c r="D112" s="92" t="s">
        <v>47</v>
      </c>
      <c r="G112" s="3"/>
      <c r="H112" s="17"/>
      <c r="T112" s="26" t="s">
        <v>82</v>
      </c>
      <c r="U112" s="27" t="s">
        <v>83</v>
      </c>
      <c r="V112" s="64" t="s">
        <v>82</v>
      </c>
      <c r="W112" s="64" t="s">
        <v>83</v>
      </c>
      <c r="AD112" s="26" t="s">
        <v>82</v>
      </c>
      <c r="AE112" s="27" t="s">
        <v>83</v>
      </c>
      <c r="AF112" s="66" t="s">
        <v>82</v>
      </c>
      <c r="AG112" s="66" t="s">
        <v>83</v>
      </c>
      <c r="AW112" s="22"/>
    </row>
    <row r="113" spans="1:49" x14ac:dyDescent="0.35">
      <c r="A113" s="95"/>
      <c r="B113" s="88" t="s">
        <v>78</v>
      </c>
      <c r="C113" s="248">
        <f>T96</f>
        <v>0.76895132527251309</v>
      </c>
      <c r="D113" s="92" t="s">
        <v>79</v>
      </c>
      <c r="G113" s="202" t="s">
        <v>251</v>
      </c>
      <c r="H113" s="271">
        <f>IF(C40&gt;0,H111*T101,H111)</f>
        <v>41.491716957129476</v>
      </c>
      <c r="I113" t="s">
        <v>45</v>
      </c>
      <c r="S113" s="112">
        <v>40</v>
      </c>
      <c r="T113" t="s">
        <v>87</v>
      </c>
      <c r="U113" s="2">
        <v>2.5</v>
      </c>
      <c r="V113">
        <v>40</v>
      </c>
      <c r="W113">
        <v>40</v>
      </c>
      <c r="AC113" s="29">
        <v>50</v>
      </c>
      <c r="AD113" t="s">
        <v>87</v>
      </c>
      <c r="AE113" s="2">
        <v>2.5</v>
      </c>
      <c r="AF113">
        <v>50</v>
      </c>
      <c r="AG113">
        <v>50</v>
      </c>
      <c r="AW113" s="22"/>
    </row>
    <row r="114" spans="1:49" x14ac:dyDescent="0.35">
      <c r="A114" s="95"/>
      <c r="B114" s="88"/>
      <c r="C114" s="120"/>
      <c r="D114" s="92"/>
      <c r="G114" s="3"/>
      <c r="H114" s="17"/>
      <c r="S114" s="113">
        <f>V114-((V114-W114)/(T114-U114)*(T114-$C$113))</f>
        <v>29.180945782953209</v>
      </c>
      <c r="T114" s="10">
        <v>2.5</v>
      </c>
      <c r="U114" s="3">
        <v>0.9</v>
      </c>
      <c r="V114">
        <v>40</v>
      </c>
      <c r="W114">
        <v>30</v>
      </c>
      <c r="AC114" s="30">
        <f>AF114-((AF114-AG114)/(AD114-AE114)*(AD114-$C$113))</f>
        <v>40.767740401453402</v>
      </c>
      <c r="AD114" s="10">
        <v>2.5</v>
      </c>
      <c r="AE114" s="3">
        <v>0.625</v>
      </c>
      <c r="AF114">
        <v>50</v>
      </c>
      <c r="AG114">
        <v>40</v>
      </c>
      <c r="AW114" s="22"/>
    </row>
    <row r="115" spans="1:49" x14ac:dyDescent="0.35">
      <c r="A115" s="95"/>
      <c r="B115" s="92"/>
      <c r="C115" s="137"/>
      <c r="D115" s="92"/>
      <c r="G115" s="40"/>
      <c r="H115" s="40"/>
      <c r="I115" s="40"/>
      <c r="S115" s="113">
        <f>V115-((V115-W115)/(T115-U115)*(T115-$C$113))</f>
        <v>27.700900443377421</v>
      </c>
      <c r="T115" s="10">
        <v>0.9</v>
      </c>
      <c r="U115" s="3">
        <v>0.33</v>
      </c>
      <c r="V115">
        <v>30</v>
      </c>
      <c r="W115">
        <v>20</v>
      </c>
      <c r="AC115" s="30">
        <f>AF115-((AF115-AG115)/(AD115-AE115)*(AD115-$C$113))</f>
        <v>45.234593646273204</v>
      </c>
      <c r="AD115" s="10">
        <v>0.625</v>
      </c>
      <c r="AE115" s="3">
        <v>0.35</v>
      </c>
      <c r="AF115">
        <v>40</v>
      </c>
      <c r="AG115">
        <v>30</v>
      </c>
      <c r="AW115" s="22"/>
    </row>
    <row r="116" spans="1:49" x14ac:dyDescent="0.35">
      <c r="A116" s="95"/>
      <c r="B116" s="92"/>
      <c r="C116" s="138"/>
      <c r="D116" s="92"/>
      <c r="G116" s="40"/>
      <c r="H116" s="74"/>
      <c r="I116" s="40"/>
      <c r="S116" s="113">
        <f>V116-((V116-W116)/(T116-U116)*(T116-$C$113))</f>
        <v>41.412259769390879</v>
      </c>
      <c r="T116" s="10">
        <v>0.33</v>
      </c>
      <c r="U116" s="3">
        <v>0.125</v>
      </c>
      <c r="V116">
        <v>20</v>
      </c>
      <c r="W116">
        <v>10</v>
      </c>
      <c r="AC116" s="30">
        <f>AF116-((AF116-AG116)/(AD116-AE116)*(AD116-$C$113))</f>
        <v>62.22702502096255</v>
      </c>
      <c r="AD116" s="10">
        <v>0.35</v>
      </c>
      <c r="AE116" s="3">
        <v>0.22</v>
      </c>
      <c r="AF116">
        <v>30</v>
      </c>
      <c r="AG116">
        <v>20</v>
      </c>
      <c r="AW116" s="22"/>
    </row>
    <row r="117" spans="1:49" x14ac:dyDescent="0.35">
      <c r="A117" s="95"/>
      <c r="B117" s="95"/>
      <c r="C117" s="95"/>
      <c r="D117" s="92"/>
      <c r="G117" s="40"/>
      <c r="H117" s="40"/>
      <c r="I117" s="40"/>
      <c r="S117" s="113">
        <f>V117-((V117-W117)/(T117-U117)*(T117-$C$113))</f>
        <v>61.51610602180105</v>
      </c>
      <c r="T117" s="28">
        <v>0.125</v>
      </c>
      <c r="U117" s="3">
        <v>0</v>
      </c>
      <c r="V117">
        <v>10</v>
      </c>
      <c r="W117">
        <v>0</v>
      </c>
      <c r="AC117" s="30">
        <f>AF117-((AF117-AG117)/(AD117-AE117)*(AD117-$C$113))</f>
        <v>77.784350028685594</v>
      </c>
      <c r="AD117" s="28">
        <v>0.22</v>
      </c>
      <c r="AE117" s="3">
        <v>0.125</v>
      </c>
      <c r="AF117">
        <v>20</v>
      </c>
      <c r="AG117">
        <v>10</v>
      </c>
      <c r="AW117" s="22"/>
    </row>
    <row r="118" spans="1:49" x14ac:dyDescent="0.35">
      <c r="A118" s="95"/>
      <c r="B118" s="95"/>
      <c r="C118" s="95"/>
      <c r="D118" s="92"/>
      <c r="G118" s="40"/>
      <c r="H118" s="40"/>
      <c r="I118" s="40"/>
      <c r="S118" s="49"/>
      <c r="T118" s="10"/>
      <c r="U118" s="10"/>
      <c r="AC118" s="30">
        <f>AF118-((AF118-AG118)/(AD118-AE118)*(AD118-$C$113))</f>
        <v>95.860176703001756</v>
      </c>
      <c r="AD118" s="28">
        <v>0.125</v>
      </c>
      <c r="AE118" s="3">
        <v>0.05</v>
      </c>
      <c r="AF118">
        <v>10</v>
      </c>
      <c r="AG118">
        <v>0</v>
      </c>
      <c r="AW118" s="22"/>
    </row>
    <row r="119" spans="1:49" x14ac:dyDescent="0.35">
      <c r="A119" s="95"/>
      <c r="B119" s="95"/>
      <c r="C119" s="95"/>
      <c r="D119" s="92"/>
      <c r="G119" s="40"/>
      <c r="H119" s="40"/>
      <c r="I119" s="40"/>
      <c r="S119" s="49"/>
      <c r="T119" s="10"/>
      <c r="U119" s="10"/>
      <c r="AC119" s="30">
        <v>0</v>
      </c>
      <c r="AD119" s="28">
        <v>0.05</v>
      </c>
      <c r="AE119" s="3">
        <v>0</v>
      </c>
      <c r="AG119">
        <v>0</v>
      </c>
      <c r="AH119" s="10"/>
      <c r="AI119" s="10"/>
      <c r="AJ119" s="10"/>
      <c r="AK119" s="10"/>
      <c r="AW119" s="22"/>
    </row>
    <row r="120" spans="1:49" x14ac:dyDescent="0.35">
      <c r="A120" s="95"/>
      <c r="B120" s="95"/>
      <c r="C120" s="95"/>
      <c r="D120" s="92"/>
      <c r="G120" s="40"/>
      <c r="H120" s="74"/>
      <c r="I120" s="40"/>
      <c r="R120" s="140"/>
      <c r="S120" s="140" t="s">
        <v>249</v>
      </c>
      <c r="T120" s="49">
        <f>IF(C113&lt;T117,S117,IF(C113&lt;T116,S116,IF(C113&lt;T115,S115,IF(C113&lt;T114,S114,IF(C113&gt;=U113,S113,0)))))</f>
        <v>27.700900443377421</v>
      </c>
      <c r="U120" s="45" t="s">
        <v>45</v>
      </c>
      <c r="AF120" s="22"/>
      <c r="AG120" s="49"/>
      <c r="AH120" s="10"/>
      <c r="AI120" s="10"/>
      <c r="AJ120" s="10"/>
      <c r="AK120" s="10"/>
      <c r="AW120" s="22"/>
    </row>
    <row r="121" spans="1:49" x14ac:dyDescent="0.35">
      <c r="A121" s="95"/>
      <c r="B121" s="95"/>
      <c r="C121" s="95"/>
      <c r="D121" s="92"/>
      <c r="R121" s="140"/>
      <c r="S121" s="140" t="s">
        <v>250</v>
      </c>
      <c r="T121" s="49">
        <f>IF(C113&lt;AD119,AC119,IF(C113&lt;AD118,AC118,IF(C113&lt;AD117,AC117,IF(C113&lt;AD116,AC116,IF(C113&lt;AD115,AC115,IF(C113&lt;AD114,AC114,IF(C113&gt;=AE113,AC113,0)))))))</f>
        <v>40.767740401453402</v>
      </c>
      <c r="U121" s="45" t="s">
        <v>45</v>
      </c>
      <c r="AF121" s="22"/>
      <c r="AG121" s="49"/>
      <c r="AH121" s="10"/>
      <c r="AI121" s="10"/>
      <c r="AJ121" s="10"/>
      <c r="AK121" s="10"/>
      <c r="AW121" s="22"/>
    </row>
    <row r="122" spans="1:49" x14ac:dyDescent="0.35">
      <c r="A122" s="95"/>
      <c r="B122" s="95"/>
      <c r="C122" s="95"/>
      <c r="D122" s="92"/>
      <c r="S122" s="49"/>
      <c r="T122" s="10"/>
      <c r="U122" s="10"/>
      <c r="AF122" s="22"/>
      <c r="AG122" s="28"/>
      <c r="AH122" s="28"/>
      <c r="AI122" s="10"/>
      <c r="AJ122" s="10"/>
      <c r="AK122" s="10"/>
      <c r="AW122" s="22"/>
    </row>
    <row r="123" spans="1:49" s="1" customFormat="1" x14ac:dyDescent="0.35">
      <c r="B123" s="141" t="s">
        <v>252</v>
      </c>
      <c r="D123" s="68"/>
      <c r="E123" s="83"/>
      <c r="Q123" s="68"/>
      <c r="R123" s="83"/>
    </row>
    <row r="124" spans="1:49" x14ac:dyDescent="0.35">
      <c r="A124" s="95"/>
      <c r="B124" s="95"/>
      <c r="C124" s="95"/>
      <c r="D124" s="92"/>
    </row>
    <row r="125" spans="1:49" x14ac:dyDescent="0.35">
      <c r="A125" s="95"/>
      <c r="B125" s="121"/>
      <c r="C125" s="121"/>
      <c r="D125" s="122"/>
      <c r="G125" s="87"/>
      <c r="H125" s="87"/>
      <c r="I125" s="87"/>
      <c r="R125" s="140"/>
      <c r="S125" s="144" t="s">
        <v>102</v>
      </c>
      <c r="T125" s="308">
        <f>H130*C136/100</f>
        <v>8369.4599999999991</v>
      </c>
      <c r="U125" s="143" t="s">
        <v>99</v>
      </c>
    </row>
    <row r="126" spans="1:49" x14ac:dyDescent="0.35">
      <c r="A126" s="95"/>
      <c r="B126" s="88" t="s">
        <v>66</v>
      </c>
      <c r="C126" s="245">
        <f>C81</f>
        <v>1394.91</v>
      </c>
      <c r="D126" s="92" t="s">
        <v>7</v>
      </c>
      <c r="R126" s="140"/>
      <c r="S126" s="145" t="s">
        <v>70</v>
      </c>
      <c r="T126" s="254">
        <v>1200</v>
      </c>
      <c r="U126" s="28" t="s">
        <v>69</v>
      </c>
    </row>
    <row r="127" spans="1:49" x14ac:dyDescent="0.35">
      <c r="A127" s="95"/>
      <c r="B127" s="88" t="s">
        <v>74</v>
      </c>
      <c r="C127" s="245">
        <f>IF(C82&gt;0,C81*T127,H74)</f>
        <v>1325164.5</v>
      </c>
      <c r="D127" s="92" t="s">
        <v>8</v>
      </c>
      <c r="F127" s="8"/>
      <c r="S127" t="s">
        <v>349</v>
      </c>
      <c r="T127" s="262">
        <v>900</v>
      </c>
      <c r="U127" t="s">
        <v>9</v>
      </c>
      <c r="AE127" t="s">
        <v>214</v>
      </c>
      <c r="AF127">
        <v>5</v>
      </c>
      <c r="AG127" t="s">
        <v>72</v>
      </c>
    </row>
    <row r="128" spans="1:49" x14ac:dyDescent="0.35">
      <c r="A128" s="95"/>
      <c r="B128" s="88"/>
      <c r="C128" s="142"/>
      <c r="D128" s="106"/>
      <c r="Y128" s="14" t="s">
        <v>201</v>
      </c>
      <c r="AE128" t="s">
        <v>89</v>
      </c>
      <c r="AF128">
        <v>16</v>
      </c>
      <c r="AG128" t="s">
        <v>72</v>
      </c>
    </row>
    <row r="129" spans="1:33" x14ac:dyDescent="0.35">
      <c r="A129" s="95"/>
      <c r="B129" s="107"/>
      <c r="C129" s="108"/>
      <c r="D129" s="109"/>
      <c r="S129" s="2" t="s">
        <v>95</v>
      </c>
      <c r="T129" s="9" t="s">
        <v>96</v>
      </c>
      <c r="U129" s="2" t="s">
        <v>97</v>
      </c>
      <c r="V129" s="14" t="s">
        <v>69</v>
      </c>
      <c r="Y129" s="14" t="s">
        <v>202</v>
      </c>
      <c r="AE129" t="s">
        <v>75</v>
      </c>
      <c r="AF129">
        <v>1</v>
      </c>
      <c r="AG129" t="s">
        <v>76</v>
      </c>
    </row>
    <row r="130" spans="1:33" x14ac:dyDescent="0.35">
      <c r="A130" s="95"/>
      <c r="B130" s="88" t="s">
        <v>71</v>
      </c>
      <c r="C130" s="245">
        <f>IF(ISNUMBER(C131),C131,IF(C126&lt;=U130,V130,IF(C126&lt;=U131,V131,0)))</f>
        <v>0</v>
      </c>
      <c r="D130" s="92" t="s">
        <v>69</v>
      </c>
      <c r="G130" s="3" t="s">
        <v>254</v>
      </c>
      <c r="H130" s="246">
        <f>C126*T126</f>
        <v>1673892</v>
      </c>
      <c r="I130" t="s">
        <v>68</v>
      </c>
      <c r="S130" s="27"/>
      <c r="T130" s="35">
        <v>0</v>
      </c>
      <c r="U130" s="27">
        <v>100</v>
      </c>
      <c r="V130" s="27">
        <v>250</v>
      </c>
      <c r="Y130" s="14" t="s">
        <v>203</v>
      </c>
      <c r="AE130" t="s">
        <v>90</v>
      </c>
      <c r="AF130">
        <v>0.5</v>
      </c>
      <c r="AG130" t="s">
        <v>76</v>
      </c>
    </row>
    <row r="131" spans="1:33" x14ac:dyDescent="0.35">
      <c r="A131" s="95"/>
      <c r="B131" s="3" t="s">
        <v>253</v>
      </c>
      <c r="C131" s="244">
        <v>0</v>
      </c>
      <c r="D131" s="104" t="s">
        <v>69</v>
      </c>
      <c r="G131" s="3" t="s">
        <v>71</v>
      </c>
      <c r="H131" s="246">
        <f>C130*C126</f>
        <v>0</v>
      </c>
      <c r="I131" t="s">
        <v>68</v>
      </c>
      <c r="S131" s="27"/>
      <c r="T131" s="35">
        <v>100</v>
      </c>
      <c r="U131" s="27">
        <v>500</v>
      </c>
      <c r="V131" s="27">
        <v>200</v>
      </c>
      <c r="AE131" t="s">
        <v>209</v>
      </c>
      <c r="AF131">
        <v>0</v>
      </c>
      <c r="AG131" t="s">
        <v>76</v>
      </c>
    </row>
    <row r="132" spans="1:33" x14ac:dyDescent="0.35">
      <c r="A132" s="95"/>
      <c r="B132" s="88"/>
      <c r="C132" s="95"/>
      <c r="D132" s="104"/>
      <c r="G132" s="2" t="s">
        <v>92</v>
      </c>
      <c r="H132" s="247">
        <f>H130-H131</f>
        <v>1673892</v>
      </c>
      <c r="I132" s="19" t="s">
        <v>68</v>
      </c>
      <c r="AE132" t="s">
        <v>100</v>
      </c>
      <c r="AF132">
        <v>1.5</v>
      </c>
      <c r="AG132" t="s">
        <v>76</v>
      </c>
    </row>
    <row r="133" spans="1:33" x14ac:dyDescent="0.35">
      <c r="A133" s="95"/>
      <c r="B133" s="129" t="s">
        <v>214</v>
      </c>
      <c r="C133" s="244">
        <v>5</v>
      </c>
      <c r="D133" s="104" t="s">
        <v>72</v>
      </c>
      <c r="G133" s="3"/>
      <c r="H133" s="17"/>
      <c r="AE133" t="s">
        <v>101</v>
      </c>
      <c r="AF133">
        <v>2</v>
      </c>
      <c r="AG133" t="s">
        <v>76</v>
      </c>
    </row>
    <row r="134" spans="1:33" x14ac:dyDescent="0.35">
      <c r="A134" s="95"/>
      <c r="B134" s="88" t="s">
        <v>89</v>
      </c>
      <c r="C134" s="244">
        <v>16</v>
      </c>
      <c r="D134" s="104" t="s">
        <v>72</v>
      </c>
      <c r="G134" s="3"/>
      <c r="H134" s="17"/>
    </row>
    <row r="135" spans="1:33" x14ac:dyDescent="0.35">
      <c r="A135" s="95"/>
      <c r="B135" s="88" t="s">
        <v>75</v>
      </c>
      <c r="C135" s="276">
        <v>1</v>
      </c>
      <c r="D135" s="104" t="s">
        <v>76</v>
      </c>
      <c r="G135" s="3"/>
      <c r="H135" s="17"/>
      <c r="S135" s="12" t="s">
        <v>73</v>
      </c>
      <c r="T135" s="12" t="s">
        <v>74</v>
      </c>
      <c r="U135" s="12" t="s">
        <v>44</v>
      </c>
      <c r="V135" s="12" t="s">
        <v>103</v>
      </c>
      <c r="W135" s="12" t="s">
        <v>98</v>
      </c>
      <c r="X135" s="12" t="s">
        <v>91</v>
      </c>
      <c r="Y135" s="12" t="s">
        <v>191</v>
      </c>
      <c r="Z135" s="12" t="s">
        <v>192</v>
      </c>
      <c r="AA135" s="12" t="s">
        <v>94</v>
      </c>
      <c r="AB135" s="12" t="s">
        <v>93</v>
      </c>
    </row>
    <row r="136" spans="1:33" x14ac:dyDescent="0.35">
      <c r="A136" s="95"/>
      <c r="B136" s="129" t="s">
        <v>90</v>
      </c>
      <c r="C136" s="276">
        <v>0.5</v>
      </c>
      <c r="D136" s="104" t="s">
        <v>76</v>
      </c>
      <c r="G136" s="3"/>
      <c r="H136" s="17"/>
      <c r="S136" s="12" t="s">
        <v>88</v>
      </c>
      <c r="T136" s="153" t="s">
        <v>8</v>
      </c>
      <c r="U136" s="153" t="s">
        <v>8</v>
      </c>
      <c r="V136" s="153" t="s">
        <v>8</v>
      </c>
      <c r="W136" s="153" t="s">
        <v>68</v>
      </c>
      <c r="X136" s="153" t="s">
        <v>68</v>
      </c>
      <c r="Y136" s="153" t="s">
        <v>68</v>
      </c>
      <c r="Z136" s="153" t="s">
        <v>68</v>
      </c>
      <c r="AA136" s="153" t="s">
        <v>68</v>
      </c>
      <c r="AB136" s="153" t="s">
        <v>88</v>
      </c>
    </row>
    <row r="137" spans="1:33" x14ac:dyDescent="0.35">
      <c r="A137" s="95"/>
      <c r="B137" s="88" t="s">
        <v>209</v>
      </c>
      <c r="C137" s="276">
        <v>0</v>
      </c>
      <c r="D137" s="104" t="s">
        <v>76</v>
      </c>
      <c r="G137" s="3"/>
      <c r="H137" s="17"/>
      <c r="R137" s="114"/>
      <c r="S137" s="12">
        <v>0</v>
      </c>
      <c r="T137" s="12"/>
      <c r="U137" s="12"/>
      <c r="V137" s="12"/>
      <c r="W137" s="12"/>
      <c r="X137" s="273">
        <f>H132</f>
        <v>1673892</v>
      </c>
      <c r="Y137" s="303">
        <f>-X137</f>
        <v>-1673892</v>
      </c>
      <c r="Z137" s="303">
        <f>-X137</f>
        <v>-1673892</v>
      </c>
      <c r="AA137" s="303">
        <f>-X137</f>
        <v>-1673892</v>
      </c>
      <c r="AB137" s="273">
        <f t="shared" ref="AB137:AB162" si="2">IF(AA137&lt;0,S137,0)</f>
        <v>0</v>
      </c>
    </row>
    <row r="138" spans="1:33" x14ac:dyDescent="0.35">
      <c r="A138" s="95"/>
      <c r="B138" s="88" t="s">
        <v>100</v>
      </c>
      <c r="C138" s="276">
        <v>1.5</v>
      </c>
      <c r="D138" s="104" t="s">
        <v>76</v>
      </c>
      <c r="G138" s="3"/>
      <c r="H138" s="17"/>
      <c r="S138" s="12">
        <v>1</v>
      </c>
      <c r="T138" s="303">
        <f>$C$127</f>
        <v>1325164.5</v>
      </c>
      <c r="U138" s="303">
        <f>T138*($H$84/100)</f>
        <v>716224.03034622525</v>
      </c>
      <c r="V138" s="303">
        <f>T138-U138</f>
        <v>608940.46965377475</v>
      </c>
      <c r="W138" s="273">
        <f t="shared" ref="W138:W162" si="3">(V138*($C$133/100)+(U138*($C$134/100)*(1+$C$138/100)^S138))</f>
        <v>146761.80601091572</v>
      </c>
      <c r="X138" s="273">
        <f t="shared" ref="X138:X149" si="4">$T$125*(1+$C$137/100)^S137</f>
        <v>8369.4599999999991</v>
      </c>
      <c r="Y138" s="273">
        <f>W138-X138</f>
        <v>138392.34601091573</v>
      </c>
      <c r="Z138" s="303">
        <f t="shared" ref="Z138:Z162" si="5">Y138/(1+$C$139/100)^S138</f>
        <v>135678.770598937</v>
      </c>
      <c r="AA138" s="273">
        <f>AA137+Z138</f>
        <v>-1538213.2294010629</v>
      </c>
      <c r="AB138" s="273">
        <f t="shared" si="2"/>
        <v>1</v>
      </c>
    </row>
    <row r="139" spans="1:33" x14ac:dyDescent="0.35">
      <c r="A139" s="95"/>
      <c r="B139" s="129" t="s">
        <v>101</v>
      </c>
      <c r="C139" s="276">
        <v>2</v>
      </c>
      <c r="D139" s="104" t="s">
        <v>76</v>
      </c>
      <c r="G139" s="3"/>
      <c r="H139" s="154"/>
      <c r="S139" s="12">
        <v>2</v>
      </c>
      <c r="T139" s="303">
        <f t="shared" ref="T139:T162" si="6">T138*(1-$C$135/100)</f>
        <v>1311912.855</v>
      </c>
      <c r="U139" s="303">
        <f t="shared" ref="U139:U162" si="7">T139*($H$84/100)</f>
        <v>709061.79004276299</v>
      </c>
      <c r="V139" s="303">
        <f t="shared" ref="V139:V162" si="8">T139-U139</f>
        <v>602851.06495723699</v>
      </c>
      <c r="W139" s="273">
        <f t="shared" si="3"/>
        <v>147021.46247135071</v>
      </c>
      <c r="X139" s="273">
        <f t="shared" si="4"/>
        <v>8369.4599999999991</v>
      </c>
      <c r="Y139" s="273">
        <f>W139-X139</f>
        <v>138652.00247135072</v>
      </c>
      <c r="Z139" s="303">
        <f t="shared" si="5"/>
        <v>133267.97623159431</v>
      </c>
      <c r="AA139" s="273">
        <f>AA138+Z139</f>
        <v>-1404945.2531694686</v>
      </c>
      <c r="AB139" s="273">
        <f t="shared" si="2"/>
        <v>2</v>
      </c>
    </row>
    <row r="140" spans="1:33" x14ac:dyDescent="0.35">
      <c r="A140" s="95"/>
      <c r="B140" s="88"/>
      <c r="C140" s="95"/>
      <c r="D140" s="104"/>
      <c r="G140" s="201" t="s">
        <v>104</v>
      </c>
      <c r="H140" s="264">
        <f>IF(MAX(AB137:AB162)&lt;25,MAX(AB137:AB162),"unwirtschaftlich")</f>
        <v>13</v>
      </c>
      <c r="I140" t="s">
        <v>88</v>
      </c>
      <c r="S140" s="12">
        <v>3</v>
      </c>
      <c r="T140" s="303">
        <f t="shared" si="6"/>
        <v>1298793.72645</v>
      </c>
      <c r="U140" s="303">
        <f t="shared" si="7"/>
        <v>701971.17214233533</v>
      </c>
      <c r="V140" s="303">
        <f t="shared" si="8"/>
        <v>596822.55430766463</v>
      </c>
      <c r="W140" s="273">
        <f t="shared" si="3"/>
        <v>147286.89964860596</v>
      </c>
      <c r="X140" s="273">
        <f t="shared" si="4"/>
        <v>8369.4599999999991</v>
      </c>
      <c r="Y140" s="273">
        <f t="shared" ref="Y140:Y162" si="9">W140-X140</f>
        <v>138917.43964860597</v>
      </c>
      <c r="Z140" s="303">
        <f t="shared" si="5"/>
        <v>130905.00603897255</v>
      </c>
      <c r="AA140" s="273">
        <f t="shared" ref="AA140:AA162" si="10">AA139+Z140</f>
        <v>-1274040.247130496</v>
      </c>
      <c r="AB140" s="273">
        <f t="shared" si="2"/>
        <v>3</v>
      </c>
    </row>
    <row r="141" spans="1:33" x14ac:dyDescent="0.35">
      <c r="A141" s="95"/>
      <c r="B141" s="88" t="s">
        <v>335</v>
      </c>
      <c r="C141" s="147" t="s">
        <v>202</v>
      </c>
      <c r="D141" s="104" t="s">
        <v>3</v>
      </c>
      <c r="G141" s="3" t="s">
        <v>196</v>
      </c>
      <c r="H141" s="259">
        <f>IRR(Z137:Z162)*100</f>
        <v>4.695018416696306</v>
      </c>
      <c r="I141" t="s">
        <v>45</v>
      </c>
      <c r="S141" s="12">
        <v>4</v>
      </c>
      <c r="T141" s="303">
        <f t="shared" si="6"/>
        <v>1285805.7891855</v>
      </c>
      <c r="U141" s="303">
        <f t="shared" si="7"/>
        <v>694951.46042091202</v>
      </c>
      <c r="V141" s="303">
        <f t="shared" si="8"/>
        <v>590854.32876458799</v>
      </c>
      <c r="W141" s="273">
        <f t="shared" si="3"/>
        <v>147558.10036532825</v>
      </c>
      <c r="X141" s="273">
        <f t="shared" si="4"/>
        <v>8369.4599999999991</v>
      </c>
      <c r="Y141" s="273">
        <f t="shared" si="9"/>
        <v>139188.64036532826</v>
      </c>
      <c r="Z141" s="303">
        <f t="shared" si="5"/>
        <v>128588.78875635796</v>
      </c>
      <c r="AA141" s="273">
        <f t="shared" si="10"/>
        <v>-1145451.458374138</v>
      </c>
      <c r="AB141" s="273">
        <f t="shared" si="2"/>
        <v>4</v>
      </c>
    </row>
    <row r="142" spans="1:33" x14ac:dyDescent="0.35">
      <c r="A142" s="95"/>
      <c r="B142" s="88" t="s">
        <v>204</v>
      </c>
      <c r="C142" s="245">
        <f>IF(C141="Ja",1800,0)</f>
        <v>1800</v>
      </c>
      <c r="D142" s="104" t="s">
        <v>68</v>
      </c>
      <c r="G142" s="191"/>
      <c r="H142" s="186"/>
      <c r="I142" s="40"/>
      <c r="S142" s="12">
        <v>5</v>
      </c>
      <c r="T142" s="303">
        <f t="shared" si="6"/>
        <v>1272947.731293645</v>
      </c>
      <c r="U142" s="303">
        <f t="shared" si="7"/>
        <v>688001.94581670291</v>
      </c>
      <c r="V142" s="303">
        <f t="shared" si="8"/>
        <v>584945.78547694208</v>
      </c>
      <c r="W142" s="273">
        <f t="shared" si="3"/>
        <v>147835.04781299239</v>
      </c>
      <c r="X142" s="273">
        <f t="shared" si="4"/>
        <v>8369.4599999999991</v>
      </c>
      <c r="Y142" s="273">
        <f t="shared" si="9"/>
        <v>139465.58781299239</v>
      </c>
      <c r="Z142" s="303">
        <f t="shared" si="5"/>
        <v>126318.27979326685</v>
      </c>
      <c r="AA142" s="273">
        <f t="shared" si="10"/>
        <v>-1019133.1785808711</v>
      </c>
      <c r="AB142" s="273">
        <f t="shared" si="2"/>
        <v>5</v>
      </c>
    </row>
    <row r="143" spans="1:33" x14ac:dyDescent="0.35">
      <c r="A143" s="95"/>
      <c r="B143" s="95"/>
      <c r="C143" s="95"/>
      <c r="G143" s="10"/>
      <c r="H143" s="10"/>
      <c r="I143" s="10"/>
      <c r="S143" s="12">
        <v>6</v>
      </c>
      <c r="T143" s="303">
        <f t="shared" si="6"/>
        <v>1260218.2539807085</v>
      </c>
      <c r="U143" s="303">
        <f t="shared" si="7"/>
        <v>681121.92635853589</v>
      </c>
      <c r="V143" s="303">
        <f t="shared" si="8"/>
        <v>579096.32762217266</v>
      </c>
      <c r="W143" s="273">
        <f t="shared" si="3"/>
        <v>148117.72554916877</v>
      </c>
      <c r="X143" s="273">
        <f t="shared" si="4"/>
        <v>8369.4599999999991</v>
      </c>
      <c r="Y143" s="273">
        <f t="shared" si="9"/>
        <v>139748.26554916878</v>
      </c>
      <c r="Z143" s="303">
        <f t="shared" si="5"/>
        <v>124092.4605178184</v>
      </c>
      <c r="AA143" s="273">
        <f t="shared" si="10"/>
        <v>-895040.71806305274</v>
      </c>
      <c r="AB143" s="273">
        <f t="shared" si="2"/>
        <v>6</v>
      </c>
    </row>
    <row r="144" spans="1:33" x14ac:dyDescent="0.35">
      <c r="A144" s="95"/>
      <c r="B144" s="92"/>
      <c r="C144" s="92"/>
      <c r="D144" s="106"/>
      <c r="E144" s="111"/>
      <c r="S144" s="12">
        <v>7</v>
      </c>
      <c r="T144" s="303">
        <f t="shared" si="6"/>
        <v>1247616.0714409014</v>
      </c>
      <c r="U144" s="303">
        <f t="shared" si="7"/>
        <v>674310.70709495049</v>
      </c>
      <c r="V144" s="303">
        <f t="shared" si="8"/>
        <v>573305.36434595089</v>
      </c>
      <c r="W144" s="273">
        <f t="shared" si="3"/>
        <v>148406.11749482274</v>
      </c>
      <c r="X144" s="273">
        <f t="shared" si="4"/>
        <v>8369.4599999999991</v>
      </c>
      <c r="Y144" s="273">
        <f t="shared" si="9"/>
        <v>140036.65749482275</v>
      </c>
      <c r="Z144" s="303">
        <f t="shared" si="5"/>
        <v>121910.33756118838</v>
      </c>
      <c r="AA144" s="273">
        <f t="shared" si="10"/>
        <v>-773130.38050186436</v>
      </c>
      <c r="AB144" s="273">
        <f t="shared" si="2"/>
        <v>7</v>
      </c>
    </row>
    <row r="145" spans="1:28" x14ac:dyDescent="0.35">
      <c r="A145" s="95"/>
      <c r="B145" s="92"/>
      <c r="C145" s="92"/>
      <c r="D145" s="106"/>
      <c r="E145" s="111"/>
      <c r="S145" s="12">
        <v>8</v>
      </c>
      <c r="T145" s="303">
        <f t="shared" si="6"/>
        <v>1235139.9107264923</v>
      </c>
      <c r="U145" s="303">
        <f t="shared" si="7"/>
        <v>667567.60002400097</v>
      </c>
      <c r="V145" s="303">
        <f t="shared" si="8"/>
        <v>567572.31070249132</v>
      </c>
      <c r="W145" s="273">
        <f t="shared" si="3"/>
        <v>148700.20793164574</v>
      </c>
      <c r="X145" s="273">
        <f t="shared" si="4"/>
        <v>8369.4599999999991</v>
      </c>
      <c r="Y145" s="273">
        <f t="shared" si="9"/>
        <v>140330.74793164575</v>
      </c>
      <c r="Z145" s="303">
        <f t="shared" si="5"/>
        <v>119770.94214156631</v>
      </c>
      <c r="AA145" s="273">
        <f t="shared" si="10"/>
        <v>-653359.43836029805</v>
      </c>
      <c r="AB145" s="273">
        <f t="shared" si="2"/>
        <v>8</v>
      </c>
    </row>
    <row r="146" spans="1:28" x14ac:dyDescent="0.35">
      <c r="A146" s="95"/>
      <c r="B146" s="92"/>
      <c r="C146" s="92"/>
      <c r="D146" s="106"/>
      <c r="E146" s="111"/>
      <c r="S146" s="12">
        <v>9</v>
      </c>
      <c r="T146" s="303">
        <f t="shared" si="6"/>
        <v>1222788.5116192275</v>
      </c>
      <c r="U146" s="303">
        <f t="shared" si="7"/>
        <v>660891.92402376095</v>
      </c>
      <c r="V146" s="303">
        <f t="shared" si="8"/>
        <v>561896.58759546652</v>
      </c>
      <c r="W146" s="273">
        <f t="shared" si="3"/>
        <v>148999.9814994176</v>
      </c>
      <c r="X146" s="273">
        <f t="shared" si="4"/>
        <v>8369.4599999999991</v>
      </c>
      <c r="Y146" s="273">
        <f t="shared" si="9"/>
        <v>140630.52149941761</v>
      </c>
      <c r="Z146" s="303">
        <f t="shared" si="5"/>
        <v>117673.32940705579</v>
      </c>
      <c r="AA146" s="273">
        <f t="shared" si="10"/>
        <v>-535686.10895324231</v>
      </c>
      <c r="AB146" s="273">
        <f t="shared" si="2"/>
        <v>9</v>
      </c>
    </row>
    <row r="147" spans="1:28" x14ac:dyDescent="0.35">
      <c r="A147" s="95"/>
      <c r="B147" s="92"/>
      <c r="C147" s="92"/>
      <c r="D147" s="106"/>
      <c r="E147" s="111"/>
      <c r="S147" s="12">
        <v>10</v>
      </c>
      <c r="T147" s="303">
        <f t="shared" si="6"/>
        <v>1210560.6265030352</v>
      </c>
      <c r="U147" s="303">
        <f t="shared" si="7"/>
        <v>654283.00478352339</v>
      </c>
      <c r="V147" s="303">
        <f t="shared" si="8"/>
        <v>556277.62171951181</v>
      </c>
      <c r="W147" s="273">
        <f t="shared" si="3"/>
        <v>149305.42319340014</v>
      </c>
      <c r="X147" s="273">
        <f t="shared" si="4"/>
        <v>8369.4599999999991</v>
      </c>
      <c r="Y147" s="273">
        <f t="shared" si="9"/>
        <v>140935.96319340015</v>
      </c>
      <c r="Z147" s="303">
        <f t="shared" si="5"/>
        <v>115616.57779697327</v>
      </c>
      <c r="AA147" s="273">
        <f t="shared" si="10"/>
        <v>-420069.53115626902</v>
      </c>
      <c r="AB147" s="273">
        <f t="shared" si="2"/>
        <v>10</v>
      </c>
    </row>
    <row r="148" spans="1:28" x14ac:dyDescent="0.35">
      <c r="A148" s="95"/>
      <c r="B148" s="92"/>
      <c r="C148" s="146"/>
      <c r="D148" s="106"/>
      <c r="E148" s="111"/>
      <c r="S148" s="12">
        <v>11</v>
      </c>
      <c r="T148" s="303">
        <f t="shared" si="6"/>
        <v>1198455.0202380049</v>
      </c>
      <c r="U148" s="303">
        <f t="shared" si="7"/>
        <v>647740.17473568814</v>
      </c>
      <c r="V148" s="303">
        <f t="shared" si="8"/>
        <v>550714.84550231672</v>
      </c>
      <c r="W148" s="273">
        <f t="shared" si="3"/>
        <v>149616.51836176138</v>
      </c>
      <c r="X148" s="273">
        <f t="shared" si="4"/>
        <v>8369.4599999999991</v>
      </c>
      <c r="Y148" s="273">
        <f t="shared" si="9"/>
        <v>141247.05836176139</v>
      </c>
      <c r="Z148" s="303">
        <f t="shared" si="5"/>
        <v>113599.78842101747</v>
      </c>
      <c r="AA148" s="273">
        <f t="shared" si="10"/>
        <v>-306469.74273525155</v>
      </c>
      <c r="AB148" s="273">
        <f t="shared" si="2"/>
        <v>11</v>
      </c>
    </row>
    <row r="149" spans="1:28" x14ac:dyDescent="0.35">
      <c r="A149" s="95"/>
      <c r="B149" s="92"/>
      <c r="C149" s="92"/>
      <c r="D149" s="106"/>
      <c r="E149" s="111"/>
      <c r="S149" s="12">
        <v>12</v>
      </c>
      <c r="T149" s="303">
        <f t="shared" si="6"/>
        <v>1186470.4700356247</v>
      </c>
      <c r="U149" s="303">
        <f t="shared" si="7"/>
        <v>641262.77298833115</v>
      </c>
      <c r="V149" s="303">
        <f t="shared" si="8"/>
        <v>545207.69704729354</v>
      </c>
      <c r="W149" s="273">
        <f t="shared" si="3"/>
        <v>149933.25270303042</v>
      </c>
      <c r="X149" s="273">
        <f t="shared" si="4"/>
        <v>8369.4599999999991</v>
      </c>
      <c r="Y149" s="273">
        <f t="shared" si="9"/>
        <v>141563.79270303043</v>
      </c>
      <c r="Z149" s="303">
        <f t="shared" si="5"/>
        <v>111622.08445579578</v>
      </c>
      <c r="AA149" s="273">
        <f t="shared" si="10"/>
        <v>-194847.65827945579</v>
      </c>
      <c r="AB149" s="273">
        <f t="shared" si="2"/>
        <v>12</v>
      </c>
    </row>
    <row r="150" spans="1:28" x14ac:dyDescent="0.35">
      <c r="A150" s="95"/>
      <c r="B150" s="92"/>
      <c r="C150" s="92"/>
      <c r="D150" s="106"/>
      <c r="E150" s="111"/>
      <c r="S150" s="12">
        <v>13</v>
      </c>
      <c r="T150" s="303">
        <f t="shared" si="6"/>
        <v>1174605.7653352683</v>
      </c>
      <c r="U150" s="303">
        <f t="shared" si="7"/>
        <v>634850.14525844785</v>
      </c>
      <c r="V150" s="303">
        <f t="shared" si="8"/>
        <v>539755.62007682049</v>
      </c>
      <c r="W150" s="273">
        <f t="shared" si="3"/>
        <v>150255.61226358247</v>
      </c>
      <c r="X150" s="273">
        <f>$T$125*(1+$C$137/100)^S149+C142</f>
        <v>10169.459999999999</v>
      </c>
      <c r="Y150" s="273">
        <f t="shared" si="9"/>
        <v>140086.15226358248</v>
      </c>
      <c r="Z150" s="303">
        <f t="shared" si="5"/>
        <v>108291.15201306627</v>
      </c>
      <c r="AA150" s="273">
        <f t="shared" si="10"/>
        <v>-86556.506266389522</v>
      </c>
      <c r="AB150" s="273">
        <f t="shared" si="2"/>
        <v>13</v>
      </c>
    </row>
    <row r="151" spans="1:28" x14ac:dyDescent="0.35">
      <c r="A151" s="95"/>
      <c r="B151" s="96"/>
      <c r="C151" s="95"/>
      <c r="D151" s="106"/>
      <c r="E151" s="111"/>
      <c r="S151" s="12">
        <v>14</v>
      </c>
      <c r="T151" s="303">
        <f t="shared" si="6"/>
        <v>1162859.7076819157</v>
      </c>
      <c r="U151" s="303">
        <f t="shared" si="7"/>
        <v>628501.64380586334</v>
      </c>
      <c r="V151" s="303">
        <f t="shared" si="8"/>
        <v>534358.06387605239</v>
      </c>
      <c r="W151" s="273">
        <f t="shared" si="3"/>
        <v>150583.58343515379</v>
      </c>
      <c r="X151" s="273">
        <f t="shared" ref="X151:X162" si="11">$T$125*(1+$C$137/100)^S150</f>
        <v>8369.4599999999991</v>
      </c>
      <c r="Y151" s="273">
        <f t="shared" si="9"/>
        <v>142214.1234351538</v>
      </c>
      <c r="Z151" s="303">
        <f t="shared" si="5"/>
        <v>107780.53229521922</v>
      </c>
      <c r="AA151" s="273">
        <f t="shared" si="10"/>
        <v>21224.026028829699</v>
      </c>
      <c r="AB151" s="273">
        <f t="shared" si="2"/>
        <v>0</v>
      </c>
    </row>
    <row r="152" spans="1:28" x14ac:dyDescent="0.35">
      <c r="A152" s="95"/>
      <c r="B152" s="95"/>
      <c r="C152" s="95"/>
      <c r="D152" s="92"/>
      <c r="S152" s="12">
        <v>15</v>
      </c>
      <c r="T152" s="303">
        <f t="shared" si="6"/>
        <v>1151231.1106050964</v>
      </c>
      <c r="U152" s="303">
        <f t="shared" si="7"/>
        <v>622216.62736780464</v>
      </c>
      <c r="V152" s="303">
        <f t="shared" si="8"/>
        <v>529014.4832372918</v>
      </c>
      <c r="W152" s="273">
        <f t="shared" si="3"/>
        <v>150917.15295238627</v>
      </c>
      <c r="X152" s="273">
        <f t="shared" si="11"/>
        <v>8369.4599999999991</v>
      </c>
      <c r="Y152" s="273">
        <f t="shared" si="9"/>
        <v>142547.69295238628</v>
      </c>
      <c r="Z152" s="303">
        <f t="shared" si="5"/>
        <v>105915.03558950365</v>
      </c>
      <c r="AA152" s="273">
        <f t="shared" si="10"/>
        <v>127139.06161833335</v>
      </c>
      <c r="AB152" s="273">
        <f t="shared" si="2"/>
        <v>0</v>
      </c>
    </row>
    <row r="153" spans="1:28" x14ac:dyDescent="0.35">
      <c r="A153" s="95"/>
      <c r="B153" s="95"/>
      <c r="C153" s="95"/>
      <c r="D153" s="92"/>
      <c r="S153" s="12">
        <v>16</v>
      </c>
      <c r="T153" s="303">
        <f t="shared" si="6"/>
        <v>1139718.7994990454</v>
      </c>
      <c r="U153" s="303">
        <f t="shared" si="7"/>
        <v>615994.46109412657</v>
      </c>
      <c r="V153" s="303">
        <f t="shared" si="8"/>
        <v>523724.33840491879</v>
      </c>
      <c r="W153" s="273">
        <f t="shared" si="3"/>
        <v>151256.30789040163</v>
      </c>
      <c r="X153" s="273">
        <f t="shared" si="11"/>
        <v>8369.4599999999991</v>
      </c>
      <c r="Y153" s="273">
        <f t="shared" si="9"/>
        <v>142886.84789040164</v>
      </c>
      <c r="Z153" s="303">
        <f t="shared" si="5"/>
        <v>104085.32618058567</v>
      </c>
      <c r="AA153" s="273">
        <f t="shared" si="10"/>
        <v>231224.38779891902</v>
      </c>
      <c r="AB153" s="273">
        <f t="shared" si="2"/>
        <v>0</v>
      </c>
    </row>
    <row r="154" spans="1:28" x14ac:dyDescent="0.35">
      <c r="A154" s="95"/>
      <c r="B154" s="95"/>
      <c r="C154" s="95"/>
      <c r="D154" s="92"/>
      <c r="S154" s="12">
        <v>17</v>
      </c>
      <c r="T154" s="303">
        <f t="shared" si="6"/>
        <v>1128321.6115040549</v>
      </c>
      <c r="U154" s="303">
        <f t="shared" si="7"/>
        <v>609834.51648318535</v>
      </c>
      <c r="V154" s="303">
        <f t="shared" si="8"/>
        <v>518487.09502086951</v>
      </c>
      <c r="W154" s="273">
        <f t="shared" si="3"/>
        <v>151601.03566240441</v>
      </c>
      <c r="X154" s="273">
        <f t="shared" si="11"/>
        <v>8369.4599999999991</v>
      </c>
      <c r="Y154" s="273">
        <f t="shared" si="9"/>
        <v>143231.57566240442</v>
      </c>
      <c r="Z154" s="303">
        <f t="shared" si="5"/>
        <v>102290.62910095305</v>
      </c>
      <c r="AA154" s="273">
        <f t="shared" si="10"/>
        <v>333515.01689987211</v>
      </c>
      <c r="AB154" s="273">
        <f t="shared" si="2"/>
        <v>0</v>
      </c>
    </row>
    <row r="155" spans="1:28" x14ac:dyDescent="0.35">
      <c r="A155" s="95"/>
      <c r="B155" s="95"/>
      <c r="C155" s="95"/>
      <c r="D155" s="92"/>
      <c r="S155" s="12">
        <v>18</v>
      </c>
      <c r="T155" s="303">
        <f t="shared" si="6"/>
        <v>1117038.3953890144</v>
      </c>
      <c r="U155" s="303">
        <f t="shared" si="7"/>
        <v>603736.1713183535</v>
      </c>
      <c r="V155" s="303">
        <f t="shared" si="8"/>
        <v>513302.22407066089</v>
      </c>
      <c r="W155" s="273">
        <f t="shared" si="3"/>
        <v>151951.32401731407</v>
      </c>
      <c r="X155" s="273">
        <f t="shared" si="11"/>
        <v>8369.4599999999991</v>
      </c>
      <c r="Y155" s="273">
        <f t="shared" si="9"/>
        <v>143581.86401731407</v>
      </c>
      <c r="Z155" s="303">
        <f t="shared" si="5"/>
        <v>100530.18816676174</v>
      </c>
      <c r="AA155" s="273">
        <f t="shared" si="10"/>
        <v>434045.20506663388</v>
      </c>
      <c r="AB155" s="273">
        <f t="shared" si="2"/>
        <v>0</v>
      </c>
    </row>
    <row r="156" spans="1:28" x14ac:dyDescent="0.35">
      <c r="A156" s="95"/>
      <c r="B156" s="95"/>
      <c r="C156" s="95"/>
      <c r="D156" s="92"/>
      <c r="S156" s="12">
        <v>19</v>
      </c>
      <c r="T156" s="303">
        <f t="shared" si="6"/>
        <v>1105868.0114351243</v>
      </c>
      <c r="U156" s="303">
        <f t="shared" si="7"/>
        <v>597698.80960517004</v>
      </c>
      <c r="V156" s="303">
        <f t="shared" si="8"/>
        <v>508169.20182995428</v>
      </c>
      <c r="W156" s="273">
        <f t="shared" si="3"/>
        <v>152307.16103742557</v>
      </c>
      <c r="X156" s="273">
        <f t="shared" si="11"/>
        <v>8369.4599999999991</v>
      </c>
      <c r="Y156" s="273">
        <f t="shared" si="9"/>
        <v>143937.70103742558</v>
      </c>
      <c r="Z156" s="303">
        <f t="shared" si="5"/>
        <v>98803.265482698669</v>
      </c>
      <c r="AA156" s="273">
        <f t="shared" si="10"/>
        <v>532848.47054933256</v>
      </c>
      <c r="AB156" s="273">
        <f t="shared" si="2"/>
        <v>0</v>
      </c>
    </row>
    <row r="157" spans="1:28" x14ac:dyDescent="0.35">
      <c r="A157" s="95"/>
      <c r="B157" s="95"/>
      <c r="C157" s="95"/>
      <c r="D157" s="92"/>
      <c r="S157" s="12">
        <v>20</v>
      </c>
      <c r="T157" s="303">
        <f t="shared" si="6"/>
        <v>1094809.3313207731</v>
      </c>
      <c r="U157" s="303">
        <f t="shared" si="7"/>
        <v>591721.82150911831</v>
      </c>
      <c r="V157" s="303">
        <f t="shared" si="8"/>
        <v>503087.5098116548</v>
      </c>
      <c r="W157" s="273">
        <f t="shared" si="3"/>
        <v>152668.53513609833</v>
      </c>
      <c r="X157" s="273">
        <f t="shared" si="11"/>
        <v>8369.4599999999991</v>
      </c>
      <c r="Y157" s="273">
        <f t="shared" si="9"/>
        <v>144299.07513609834</v>
      </c>
      <c r="Z157" s="303">
        <f t="shared" si="5"/>
        <v>97109.140960599892</v>
      </c>
      <c r="AA157" s="273">
        <f t="shared" si="10"/>
        <v>629957.61150993244</v>
      </c>
      <c r="AB157" s="273">
        <f t="shared" si="2"/>
        <v>0</v>
      </c>
    </row>
    <row r="158" spans="1:28" x14ac:dyDescent="0.35">
      <c r="A158" s="95"/>
      <c r="B158" s="95"/>
      <c r="C158" s="95"/>
      <c r="D158" s="92"/>
      <c r="S158" s="12">
        <v>21</v>
      </c>
      <c r="T158" s="303">
        <f t="shared" si="6"/>
        <v>1083861.2380075653</v>
      </c>
      <c r="U158" s="303">
        <f t="shared" si="7"/>
        <v>585804.60329402704</v>
      </c>
      <c r="V158" s="303">
        <f t="shared" si="8"/>
        <v>498056.63471353822</v>
      </c>
      <c r="W158" s="273">
        <f t="shared" si="3"/>
        <v>153035.43505547321</v>
      </c>
      <c r="X158" s="273">
        <f t="shared" si="11"/>
        <v>8369.4599999999991</v>
      </c>
      <c r="Y158" s="273">
        <f t="shared" si="9"/>
        <v>144665.97505547322</v>
      </c>
      <c r="Z158" s="303">
        <f t="shared" si="5"/>
        <v>95447.111851430236</v>
      </c>
      <c r="AA158" s="273">
        <f t="shared" si="10"/>
        <v>725404.7233613627</v>
      </c>
      <c r="AB158" s="273">
        <f t="shared" si="2"/>
        <v>0</v>
      </c>
    </row>
    <row r="159" spans="1:28" x14ac:dyDescent="0.35">
      <c r="A159" s="95"/>
      <c r="B159" s="95"/>
      <c r="C159" s="95"/>
      <c r="D159" s="92"/>
      <c r="S159" s="12">
        <v>22</v>
      </c>
      <c r="T159" s="303">
        <f t="shared" si="6"/>
        <v>1073022.6256274895</v>
      </c>
      <c r="U159" s="303">
        <f t="shared" si="7"/>
        <v>579946.55726108677</v>
      </c>
      <c r="V159" s="303">
        <f t="shared" si="8"/>
        <v>493076.06836640276</v>
      </c>
      <c r="W159" s="273">
        <f t="shared" si="3"/>
        <v>153407.84986421742</v>
      </c>
      <c r="X159" s="273">
        <f t="shared" si="11"/>
        <v>8369.4599999999991</v>
      </c>
      <c r="Y159" s="273">
        <f t="shared" si="9"/>
        <v>145038.38986421743</v>
      </c>
      <c r="Z159" s="303">
        <f t="shared" si="5"/>
        <v>93816.492290242808</v>
      </c>
      <c r="AA159" s="273">
        <f t="shared" si="10"/>
        <v>819221.21565160551</v>
      </c>
      <c r="AB159" s="273">
        <f t="shared" si="2"/>
        <v>0</v>
      </c>
    </row>
    <row r="160" spans="1:28" x14ac:dyDescent="0.35">
      <c r="A160" s="95"/>
      <c r="B160" s="95"/>
      <c r="C160" s="95"/>
      <c r="D160" s="92"/>
      <c r="S160" s="12">
        <v>23</v>
      </c>
      <c r="T160" s="303">
        <f t="shared" si="6"/>
        <v>1062292.3993712147</v>
      </c>
      <c r="U160" s="303">
        <f t="shared" si="7"/>
        <v>574147.09168847592</v>
      </c>
      <c r="V160" s="303">
        <f t="shared" si="8"/>
        <v>488145.30768273876</v>
      </c>
      <c r="W160" s="273">
        <f t="shared" si="3"/>
        <v>153785.76895529684</v>
      </c>
      <c r="X160" s="273">
        <f t="shared" si="11"/>
        <v>8369.4599999999991</v>
      </c>
      <c r="Y160" s="273">
        <f t="shared" si="9"/>
        <v>145416.30895529684</v>
      </c>
      <c r="Z160" s="303">
        <f t="shared" si="5"/>
        <v>92216.612853747181</v>
      </c>
      <c r="AA160" s="273">
        <f t="shared" si="10"/>
        <v>911437.82850535272</v>
      </c>
      <c r="AB160" s="273">
        <f t="shared" si="2"/>
        <v>0</v>
      </c>
    </row>
    <row r="161" spans="1:28" x14ac:dyDescent="0.35">
      <c r="A161" s="95"/>
      <c r="B161" s="95"/>
      <c r="C161" s="95"/>
      <c r="D161" s="92"/>
      <c r="S161" s="63">
        <v>24</v>
      </c>
      <c r="T161" s="304">
        <f t="shared" si="6"/>
        <v>1051669.4753775026</v>
      </c>
      <c r="U161" s="303">
        <f t="shared" si="7"/>
        <v>568405.6207715912</v>
      </c>
      <c r="V161" s="304">
        <f t="shared" si="8"/>
        <v>483263.85460591142</v>
      </c>
      <c r="W161" s="305">
        <f t="shared" si="3"/>
        <v>154169.18204377557</v>
      </c>
      <c r="X161" s="273">
        <f t="shared" si="11"/>
        <v>8369.4599999999991</v>
      </c>
      <c r="Y161" s="305">
        <f t="shared" si="9"/>
        <v>145799.72204377558</v>
      </c>
      <c r="Z161" s="304">
        <f t="shared" si="5"/>
        <v>90646.820130126158</v>
      </c>
      <c r="AA161" s="305">
        <f t="shared" si="10"/>
        <v>1002084.6486354789</v>
      </c>
      <c r="AB161" s="305">
        <f t="shared" si="2"/>
        <v>0</v>
      </c>
    </row>
    <row r="162" spans="1:28" x14ac:dyDescent="0.35">
      <c r="B162" s="95"/>
      <c r="C162" s="95"/>
      <c r="D162" s="92"/>
      <c r="S162" s="63">
        <v>25</v>
      </c>
      <c r="T162" s="304">
        <f t="shared" si="6"/>
        <v>1041152.7806237276</v>
      </c>
      <c r="U162" s="303">
        <f t="shared" si="7"/>
        <v>562721.56456387532</v>
      </c>
      <c r="V162" s="304">
        <f t="shared" si="8"/>
        <v>478431.21605985228</v>
      </c>
      <c r="W162" s="305">
        <f t="shared" si="3"/>
        <v>154558.07916464299</v>
      </c>
      <c r="X162" s="273">
        <f t="shared" si="11"/>
        <v>8369.4599999999991</v>
      </c>
      <c r="Y162" s="305">
        <f t="shared" si="9"/>
        <v>146188.61916464299</v>
      </c>
      <c r="Z162" s="304">
        <f t="shared" si="5"/>
        <v>89106.476300751936</v>
      </c>
      <c r="AA162" s="305">
        <f t="shared" si="10"/>
        <v>1091191.1249362309</v>
      </c>
      <c r="AB162" s="305">
        <f t="shared" si="2"/>
        <v>0</v>
      </c>
    </row>
    <row r="163" spans="1:28" x14ac:dyDescent="0.35">
      <c r="A163" s="95"/>
      <c r="B163" s="95"/>
      <c r="C163" s="95"/>
      <c r="D163" s="92"/>
      <c r="R163" s="140"/>
      <c r="S163" s="152" t="s">
        <v>134</v>
      </c>
      <c r="T163" s="306">
        <f t="shared" ref="T163:Z163" si="12">SUM(T137:T162)</f>
        <v>29442324.718250934</v>
      </c>
      <c r="U163" s="306">
        <f t="shared" si="12"/>
        <v>15912968.142798858</v>
      </c>
      <c r="V163" s="306">
        <f t="shared" si="12"/>
        <v>13529356.575452078</v>
      </c>
      <c r="W163" s="306">
        <f t="shared" si="12"/>
        <v>3760039.5705206124</v>
      </c>
      <c r="X163" s="306">
        <f t="shared" si="12"/>
        <v>1884928.4999999991</v>
      </c>
      <c r="Y163" s="306">
        <f t="shared" si="12"/>
        <v>1875111.0705206124</v>
      </c>
      <c r="Z163" s="307">
        <f t="shared" si="12"/>
        <v>1091191.1249362309</v>
      </c>
      <c r="AA163" s="306"/>
      <c r="AB163" s="307">
        <f>MAX(AB137:AB162)</f>
        <v>13</v>
      </c>
    </row>
    <row r="164" spans="1:28" x14ac:dyDescent="0.35">
      <c r="B164" s="95"/>
      <c r="C164" s="95"/>
      <c r="D164" s="92"/>
      <c r="S164" s="63">
        <v>26</v>
      </c>
      <c r="T164" s="304">
        <f>T162*(1-$C$135/100)</f>
        <v>1030741.2528174903</v>
      </c>
      <c r="U164" s="303">
        <f>T164*($H$84/100)</f>
        <v>557094.34891823644</v>
      </c>
      <c r="V164" s="304">
        <f>T164-U164</f>
        <v>473646.90389925381</v>
      </c>
      <c r="W164" s="305">
        <f>(V164*($C$133/100)+(U164*($C$134/100)*(1+$C$138/100)^S164))</f>
        <v>154952.45067066702</v>
      </c>
      <c r="X164" s="305">
        <f>$T$125</f>
        <v>8369.4599999999991</v>
      </c>
      <c r="Y164" s="305">
        <f>W164-X164</f>
        <v>146582.99067066703</v>
      </c>
      <c r="Z164" s="303">
        <f>Y164/(1+$C$139/100)^S164</f>
        <v>87594.958733461084</v>
      </c>
      <c r="AA164" s="273">
        <f>AA162+Z164</f>
        <v>1178786.083669692</v>
      </c>
      <c r="AB164" s="305">
        <f>IF(AA164&lt;0,S164,0)</f>
        <v>0</v>
      </c>
    </row>
    <row r="165" spans="1:28" x14ac:dyDescent="0.35">
      <c r="S165" s="63">
        <v>27</v>
      </c>
      <c r="T165" s="304">
        <f>T164*(1-$C$135/100)</f>
        <v>1020433.8402893153</v>
      </c>
      <c r="U165" s="303">
        <f>T165*($H$84/100)</f>
        <v>551523.40542905405</v>
      </c>
      <c r="V165" s="304">
        <f>T165-U165</f>
        <v>468910.43486026127</v>
      </c>
      <c r="W165" s="305">
        <f>(V165*($C$133/100)+(U165*($C$134/100)*(1+$C$138/100)^S165))</f>
        <v>155352.28723027452</v>
      </c>
      <c r="X165" s="273">
        <f>$T$125</f>
        <v>8369.4599999999991</v>
      </c>
      <c r="Y165" s="305">
        <f>W165-X165</f>
        <v>146982.82723027453</v>
      </c>
      <c r="Z165" s="303">
        <f>Y165/(1+$C$139/100)^S165</f>
        <v>86111.659587059708</v>
      </c>
      <c r="AA165" s="273">
        <f>AA164+Z165</f>
        <v>1264897.7432567517</v>
      </c>
      <c r="AB165" s="305">
        <f>IF(AA165&lt;0,S165,0)</f>
        <v>0</v>
      </c>
    </row>
    <row r="166" spans="1:28" x14ac:dyDescent="0.35">
      <c r="S166" s="63">
        <v>28</v>
      </c>
      <c r="T166" s="304">
        <f>T165*(1-$C$135/100)</f>
        <v>1010229.5018864222</v>
      </c>
      <c r="U166" s="303">
        <f>T166*($H$84/100)</f>
        <v>546008.17137476359</v>
      </c>
      <c r="V166" s="304">
        <f>T166-U166</f>
        <v>464221.33051165857</v>
      </c>
      <c r="W166" s="305">
        <f>(V166*($C$133/100)+(U166*($C$134/100)*(1+$C$138/100)^S166))</f>
        <v>155757.57982545759</v>
      </c>
      <c r="X166" s="273">
        <f>$T$125</f>
        <v>8369.4599999999991</v>
      </c>
      <c r="Y166" s="305">
        <f>W166-X166</f>
        <v>147388.1198254576</v>
      </c>
      <c r="Z166" s="303">
        <f>Y166/(1+$C$139/100)^S166</f>
        <v>84655.985426737738</v>
      </c>
      <c r="AA166" s="273">
        <f>AA165+Z166</f>
        <v>1349553.7286834894</v>
      </c>
      <c r="AB166" s="305">
        <f>IF(AA166&lt;0,S166,0)</f>
        <v>0</v>
      </c>
    </row>
    <row r="167" spans="1:28" x14ac:dyDescent="0.35">
      <c r="S167" s="63">
        <v>29</v>
      </c>
      <c r="T167" s="304">
        <f>T166*(1-$C$135/100)</f>
        <v>1000127.206867558</v>
      </c>
      <c r="U167" s="303">
        <f>T167*($H$84/100)</f>
        <v>540548.0896610159</v>
      </c>
      <c r="V167" s="304">
        <f>T167-U167</f>
        <v>459579.11720654205</v>
      </c>
      <c r="W167" s="305">
        <f>(V167*($C$133/100)+(U167*($C$134/100)*(1+$C$138/100)^S167))</f>
        <v>156168.31974970616</v>
      </c>
      <c r="X167" s="273">
        <f>$T$125</f>
        <v>8369.4599999999991</v>
      </c>
      <c r="Y167" s="305">
        <f>W167-X167</f>
        <v>147798.85974970617</v>
      </c>
      <c r="Z167" s="303">
        <f>Y167/(1+$C$139/100)^S167</f>
        <v>83227.356850082375</v>
      </c>
      <c r="AA167" s="273">
        <f>AA166+Z167</f>
        <v>1432781.0855335717</v>
      </c>
      <c r="AB167" s="305">
        <f>IF(AA167&lt;0,S167,0)</f>
        <v>0</v>
      </c>
    </row>
    <row r="168" spans="1:28" x14ac:dyDescent="0.35">
      <c r="S168" s="63">
        <v>30</v>
      </c>
      <c r="T168" s="304">
        <f>T167*(1-$C$135/100)</f>
        <v>990125.93479888234</v>
      </c>
      <c r="U168" s="303">
        <f>T168*($H$84/100)</f>
        <v>535142.60876440571</v>
      </c>
      <c r="V168" s="304">
        <f>T168-U168</f>
        <v>454983.32603447663</v>
      </c>
      <c r="W168" s="305">
        <f>(V168*($C$133/100)+(U168*($C$134/100)*(1+$C$138/100)^S168))</f>
        <v>156584.49860596634</v>
      </c>
      <c r="X168" s="273">
        <f>$T$125</f>
        <v>8369.4599999999991</v>
      </c>
      <c r="Y168" s="305">
        <f>W168-X168</f>
        <v>148215.03860596634</v>
      </c>
      <c r="Z168" s="303">
        <f>Y168/(1+$C$139/100)^S168</f>
        <v>81825.208123387813</v>
      </c>
      <c r="AA168" s="273">
        <f>AA167+Z168</f>
        <v>1514606.2936569594</v>
      </c>
      <c r="AB168" s="305">
        <f>IF(AA168&lt;0,S168,0)</f>
        <v>0</v>
      </c>
    </row>
    <row r="169" spans="1:28" x14ac:dyDescent="0.35">
      <c r="Y169" s="16"/>
    </row>
  </sheetData>
  <dataConsolidate/>
  <mergeCells count="23">
    <mergeCell ref="G26:M26"/>
    <mergeCell ref="A12:D12"/>
    <mergeCell ref="F12:Q12"/>
    <mergeCell ref="S12:AG12"/>
    <mergeCell ref="T110:W110"/>
    <mergeCell ref="T111:U111"/>
    <mergeCell ref="V111:W111"/>
    <mergeCell ref="L33:N33"/>
    <mergeCell ref="F45:F50"/>
    <mergeCell ref="F56:F63"/>
    <mergeCell ref="S38:U38"/>
    <mergeCell ref="S64:U64"/>
    <mergeCell ref="F64:F71"/>
    <mergeCell ref="F72:F76"/>
    <mergeCell ref="AD110:AG110"/>
    <mergeCell ref="AD111:AE111"/>
    <mergeCell ref="AF111:AG111"/>
    <mergeCell ref="AH81:AK81"/>
    <mergeCell ref="AH82:AI82"/>
    <mergeCell ref="AJ82:AK82"/>
    <mergeCell ref="V82:W82"/>
    <mergeCell ref="T82:U82"/>
    <mergeCell ref="T81:W81"/>
  </mergeCells>
  <conditionalFormatting sqref="C103">
    <cfRule type="cellIs" dxfId="12" priority="6" operator="notEqual">
      <formula>100</formula>
    </cfRule>
    <cfRule type="cellIs" dxfId="11" priority="13" operator="greaterThan">
      <formula>100</formula>
    </cfRule>
  </conditionalFormatting>
  <conditionalFormatting sqref="AB16 AB19 AB22 AB25">
    <cfRule type="duplicateValues" dxfId="10" priority="7"/>
  </conditionalFormatting>
  <conditionalFormatting sqref="AB27">
    <cfRule type="cellIs" dxfId="9" priority="5" operator="notEqual">
      <formula>100</formula>
    </cfRule>
  </conditionalFormatting>
  <conditionalFormatting sqref="C16 C19 C22 C25">
    <cfRule type="duplicateValues" dxfId="8" priority="4"/>
  </conditionalFormatting>
  <conditionalFormatting sqref="C27">
    <cfRule type="cellIs" dxfId="7" priority="3" operator="notEqual">
      <formula>$C$15</formula>
    </cfRule>
  </conditionalFormatting>
  <conditionalFormatting sqref="G26">
    <cfRule type="containsText" dxfId="6" priority="1" operator="containsText" text="Achtung! Die berechneten Eigenverbrauchs-/Autarkie- und Wirtschaftlichkeitswerte beziehen sich auf die alternative Angabe. Bitte zugehörige Anlagengröße manuell festhalten.">
      <formula>NOT(ISERROR(SEARCH("Achtung! Die berechneten Eigenverbrauchs-/Autarkie- und Wirtschaftlichkeitswerte beziehen sich auf die alternative Angabe. Bitte zugehörige Anlagengröße manuell festhalten.",G26)))</formula>
    </cfRule>
  </conditionalFormatting>
  <dataValidations disablePrompts="1" count="5">
    <dataValidation type="list" allowBlank="1" showInputMessage="1" showErrorMessage="1" sqref="C61 C70" xr:uid="{C81F5388-5FD2-4214-8DBA-12D8C45261A2}">
      <formula1>$W$57:$W$60</formula1>
    </dataValidation>
    <dataValidation type="list" allowBlank="1" showInputMessage="1" showErrorMessage="1" sqref="C94" xr:uid="{FCEAD3E5-03FC-489D-88AA-525FD0620613}">
      <formula1>$AE$85:$AE$95</formula1>
    </dataValidation>
    <dataValidation type="list" allowBlank="1" showInputMessage="1" showErrorMessage="1" sqref="C141" xr:uid="{9B87BF5A-17D9-4EFE-A0FF-54EFF2DD0A2B}">
      <formula1>$Y$129:$Y$130</formula1>
    </dataValidation>
    <dataValidation type="list" allowBlank="1" showInputMessage="1" showErrorMessage="1" sqref="C85 C89" xr:uid="{70E5E442-8310-4751-BD55-157BFB9AC932}">
      <formula1>$AE$99:$AE$100</formula1>
    </dataValidation>
    <dataValidation type="list" allowBlank="1" showInputMessage="1" showErrorMessage="1" sqref="AB25 AB16 AB19 AB22 C25 C16 C19 C22" xr:uid="{07831274-DAD9-4F27-8484-C1660666028D}">
      <formula1>$X$21:$X$26</formula1>
    </dataValidation>
  </dataValidations>
  <hyperlinks>
    <hyperlink ref="BG81" r:id="rId1" display="https://pvaustria.at/sonnenklar_rechner/" xr:uid="{33A73920-D764-46C1-B41A-FA819A9137C6}"/>
    <hyperlink ref="Y81" r:id="rId2" display="https://www.verbraucherzentrale.nrw/sites/default/files/2019-03/VZNRW_HTW-BERLIN_PV-Wirtschaftlichkeit.pdf" xr:uid="{870DA0E4-1347-4D90-8CFC-4ABBD562B3E8}"/>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59" r:id="rId6" name="Button 35">
              <controlPr defaultSize="0" print="0" autoFill="0" autoPict="0" macro="[0]!Variante1">
                <anchor moveWithCells="1" sizeWithCells="1">
                  <from>
                    <xdr:col>10</xdr:col>
                    <xdr:colOff>647700</xdr:colOff>
                    <xdr:row>15</xdr:row>
                    <xdr:rowOff>69850</xdr:rowOff>
                  </from>
                  <to>
                    <xdr:col>11</xdr:col>
                    <xdr:colOff>1720850</xdr:colOff>
                    <xdr:row>17</xdr:row>
                    <xdr:rowOff>95250</xdr:rowOff>
                  </to>
                </anchor>
              </controlPr>
            </control>
          </mc:Choice>
        </mc:AlternateContent>
        <mc:AlternateContent xmlns:mc="http://schemas.openxmlformats.org/markup-compatibility/2006">
          <mc:Choice Requires="x14">
            <control shapeId="1060" r:id="rId7" name="Button 36">
              <controlPr defaultSize="0" print="0" autoFill="0" autoPict="0" macro="[0]!Variante2">
                <anchor moveWithCells="1" sizeWithCells="1">
                  <from>
                    <xdr:col>10</xdr:col>
                    <xdr:colOff>635000</xdr:colOff>
                    <xdr:row>17</xdr:row>
                    <xdr:rowOff>165100</xdr:rowOff>
                  </from>
                  <to>
                    <xdr:col>11</xdr:col>
                    <xdr:colOff>1708150</xdr:colOff>
                    <xdr:row>19</xdr:row>
                    <xdr:rowOff>139700</xdr:rowOff>
                  </to>
                </anchor>
              </controlPr>
            </control>
          </mc:Choice>
        </mc:AlternateContent>
        <mc:AlternateContent xmlns:mc="http://schemas.openxmlformats.org/markup-compatibility/2006">
          <mc:Choice Requires="x14">
            <control shapeId="1061" r:id="rId8" name="Button 37">
              <controlPr defaultSize="0" print="0" autoFill="0" autoPict="0" macro="[0]!Variante3">
                <anchor moveWithCells="1" sizeWithCells="1">
                  <from>
                    <xdr:col>10</xdr:col>
                    <xdr:colOff>635000</xdr:colOff>
                    <xdr:row>20</xdr:row>
                    <xdr:rowOff>50800</xdr:rowOff>
                  </from>
                  <to>
                    <xdr:col>11</xdr:col>
                    <xdr:colOff>1708150</xdr:colOff>
                    <xdr:row>22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222BC-86CE-4D50-B902-3054C3D10032}">
  <sheetPr codeName="Tabelle2"/>
  <dimension ref="A1:AG118"/>
  <sheetViews>
    <sheetView zoomScale="85" zoomScaleNormal="85" workbookViewId="0">
      <selection activeCell="C8" sqref="C8"/>
    </sheetView>
  </sheetViews>
  <sheetFormatPr baseColWidth="10" defaultRowHeight="14.5" x14ac:dyDescent="0.35"/>
  <cols>
    <col min="1" max="1" width="6.6328125" customWidth="1"/>
    <col min="2" max="2" width="35" customWidth="1"/>
    <col min="3" max="3" width="24.08984375" bestFit="1" customWidth="1"/>
    <col min="4" max="4" width="10.81640625" style="10" bestFit="1" customWidth="1"/>
    <col min="5" max="5" width="1.7265625" style="82" customWidth="1"/>
    <col min="7" max="7" width="24.26953125" customWidth="1"/>
    <col min="8" max="8" width="38.36328125" customWidth="1"/>
    <col min="9" max="9" width="19.453125" customWidth="1"/>
    <col min="10" max="11" width="13.36328125" bestFit="1" customWidth="1"/>
    <col min="12" max="12" width="10.81640625" customWidth="1"/>
    <col min="17" max="17" width="37.36328125" style="10" customWidth="1"/>
    <col min="18" max="18" width="1.54296875" style="82" customWidth="1"/>
    <col min="20" max="20" width="29.54296875" customWidth="1"/>
    <col min="21" max="21" width="22" customWidth="1"/>
    <col min="22" max="22" width="15.54296875" customWidth="1"/>
    <col min="23" max="23" width="23.1796875" customWidth="1"/>
    <col min="24" max="24" width="33.26953125" customWidth="1"/>
    <col min="29" max="29" width="16" customWidth="1"/>
  </cols>
  <sheetData>
    <row r="1" spans="1:30" s="1" customFormat="1" ht="20" customHeight="1" x14ac:dyDescent="0.35">
      <c r="B1" s="44" t="s">
        <v>111</v>
      </c>
      <c r="D1" s="68"/>
      <c r="E1" s="68"/>
      <c r="F1" s="68"/>
      <c r="Q1" s="68"/>
      <c r="R1" s="68"/>
    </row>
    <row r="2" spans="1:30" x14ac:dyDescent="0.35">
      <c r="B2" s="8"/>
      <c r="E2" s="10"/>
      <c r="F2" s="10"/>
      <c r="R2" s="10"/>
    </row>
    <row r="3" spans="1:30" s="1" customFormat="1" x14ac:dyDescent="0.35">
      <c r="B3" s="1" t="s">
        <v>18</v>
      </c>
      <c r="C3" s="60"/>
      <c r="D3" s="80"/>
      <c r="E3" s="68"/>
      <c r="F3" s="68"/>
      <c r="Q3" s="68"/>
      <c r="R3" s="68"/>
      <c r="S3" s="68"/>
      <c r="T3" s="68"/>
    </row>
    <row r="4" spans="1:30" s="40" customFormat="1" x14ac:dyDescent="0.35">
      <c r="B4" t="s">
        <v>218</v>
      </c>
      <c r="C4" s="77"/>
      <c r="D4" s="81"/>
      <c r="E4" s="28"/>
      <c r="F4" s="28"/>
      <c r="Q4" s="28"/>
      <c r="R4" s="28"/>
      <c r="S4" s="28"/>
      <c r="T4" s="194"/>
      <c r="U4" s="195"/>
      <c r="V4" s="195"/>
      <c r="W4" s="195"/>
      <c r="X4" s="195"/>
      <c r="Z4" s="195"/>
    </row>
    <row r="5" spans="1:30" ht="15" thickBot="1" x14ac:dyDescent="0.4">
      <c r="B5" s="8"/>
      <c r="E5" s="10"/>
      <c r="F5" s="10"/>
      <c r="H5" s="8"/>
      <c r="R5" s="10"/>
      <c r="T5" s="173"/>
      <c r="U5" s="173"/>
      <c r="V5" s="173"/>
      <c r="W5" s="173"/>
      <c r="X5" s="173"/>
      <c r="Z5" s="173"/>
      <c r="AA5" s="173"/>
      <c r="AB5" s="173"/>
      <c r="AC5" s="173"/>
    </row>
    <row r="6" spans="1:30" x14ac:dyDescent="0.35">
      <c r="B6" s="117" t="s">
        <v>19</v>
      </c>
      <c r="E6" s="10"/>
      <c r="F6" s="10"/>
      <c r="R6" s="10"/>
      <c r="T6" s="173"/>
      <c r="U6" s="173"/>
      <c r="V6" s="173"/>
      <c r="W6" s="173"/>
      <c r="X6" s="173"/>
      <c r="Z6" s="173"/>
      <c r="AA6" s="173"/>
      <c r="AB6" s="173"/>
      <c r="AC6" s="173"/>
    </row>
    <row r="7" spans="1:30" x14ac:dyDescent="0.35">
      <c r="B7" s="118" t="s">
        <v>20</v>
      </c>
      <c r="E7" s="10"/>
      <c r="F7" s="10"/>
      <c r="G7" s="77"/>
      <c r="H7" s="40"/>
      <c r="R7" s="10"/>
      <c r="T7" s="173"/>
      <c r="U7" s="54"/>
      <c r="V7" s="54"/>
      <c r="W7" s="54"/>
      <c r="X7" s="54"/>
      <c r="Z7" s="173"/>
      <c r="AA7" s="173"/>
      <c r="AB7" s="173"/>
      <c r="AC7" s="173"/>
    </row>
    <row r="8" spans="1:30" x14ac:dyDescent="0.35">
      <c r="B8" s="162" t="s">
        <v>6</v>
      </c>
      <c r="E8" s="10"/>
      <c r="F8" s="10"/>
      <c r="K8" s="77"/>
      <c r="R8" s="10"/>
      <c r="T8" s="173"/>
      <c r="U8" s="54"/>
      <c r="V8" s="54"/>
      <c r="W8" s="54"/>
      <c r="X8" s="54"/>
      <c r="Z8" s="173"/>
      <c r="AA8" s="173"/>
      <c r="AB8" s="173"/>
      <c r="AC8" s="173"/>
    </row>
    <row r="9" spans="1:30" x14ac:dyDescent="0.35">
      <c r="B9" s="204" t="s">
        <v>329</v>
      </c>
      <c r="E9" s="10"/>
      <c r="F9" s="10"/>
      <c r="K9" s="8"/>
      <c r="R9" s="10"/>
      <c r="T9" s="173"/>
      <c r="U9" s="54"/>
      <c r="V9" s="54"/>
      <c r="W9" s="54"/>
      <c r="X9" s="54"/>
      <c r="Z9" s="173"/>
      <c r="AA9" s="173"/>
      <c r="AB9" s="173"/>
      <c r="AC9" s="173"/>
    </row>
    <row r="10" spans="1:30" ht="15" thickBot="1" x14ac:dyDescent="0.4">
      <c r="B10" s="119" t="s">
        <v>21</v>
      </c>
      <c r="E10" s="10"/>
      <c r="F10" s="10"/>
      <c r="K10" s="8"/>
      <c r="R10" s="10"/>
      <c r="T10" s="173"/>
      <c r="U10" s="54"/>
      <c r="V10" s="54"/>
      <c r="W10" s="54"/>
      <c r="X10" s="54"/>
      <c r="Z10" s="54"/>
      <c r="AA10" s="173"/>
      <c r="AB10" s="173"/>
      <c r="AC10" s="173"/>
    </row>
    <row r="11" spans="1:30" x14ac:dyDescent="0.35">
      <c r="B11" s="8"/>
      <c r="E11" s="10"/>
      <c r="F11" s="10"/>
      <c r="R11" s="10"/>
      <c r="T11" s="173"/>
      <c r="U11" s="54"/>
      <c r="V11" s="54"/>
      <c r="W11" s="54"/>
      <c r="X11" s="54"/>
      <c r="Z11" s="54"/>
      <c r="AA11" s="173"/>
      <c r="AB11" s="173"/>
      <c r="AC11" s="173"/>
    </row>
    <row r="12" spans="1:30" x14ac:dyDescent="0.35">
      <c r="B12" s="8"/>
      <c r="E12" s="10"/>
      <c r="F12" s="10"/>
      <c r="R12" s="10"/>
      <c r="T12" s="173"/>
      <c r="U12" s="54"/>
      <c r="V12" s="54"/>
      <c r="W12" s="54"/>
      <c r="X12" s="54"/>
      <c r="Z12" s="173"/>
      <c r="AA12" s="173"/>
      <c r="AB12" s="173"/>
      <c r="AC12" s="173"/>
    </row>
    <row r="13" spans="1:30" x14ac:dyDescent="0.35">
      <c r="B13" s="8"/>
      <c r="E13" s="10"/>
      <c r="F13" s="10"/>
      <c r="R13" s="10"/>
      <c r="U13" s="6"/>
    </row>
    <row r="14" spans="1:30" ht="15" thickBot="1" x14ac:dyDescent="0.4">
      <c r="B14" s="161"/>
      <c r="E14" s="10"/>
      <c r="Q14" s="115"/>
      <c r="R14" s="10"/>
    </row>
    <row r="15" spans="1:30" ht="15" thickBot="1" x14ac:dyDescent="0.4">
      <c r="A15" s="215" t="s">
        <v>226</v>
      </c>
      <c r="B15" s="216"/>
      <c r="C15" s="216"/>
      <c r="D15" s="217"/>
      <c r="E15" s="85"/>
      <c r="F15" s="218" t="s">
        <v>6</v>
      </c>
      <c r="G15" s="219"/>
      <c r="H15" s="219"/>
      <c r="I15" s="219"/>
      <c r="J15" s="219"/>
      <c r="K15" s="219"/>
      <c r="L15" s="219"/>
      <c r="M15" s="219"/>
      <c r="N15" s="219"/>
      <c r="O15" s="219"/>
      <c r="P15" s="219"/>
      <c r="Q15" s="220"/>
      <c r="R15" s="85"/>
      <c r="S15" s="230" t="s">
        <v>228</v>
      </c>
      <c r="T15" s="231"/>
      <c r="U15" s="231"/>
      <c r="V15" s="231"/>
      <c r="W15" s="231"/>
      <c r="X15" s="231"/>
      <c r="Y15" s="231"/>
      <c r="Z15" s="231"/>
      <c r="AA15" s="231"/>
      <c r="AB15" s="231"/>
      <c r="AC15" s="231"/>
      <c r="AD15" s="232"/>
    </row>
    <row r="16" spans="1:30" s="1" customFormat="1" x14ac:dyDescent="0.35">
      <c r="B16" s="1" t="s">
        <v>262</v>
      </c>
      <c r="D16" s="68"/>
      <c r="E16" s="83"/>
      <c r="Q16" s="68"/>
      <c r="R16" s="83"/>
    </row>
    <row r="17" spans="1:33" x14ac:dyDescent="0.35">
      <c r="A17" s="95"/>
      <c r="B17" s="95"/>
      <c r="C17" s="95"/>
      <c r="D17" s="92"/>
      <c r="V17" s="8"/>
    </row>
    <row r="18" spans="1:33" ht="16.5" x14ac:dyDescent="0.35">
      <c r="A18" s="95"/>
      <c r="B18" s="167" t="s">
        <v>0</v>
      </c>
      <c r="C18" s="277">
        <f>'Dateneingabe &amp; Photovoltaik'!AB15</f>
        <v>50147</v>
      </c>
      <c r="D18" s="168" t="s">
        <v>4</v>
      </c>
      <c r="E18" s="111"/>
      <c r="G18" s="87"/>
      <c r="I18" s="87"/>
      <c r="J18" s="87"/>
      <c r="K18" s="87"/>
      <c r="U18" s="34" t="s">
        <v>121</v>
      </c>
      <c r="V18" s="34" t="s">
        <v>122</v>
      </c>
      <c r="W18" s="34" t="s">
        <v>123</v>
      </c>
      <c r="X18" s="65" t="s">
        <v>315</v>
      </c>
      <c r="AB18" s="53"/>
      <c r="AE18" s="53"/>
      <c r="AF18" s="53"/>
    </row>
    <row r="19" spans="1:33" ht="17.5" x14ac:dyDescent="0.45">
      <c r="A19" s="95"/>
      <c r="B19" s="88" t="s">
        <v>1</v>
      </c>
      <c r="C19" s="98" t="str">
        <f>'Dateneingabe &amp; Photovoltaik'!AB16</f>
        <v>Wohnen MFH</v>
      </c>
      <c r="D19" s="90" t="s">
        <v>3</v>
      </c>
      <c r="G19" s="3"/>
      <c r="H19" s="164" t="s">
        <v>131</v>
      </c>
      <c r="I19" s="165" t="s">
        <v>132</v>
      </c>
      <c r="J19" s="166" t="s">
        <v>122</v>
      </c>
      <c r="K19" s="163" t="s">
        <v>133</v>
      </c>
      <c r="U19" s="34" t="s">
        <v>339</v>
      </c>
      <c r="V19" s="207" t="s">
        <v>339</v>
      </c>
      <c r="W19" s="207" t="s">
        <v>339</v>
      </c>
      <c r="X19" s="207" t="s">
        <v>339</v>
      </c>
      <c r="AB19" s="53"/>
      <c r="AE19" s="53"/>
      <c r="AF19" s="53"/>
      <c r="AG19" s="53"/>
    </row>
    <row r="20" spans="1:33" ht="16.5" x14ac:dyDescent="0.35">
      <c r="A20" s="95"/>
      <c r="B20" s="88" t="s">
        <v>127</v>
      </c>
      <c r="C20" s="99">
        <f>'Dateneingabe &amp; Photovoltaik'!AB17</f>
        <v>98.255129918040964</v>
      </c>
      <c r="D20" s="91" t="s">
        <v>45</v>
      </c>
      <c r="G20" s="33"/>
      <c r="H20" s="52" t="s">
        <v>4</v>
      </c>
      <c r="I20" s="51" t="s">
        <v>143</v>
      </c>
      <c r="J20" s="46" t="s">
        <v>143</v>
      </c>
      <c r="K20" s="47" t="s">
        <v>143</v>
      </c>
      <c r="T20" t="s">
        <v>124</v>
      </c>
      <c r="U20" s="196">
        <v>21.9</v>
      </c>
      <c r="V20" s="196">
        <v>10</v>
      </c>
      <c r="W20" s="196">
        <v>12</v>
      </c>
      <c r="X20" s="133">
        <v>5</v>
      </c>
      <c r="AB20" s="54"/>
      <c r="AD20" s="173"/>
      <c r="AE20" s="192"/>
      <c r="AF20" s="192"/>
      <c r="AG20" s="192"/>
    </row>
    <row r="21" spans="1:33" ht="16.5" x14ac:dyDescent="0.45">
      <c r="A21" s="95"/>
      <c r="B21" s="88"/>
      <c r="C21" s="100"/>
      <c r="D21" s="92"/>
      <c r="G21" s="3" t="s">
        <v>128</v>
      </c>
      <c r="H21" s="281">
        <f>IF($C$19="Wohnen EFH",$C$18*$C$20/100,IF($C$22="Wohnen EFH",$C$18*$C$23/100,IF($C$25="Wohnen EFH",$C$18*$C$26/100,IF($C$28="Wohnen EFH",$C$18*$C$29/100,0))))</f>
        <v>0</v>
      </c>
      <c r="I21" s="282">
        <f t="shared" ref="I21:I26" si="0">H21*U20/1000</f>
        <v>0</v>
      </c>
      <c r="J21" s="255">
        <f t="shared" ref="J21:J26" si="1">H21*V20/1000</f>
        <v>0</v>
      </c>
      <c r="K21" s="262">
        <f>IF(C42="Ja",H21*W20/1000,IF(C42="Nein",H21*X20/1000,"Bitte Ja oder Nein in C42 wählen"))</f>
        <v>0</v>
      </c>
      <c r="T21" t="s">
        <v>125</v>
      </c>
      <c r="U21" s="196">
        <v>19.7</v>
      </c>
      <c r="V21" s="196">
        <v>10</v>
      </c>
      <c r="W21" s="196">
        <v>12</v>
      </c>
      <c r="X21" s="133">
        <v>5</v>
      </c>
      <c r="AB21" s="54"/>
      <c r="AD21" s="173"/>
      <c r="AE21" s="192"/>
      <c r="AF21" s="192"/>
      <c r="AG21" s="192"/>
    </row>
    <row r="22" spans="1:33" ht="16.5" x14ac:dyDescent="0.45">
      <c r="A22" s="95"/>
      <c r="B22" s="88" t="s">
        <v>1</v>
      </c>
      <c r="C22" s="101" t="str">
        <f>'Dateneingabe &amp; Photovoltaik'!AB19</f>
        <v>Büro</v>
      </c>
      <c r="D22" s="93" t="s">
        <v>3</v>
      </c>
      <c r="G22" s="3" t="s">
        <v>129</v>
      </c>
      <c r="H22" s="281">
        <f>IF($C$19="Wohnen MFH",$C$18*$C$20/100,IF($C$22="Wohnen MFH",$C$18*$C$23/100,IF($C$25="Wohnen MFH",$C$18*$C$26/100,IF($C$28="Wohnen MFH",$C$18*$C$29/100,0))))</f>
        <v>49272</v>
      </c>
      <c r="I22" s="282">
        <f>H22*U21/1000</f>
        <v>970.65839999999992</v>
      </c>
      <c r="J22" s="255">
        <f>H22*V21/1000</f>
        <v>492.72</v>
      </c>
      <c r="K22" s="262">
        <f>IF(C42="Ja",H22*W21/1000,IF(C42="Nein",H22*X21/1000,"Bitte Ja oder Nein in C42 wählen"))</f>
        <v>591.26400000000001</v>
      </c>
      <c r="T22" t="s">
        <v>219</v>
      </c>
      <c r="U22" s="196">
        <v>15</v>
      </c>
      <c r="V22" s="196">
        <v>0</v>
      </c>
      <c r="W22" s="196">
        <v>27</v>
      </c>
      <c r="X22" s="198">
        <f>W22</f>
        <v>27</v>
      </c>
      <c r="AB22" s="54"/>
      <c r="AD22" s="173"/>
      <c r="AE22" s="192"/>
      <c r="AF22" s="192"/>
      <c r="AG22" s="192"/>
    </row>
    <row r="23" spans="1:33" ht="16.5" x14ac:dyDescent="0.45">
      <c r="A23" s="95"/>
      <c r="B23" s="88" t="s">
        <v>127</v>
      </c>
      <c r="C23" s="102">
        <f>'Dateneingabe &amp; Photovoltaik'!AB20</f>
        <v>0.99706861826230875</v>
      </c>
      <c r="D23" s="91" t="s">
        <v>45</v>
      </c>
      <c r="G23" s="3" t="s">
        <v>221</v>
      </c>
      <c r="H23" s="281">
        <f>IF($C$19="Büro",$C$18*$C$20/100,IF($C$22="Büro",$C$18*$C$23/100,IF($C$25="Büro",$C$18*$C$26/100,IF($C$28="Büro",$C$18*$C$29/100,0))))</f>
        <v>500</v>
      </c>
      <c r="I23" s="282">
        <f t="shared" si="0"/>
        <v>7.5</v>
      </c>
      <c r="J23" s="255">
        <f t="shared" si="1"/>
        <v>0</v>
      </c>
      <c r="K23" s="262">
        <f>H23*W22/1000</f>
        <v>13.5</v>
      </c>
      <c r="T23" t="s">
        <v>220</v>
      </c>
      <c r="U23" s="196">
        <f>(22.1+22.1+17.2)/3</f>
        <v>20.466666666666669</v>
      </c>
      <c r="V23" s="196">
        <v>0</v>
      </c>
      <c r="W23" s="196">
        <v>29</v>
      </c>
      <c r="X23" s="198">
        <f>W23</f>
        <v>29</v>
      </c>
      <c r="AB23" s="54"/>
      <c r="AD23" s="173"/>
      <c r="AE23" s="192"/>
      <c r="AF23" s="192"/>
      <c r="AG23" s="192"/>
    </row>
    <row r="24" spans="1:33" ht="16.5" x14ac:dyDescent="0.45">
      <c r="A24" s="95"/>
      <c r="B24" s="88"/>
      <c r="C24" s="100"/>
      <c r="D24" s="92"/>
      <c r="G24" s="3" t="s">
        <v>222</v>
      </c>
      <c r="H24" s="281">
        <f>IF($C$19="Gewerbe",$C$18*$C$20/100,IF($C$22="Gewerbe",$C$18*$C$23/100,IF($C$25="Gewerbe",$C$18*$C$26/100,IF($C$28="Gewerbe",$C$18*$C$29/100,0))))</f>
        <v>0</v>
      </c>
      <c r="I24" s="282">
        <f t="shared" si="0"/>
        <v>0</v>
      </c>
      <c r="J24" s="255">
        <f t="shared" si="1"/>
        <v>0</v>
      </c>
      <c r="K24" s="262">
        <f t="shared" ref="K24:K26" si="2">H24*W23/1000</f>
        <v>0</v>
      </c>
      <c r="T24" t="s">
        <v>126</v>
      </c>
      <c r="U24" s="42">
        <f>(46+35+39)/3</f>
        <v>40</v>
      </c>
      <c r="V24" s="42">
        <v>0</v>
      </c>
      <c r="W24" s="42">
        <f>(36+21+34)/3</f>
        <v>30.333333333333332</v>
      </c>
      <c r="X24" s="50">
        <f>W24</f>
        <v>30.333333333333332</v>
      </c>
      <c r="AB24" s="54"/>
      <c r="AD24" s="173"/>
      <c r="AE24" s="192"/>
      <c r="AF24" s="192"/>
      <c r="AG24" s="192"/>
    </row>
    <row r="25" spans="1:33" ht="16.5" x14ac:dyDescent="0.45">
      <c r="A25" s="95"/>
      <c r="B25" s="88" t="s">
        <v>1</v>
      </c>
      <c r="C25" s="101" t="str">
        <f>'Dateneingabe &amp; Photovoltaik'!AB22</f>
        <v>Gewerbe</v>
      </c>
      <c r="D25" s="93" t="s">
        <v>3</v>
      </c>
      <c r="G25" s="3" t="s">
        <v>130</v>
      </c>
      <c r="H25" s="281">
        <f>IF($C$19="Schule",$C$18*$C$20/100,IF($C$22="Schule",$C$18*$C$23/100,IF($C$25="Schule",$C$18*$C$26/100,IF($C$28="Schule",$C$18*$C$29/100,0))))</f>
        <v>375</v>
      </c>
      <c r="I25" s="282">
        <f t="shared" si="0"/>
        <v>15</v>
      </c>
      <c r="J25" s="255">
        <f t="shared" si="1"/>
        <v>0</v>
      </c>
      <c r="K25" s="262">
        <f t="shared" si="2"/>
        <v>11.375</v>
      </c>
      <c r="T25" t="s">
        <v>10</v>
      </c>
      <c r="U25" s="197">
        <f>AVERAGE(U22:U24)</f>
        <v>25.155555555555555</v>
      </c>
      <c r="V25" s="197">
        <f>AVERAGE(V22:V24)</f>
        <v>0</v>
      </c>
      <c r="W25" s="198">
        <f>AVERAGE(W22:W24)</f>
        <v>28.777777777777775</v>
      </c>
      <c r="X25" s="198">
        <f>W25</f>
        <v>28.777777777777775</v>
      </c>
      <c r="AB25" s="55"/>
      <c r="AD25" s="173"/>
      <c r="AE25" s="54"/>
      <c r="AF25" s="54"/>
      <c r="AG25" s="54"/>
    </row>
    <row r="26" spans="1:33" ht="16.5" x14ac:dyDescent="0.45">
      <c r="A26" s="95"/>
      <c r="B26" s="88" t="s">
        <v>127</v>
      </c>
      <c r="C26" s="102">
        <f>'Dateneingabe &amp; Photovoltaik'!AB23</f>
        <v>0</v>
      </c>
      <c r="D26" s="91" t="s">
        <v>45</v>
      </c>
      <c r="G26" s="3" t="s">
        <v>223</v>
      </c>
      <c r="H26" s="281">
        <f>IF($C$19="Nicht-Wohnen",$C$18*$C$20/100,IF($C$22="Nicht-Wohnen",$C$18*$C$23/100,IF($C$25="Nicht-Wohnen",$C$18*$C$26/100,IF($C$28="Nicht-Wohnen",$C$18*$C$29/100,0))))</f>
        <v>0</v>
      </c>
      <c r="I26" s="282">
        <f t="shared" si="0"/>
        <v>0</v>
      </c>
      <c r="J26" s="255">
        <f t="shared" si="1"/>
        <v>0</v>
      </c>
      <c r="K26" s="262">
        <f t="shared" si="2"/>
        <v>0</v>
      </c>
    </row>
    <row r="27" spans="1:33" x14ac:dyDescent="0.35">
      <c r="A27" s="95"/>
      <c r="B27" s="88"/>
      <c r="C27" s="100"/>
      <c r="D27" s="92"/>
      <c r="G27" s="48" t="s">
        <v>134</v>
      </c>
      <c r="H27" s="283">
        <f>SUM(H22:H26)</f>
        <v>50147</v>
      </c>
      <c r="I27" s="284">
        <f>SUM(I21:I26)</f>
        <v>993.15839999999992</v>
      </c>
      <c r="J27" s="269">
        <f>SUM(J21:J26)</f>
        <v>492.72</v>
      </c>
      <c r="K27" s="251">
        <f>SUM(K21:K26)</f>
        <v>616.13900000000001</v>
      </c>
      <c r="T27" s="8"/>
      <c r="U27" s="50"/>
      <c r="V27" s="8"/>
      <c r="W27" s="233" t="s">
        <v>41</v>
      </c>
      <c r="X27" s="214"/>
      <c r="AF27" s="11"/>
    </row>
    <row r="28" spans="1:33" x14ac:dyDescent="0.35">
      <c r="A28" s="95"/>
      <c r="B28" s="88" t="s">
        <v>1</v>
      </c>
      <c r="C28" s="101" t="str">
        <f>'Dateneingabe &amp; Photovoltaik'!AB25</f>
        <v>Schule</v>
      </c>
      <c r="D28" s="93" t="s">
        <v>3</v>
      </c>
      <c r="T28" s="8"/>
      <c r="U28" s="50"/>
      <c r="V28" s="8"/>
      <c r="W28" s="14" t="s">
        <v>122</v>
      </c>
      <c r="X28" s="294">
        <f>J27</f>
        <v>492.72</v>
      </c>
      <c r="AF28" s="11"/>
    </row>
    <row r="29" spans="1:33" ht="16.5" x14ac:dyDescent="0.45">
      <c r="A29" s="95"/>
      <c r="B29" s="88" t="s">
        <v>127</v>
      </c>
      <c r="C29" s="102">
        <f>'Dateneingabe &amp; Photovoltaik'!AB26</f>
        <v>0.74780146369673162</v>
      </c>
      <c r="D29" s="91" t="s">
        <v>45</v>
      </c>
      <c r="H29" s="75"/>
      <c r="I29" s="49"/>
      <c r="J29" s="28"/>
      <c r="T29" t="s">
        <v>135</v>
      </c>
      <c r="U29">
        <v>4</v>
      </c>
      <c r="V29" s="45" t="s">
        <v>3</v>
      </c>
      <c r="W29" s="14" t="s">
        <v>132</v>
      </c>
      <c r="X29" s="294">
        <f>I27</f>
        <v>993.15839999999992</v>
      </c>
      <c r="AF29" s="11"/>
    </row>
    <row r="30" spans="1:33" ht="16.5" x14ac:dyDescent="0.45">
      <c r="A30" s="95"/>
      <c r="B30" s="88"/>
      <c r="C30" s="103">
        <f>C29+C26+C23+C20</f>
        <v>100</v>
      </c>
      <c r="D30" s="94" t="str">
        <f>IF(C30&gt;100,"Summe muss 100 sein",IF(C30&lt;100,"Summe muss 100 sein"," "))</f>
        <v xml:space="preserve"> </v>
      </c>
      <c r="M30" t="s">
        <v>215</v>
      </c>
      <c r="T30" t="s">
        <v>136</v>
      </c>
      <c r="U30">
        <v>3</v>
      </c>
      <c r="V30" s="45" t="s">
        <v>3</v>
      </c>
      <c r="W30" s="14" t="s">
        <v>133</v>
      </c>
      <c r="X30" s="294">
        <f>K27</f>
        <v>616.13900000000001</v>
      </c>
      <c r="AF30" s="11"/>
    </row>
    <row r="31" spans="1:33" x14ac:dyDescent="0.35">
      <c r="A31" s="95"/>
      <c r="C31" s="95"/>
      <c r="D31" s="92"/>
    </row>
    <row r="32" spans="1:33" s="1" customFormat="1" x14ac:dyDescent="0.35">
      <c r="B32" s="1" t="s">
        <v>137</v>
      </c>
      <c r="D32" s="68"/>
      <c r="E32" s="83"/>
      <c r="Q32" s="68"/>
      <c r="R32" s="83"/>
    </row>
    <row r="33" spans="1:25" x14ac:dyDescent="0.35">
      <c r="A33" s="95"/>
      <c r="B33" s="169"/>
      <c r="C33" s="95"/>
      <c r="D33" s="92"/>
    </row>
    <row r="34" spans="1:25" x14ac:dyDescent="0.35">
      <c r="A34" s="95"/>
      <c r="B34" s="121"/>
      <c r="C34" s="121"/>
      <c r="D34" s="122"/>
      <c r="E34" s="111"/>
      <c r="H34" s="87"/>
      <c r="I34" s="87"/>
      <c r="J34" s="87"/>
      <c r="T34" s="233" t="s">
        <v>152</v>
      </c>
      <c r="U34" s="214"/>
      <c r="W34" t="s">
        <v>139</v>
      </c>
      <c r="X34" s="288">
        <f>C43/C36</f>
        <v>371.46960000000001</v>
      </c>
      <c r="Y34" t="s">
        <v>138</v>
      </c>
    </row>
    <row r="35" spans="1:25" x14ac:dyDescent="0.35">
      <c r="A35" s="95"/>
      <c r="B35" s="88"/>
      <c r="C35" s="120"/>
      <c r="D35" s="92"/>
      <c r="H35" s="26" t="s">
        <v>147</v>
      </c>
      <c r="I35" s="26"/>
      <c r="J35" s="26"/>
      <c r="K35" s="8"/>
      <c r="T35" s="14" t="s">
        <v>153</v>
      </c>
      <c r="U35" s="14" t="s">
        <v>154</v>
      </c>
      <c r="W35" t="s">
        <v>140</v>
      </c>
      <c r="X35" s="288">
        <f>(C45/C38)</f>
        <v>205.37966666666668</v>
      </c>
      <c r="Y35" t="s">
        <v>138</v>
      </c>
    </row>
    <row r="36" spans="1:25" ht="16.5" x14ac:dyDescent="0.45">
      <c r="A36" s="95"/>
      <c r="B36" s="88" t="s">
        <v>119</v>
      </c>
      <c r="C36" s="278">
        <f>IF(C37&gt;0,C37,U29)</f>
        <v>4</v>
      </c>
      <c r="D36" s="93" t="s">
        <v>3</v>
      </c>
      <c r="H36" t="s">
        <v>316</v>
      </c>
      <c r="I36" s="288">
        <f>C43-X34</f>
        <v>1114.4088000000002</v>
      </c>
      <c r="J36" t="s">
        <v>138</v>
      </c>
      <c r="L36" s="211"/>
      <c r="M36" s="211"/>
      <c r="N36" s="211"/>
      <c r="O36" s="211"/>
      <c r="P36" s="211"/>
      <c r="Q36" s="212"/>
      <c r="R36" s="171"/>
      <c r="S36" s="40"/>
      <c r="T36" s="14" t="s">
        <v>155</v>
      </c>
      <c r="U36" s="14">
        <v>40</v>
      </c>
      <c r="W36" s="19" t="s">
        <v>149</v>
      </c>
      <c r="X36" s="296">
        <f>MAX(X34:X35)</f>
        <v>371.46960000000001</v>
      </c>
      <c r="Y36" s="19" t="s">
        <v>138</v>
      </c>
    </row>
    <row r="37" spans="1:25" ht="16.5" x14ac:dyDescent="0.45">
      <c r="A37" s="95"/>
      <c r="B37" s="88" t="s">
        <v>305</v>
      </c>
      <c r="C37" s="285"/>
      <c r="D37" s="93" t="s">
        <v>3</v>
      </c>
      <c r="H37" t="s">
        <v>142</v>
      </c>
      <c r="I37" s="262">
        <f>ROUNDUP(I36/($C$52*$C$49),0)</f>
        <v>149</v>
      </c>
      <c r="J37" t="s">
        <v>3</v>
      </c>
      <c r="K37" s="8"/>
      <c r="T37" s="14" t="s">
        <v>156</v>
      </c>
      <c r="U37" s="14">
        <v>50</v>
      </c>
    </row>
    <row r="38" spans="1:25" ht="16.5" x14ac:dyDescent="0.45">
      <c r="A38" s="95"/>
      <c r="B38" s="88" t="s">
        <v>120</v>
      </c>
      <c r="C38" s="278">
        <f>IF(C39&gt;0,C39,C36-1)</f>
        <v>3</v>
      </c>
      <c r="D38" s="93" t="s">
        <v>3</v>
      </c>
      <c r="F38" s="8"/>
      <c r="M38" s="8"/>
      <c r="T38" s="14" t="s">
        <v>157</v>
      </c>
      <c r="U38" s="14">
        <v>70</v>
      </c>
    </row>
    <row r="39" spans="1:25" ht="16.5" x14ac:dyDescent="0.45">
      <c r="A39" s="95"/>
      <c r="B39" s="88" t="s">
        <v>306</v>
      </c>
      <c r="C39" s="285"/>
      <c r="D39" s="93" t="s">
        <v>3</v>
      </c>
      <c r="H39" s="26" t="s">
        <v>340</v>
      </c>
      <c r="I39" s="26"/>
      <c r="J39" s="26"/>
      <c r="M39" s="8"/>
      <c r="T39" s="14" t="s">
        <v>158</v>
      </c>
      <c r="U39" s="14">
        <v>80</v>
      </c>
    </row>
    <row r="40" spans="1:25" x14ac:dyDescent="0.35">
      <c r="A40" s="95"/>
      <c r="B40" s="88"/>
      <c r="C40" s="120"/>
      <c r="D40" s="92"/>
      <c r="H40" t="s">
        <v>317</v>
      </c>
      <c r="I40" s="267">
        <f>C45+X35</f>
        <v>821.51866666666672</v>
      </c>
      <c r="J40" t="s">
        <v>138</v>
      </c>
      <c r="T40" s="14" t="s">
        <v>159</v>
      </c>
      <c r="U40" s="14">
        <v>75</v>
      </c>
    </row>
    <row r="41" spans="1:25" x14ac:dyDescent="0.35">
      <c r="A41" s="95"/>
      <c r="B41" s="2"/>
      <c r="C41" s="31"/>
      <c r="D41" s="124"/>
      <c r="H41" t="s">
        <v>142</v>
      </c>
      <c r="I41" s="262">
        <f>ROUNDUP(I40/($C$52*$C$49),0)</f>
        <v>110</v>
      </c>
      <c r="J41" t="s">
        <v>3</v>
      </c>
      <c r="T41" s="14" t="s">
        <v>164</v>
      </c>
      <c r="U41" s="14">
        <v>80</v>
      </c>
    </row>
    <row r="42" spans="1:25" ht="16.5" x14ac:dyDescent="0.35">
      <c r="A42" s="95"/>
      <c r="B42" s="88" t="s">
        <v>313</v>
      </c>
      <c r="C42" s="73" t="s">
        <v>202</v>
      </c>
      <c r="T42" s="14" t="s">
        <v>160</v>
      </c>
      <c r="U42" s="14">
        <v>80</v>
      </c>
    </row>
    <row r="43" spans="1:25" x14ac:dyDescent="0.35">
      <c r="A43" s="95"/>
      <c r="B43" s="88" t="s">
        <v>144</v>
      </c>
      <c r="C43" s="279">
        <f>IF(C44&gt;0,C44,(I27+J27))</f>
        <v>1485.8784000000001</v>
      </c>
      <c r="D43" s="93" t="s">
        <v>138</v>
      </c>
      <c r="F43" s="8"/>
      <c r="H43" s="175" t="s">
        <v>307</v>
      </c>
      <c r="I43" s="289">
        <f>MAX(I41,I37)</f>
        <v>149</v>
      </c>
      <c r="J43" t="s">
        <v>3</v>
      </c>
      <c r="T43" s="14" t="s">
        <v>161</v>
      </c>
      <c r="U43" s="14">
        <v>70</v>
      </c>
    </row>
    <row r="44" spans="1:25" x14ac:dyDescent="0.35">
      <c r="A44" s="95"/>
      <c r="B44" s="88" t="s">
        <v>146</v>
      </c>
      <c r="C44" s="286"/>
      <c r="D44" s="93" t="s">
        <v>138</v>
      </c>
      <c r="T44" s="14" t="s">
        <v>162</v>
      </c>
      <c r="U44" s="14">
        <v>65</v>
      </c>
    </row>
    <row r="45" spans="1:25" x14ac:dyDescent="0.35">
      <c r="A45" s="95"/>
      <c r="B45" s="88" t="s">
        <v>133</v>
      </c>
      <c r="C45" s="255">
        <f>IF(C46&gt;0,C46,K27)</f>
        <v>616.13900000000001</v>
      </c>
      <c r="D45" s="93" t="s">
        <v>138</v>
      </c>
      <c r="K45" s="77"/>
      <c r="T45" s="14" t="s">
        <v>163</v>
      </c>
      <c r="U45" s="14">
        <v>45</v>
      </c>
    </row>
    <row r="46" spans="1:25" x14ac:dyDescent="0.35">
      <c r="A46" s="95"/>
      <c r="B46" s="88" t="s">
        <v>145</v>
      </c>
      <c r="C46" s="286"/>
      <c r="D46" s="93" t="s">
        <v>138</v>
      </c>
      <c r="H46" t="str">
        <f>IF(ISNUMBER(I46),"Kosten für Sonden"," ")</f>
        <v>Kosten für Sonden</v>
      </c>
      <c r="I46" s="290">
        <f>IF(C49=150,U71*C49*I37," ")</f>
        <v>1229250</v>
      </c>
      <c r="J46" t="s">
        <v>68</v>
      </c>
      <c r="K46" s="77"/>
      <c r="T46" s="14" t="s">
        <v>165</v>
      </c>
      <c r="U46" s="14">
        <v>75</v>
      </c>
    </row>
    <row r="47" spans="1:25" x14ac:dyDescent="0.35">
      <c r="A47" s="95"/>
      <c r="B47" s="88"/>
      <c r="C47" s="17"/>
      <c r="D47" s="92"/>
      <c r="K47" s="8"/>
      <c r="T47" s="14" t="s">
        <v>269</v>
      </c>
      <c r="U47" s="14">
        <v>40</v>
      </c>
    </row>
    <row r="48" spans="1:25" x14ac:dyDescent="0.35">
      <c r="A48" s="95"/>
      <c r="B48" s="2"/>
      <c r="C48" s="31"/>
      <c r="D48" s="124"/>
    </row>
    <row r="49" spans="1:33" x14ac:dyDescent="0.35">
      <c r="A49" s="95"/>
      <c r="B49" s="88" t="s">
        <v>303</v>
      </c>
      <c r="C49" s="279">
        <f>IF(C50&gt;0,C50,U49)</f>
        <v>150</v>
      </c>
      <c r="D49" s="110" t="s">
        <v>5</v>
      </c>
      <c r="T49" t="s">
        <v>270</v>
      </c>
      <c r="U49">
        <v>150</v>
      </c>
      <c r="V49" t="s">
        <v>5</v>
      </c>
    </row>
    <row r="50" spans="1:33" x14ac:dyDescent="0.35">
      <c r="A50" s="95"/>
      <c r="B50" s="3" t="s">
        <v>304</v>
      </c>
      <c r="C50" s="286"/>
      <c r="D50" s="110" t="s">
        <v>5</v>
      </c>
      <c r="F50" s="8"/>
    </row>
    <row r="51" spans="1:33" x14ac:dyDescent="0.35">
      <c r="A51" s="95"/>
      <c r="B51" s="88" t="s">
        <v>166</v>
      </c>
      <c r="C51" s="101" t="s">
        <v>269</v>
      </c>
      <c r="D51" s="106"/>
      <c r="T51" s="193" t="s">
        <v>310</v>
      </c>
    </row>
    <row r="52" spans="1:33" ht="17.5" x14ac:dyDescent="0.45">
      <c r="A52" s="95"/>
      <c r="B52" s="88" t="s">
        <v>314</v>
      </c>
      <c r="C52" s="287">
        <f>IF(C53&gt;0,C53,INDEX(T36:U47,MATCH(C51,T36:T47,0),2)/1000)</f>
        <v>0.05</v>
      </c>
      <c r="D52" s="110" t="s">
        <v>141</v>
      </c>
      <c r="K52" s="8"/>
      <c r="N52" s="8"/>
      <c r="T52" s="14" t="s">
        <v>202</v>
      </c>
    </row>
    <row r="53" spans="1:33" ht="16.5" x14ac:dyDescent="0.45">
      <c r="A53" s="95"/>
      <c r="B53" s="88" t="s">
        <v>302</v>
      </c>
      <c r="C53" s="174">
        <v>0.05</v>
      </c>
      <c r="D53" s="110" t="s">
        <v>141</v>
      </c>
      <c r="T53" s="14" t="s">
        <v>203</v>
      </c>
    </row>
    <row r="54" spans="1:33" x14ac:dyDescent="0.35">
      <c r="A54" s="95"/>
      <c r="B54" s="88"/>
      <c r="C54" s="100"/>
      <c r="D54" s="92"/>
    </row>
    <row r="55" spans="1:33" x14ac:dyDescent="0.35">
      <c r="A55" s="95"/>
      <c r="B55" s="95"/>
      <c r="C55" s="95"/>
      <c r="D55" s="92"/>
      <c r="H55" s="8"/>
    </row>
    <row r="56" spans="1:33" x14ac:dyDescent="0.35">
      <c r="A56" s="95"/>
      <c r="B56" s="95"/>
      <c r="C56" s="95"/>
      <c r="D56" s="92"/>
      <c r="H56" s="8"/>
    </row>
    <row r="57" spans="1:33" x14ac:dyDescent="0.35">
      <c r="A57" s="95"/>
      <c r="B57" s="95"/>
      <c r="C57" s="95"/>
      <c r="D57" s="92"/>
    </row>
    <row r="58" spans="1:33" s="1" customFormat="1" x14ac:dyDescent="0.35">
      <c r="B58" s="1" t="s">
        <v>271</v>
      </c>
      <c r="D58" s="68"/>
      <c r="E58" s="83"/>
      <c r="Q58" s="68"/>
      <c r="R58" s="83"/>
    </row>
    <row r="59" spans="1:33" x14ac:dyDescent="0.35">
      <c r="A59" s="95"/>
      <c r="B59" s="95"/>
      <c r="C59" s="95"/>
      <c r="D59" s="92"/>
      <c r="T59" t="s">
        <v>275</v>
      </c>
    </row>
    <row r="60" spans="1:33" x14ac:dyDescent="0.35">
      <c r="A60" s="95"/>
      <c r="B60" s="95"/>
      <c r="C60" s="95"/>
      <c r="D60" s="92"/>
      <c r="U60" s="65" t="s">
        <v>272</v>
      </c>
      <c r="V60" s="65" t="s">
        <v>274</v>
      </c>
      <c r="W60" s="65" t="s">
        <v>273</v>
      </c>
      <c r="X60" s="65" t="s">
        <v>322</v>
      </c>
      <c r="AA60" s="53"/>
      <c r="AB60" s="53"/>
      <c r="AE60" s="172"/>
      <c r="AF60" s="173"/>
      <c r="AG60" s="173"/>
    </row>
    <row r="61" spans="1:33" ht="16.5" x14ac:dyDescent="0.35">
      <c r="A61" s="95"/>
      <c r="B61" s="167" t="str">
        <f>B18</f>
        <v>BGF</v>
      </c>
      <c r="C61" s="277">
        <f t="shared" ref="C61" si="3">C18</f>
        <v>50147</v>
      </c>
      <c r="D61" s="168" t="s">
        <v>4</v>
      </c>
      <c r="G61" s="3"/>
      <c r="H61" s="164" t="str">
        <f>H19</f>
        <v>Fläche</v>
      </c>
      <c r="I61" s="165" t="s">
        <v>318</v>
      </c>
      <c r="J61" s="166" t="s">
        <v>274</v>
      </c>
      <c r="K61" s="163" t="s">
        <v>319</v>
      </c>
      <c r="U61" s="65" t="s">
        <v>115</v>
      </c>
      <c r="V61" s="65" t="s">
        <v>115</v>
      </c>
      <c r="W61" s="65" t="s">
        <v>115</v>
      </c>
      <c r="X61" s="65" t="s">
        <v>115</v>
      </c>
      <c r="AA61" s="53"/>
      <c r="AB61" s="53"/>
      <c r="AC61" s="53"/>
      <c r="AE61" s="53"/>
      <c r="AF61" s="173"/>
      <c r="AG61" s="173"/>
    </row>
    <row r="62" spans="1:33" ht="16.5" x14ac:dyDescent="0.35">
      <c r="A62" s="95"/>
      <c r="B62" s="88" t="str">
        <f t="shared" ref="B62:C72" si="4">B19</f>
        <v>Nutzung</v>
      </c>
      <c r="C62" s="98" t="str">
        <f t="shared" si="4"/>
        <v>Wohnen MFH</v>
      </c>
      <c r="D62" s="90" t="s">
        <v>3</v>
      </c>
      <c r="G62" s="33"/>
      <c r="H62" s="52" t="s">
        <v>4</v>
      </c>
      <c r="I62" s="51" t="s">
        <v>320</v>
      </c>
      <c r="J62" s="51" t="s">
        <v>320</v>
      </c>
      <c r="K62" s="51" t="s">
        <v>320</v>
      </c>
      <c r="T62" t="s">
        <v>124</v>
      </c>
      <c r="U62" s="56">
        <v>30</v>
      </c>
      <c r="V62" s="56">
        <v>20</v>
      </c>
      <c r="W62" s="56">
        <v>15</v>
      </c>
      <c r="X62" s="42">
        <v>8</v>
      </c>
      <c r="Z62" s="173"/>
      <c r="AA62" s="192"/>
      <c r="AB62" s="192"/>
      <c r="AC62" s="192"/>
      <c r="AE62" s="173"/>
      <c r="AF62" s="173"/>
      <c r="AG62" s="54"/>
    </row>
    <row r="63" spans="1:33" ht="16.5" x14ac:dyDescent="0.45">
      <c r="A63" s="95"/>
      <c r="B63" s="88" t="str">
        <f t="shared" si="4"/>
        <v>Anteil BGF</v>
      </c>
      <c r="C63" s="99">
        <f t="shared" si="4"/>
        <v>98.255129918040964</v>
      </c>
      <c r="D63" s="91" t="s">
        <v>45</v>
      </c>
      <c r="G63" s="3" t="s">
        <v>128</v>
      </c>
      <c r="H63" s="281">
        <f t="shared" ref="G63:H69" si="5">H21</f>
        <v>0</v>
      </c>
      <c r="I63" s="282">
        <f t="shared" ref="I63:I68" si="6">H63*U62/1000</f>
        <v>0</v>
      </c>
      <c r="J63" s="255">
        <f t="shared" ref="J63:J68" si="7">H63*V62/1000</f>
        <v>0</v>
      </c>
      <c r="K63" s="293">
        <f>IF(C42="Ja",H63*W62/1000,IF(C42="Nein",H63*X62/1000,"Bitte Ja oder Nein in C42 wählen"))</f>
        <v>0</v>
      </c>
      <c r="T63" t="s">
        <v>125</v>
      </c>
      <c r="U63" s="56">
        <v>27</v>
      </c>
      <c r="V63" s="56">
        <v>20</v>
      </c>
      <c r="W63" s="56">
        <v>12</v>
      </c>
      <c r="X63" s="42">
        <v>8</v>
      </c>
      <c r="Z63" s="173"/>
      <c r="AA63" s="192"/>
      <c r="AB63" s="192"/>
      <c r="AC63" s="192"/>
      <c r="AE63" s="173"/>
      <c r="AF63" s="173"/>
      <c r="AG63" s="54"/>
    </row>
    <row r="64" spans="1:33" ht="16.5" x14ac:dyDescent="0.45">
      <c r="A64" s="95"/>
      <c r="B64" s="88"/>
      <c r="C64" s="100"/>
      <c r="D64" s="92"/>
      <c r="G64" s="3" t="s">
        <v>129</v>
      </c>
      <c r="H64" s="281">
        <f t="shared" si="5"/>
        <v>49272</v>
      </c>
      <c r="I64" s="282">
        <f t="shared" si="6"/>
        <v>1330.3440000000001</v>
      </c>
      <c r="J64" s="255">
        <f t="shared" si="7"/>
        <v>985.44</v>
      </c>
      <c r="K64" s="293">
        <f>IF(C42="Ja",H64*W63/1000,IF(C42="Nein",H64*X63/1000,"Bitte Ja oder Nein in C42 wählen"))</f>
        <v>591.26400000000001</v>
      </c>
      <c r="T64" t="s">
        <v>219</v>
      </c>
      <c r="U64" s="56">
        <v>20</v>
      </c>
      <c r="V64" s="42">
        <v>0</v>
      </c>
      <c r="W64" s="56">
        <v>35</v>
      </c>
      <c r="X64" s="11">
        <f>W64</f>
        <v>35</v>
      </c>
      <c r="Z64" s="173"/>
      <c r="AA64" s="192"/>
      <c r="AB64" s="192"/>
      <c r="AC64" s="192"/>
      <c r="AE64" s="173"/>
      <c r="AF64" s="173"/>
      <c r="AG64" s="54"/>
    </row>
    <row r="65" spans="1:33" ht="16.5" x14ac:dyDescent="0.45">
      <c r="A65" s="95"/>
      <c r="B65" s="88" t="str">
        <f t="shared" si="4"/>
        <v>Nutzung</v>
      </c>
      <c r="C65" s="101" t="str">
        <f t="shared" si="4"/>
        <v>Büro</v>
      </c>
      <c r="D65" s="93" t="s">
        <v>3</v>
      </c>
      <c r="G65" s="3" t="s">
        <v>221</v>
      </c>
      <c r="H65" s="281">
        <f t="shared" si="5"/>
        <v>500</v>
      </c>
      <c r="I65" s="282">
        <f t="shared" si="6"/>
        <v>10</v>
      </c>
      <c r="J65" s="255">
        <f t="shared" si="7"/>
        <v>0</v>
      </c>
      <c r="K65" s="262">
        <f>H65*W64/1000</f>
        <v>17.5</v>
      </c>
      <c r="T65" t="s">
        <v>220</v>
      </c>
      <c r="U65" s="56">
        <v>18</v>
      </c>
      <c r="V65" s="42">
        <v>0</v>
      </c>
      <c r="W65" s="56">
        <v>45</v>
      </c>
      <c r="X65" s="11">
        <f t="shared" ref="X65:X67" si="8">W65</f>
        <v>45</v>
      </c>
      <c r="Z65" s="173"/>
      <c r="AA65" s="192"/>
      <c r="AB65" s="192"/>
      <c r="AC65" s="192"/>
      <c r="AE65" s="173"/>
      <c r="AF65" s="173"/>
      <c r="AG65" s="54"/>
    </row>
    <row r="66" spans="1:33" ht="16.5" x14ac:dyDescent="0.45">
      <c r="A66" s="95"/>
      <c r="B66" s="88" t="str">
        <f t="shared" si="4"/>
        <v>Anteil BGF</v>
      </c>
      <c r="C66" s="102">
        <f t="shared" si="4"/>
        <v>0.99706861826230875</v>
      </c>
      <c r="D66" s="91" t="s">
        <v>45</v>
      </c>
      <c r="G66" s="3" t="s">
        <v>222</v>
      </c>
      <c r="H66" s="281">
        <f t="shared" si="5"/>
        <v>0</v>
      </c>
      <c r="I66" s="282">
        <f t="shared" si="6"/>
        <v>0</v>
      </c>
      <c r="J66" s="255">
        <f t="shared" si="7"/>
        <v>0</v>
      </c>
      <c r="K66" s="262">
        <f>H66*W65/1000</f>
        <v>0</v>
      </c>
      <c r="T66" t="s">
        <v>126</v>
      </c>
      <c r="U66" s="42">
        <v>15</v>
      </c>
      <c r="V66" s="42">
        <v>0</v>
      </c>
      <c r="W66" s="42">
        <v>15</v>
      </c>
      <c r="X66" s="50">
        <f t="shared" si="8"/>
        <v>15</v>
      </c>
      <c r="Z66" s="173"/>
      <c r="AA66" s="192"/>
      <c r="AB66" s="192"/>
      <c r="AC66" s="192"/>
      <c r="AD66" s="40"/>
      <c r="AE66" s="195"/>
      <c r="AF66" s="195"/>
      <c r="AG66" s="297"/>
    </row>
    <row r="67" spans="1:33" ht="16.5" x14ac:dyDescent="0.45">
      <c r="A67" s="95"/>
      <c r="B67" s="88"/>
      <c r="C67" s="100"/>
      <c r="D67" s="92"/>
      <c r="G67" s="3" t="s">
        <v>130</v>
      </c>
      <c r="H67" s="281">
        <f t="shared" si="5"/>
        <v>375</v>
      </c>
      <c r="I67" s="282">
        <f t="shared" si="6"/>
        <v>5.625</v>
      </c>
      <c r="J67" s="255">
        <f t="shared" si="7"/>
        <v>0</v>
      </c>
      <c r="K67" s="262">
        <f>H67*W66/1000</f>
        <v>5.625</v>
      </c>
      <c r="T67" t="s">
        <v>10</v>
      </c>
      <c r="U67" s="199">
        <f>AVERAGE(U64:U66)</f>
        <v>17.666666666666668</v>
      </c>
      <c r="V67" s="56">
        <v>0</v>
      </c>
      <c r="W67" s="199">
        <f>AVERAGE(W64:W66)</f>
        <v>31.666666666666668</v>
      </c>
      <c r="X67" s="11">
        <f t="shared" si="8"/>
        <v>31.666666666666668</v>
      </c>
      <c r="Z67" s="173"/>
      <c r="AA67" s="54"/>
      <c r="AB67" s="54"/>
      <c r="AC67" s="54"/>
      <c r="AD67" s="40"/>
      <c r="AE67" s="195"/>
      <c r="AF67" s="195"/>
      <c r="AG67" s="297"/>
    </row>
    <row r="68" spans="1:33" ht="16.5" x14ac:dyDescent="0.45">
      <c r="A68" s="95"/>
      <c r="B68" s="88" t="str">
        <f t="shared" si="4"/>
        <v>Nutzung</v>
      </c>
      <c r="C68" s="101" t="str">
        <f t="shared" si="4"/>
        <v>Gewerbe</v>
      </c>
      <c r="D68" s="93" t="s">
        <v>3</v>
      </c>
      <c r="G68" s="3" t="s">
        <v>223</v>
      </c>
      <c r="H68" s="281">
        <f t="shared" si="5"/>
        <v>0</v>
      </c>
      <c r="I68" s="282">
        <f t="shared" si="6"/>
        <v>0</v>
      </c>
      <c r="J68" s="255">
        <f t="shared" si="7"/>
        <v>0</v>
      </c>
      <c r="K68" s="262">
        <f>H68*W67/1000</f>
        <v>0</v>
      </c>
      <c r="AD68" s="40"/>
      <c r="AE68" s="40"/>
      <c r="AF68" s="40"/>
      <c r="AG68" s="40"/>
    </row>
    <row r="69" spans="1:33" ht="16.5" x14ac:dyDescent="0.45">
      <c r="A69" s="95"/>
      <c r="B69" s="88" t="str">
        <f t="shared" si="4"/>
        <v>Anteil BGF</v>
      </c>
      <c r="C69" s="102">
        <f t="shared" si="4"/>
        <v>0</v>
      </c>
      <c r="D69" s="91" t="s">
        <v>45</v>
      </c>
      <c r="G69" s="48" t="str">
        <f t="shared" si="5"/>
        <v>Summe</v>
      </c>
      <c r="H69" s="283">
        <f t="shared" si="5"/>
        <v>50147</v>
      </c>
      <c r="I69" s="284">
        <f>SUM(I63:I68)</f>
        <v>1345.9690000000001</v>
      </c>
      <c r="J69" s="269">
        <f>SUM(J63:J68)</f>
        <v>985.44</v>
      </c>
      <c r="K69" s="251">
        <f>SUM(K63:K68)</f>
        <v>614.38900000000001</v>
      </c>
      <c r="T69" s="28" t="s">
        <v>276</v>
      </c>
      <c r="U69">
        <v>4</v>
      </c>
      <c r="V69" t="s">
        <v>3</v>
      </c>
      <c r="AD69" s="40"/>
      <c r="AE69" s="40"/>
      <c r="AF69" s="40"/>
      <c r="AG69" s="40"/>
    </row>
    <row r="70" spans="1:33" ht="16.5" x14ac:dyDescent="0.45">
      <c r="A70" s="95"/>
      <c r="B70" s="88"/>
      <c r="C70" s="100"/>
      <c r="D70" s="92"/>
      <c r="G70" s="48" t="s">
        <v>281</v>
      </c>
      <c r="H70" s="283"/>
      <c r="I70" s="284">
        <f>I69/C75</f>
        <v>336.49225000000001</v>
      </c>
      <c r="J70" s="269">
        <f>J69/C75</f>
        <v>246.36</v>
      </c>
      <c r="K70" s="251">
        <f>K69/C77</f>
        <v>204.79633333333334</v>
      </c>
      <c r="T70" s="28" t="s">
        <v>278</v>
      </c>
      <c r="U70">
        <v>3</v>
      </c>
      <c r="V70" t="s">
        <v>3</v>
      </c>
      <c r="AD70" s="40"/>
      <c r="AE70" s="298"/>
      <c r="AF70" s="298"/>
      <c r="AG70" s="298"/>
    </row>
    <row r="71" spans="1:33" ht="16.5" x14ac:dyDescent="0.45">
      <c r="A71" s="95"/>
      <c r="B71" s="88" t="str">
        <f t="shared" si="4"/>
        <v>Nutzung</v>
      </c>
      <c r="C71" s="101" t="str">
        <f t="shared" si="4"/>
        <v>Schule</v>
      </c>
      <c r="D71" s="93" t="s">
        <v>3</v>
      </c>
      <c r="I71" s="11"/>
      <c r="T71" t="s">
        <v>91</v>
      </c>
      <c r="U71">
        <v>55</v>
      </c>
      <c r="V71" t="s">
        <v>286</v>
      </c>
      <c r="AD71" s="40"/>
      <c r="AE71" s="298"/>
      <c r="AF71" s="299"/>
      <c r="AG71" s="300"/>
    </row>
    <row r="72" spans="1:33" x14ac:dyDescent="0.35">
      <c r="A72" s="95"/>
      <c r="B72" s="88" t="str">
        <f t="shared" si="4"/>
        <v>Anteil BGF</v>
      </c>
      <c r="C72" s="102">
        <f t="shared" si="4"/>
        <v>0.74780146369673162</v>
      </c>
      <c r="D72" s="91" t="s">
        <v>45</v>
      </c>
      <c r="AD72" s="40"/>
      <c r="AE72" s="298"/>
      <c r="AF72" s="299"/>
      <c r="AG72" s="298"/>
    </row>
    <row r="73" spans="1:33" x14ac:dyDescent="0.35">
      <c r="A73" s="95"/>
      <c r="B73" s="88"/>
      <c r="C73" s="103">
        <f>C72+C69+C66+C63</f>
        <v>100</v>
      </c>
      <c r="D73" s="94" t="str">
        <f>IF(C73&gt;100,"Summe muss 100 sein",IF(C73&lt;100,"Summe muss 100 sein"," "))</f>
        <v xml:space="preserve"> </v>
      </c>
      <c r="T73" s="233" t="s">
        <v>323</v>
      </c>
      <c r="U73" s="213"/>
      <c r="V73" s="214"/>
      <c r="X73" s="235" t="s">
        <v>324</v>
      </c>
      <c r="Y73" s="235"/>
      <c r="Z73" s="235"/>
      <c r="AD73" s="40"/>
      <c r="AE73" s="298"/>
      <c r="AF73" s="301"/>
      <c r="AG73" s="298"/>
    </row>
    <row r="74" spans="1:33" ht="16.5" x14ac:dyDescent="0.45">
      <c r="A74" s="95"/>
      <c r="B74" s="123"/>
      <c r="C74" s="108"/>
      <c r="D74" s="109"/>
      <c r="H74" s="26" t="s">
        <v>147</v>
      </c>
      <c r="I74" s="26"/>
      <c r="J74" s="26"/>
      <c r="T74" s="14" t="s">
        <v>280</v>
      </c>
      <c r="U74" s="294">
        <f>I76*(-1)</f>
        <v>-1748.5567500000002</v>
      </c>
      <c r="V74" s="14" t="s">
        <v>309</v>
      </c>
      <c r="X74" s="14" t="s">
        <v>122</v>
      </c>
      <c r="Y74" s="294">
        <f>J69</f>
        <v>985.44</v>
      </c>
      <c r="Z74" s="14" t="s">
        <v>309</v>
      </c>
      <c r="AD74" s="40"/>
      <c r="AE74" s="298"/>
      <c r="AF74" s="299"/>
      <c r="AG74" s="300"/>
    </row>
    <row r="75" spans="1:33" ht="16.5" x14ac:dyDescent="0.45">
      <c r="A75" s="95"/>
      <c r="B75" s="88" t="s">
        <v>276</v>
      </c>
      <c r="C75" s="278">
        <f>IF(C76&gt;0,C76,U69)</f>
        <v>4</v>
      </c>
      <c r="D75" s="93" t="s">
        <v>3</v>
      </c>
      <c r="H75" t="s">
        <v>281</v>
      </c>
      <c r="I75" s="291">
        <f>I70+J70</f>
        <v>582.85225000000003</v>
      </c>
      <c r="J75" s="19" t="s">
        <v>308</v>
      </c>
      <c r="T75" s="14" t="s">
        <v>285</v>
      </c>
      <c r="U75" s="294">
        <f>I79</f>
        <v>819.18533333333335</v>
      </c>
      <c r="V75" s="14" t="s">
        <v>309</v>
      </c>
      <c r="X75" s="14" t="s">
        <v>326</v>
      </c>
      <c r="Y75" s="294">
        <f>I69</f>
        <v>1345.9690000000001</v>
      </c>
      <c r="Z75" s="14" t="s">
        <v>309</v>
      </c>
      <c r="AD75" s="40"/>
      <c r="AE75" s="298"/>
      <c r="AF75" s="301"/>
      <c r="AG75" s="300"/>
    </row>
    <row r="76" spans="1:33" ht="16.5" x14ac:dyDescent="0.45">
      <c r="A76" s="95"/>
      <c r="B76" s="88" t="s">
        <v>277</v>
      </c>
      <c r="C76" s="286"/>
      <c r="D76" s="93" t="s">
        <v>3</v>
      </c>
      <c r="H76" t="s">
        <v>280</v>
      </c>
      <c r="I76" s="262">
        <f>(SUM(I69:J69)-I75)</f>
        <v>1748.5567500000002</v>
      </c>
      <c r="J76" t="s">
        <v>309</v>
      </c>
      <c r="T76" s="14" t="s">
        <v>321</v>
      </c>
      <c r="U76" s="294">
        <f>U74+U75</f>
        <v>-929.37141666666685</v>
      </c>
      <c r="V76" s="14" t="s">
        <v>309</v>
      </c>
      <c r="X76" s="14" t="s">
        <v>327</v>
      </c>
      <c r="Y76" s="294">
        <f>K69</f>
        <v>614.38900000000001</v>
      </c>
      <c r="Z76" s="14" t="s">
        <v>309</v>
      </c>
      <c r="AD76" s="40"/>
      <c r="AE76" s="298"/>
      <c r="AF76" s="299"/>
      <c r="AG76" s="300"/>
    </row>
    <row r="77" spans="1:33" ht="16.5" x14ac:dyDescent="0.45">
      <c r="A77" s="95"/>
      <c r="B77" s="129" t="s">
        <v>350</v>
      </c>
      <c r="C77" s="280">
        <f>IF(C78&gt;0,C78,IF(C42="Ja",C75-1,IF(C42="Nein",6)))</f>
        <v>3</v>
      </c>
      <c r="D77" s="93" t="s">
        <v>3</v>
      </c>
      <c r="F77" s="8"/>
      <c r="H77" s="26" t="s">
        <v>148</v>
      </c>
      <c r="I77" s="26"/>
      <c r="J77" s="26"/>
      <c r="X77" s="203" t="s">
        <v>328</v>
      </c>
      <c r="Y77" s="294">
        <f>SUM(I70:K70)</f>
        <v>787.64858333333336</v>
      </c>
      <c r="Z77" s="203" t="s">
        <v>325</v>
      </c>
      <c r="AD77" s="40"/>
      <c r="AE77" s="40"/>
      <c r="AF77" s="40"/>
      <c r="AG77" s="40"/>
    </row>
    <row r="78" spans="1:33" ht="16.5" x14ac:dyDescent="0.45">
      <c r="A78" s="95"/>
      <c r="B78" s="88" t="s">
        <v>279</v>
      </c>
      <c r="C78" s="286"/>
      <c r="D78" s="93" t="s">
        <v>3</v>
      </c>
      <c r="H78" t="s">
        <v>281</v>
      </c>
      <c r="I78" s="262">
        <f>K70</f>
        <v>204.79633333333334</v>
      </c>
      <c r="J78" s="19" t="s">
        <v>308</v>
      </c>
      <c r="AD78" s="40"/>
      <c r="AE78" s="40"/>
      <c r="AF78" s="40"/>
      <c r="AG78" s="40"/>
    </row>
    <row r="79" spans="1:33" ht="16.5" x14ac:dyDescent="0.45">
      <c r="B79" s="88"/>
      <c r="C79" s="100"/>
      <c r="D79" s="92"/>
      <c r="H79" t="s">
        <v>285</v>
      </c>
      <c r="I79" s="262">
        <f>(I78+K69)</f>
        <v>819.18533333333335</v>
      </c>
      <c r="J79" t="s">
        <v>309</v>
      </c>
      <c r="AD79" s="40"/>
      <c r="AE79" s="40"/>
      <c r="AF79" s="40"/>
      <c r="AG79" s="40"/>
    </row>
    <row r="80" spans="1:33" x14ac:dyDescent="0.35">
      <c r="A80" s="95"/>
      <c r="B80" s="95"/>
      <c r="C80" s="95"/>
      <c r="D80" s="92"/>
    </row>
    <row r="81" spans="3:11" ht="16.5" x14ac:dyDescent="0.45">
      <c r="H81" s="175" t="s">
        <v>282</v>
      </c>
      <c r="I81" s="289">
        <f>-I76+I79</f>
        <v>-929.37141666666685</v>
      </c>
      <c r="J81" t="s">
        <v>309</v>
      </c>
    </row>
    <row r="82" spans="3:11" x14ac:dyDescent="0.35">
      <c r="C82" t="str">
        <f>IF(C76=1,"darf nicht 1 sein"," ")</f>
        <v xml:space="preserve"> </v>
      </c>
      <c r="H82" t="s">
        <v>283</v>
      </c>
      <c r="I82" s="292">
        <f>(I76-I79)/I76*100</f>
        <v>53.150772296447727</v>
      </c>
      <c r="J82" t="str">
        <f>IF(I82&gt;0,"[%-]",IF(I82&lt;0,"[%+]","[%]"))</f>
        <v>[%-]</v>
      </c>
    </row>
    <row r="83" spans="3:11" ht="43.5" customHeight="1" x14ac:dyDescent="0.35">
      <c r="H83" s="234" t="str">
        <f>IF(I82&gt;20,"Es wird innerhalb eines Jahres mehr entzogen, als regeneriert wird. EIne zusätzliche Regeneration wird empfohlen.",IF(I82&lt;-20,"Es wird innerhalb eines Jahres weniger entzogen, als regeneriert wird.",IF(-20&lt;=I82&lt;=20,"Es wird innerhalb eines Jahres ca. gleich viel entzogen, wie regeneriert wird."," ")))</f>
        <v>Es wird innerhalb eines Jahres mehr entzogen, als regeneriert wird. EIne zusätzliche Regeneration wird empfohlen.</v>
      </c>
      <c r="I83" s="234"/>
      <c r="J83" s="8"/>
    </row>
    <row r="84" spans="3:11" x14ac:dyDescent="0.35">
      <c r="H84" s="8"/>
    </row>
    <row r="85" spans="3:11" x14ac:dyDescent="0.35">
      <c r="G85" s="8"/>
      <c r="H85" t="s">
        <v>284</v>
      </c>
      <c r="I85" s="260">
        <f>IF(I82&lt;40,7,15)</f>
        <v>15</v>
      </c>
      <c r="J85" t="s">
        <v>5</v>
      </c>
    </row>
    <row r="86" spans="3:11" ht="16.5" x14ac:dyDescent="0.35">
      <c r="H86" s="175" t="s">
        <v>287</v>
      </c>
      <c r="I86" s="289">
        <f>ROUNDUP((I85/2)^2*PI()*I43,0)</f>
        <v>26331</v>
      </c>
      <c r="J86" t="s">
        <v>4</v>
      </c>
    </row>
    <row r="94" spans="3:11" x14ac:dyDescent="0.35">
      <c r="I94" s="8"/>
      <c r="J94" s="8"/>
      <c r="K94" s="8"/>
    </row>
    <row r="95" spans="3:11" x14ac:dyDescent="0.35">
      <c r="H95" s="40"/>
      <c r="I95" s="8"/>
      <c r="J95" s="8"/>
      <c r="K95" s="8"/>
    </row>
    <row r="115" spans="7:7" x14ac:dyDescent="0.35">
      <c r="G115" s="8"/>
    </row>
    <row r="116" spans="7:7" x14ac:dyDescent="0.35">
      <c r="G116" s="8"/>
    </row>
    <row r="117" spans="7:7" x14ac:dyDescent="0.35">
      <c r="G117" s="8"/>
    </row>
    <row r="118" spans="7:7" x14ac:dyDescent="0.35">
      <c r="G118" s="210"/>
    </row>
  </sheetData>
  <mergeCells count="8">
    <mergeCell ref="A15:D15"/>
    <mergeCell ref="S15:AD15"/>
    <mergeCell ref="T34:U34"/>
    <mergeCell ref="H83:I83"/>
    <mergeCell ref="T73:V73"/>
    <mergeCell ref="W27:X27"/>
    <mergeCell ref="X73:Z73"/>
    <mergeCell ref="F15:Q15"/>
  </mergeCells>
  <conditionalFormatting sqref="C30">
    <cfRule type="cellIs" dxfId="25" priority="11" operator="notEqual">
      <formula>100</formula>
    </cfRule>
  </conditionalFormatting>
  <conditionalFormatting sqref="C19 C22 C25 C28">
    <cfRule type="duplicateValues" dxfId="24" priority="10"/>
  </conditionalFormatting>
  <conditionalFormatting sqref="L36">
    <cfRule type="containsText" dxfId="23" priority="9" operator="containsText" text="Achtung! Auslegung erfolgt für den Fall, dass der Wohnanteil und damit die Heizlast überwiegt">
      <formula>NOT(ISERROR(SEARCH("Achtung! Auslegung erfolgt für den Fall, dass der Wohnanteil und damit die Heizlast überwiegt",L36)))</formula>
    </cfRule>
  </conditionalFormatting>
  <conditionalFormatting sqref="C62 C65 C68 C71">
    <cfRule type="duplicateValues" dxfId="22" priority="7"/>
  </conditionalFormatting>
  <conditionalFormatting sqref="C73">
    <cfRule type="cellIs" dxfId="21" priority="6" operator="notEqual">
      <formula>100</formula>
    </cfRule>
  </conditionalFormatting>
  <conditionalFormatting sqref="C82">
    <cfRule type="containsText" dxfId="20" priority="5" operator="containsText" text="darf nicht 1 sein">
      <formula>NOT(ISERROR(SEARCH("darf nicht 1 sein",C82)))</formula>
    </cfRule>
  </conditionalFormatting>
  <dataValidations count="3">
    <dataValidation type="list" allowBlank="1" showInputMessage="1" showErrorMessage="1" sqref="C19 C22 C25 C28" xr:uid="{7808E8AD-E380-4929-BC84-299F6CCD08E0}">
      <formula1>$T$20:$T$25</formula1>
    </dataValidation>
    <dataValidation type="list" allowBlank="1" showInputMessage="1" showErrorMessage="1" sqref="C51" xr:uid="{67529B9E-3E99-4F3E-951B-32295291026D}">
      <formula1>$T$36:$T$47</formula1>
    </dataValidation>
    <dataValidation type="list" allowBlank="1" showInputMessage="1" showErrorMessage="1" sqref="C42" xr:uid="{9C5C7B33-79FC-47CA-8DEE-4C05C83A6EE8}">
      <formula1>$T$52:$T$53</formula1>
    </dataValidation>
  </dataValidations>
  <pageMargins left="0.7" right="0.7" top="0.78740157499999996" bottom="0.78740157499999996"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02BCA-D0E5-4C17-B1BB-58B6755B4439}">
  <sheetPr codeName="Tabelle3"/>
  <dimension ref="A1:J118"/>
  <sheetViews>
    <sheetView tabSelected="1" topLeftCell="A52" zoomScale="115" zoomScaleNormal="115" workbookViewId="0">
      <selection activeCell="M67" sqref="M67"/>
    </sheetView>
  </sheetViews>
  <sheetFormatPr baseColWidth="10" defaultRowHeight="14.5" x14ac:dyDescent="0.35"/>
  <cols>
    <col min="1" max="1" width="5.26953125" style="95" customWidth="1"/>
    <col min="2" max="2" width="32.1796875" style="95" customWidth="1"/>
    <col min="3" max="9" width="10.90625" style="95"/>
    <col min="10" max="10" width="27.7265625" style="88" customWidth="1"/>
    <col min="11" max="16384" width="10.90625" style="95"/>
  </cols>
  <sheetData>
    <row r="1" spans="1:10" ht="15" thickBot="1" x14ac:dyDescent="0.4"/>
    <row r="2" spans="1:10" x14ac:dyDescent="0.35">
      <c r="B2" s="117" t="s">
        <v>19</v>
      </c>
      <c r="C2" s="95" t="s">
        <v>267</v>
      </c>
    </row>
    <row r="3" spans="1:10" x14ac:dyDescent="0.35">
      <c r="B3" s="118" t="s">
        <v>20</v>
      </c>
      <c r="C3" s="95" t="s">
        <v>268</v>
      </c>
    </row>
    <row r="4" spans="1:10" x14ac:dyDescent="0.35">
      <c r="B4" s="162" t="s">
        <v>6</v>
      </c>
    </row>
    <row r="5" spans="1:10" x14ac:dyDescent="0.35">
      <c r="B5" s="204" t="s">
        <v>329</v>
      </c>
      <c r="C5" s="95" t="s">
        <v>330</v>
      </c>
    </row>
    <row r="6" spans="1:10" ht="15" thickBot="1" x14ac:dyDescent="0.4">
      <c r="B6" s="119" t="s">
        <v>21</v>
      </c>
    </row>
    <row r="10" spans="1:10" ht="15" thickBot="1" x14ac:dyDescent="0.4"/>
    <row r="11" spans="1:10" ht="15" thickBot="1" x14ac:dyDescent="0.4">
      <c r="A11" s="236" t="s">
        <v>265</v>
      </c>
      <c r="B11" s="237"/>
      <c r="C11" s="237"/>
      <c r="D11" s="237"/>
      <c r="E11" s="237"/>
      <c r="F11" s="237"/>
      <c r="G11" s="237"/>
      <c r="H11" s="237"/>
      <c r="I11" s="237"/>
      <c r="J11" s="238"/>
    </row>
    <row r="12" spans="1:10" x14ac:dyDescent="0.35">
      <c r="A12" s="1" t="s">
        <v>266</v>
      </c>
      <c r="B12" s="1"/>
      <c r="C12" s="1"/>
      <c r="D12" s="1"/>
      <c r="E12" s="1"/>
      <c r="F12" s="1"/>
      <c r="G12" s="1"/>
      <c r="H12" s="1"/>
      <c r="I12" s="1"/>
      <c r="J12" s="13"/>
    </row>
    <row r="21" spans="1:10" x14ac:dyDescent="0.35">
      <c r="A21" s="1" t="s">
        <v>299</v>
      </c>
      <c r="B21" s="1"/>
      <c r="C21" s="1"/>
      <c r="D21" s="1"/>
      <c r="E21" s="1"/>
      <c r="F21" s="1"/>
      <c r="G21" s="1"/>
      <c r="H21" s="1"/>
      <c r="I21" s="1"/>
      <c r="J21" s="13"/>
    </row>
    <row r="30" spans="1:10" x14ac:dyDescent="0.35">
      <c r="A30" s="1" t="s">
        <v>17</v>
      </c>
      <c r="B30" s="1"/>
      <c r="C30" s="1"/>
      <c r="D30" s="1"/>
      <c r="E30" s="1"/>
      <c r="F30" s="1"/>
      <c r="G30" s="1"/>
      <c r="H30" s="1"/>
      <c r="I30" s="1"/>
      <c r="J30" s="13"/>
    </row>
    <row r="37" spans="1:10" x14ac:dyDescent="0.35">
      <c r="A37" s="1" t="s">
        <v>44</v>
      </c>
      <c r="B37" s="1"/>
      <c r="C37" s="1"/>
      <c r="D37" s="1"/>
      <c r="E37" s="1"/>
      <c r="F37" s="1"/>
      <c r="G37" s="1"/>
      <c r="H37" s="1"/>
      <c r="I37" s="1"/>
      <c r="J37" s="13"/>
    </row>
    <row r="47" spans="1:10" x14ac:dyDescent="0.35">
      <c r="A47" s="1" t="s">
        <v>197</v>
      </c>
      <c r="B47" s="1"/>
      <c r="C47" s="1"/>
      <c r="D47" s="1"/>
      <c r="E47" s="1"/>
      <c r="F47" s="1"/>
      <c r="G47" s="1"/>
      <c r="H47" s="1"/>
      <c r="I47" s="1"/>
      <c r="J47" s="13"/>
    </row>
    <row r="53" spans="1:10" x14ac:dyDescent="0.35">
      <c r="A53" s="1" t="s">
        <v>256</v>
      </c>
      <c r="B53" s="1"/>
      <c r="C53" s="1"/>
      <c r="D53" s="1"/>
      <c r="E53" s="1"/>
      <c r="F53" s="1"/>
      <c r="G53" s="1"/>
      <c r="H53" s="1"/>
      <c r="I53" s="1"/>
      <c r="J53" s="13"/>
    </row>
    <row r="64" spans="1:10" ht="15" thickBot="1" x14ac:dyDescent="0.4"/>
    <row r="65" spans="1:10" ht="15" thickBot="1" x14ac:dyDescent="0.4">
      <c r="A65" s="236" t="s">
        <v>336</v>
      </c>
      <c r="B65" s="237"/>
      <c r="C65" s="237"/>
      <c r="D65" s="237"/>
      <c r="E65" s="237"/>
      <c r="F65" s="237"/>
      <c r="G65" s="237"/>
      <c r="H65" s="237"/>
      <c r="I65" s="237"/>
      <c r="J65" s="238"/>
    </row>
    <row r="66" spans="1:10" x14ac:dyDescent="0.35">
      <c r="A66" s="1" t="s">
        <v>262</v>
      </c>
      <c r="B66" s="1"/>
      <c r="C66" s="1"/>
      <c r="D66" s="1"/>
      <c r="E66" s="1"/>
      <c r="F66" s="1"/>
      <c r="G66" s="1"/>
      <c r="H66" s="1"/>
      <c r="I66" s="1"/>
      <c r="J66" s="13"/>
    </row>
    <row r="73" spans="1:10" x14ac:dyDescent="0.35">
      <c r="A73" s="1" t="s">
        <v>137</v>
      </c>
      <c r="B73" s="1"/>
      <c r="C73" s="1"/>
      <c r="D73" s="1"/>
      <c r="E73" s="1"/>
      <c r="F73" s="1"/>
      <c r="G73" s="1"/>
      <c r="H73" s="1"/>
      <c r="I73" s="1"/>
      <c r="J73" s="13"/>
    </row>
    <row r="81" spans="1:10" x14ac:dyDescent="0.35">
      <c r="A81" s="1" t="s">
        <v>271</v>
      </c>
      <c r="B81" s="1"/>
      <c r="C81" s="1"/>
      <c r="D81" s="1"/>
      <c r="E81" s="1"/>
      <c r="F81" s="1"/>
      <c r="G81" s="1"/>
      <c r="H81" s="1"/>
      <c r="I81" s="1"/>
      <c r="J81" s="13"/>
    </row>
    <row r="100" spans="1:10" ht="15" thickBot="1" x14ac:dyDescent="0.4"/>
    <row r="101" spans="1:10" ht="15" thickBot="1" x14ac:dyDescent="0.4">
      <c r="A101" s="236" t="s">
        <v>264</v>
      </c>
      <c r="B101" s="237"/>
      <c r="C101" s="237"/>
      <c r="D101" s="237"/>
      <c r="E101" s="237"/>
      <c r="F101" s="237"/>
      <c r="G101" s="237"/>
      <c r="H101" s="237"/>
      <c r="I101" s="237"/>
      <c r="J101" s="238"/>
    </row>
    <row r="102" spans="1:10" x14ac:dyDescent="0.35">
      <c r="A102" s="206" t="s">
        <v>13</v>
      </c>
      <c r="B102" s="95" t="s">
        <v>290</v>
      </c>
    </row>
    <row r="103" spans="1:10" x14ac:dyDescent="0.35">
      <c r="A103" s="206" t="s">
        <v>16</v>
      </c>
      <c r="B103" s="95" t="s">
        <v>334</v>
      </c>
    </row>
    <row r="104" spans="1:10" x14ac:dyDescent="0.35">
      <c r="A104" s="206" t="s">
        <v>23</v>
      </c>
      <c r="B104" s="95" t="s">
        <v>263</v>
      </c>
    </row>
    <row r="105" spans="1:10" x14ac:dyDescent="0.35">
      <c r="A105" s="206" t="s">
        <v>24</v>
      </c>
      <c r="B105" s="95" t="s">
        <v>230</v>
      </c>
    </row>
    <row r="106" spans="1:10" x14ac:dyDescent="0.35">
      <c r="A106" s="206" t="s">
        <v>29</v>
      </c>
      <c r="B106" s="95" t="s">
        <v>30</v>
      </c>
    </row>
    <row r="107" spans="1:10" x14ac:dyDescent="0.35">
      <c r="A107" s="206" t="s">
        <v>35</v>
      </c>
      <c r="B107" s="95" t="s">
        <v>36</v>
      </c>
    </row>
    <row r="108" spans="1:10" x14ac:dyDescent="0.35">
      <c r="A108" s="206" t="s">
        <v>42</v>
      </c>
      <c r="B108" s="95" t="s">
        <v>43</v>
      </c>
    </row>
    <row r="109" spans="1:10" x14ac:dyDescent="0.35">
      <c r="A109" s="206" t="s">
        <v>85</v>
      </c>
      <c r="B109" s="95" t="s">
        <v>86</v>
      </c>
    </row>
    <row r="110" spans="1:10" x14ac:dyDescent="0.35">
      <c r="A110" s="206" t="s">
        <v>108</v>
      </c>
      <c r="B110" s="95" t="s">
        <v>109</v>
      </c>
    </row>
    <row r="111" spans="1:10" x14ac:dyDescent="0.35">
      <c r="A111" s="206" t="s">
        <v>150</v>
      </c>
      <c r="B111" s="95" t="s">
        <v>184</v>
      </c>
    </row>
    <row r="112" spans="1:10" x14ac:dyDescent="0.35">
      <c r="A112" s="98"/>
      <c r="B112" s="95" t="s">
        <v>185</v>
      </c>
    </row>
    <row r="113" spans="1:2" x14ac:dyDescent="0.35">
      <c r="A113" s="98"/>
      <c r="B113" s="95" t="s">
        <v>186</v>
      </c>
    </row>
    <row r="114" spans="1:2" x14ac:dyDescent="0.35">
      <c r="A114" s="98"/>
      <c r="B114" s="95" t="s">
        <v>187</v>
      </c>
    </row>
    <row r="115" spans="1:2" x14ac:dyDescent="0.35">
      <c r="A115" s="206" t="s">
        <v>181</v>
      </c>
      <c r="B115" s="95" t="s">
        <v>200</v>
      </c>
    </row>
    <row r="116" spans="1:2" x14ac:dyDescent="0.35">
      <c r="A116" s="206" t="s">
        <v>199</v>
      </c>
      <c r="B116" s="95" t="s">
        <v>312</v>
      </c>
    </row>
    <row r="117" spans="1:2" x14ac:dyDescent="0.35">
      <c r="A117" s="206" t="s">
        <v>311</v>
      </c>
      <c r="B117" s="95" t="s">
        <v>151</v>
      </c>
    </row>
    <row r="118" spans="1:2" x14ac:dyDescent="0.35">
      <c r="A118" s="206" t="s">
        <v>331</v>
      </c>
      <c r="B118" s="95" t="s">
        <v>332</v>
      </c>
    </row>
  </sheetData>
  <mergeCells count="3">
    <mergeCell ref="A11:J11"/>
    <mergeCell ref="A65:J65"/>
    <mergeCell ref="A101:J101"/>
  </mergeCells>
  <pageMargins left="0.7" right="0.7" top="0.78740157499999996" bottom="0.78740157499999996"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08C9-FA3E-4E21-9062-ED65BF97AC9D}">
  <sheetPr codeName="Tabelle4"/>
  <dimension ref="A1:O37"/>
  <sheetViews>
    <sheetView zoomScale="130" zoomScaleNormal="130" workbookViewId="0">
      <selection activeCell="A36" sqref="A36"/>
    </sheetView>
  </sheetViews>
  <sheetFormatPr baseColWidth="10" defaultRowHeight="14.5" x14ac:dyDescent="0.35"/>
  <cols>
    <col min="1" max="1" width="50.90625" customWidth="1"/>
    <col min="2" max="2" width="11.1796875" bestFit="1" customWidth="1"/>
    <col min="3" max="3" width="12.26953125" bestFit="1" customWidth="1"/>
    <col min="4" max="4" width="11.1796875" bestFit="1" customWidth="1"/>
    <col min="5" max="5" width="50.36328125" bestFit="1" customWidth="1"/>
    <col min="7" max="7" width="13.1796875" customWidth="1"/>
    <col min="9" max="9" width="50.36328125" bestFit="1" customWidth="1"/>
  </cols>
  <sheetData>
    <row r="1" spans="1:15" s="1" customFormat="1" x14ac:dyDescent="0.35">
      <c r="A1" s="1" t="s">
        <v>257</v>
      </c>
    </row>
    <row r="2" spans="1:15" x14ac:dyDescent="0.35">
      <c r="B2" s="65"/>
      <c r="C2" s="65"/>
      <c r="D2" s="65"/>
    </row>
    <row r="3" spans="1:15" x14ac:dyDescent="0.35">
      <c r="A3" s="160" t="s">
        <v>259</v>
      </c>
      <c r="B3" s="57"/>
      <c r="C3" s="28"/>
      <c r="D3" s="28"/>
    </row>
    <row r="4" spans="1:15" ht="16.5" x14ac:dyDescent="0.35">
      <c r="D4" s="57"/>
      <c r="E4" s="41"/>
      <c r="I4" s="8"/>
      <c r="J4" s="62" t="s">
        <v>260</v>
      </c>
      <c r="K4" s="62" t="s">
        <v>261</v>
      </c>
    </row>
    <row r="5" spans="1:15" x14ac:dyDescent="0.35">
      <c r="A5" s="239" t="s">
        <v>206</v>
      </c>
      <c r="B5" s="239"/>
      <c r="C5" s="239"/>
      <c r="D5" s="28"/>
      <c r="N5" s="62" t="s">
        <v>116</v>
      </c>
      <c r="O5" s="62" t="s">
        <v>26</v>
      </c>
    </row>
    <row r="6" spans="1:15" ht="17.5" x14ac:dyDescent="0.45">
      <c r="A6" s="123"/>
      <c r="B6" s="139" t="s">
        <v>7</v>
      </c>
      <c r="C6" s="139" t="s">
        <v>255</v>
      </c>
      <c r="D6" s="28"/>
    </row>
    <row r="7" spans="1:15" x14ac:dyDescent="0.35">
      <c r="A7" s="123" t="s">
        <v>224</v>
      </c>
      <c r="B7" s="155">
        <v>65.384482758620692</v>
      </c>
      <c r="C7" s="155">
        <v>336.82915360501568</v>
      </c>
      <c r="D7" s="28"/>
    </row>
    <row r="8" spans="1:15" x14ac:dyDescent="0.35">
      <c r="A8" s="170" t="s">
        <v>17</v>
      </c>
      <c r="B8" s="157">
        <v>1394.91</v>
      </c>
      <c r="C8" s="157">
        <v>7185.9</v>
      </c>
      <c r="D8" s="28"/>
    </row>
    <row r="9" spans="1:15" x14ac:dyDescent="0.35">
      <c r="A9" s="123"/>
      <c r="B9" s="139" t="s">
        <v>45</v>
      </c>
      <c r="C9" s="139"/>
    </row>
    <row r="10" spans="1:15" x14ac:dyDescent="0.35">
      <c r="A10" s="123" t="s">
        <v>44</v>
      </c>
      <c r="B10" s="155">
        <v>51.743075417030731</v>
      </c>
      <c r="C10" s="155"/>
    </row>
    <row r="11" spans="1:15" x14ac:dyDescent="0.35">
      <c r="A11" s="170" t="s">
        <v>197</v>
      </c>
      <c r="B11" s="157">
        <v>41.614642732101601</v>
      </c>
      <c r="C11" s="157"/>
    </row>
    <row r="12" spans="1:15" x14ac:dyDescent="0.35">
      <c r="A12" s="123"/>
      <c r="B12" s="139" t="s">
        <v>88</v>
      </c>
      <c r="C12" s="139"/>
    </row>
    <row r="13" spans="1:15" x14ac:dyDescent="0.35">
      <c r="A13" s="123" t="s">
        <v>104</v>
      </c>
      <c r="B13" s="155">
        <v>14</v>
      </c>
      <c r="C13" s="155"/>
    </row>
    <row r="15" spans="1:15" x14ac:dyDescent="0.35">
      <c r="A15" s="240" t="s">
        <v>207</v>
      </c>
      <c r="B15" s="240"/>
      <c r="C15" s="240"/>
    </row>
    <row r="16" spans="1:15" ht="17.5" x14ac:dyDescent="0.45">
      <c r="A16" s="123"/>
      <c r="B16" s="139" t="s">
        <v>7</v>
      </c>
      <c r="C16" s="139" t="s">
        <v>255</v>
      </c>
    </row>
    <row r="17" spans="1:10" x14ac:dyDescent="0.35">
      <c r="A17" s="123" t="s">
        <v>224</v>
      </c>
      <c r="B17" s="155">
        <v>139.58904761904762</v>
      </c>
      <c r="C17" s="155">
        <v>719.09509379509382</v>
      </c>
    </row>
    <row r="18" spans="1:10" x14ac:dyDescent="0.35">
      <c r="A18" s="170" t="s">
        <v>17</v>
      </c>
      <c r="B18" s="157">
        <v>944.13</v>
      </c>
      <c r="C18" s="157">
        <v>4863.7</v>
      </c>
    </row>
    <row r="19" spans="1:10" x14ac:dyDescent="0.35">
      <c r="A19" s="123"/>
      <c r="B19" s="139" t="s">
        <v>45</v>
      </c>
      <c r="C19" s="139"/>
    </row>
    <row r="20" spans="1:10" x14ac:dyDescent="0.35">
      <c r="A20" s="123" t="s">
        <v>44</v>
      </c>
      <c r="B20" s="155">
        <v>36.818648027184018</v>
      </c>
      <c r="C20" s="155"/>
    </row>
    <row r="21" spans="1:10" x14ac:dyDescent="0.35">
      <c r="A21" s="170" t="s">
        <v>197</v>
      </c>
      <c r="B21" s="157">
        <v>45.239296251694427</v>
      </c>
      <c r="C21" s="157"/>
    </row>
    <row r="22" spans="1:10" x14ac:dyDescent="0.35">
      <c r="A22" s="123"/>
      <c r="B22" s="139" t="s">
        <v>88</v>
      </c>
      <c r="C22" s="139"/>
    </row>
    <row r="23" spans="1:10" x14ac:dyDescent="0.35">
      <c r="A23" s="123" t="s">
        <v>104</v>
      </c>
      <c r="B23" s="155">
        <v>18</v>
      </c>
      <c r="C23" s="155"/>
    </row>
    <row r="25" spans="1:10" s="10" customFormat="1" x14ac:dyDescent="0.35">
      <c r="A25" s="241" t="s">
        <v>208</v>
      </c>
      <c r="B25" s="241"/>
      <c r="C25" s="241"/>
    </row>
    <row r="26" spans="1:10" s="10" customFormat="1" ht="17.5" x14ac:dyDescent="0.45">
      <c r="A26" s="123"/>
      <c r="B26" s="139" t="s">
        <v>7</v>
      </c>
      <c r="C26" s="139" t="s">
        <v>255</v>
      </c>
    </row>
    <row r="27" spans="1:10" s="40" customFormat="1" x14ac:dyDescent="0.35">
      <c r="A27" s="123" t="s">
        <v>224</v>
      </c>
      <c r="B27" s="155">
        <v>139.58904761904762</v>
      </c>
      <c r="C27" s="155">
        <v>719.09509379509382</v>
      </c>
      <c r="D27" s="71"/>
    </row>
    <row r="28" spans="1:10" x14ac:dyDescent="0.35">
      <c r="A28" s="170" t="s">
        <v>17</v>
      </c>
      <c r="B28" s="157">
        <v>944.13</v>
      </c>
      <c r="C28" s="157">
        <v>4863.7</v>
      </c>
      <c r="D28" s="28"/>
      <c r="E28" s="28"/>
      <c r="F28" s="28"/>
      <c r="G28" s="28"/>
      <c r="H28" s="28"/>
      <c r="I28" s="28"/>
      <c r="J28" s="28"/>
    </row>
    <row r="29" spans="1:10" x14ac:dyDescent="0.35">
      <c r="A29" s="123"/>
      <c r="B29" s="139" t="s">
        <v>45</v>
      </c>
      <c r="C29" s="139"/>
      <c r="D29" s="159"/>
      <c r="E29" s="159"/>
      <c r="F29" s="159"/>
      <c r="G29" s="159"/>
      <c r="H29" s="159"/>
      <c r="I29" s="159"/>
      <c r="J29" s="159"/>
    </row>
    <row r="30" spans="1:10" x14ac:dyDescent="0.35">
      <c r="A30" s="123" t="s">
        <v>44</v>
      </c>
      <c r="B30" s="155">
        <v>36.818648027184018</v>
      </c>
      <c r="C30" s="155"/>
      <c r="D30" s="158"/>
      <c r="E30" s="158"/>
      <c r="F30" s="158"/>
      <c r="G30" s="158"/>
      <c r="H30" s="158"/>
      <c r="I30" s="158"/>
      <c r="J30" s="158"/>
    </row>
    <row r="31" spans="1:10" x14ac:dyDescent="0.35">
      <c r="A31" s="170" t="s">
        <v>197</v>
      </c>
      <c r="B31" s="157">
        <v>45.239296251694427</v>
      </c>
      <c r="C31" s="157"/>
      <c r="D31" s="28"/>
      <c r="E31" s="28"/>
      <c r="F31" s="28"/>
      <c r="G31" s="28"/>
      <c r="H31" s="28"/>
      <c r="I31" s="28"/>
      <c r="J31" s="28"/>
    </row>
    <row r="32" spans="1:10" x14ac:dyDescent="0.35">
      <c r="A32" s="123"/>
      <c r="B32" s="139" t="s">
        <v>88</v>
      </c>
      <c r="C32" s="139"/>
      <c r="D32" s="28"/>
      <c r="E32" s="28"/>
      <c r="F32" s="28"/>
      <c r="G32" s="28"/>
      <c r="H32" s="28"/>
      <c r="I32" s="28"/>
      <c r="J32" s="28"/>
    </row>
    <row r="33" spans="1:10" x14ac:dyDescent="0.35">
      <c r="A33" s="123" t="s">
        <v>104</v>
      </c>
      <c r="B33" s="155">
        <v>18</v>
      </c>
      <c r="C33" s="155"/>
      <c r="D33" s="28"/>
      <c r="E33" s="28"/>
      <c r="F33" s="28"/>
      <c r="G33" s="28"/>
      <c r="H33" s="28"/>
      <c r="I33" s="28"/>
      <c r="J33" s="28"/>
    </row>
    <row r="34" spans="1:10" x14ac:dyDescent="0.35">
      <c r="A34" s="28"/>
      <c r="B34" s="49"/>
      <c r="C34" s="28"/>
      <c r="D34" s="28"/>
      <c r="E34" s="28"/>
      <c r="F34" s="28"/>
      <c r="G34" s="28"/>
      <c r="H34" s="28"/>
      <c r="I34" s="28"/>
      <c r="J34" s="28"/>
    </row>
    <row r="35" spans="1:10" x14ac:dyDescent="0.35">
      <c r="A35" s="28"/>
      <c r="B35" s="49"/>
      <c r="C35" s="28"/>
      <c r="D35" s="28"/>
      <c r="E35" s="28"/>
      <c r="F35" s="28"/>
      <c r="G35" s="28"/>
      <c r="H35" s="28"/>
      <c r="I35" s="28"/>
      <c r="J35" s="28"/>
    </row>
    <row r="36" spans="1:10" x14ac:dyDescent="0.35">
      <c r="A36" s="28"/>
      <c r="B36" s="28"/>
      <c r="C36" s="28"/>
      <c r="D36" s="28"/>
      <c r="E36" s="28"/>
      <c r="F36" s="28"/>
      <c r="G36" s="28"/>
      <c r="H36" s="28"/>
      <c r="I36" s="28"/>
      <c r="J36" s="28"/>
    </row>
    <row r="37" spans="1:10" x14ac:dyDescent="0.35">
      <c r="A37" s="28"/>
      <c r="B37" s="28"/>
      <c r="C37" s="28"/>
      <c r="D37" s="28"/>
      <c r="E37" s="28"/>
      <c r="F37" s="28"/>
      <c r="G37" s="28"/>
      <c r="H37" s="28"/>
      <c r="I37" s="28"/>
      <c r="J37" s="28"/>
    </row>
  </sheetData>
  <mergeCells count="3">
    <mergeCell ref="A5:C5"/>
    <mergeCell ref="A15:C15"/>
    <mergeCell ref="A25:C25"/>
  </mergeCells>
  <pageMargins left="0.7" right="0.7" top="0.78740157499999996" bottom="0.78740157499999996"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Dateneingabe &amp; Photovoltaik</vt:lpstr>
      <vt:lpstr>Erdsonden</vt:lpstr>
      <vt:lpstr>Hinweise</vt:lpstr>
      <vt:lpstr>PV_Varianten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Klemensich Theresa</dc:creator>
  <cp:lastModifiedBy>Klemensich Theresa</cp:lastModifiedBy>
  <dcterms:created xsi:type="dcterms:W3CDTF">2021-04-06T06:58:40Z</dcterms:created>
  <dcterms:modified xsi:type="dcterms:W3CDTF">2021-05-05T13:57:24Z</dcterms:modified>
</cp:coreProperties>
</file>