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imon Schneider\PycharmProjects\pyped\data\"/>
    </mc:Choice>
  </mc:AlternateContent>
  <bookViews>
    <workbookView xWindow="0" yWindow="0" windowWidth="25128" windowHeight="14136"/>
  </bookViews>
  <sheets>
    <sheet name="Aufgabe 1" sheetId="1" r:id="rId1"/>
    <sheet name="Aufgabe 2" sheetId="3" r:id="rId2"/>
    <sheet name="Aufgabe 3" sheetId="4" r:id="rId3"/>
    <sheet name="Aufgabe 4" sheetId="5" r:id="rId4"/>
    <sheet name="Aufgabe 5" sheetId="7" r:id="rId5"/>
    <sheet name="Flächen" sheetId="6" r:id="rId6"/>
  </sheets>
  <definedNames>
    <definedName name="cooling_demand">'Aufgabe 1'!$J$15:$J$27</definedName>
    <definedName name="cooling_demand_specific">'Aufgabe 1'!$G$15:$G$27</definedName>
    <definedName name="cooling_full_load_hours">'Aufgabe 1'!$H$15:$H$27</definedName>
    <definedName name="cooling_load">'Aufgabe 1'!$I$15:$I$27</definedName>
    <definedName name="cooling_power_specific">'Aufgabe 1'!$F$15:$F$27</definedName>
    <definedName name="customers">'Aufgabe 1'!$H$35</definedName>
    <definedName name="NGF_1.1">'Aufgabe 1'!$E$15</definedName>
    <definedName name="NGF_12">'Aufgabe 1'!$E$27</definedName>
    <definedName name="NGF_3.1">'Aufgabe 1'!$E$16</definedName>
    <definedName name="NGF_3.2">'Aufgabe 1'!$E$17</definedName>
    <definedName name="NGF_3.3">'Aufgabe 1'!$E$18</definedName>
    <definedName name="NGF_3.4">'Aufgabe 1'!$E$19</definedName>
    <definedName name="NGF_4.1">'Aufgabe 1'!$E$20</definedName>
    <definedName name="NGF_4.2">'Aufgabe 1'!$E$21</definedName>
    <definedName name="NGF_4.3">'Aufgabe 1'!$E$22</definedName>
    <definedName name="NGF_4.4">'Aufgabe 1'!$E$23</definedName>
    <definedName name="NGF_5.1">'Aufgabe 1'!$E$25</definedName>
    <definedName name="NGF_5.2">'Aufgabe 1'!$E$26</definedName>
    <definedName name="NGF_9.3">'Aufgabe 1'!$E$24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3" i="5" l="1"/>
  <c r="H34" i="5"/>
  <c r="H35" i="5"/>
  <c r="H36" i="5"/>
  <c r="H37" i="5"/>
  <c r="H38" i="5"/>
  <c r="H39" i="5"/>
  <c r="H40" i="5"/>
  <c r="H41" i="5"/>
  <c r="H42" i="5"/>
  <c r="H43" i="5"/>
  <c r="H44" i="5"/>
  <c r="H45" i="5"/>
  <c r="H46" i="5"/>
  <c r="H47" i="5"/>
  <c r="H48" i="5"/>
  <c r="H49" i="5"/>
  <c r="H50" i="5"/>
  <c r="H51" i="5"/>
  <c r="H52" i="5"/>
  <c r="H53" i="5"/>
  <c r="H54" i="5"/>
  <c r="H55" i="5"/>
  <c r="H56" i="5"/>
  <c r="H57" i="5"/>
  <c r="H58" i="5"/>
  <c r="H59" i="5"/>
  <c r="H60" i="5"/>
  <c r="H32" i="5"/>
  <c r="L18" i="5" l="1"/>
  <c r="L19" i="5"/>
  <c r="L20" i="5"/>
  <c r="I18" i="5"/>
  <c r="I19" i="5"/>
  <c r="I20" i="5"/>
  <c r="F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32" i="5"/>
  <c r="F13" i="4"/>
  <c r="H19" i="1"/>
  <c r="H21" i="1"/>
  <c r="H22" i="1"/>
  <c r="H18" i="1"/>
  <c r="H26" i="1" l="1"/>
  <c r="H24" i="1"/>
  <c r="H23" i="1"/>
  <c r="C50" i="4" l="1"/>
  <c r="C49" i="4"/>
  <c r="C48" i="4"/>
  <c r="C47" i="4"/>
  <c r="C46" i="4"/>
  <c r="C45" i="4"/>
  <c r="C44" i="4"/>
  <c r="C23" i="4"/>
  <c r="C24" i="4"/>
  <c r="C25" i="4"/>
  <c r="C26" i="4"/>
  <c r="C27" i="4"/>
  <c r="C28" i="4"/>
  <c r="C29" i="4"/>
  <c r="C30" i="4"/>
  <c r="C31" i="4"/>
  <c r="C32" i="4"/>
  <c r="C33" i="4"/>
  <c r="C34" i="4"/>
  <c r="C35" i="4"/>
  <c r="C36" i="4"/>
  <c r="C37" i="4"/>
  <c r="C38" i="4"/>
  <c r="C39" i="4"/>
  <c r="C40" i="4"/>
  <c r="C41" i="4"/>
  <c r="C42" i="4"/>
  <c r="C43" i="4"/>
  <c r="C22" i="4"/>
  <c r="H41" i="1"/>
  <c r="H25" i="1"/>
  <c r="H20" i="1"/>
  <c r="H17" i="1"/>
  <c r="H15" i="1"/>
  <c r="F14" i="4" l="1"/>
  <c r="D78" i="1" l="1"/>
  <c r="D79" i="1"/>
  <c r="D80" i="1"/>
  <c r="C53" i="1"/>
  <c r="C81" i="1"/>
  <c r="D81" i="1" s="1"/>
  <c r="C54" i="1"/>
  <c r="C55" i="1"/>
  <c r="C56" i="1"/>
  <c r="C57" i="1"/>
  <c r="C58" i="1"/>
  <c r="C59" i="1"/>
  <c r="C60" i="1"/>
  <c r="C61" i="1"/>
  <c r="C62" i="1"/>
  <c r="C63" i="1"/>
  <c r="C64" i="1"/>
  <c r="C65" i="1"/>
  <c r="C66" i="1"/>
  <c r="C67" i="1"/>
  <c r="C68" i="1"/>
  <c r="C69" i="1"/>
  <c r="C70" i="1"/>
  <c r="C71" i="1"/>
  <c r="C72" i="1"/>
  <c r="C73" i="1"/>
  <c r="C74" i="1"/>
  <c r="C75" i="1"/>
  <c r="D75" i="1" s="1"/>
  <c r="C76" i="1"/>
  <c r="D76" i="1" s="1"/>
  <c r="C77" i="1"/>
  <c r="D77" i="1" s="1"/>
  <c r="C78" i="1"/>
  <c r="C79" i="1"/>
  <c r="C80" i="1"/>
  <c r="M15" i="7"/>
  <c r="J15" i="7"/>
  <c r="G15" i="7"/>
  <c r="M14" i="7"/>
  <c r="J14" i="7"/>
  <c r="G14" i="7"/>
  <c r="M13" i="7"/>
  <c r="J13" i="7"/>
  <c r="G13" i="7"/>
  <c r="M12" i="7"/>
  <c r="J12" i="7"/>
  <c r="G12" i="7"/>
  <c r="E22" i="6"/>
  <c r="G34" i="6"/>
  <c r="F34" i="6" s="1"/>
  <c r="G33" i="6"/>
  <c r="F33" i="6" s="1"/>
  <c r="E33" i="6" s="1"/>
  <c r="G32" i="6"/>
  <c r="E32" i="6" s="1"/>
  <c r="G29" i="6"/>
  <c r="F29" i="6" s="1"/>
  <c r="E29" i="6" s="1"/>
  <c r="G30" i="6"/>
  <c r="F30" i="6" s="1"/>
  <c r="E30" i="6" s="1"/>
  <c r="G28" i="6"/>
  <c r="F28" i="6" s="1"/>
  <c r="L27" i="6"/>
  <c r="G27" i="6"/>
  <c r="K35" i="6"/>
  <c r="H35" i="6"/>
  <c r="I35" i="6"/>
  <c r="J35" i="6"/>
  <c r="M35" i="6"/>
  <c r="N35" i="6"/>
  <c r="O35" i="6"/>
  <c r="P35" i="6"/>
  <c r="Q35" i="6"/>
  <c r="R35" i="6"/>
  <c r="F28" i="3"/>
  <c r="F27" i="3"/>
  <c r="F24" i="3"/>
  <c r="F34" i="3" s="1"/>
  <c r="I27" i="1"/>
  <c r="J27" i="1"/>
  <c r="F15" i="3"/>
  <c r="I16" i="1"/>
  <c r="I17" i="1"/>
  <c r="I18" i="1"/>
  <c r="I19" i="1"/>
  <c r="I20" i="1"/>
  <c r="I21" i="1"/>
  <c r="I22" i="1"/>
  <c r="I23" i="1"/>
  <c r="I24" i="1"/>
  <c r="I25" i="1"/>
  <c r="I26" i="1"/>
  <c r="I15" i="1"/>
  <c r="J15" i="1"/>
  <c r="J16" i="1"/>
  <c r="J17" i="1"/>
  <c r="J18" i="1"/>
  <c r="J19" i="1"/>
  <c r="J20" i="1"/>
  <c r="J21" i="1"/>
  <c r="J22" i="1"/>
  <c r="J23" i="1"/>
  <c r="J24" i="1"/>
  <c r="J25" i="1"/>
  <c r="J26" i="1"/>
  <c r="E28" i="1"/>
  <c r="G35" i="6" l="1"/>
  <c r="E34" i="6"/>
  <c r="F35" i="6"/>
  <c r="E28" i="6"/>
  <c r="F35" i="3"/>
  <c r="F36" i="3" s="1"/>
  <c r="J28" i="1"/>
  <c r="I28" i="1"/>
  <c r="F28" i="1" s="1"/>
  <c r="F39" i="3" l="1"/>
  <c r="H28" i="1"/>
  <c r="G28" i="1"/>
  <c r="H32" i="1"/>
  <c r="H33" i="1"/>
  <c r="H37" i="1" s="1"/>
  <c r="H42" i="1" s="1"/>
  <c r="F40" i="3" l="1"/>
  <c r="F43" i="3"/>
  <c r="F11" i="4" s="1"/>
  <c r="H34" i="1"/>
  <c r="H44" i="1"/>
  <c r="H43" i="1"/>
  <c r="F80" i="1" l="1"/>
  <c r="D49" i="4" s="1"/>
  <c r="F81" i="1"/>
  <c r="D50" i="4" s="1"/>
  <c r="D60" i="5" s="1"/>
  <c r="F75" i="1"/>
  <c r="D44" i="4" s="1"/>
  <c r="F78" i="1"/>
  <c r="D47" i="4" s="1"/>
  <c r="F79" i="1"/>
  <c r="D48" i="4" s="1"/>
  <c r="F76" i="1"/>
  <c r="D45" i="4" s="1"/>
  <c r="F77" i="1"/>
  <c r="D46" i="4" s="1"/>
  <c r="F42" i="3"/>
  <c r="H46" i="1"/>
  <c r="F12" i="3"/>
  <c r="F17" i="3" s="1"/>
  <c r="F19" i="3" s="1"/>
  <c r="L12" i="3"/>
  <c r="E47" i="4" l="1"/>
  <c r="D56" i="5"/>
  <c r="D57" i="5"/>
  <c r="E48" i="4"/>
  <c r="E45" i="4"/>
  <c r="D54" i="5"/>
  <c r="D55" i="5"/>
  <c r="E56" i="5" s="1"/>
  <c r="E46" i="4"/>
  <c r="D58" i="5"/>
  <c r="E49" i="4"/>
  <c r="D59" i="5"/>
  <c r="E50" i="4"/>
  <c r="D70" i="1"/>
  <c r="F70" i="1" s="1"/>
  <c r="D39" i="4" s="1"/>
  <c r="D67" i="1"/>
  <c r="D68" i="1"/>
  <c r="F68" i="1" s="1"/>
  <c r="D37" i="4" s="1"/>
  <c r="D72" i="1"/>
  <c r="F72" i="1" s="1"/>
  <c r="D41" i="4" s="1"/>
  <c r="D74" i="1"/>
  <c r="F74" i="1" s="1"/>
  <c r="D43" i="4" s="1"/>
  <c r="D73" i="1"/>
  <c r="F73" i="1" s="1"/>
  <c r="D42" i="4" s="1"/>
  <c r="D71" i="1"/>
  <c r="F71" i="1" s="1"/>
  <c r="D40" i="4" s="1"/>
  <c r="D69" i="1"/>
  <c r="F69" i="1" s="1"/>
  <c r="D38" i="4" s="1"/>
  <c r="D60" i="1"/>
  <c r="F60" i="1" s="1"/>
  <c r="D29" i="4" s="1"/>
  <c r="D57" i="1"/>
  <c r="F57" i="1" s="1"/>
  <c r="D26" i="4" s="1"/>
  <c r="D61" i="1"/>
  <c r="F61" i="1" s="1"/>
  <c r="D30" i="4" s="1"/>
  <c r="D56" i="1"/>
  <c r="F56" i="1" s="1"/>
  <c r="D25" i="4" s="1"/>
  <c r="D66" i="1"/>
  <c r="D54" i="1"/>
  <c r="F54" i="1" s="1"/>
  <c r="D23" i="4" s="1"/>
  <c r="D62" i="1"/>
  <c r="F62" i="1" s="1"/>
  <c r="D31" i="4" s="1"/>
  <c r="D53" i="1"/>
  <c r="D59" i="1"/>
  <c r="F59" i="1" s="1"/>
  <c r="D28" i="4" s="1"/>
  <c r="D55" i="1"/>
  <c r="F55" i="1" s="1"/>
  <c r="D24" i="4" s="1"/>
  <c r="D63" i="1"/>
  <c r="F63" i="1" s="1"/>
  <c r="D32" i="4" s="1"/>
  <c r="D64" i="1"/>
  <c r="F64" i="1" s="1"/>
  <c r="D33" i="4" s="1"/>
  <c r="D65" i="1"/>
  <c r="F65" i="1" s="1"/>
  <c r="D34" i="4" s="1"/>
  <c r="D58" i="1"/>
  <c r="F58" i="1" s="1"/>
  <c r="D27" i="4" s="1"/>
  <c r="F21" i="3"/>
  <c r="F22" i="3" s="1"/>
  <c r="F26" i="3"/>
  <c r="F10" i="4" s="1"/>
  <c r="E57" i="5" l="1"/>
  <c r="D43" i="5"/>
  <c r="E34" i="4"/>
  <c r="E27" i="4"/>
  <c r="D36" i="5"/>
  <c r="E55" i="5"/>
  <c r="E31" i="4"/>
  <c r="D40" i="5"/>
  <c r="E29" i="4"/>
  <c r="D38" i="5"/>
  <c r="D39" i="5"/>
  <c r="E30" i="4"/>
  <c r="D49" i="5"/>
  <c r="E50" i="5" s="1"/>
  <c r="E40" i="4"/>
  <c r="D51" i="5"/>
  <c r="E42" i="4"/>
  <c r="L56" i="5"/>
  <c r="M56" i="5"/>
  <c r="E39" i="4"/>
  <c r="D48" i="5"/>
  <c r="D35" i="5"/>
  <c r="E36" i="5" s="1"/>
  <c r="E26" i="4"/>
  <c r="D47" i="5"/>
  <c r="E48" i="5" s="1"/>
  <c r="E38" i="4"/>
  <c r="D41" i="5"/>
  <c r="E32" i="4"/>
  <c r="D50" i="5"/>
  <c r="E41" i="4"/>
  <c r="E59" i="5"/>
  <c r="E60" i="5"/>
  <c r="E58" i="5"/>
  <c r="D42" i="5"/>
  <c r="E43" i="5" s="1"/>
  <c r="E33" i="4"/>
  <c r="E28" i="4"/>
  <c r="D37" i="5"/>
  <c r="E38" i="5" s="1"/>
  <c r="D33" i="5"/>
  <c r="E24" i="4"/>
  <c r="E43" i="4"/>
  <c r="D52" i="5"/>
  <c r="M57" i="5"/>
  <c r="L57" i="5"/>
  <c r="D34" i="5"/>
  <c r="E25" i="4"/>
  <c r="D44" i="5"/>
  <c r="E44" i="4"/>
  <c r="D53" i="5"/>
  <c r="E54" i="5" s="1"/>
  <c r="G74" i="1"/>
  <c r="G73" i="1"/>
  <c r="G58" i="1"/>
  <c r="G59" i="1"/>
  <c r="G60" i="1"/>
  <c r="G57" i="1"/>
  <c r="G55" i="1"/>
  <c r="G61" i="1"/>
  <c r="G64" i="1"/>
  <c r="G65" i="1"/>
  <c r="G62" i="1"/>
  <c r="G56" i="1"/>
  <c r="G63" i="1"/>
  <c r="E53" i="5" l="1"/>
  <c r="E49" i="5"/>
  <c r="M49" i="5" s="1"/>
  <c r="E35" i="5"/>
  <c r="E39" i="5"/>
  <c r="M39" i="5" s="1"/>
  <c r="E42" i="5"/>
  <c r="L42" i="5" s="1"/>
  <c r="M43" i="5"/>
  <c r="L43" i="5"/>
  <c r="E41" i="5"/>
  <c r="L53" i="5"/>
  <c r="M53" i="5"/>
  <c r="E52" i="5"/>
  <c r="L60" i="5"/>
  <c r="M60" i="5"/>
  <c r="L59" i="5"/>
  <c r="M59" i="5"/>
  <c r="M36" i="5"/>
  <c r="L36" i="5"/>
  <c r="L50" i="5"/>
  <c r="M50" i="5"/>
  <c r="E37" i="5"/>
  <c r="M42" i="5"/>
  <c r="M54" i="5"/>
  <c r="L54" i="5"/>
  <c r="L58" i="5"/>
  <c r="M58" i="5"/>
  <c r="E34" i="5"/>
  <c r="L49" i="5"/>
  <c r="M48" i="5"/>
  <c r="L48" i="5"/>
  <c r="M55" i="5"/>
  <c r="L55" i="5"/>
  <c r="L38" i="5"/>
  <c r="M38" i="5"/>
  <c r="E51" i="5"/>
  <c r="E40" i="5"/>
  <c r="M35" i="5"/>
  <c r="L35" i="5"/>
  <c r="L39" i="5"/>
  <c r="E44" i="5"/>
  <c r="E27" i="6"/>
  <c r="L35" i="6"/>
  <c r="E35" i="6" s="1"/>
  <c r="F53" i="1"/>
  <c r="D22" i="4" s="1"/>
  <c r="M44" i="5" l="1"/>
  <c r="L44" i="5"/>
  <c r="M51" i="5"/>
  <c r="L51" i="5"/>
  <c r="M37" i="5"/>
  <c r="L37" i="5"/>
  <c r="M52" i="5"/>
  <c r="L52" i="5"/>
  <c r="L41" i="5"/>
  <c r="M41" i="5"/>
  <c r="L34" i="5"/>
  <c r="M34" i="5"/>
  <c r="D32" i="5"/>
  <c r="E33" i="5" s="1"/>
  <c r="E23" i="4"/>
  <c r="M40" i="5"/>
  <c r="L40" i="5"/>
  <c r="F28" i="4"/>
  <c r="G28" i="4" s="1"/>
  <c r="G54" i="1"/>
  <c r="H54" i="1" s="1"/>
  <c r="L33" i="5" l="1"/>
  <c r="M33" i="5"/>
  <c r="F29" i="4"/>
  <c r="G29" i="4" s="1"/>
  <c r="I29" i="4" s="1"/>
  <c r="F39" i="5" s="1"/>
  <c r="F27" i="4"/>
  <c r="G27" i="4" s="1"/>
  <c r="F49" i="4"/>
  <c r="G49" i="4" s="1"/>
  <c r="F42" i="4"/>
  <c r="G42" i="4" s="1"/>
  <c r="F48" i="4"/>
  <c r="G48" i="4" s="1"/>
  <c r="F31" i="4"/>
  <c r="G31" i="4" s="1"/>
  <c r="F25" i="4"/>
  <c r="G25" i="4" s="1"/>
  <c r="F23" i="4"/>
  <c r="G23" i="4" s="1"/>
  <c r="F34" i="4"/>
  <c r="G34" i="4" s="1"/>
  <c r="F47" i="4"/>
  <c r="G47" i="4" s="1"/>
  <c r="F32" i="4"/>
  <c r="G32" i="4" s="1"/>
  <c r="F45" i="4"/>
  <c r="G45" i="4" s="1"/>
  <c r="F43" i="4"/>
  <c r="G43" i="4" s="1"/>
  <c r="F33" i="4"/>
  <c r="G33" i="4" s="1"/>
  <c r="F26" i="4"/>
  <c r="G26" i="4" s="1"/>
  <c r="I26" i="4" s="1"/>
  <c r="F36" i="5" s="1"/>
  <c r="F50" i="4"/>
  <c r="G50" i="4" s="1"/>
  <c r="F24" i="4"/>
  <c r="G24" i="4" s="1"/>
  <c r="F22" i="4"/>
  <c r="G22" i="4" s="1"/>
  <c r="F15" i="4" s="1"/>
  <c r="F46" i="4"/>
  <c r="G46" i="4" s="1"/>
  <c r="F30" i="4"/>
  <c r="G30" i="4" s="1"/>
  <c r="F44" i="4"/>
  <c r="G44" i="4" s="1"/>
  <c r="I28" i="4" l="1"/>
  <c r="F38" i="5" s="1"/>
  <c r="I49" i="4"/>
  <c r="F59" i="5" s="1"/>
  <c r="I43" i="4"/>
  <c r="F53" i="5" s="1"/>
  <c r="I24" i="4"/>
  <c r="F34" i="5" s="1"/>
  <c r="I48" i="4"/>
  <c r="F58" i="5" s="1"/>
  <c r="I25" i="4"/>
  <c r="F35" i="5" s="1"/>
  <c r="I34" i="4"/>
  <c r="F44" i="5" s="1"/>
  <c r="I32" i="4"/>
  <c r="F42" i="5" s="1"/>
  <c r="I50" i="4"/>
  <c r="F60" i="5" s="1"/>
  <c r="I31" i="4"/>
  <c r="F41" i="5" s="1"/>
  <c r="I30" i="4"/>
  <c r="F40" i="5" s="1"/>
  <c r="I23" i="4"/>
  <c r="F33" i="5" s="1"/>
  <c r="I46" i="4"/>
  <c r="F56" i="5" s="1"/>
  <c r="I47" i="4"/>
  <c r="F57" i="5" s="1"/>
  <c r="I45" i="4"/>
  <c r="F55" i="5" s="1"/>
  <c r="I33" i="4"/>
  <c r="F43" i="5" s="1"/>
  <c r="I44" i="4"/>
  <c r="F54" i="5" s="1"/>
  <c r="I27" i="4"/>
  <c r="F37" i="5" s="1"/>
  <c r="H55" i="1"/>
  <c r="F66" i="1"/>
  <c r="D35" i="4" s="1"/>
  <c r="D45" i="5" l="1"/>
  <c r="E35" i="4"/>
  <c r="G66" i="1"/>
  <c r="H56" i="1"/>
  <c r="F67" i="1"/>
  <c r="D36" i="4" s="1"/>
  <c r="E37" i="4" l="1"/>
  <c r="D46" i="5"/>
  <c r="E47" i="5" s="1"/>
  <c r="E36" i="4"/>
  <c r="E46" i="5"/>
  <c r="E45" i="5"/>
  <c r="H57" i="1"/>
  <c r="G68" i="1"/>
  <c r="G67" i="1"/>
  <c r="F35" i="4"/>
  <c r="G35" i="4" s="1"/>
  <c r="L45" i="5" l="1"/>
  <c r="M45" i="5"/>
  <c r="M46" i="5"/>
  <c r="L46" i="5"/>
  <c r="L47" i="5"/>
  <c r="M47" i="5"/>
  <c r="F36" i="4"/>
  <c r="G36" i="4" s="1"/>
  <c r="I35" i="4"/>
  <c r="F45" i="5" s="1"/>
  <c r="H58" i="1"/>
  <c r="G69" i="1"/>
  <c r="I36" i="4" l="1"/>
  <c r="F46" i="5" s="1"/>
  <c r="F37" i="4"/>
  <c r="G37" i="4" s="1"/>
  <c r="H59" i="1"/>
  <c r="G70" i="1"/>
  <c r="I37" i="4" l="1"/>
  <c r="F47" i="5" s="1"/>
  <c r="F38" i="4"/>
  <c r="G38" i="4" s="1"/>
  <c r="H60" i="1"/>
  <c r="G71" i="1"/>
  <c r="I38" i="4" l="1"/>
  <c r="F48" i="5" s="1"/>
  <c r="H61" i="1"/>
  <c r="F39" i="4"/>
  <c r="G39" i="4" s="1"/>
  <c r="I39" i="4" s="1"/>
  <c r="F49" i="5" s="1"/>
  <c r="F41" i="4" l="1"/>
  <c r="G41" i="4" s="1"/>
  <c r="E86" i="1"/>
  <c r="G72" i="1"/>
  <c r="F40" i="4"/>
  <c r="G40" i="4" s="1"/>
  <c r="H62" i="1"/>
  <c r="I42" i="4" l="1"/>
  <c r="F52" i="5" s="1"/>
  <c r="I41" i="4"/>
  <c r="F51" i="5" s="1"/>
  <c r="I40" i="4"/>
  <c r="F50" i="5" s="1"/>
  <c r="I70" i="1"/>
  <c r="I60" i="1"/>
  <c r="G39" i="5" s="1"/>
  <c r="I69" i="1"/>
  <c r="I67" i="1"/>
  <c r="I56" i="1"/>
  <c r="G35" i="5" s="1"/>
  <c r="I63" i="1"/>
  <c r="G42" i="5" s="1"/>
  <c r="I76" i="1"/>
  <c r="I78" i="1"/>
  <c r="I61" i="1"/>
  <c r="G40" i="5" s="1"/>
  <c r="I68" i="1"/>
  <c r="I80" i="1"/>
  <c r="I77" i="1"/>
  <c r="I55" i="1"/>
  <c r="G34" i="5" s="1"/>
  <c r="I58" i="1"/>
  <c r="G37" i="5" s="1"/>
  <c r="I66" i="1"/>
  <c r="I79" i="1"/>
  <c r="I74" i="1"/>
  <c r="I53" i="1"/>
  <c r="G32" i="5" s="1"/>
  <c r="I71" i="1"/>
  <c r="I64" i="1"/>
  <c r="I57" i="1"/>
  <c r="G36" i="5" s="1"/>
  <c r="E88" i="1"/>
  <c r="I62" i="1"/>
  <c r="G41" i="5" s="1"/>
  <c r="I59" i="1"/>
  <c r="G38" i="5" s="1"/>
  <c r="I81" i="1"/>
  <c r="G60" i="5" s="1"/>
  <c r="I72" i="1"/>
  <c r="I54" i="1"/>
  <c r="G33" i="5" s="1"/>
  <c r="I73" i="1"/>
  <c r="I65" i="1"/>
  <c r="I75" i="1"/>
  <c r="H63" i="1"/>
  <c r="E19" i="5" l="1"/>
  <c r="E18" i="5"/>
  <c r="E20" i="5"/>
  <c r="I41" i="5"/>
  <c r="J41" i="5"/>
  <c r="J39" i="5"/>
  <c r="I39" i="5"/>
  <c r="I42" i="5"/>
  <c r="J42" i="5"/>
  <c r="J34" i="5"/>
  <c r="I34" i="5"/>
  <c r="J33" i="5"/>
  <c r="I33" i="5"/>
  <c r="J38" i="5"/>
  <c r="I38" i="5"/>
  <c r="I35" i="5"/>
  <c r="J35" i="5"/>
  <c r="I40" i="5"/>
  <c r="J40" i="5"/>
  <c r="J37" i="5"/>
  <c r="I37" i="5"/>
  <c r="J36" i="5"/>
  <c r="I36" i="5"/>
  <c r="G50" i="5"/>
  <c r="J72" i="1"/>
  <c r="K72" i="1" s="1"/>
  <c r="G47" i="5"/>
  <c r="J69" i="1"/>
  <c r="K69" i="1" s="1"/>
  <c r="G53" i="5"/>
  <c r="J75" i="1"/>
  <c r="K75" i="1" s="1"/>
  <c r="G49" i="5"/>
  <c r="J71" i="1"/>
  <c r="K71" i="1" s="1"/>
  <c r="G58" i="5"/>
  <c r="J80" i="1"/>
  <c r="K80" i="1" s="1"/>
  <c r="G57" i="5"/>
  <c r="J79" i="1"/>
  <c r="K79" i="1" s="1"/>
  <c r="G45" i="5"/>
  <c r="G55" i="5"/>
  <c r="J77" i="1"/>
  <c r="K77" i="1" s="1"/>
  <c r="G59" i="5"/>
  <c r="J81" i="1"/>
  <c r="G51" i="5"/>
  <c r="J73" i="1"/>
  <c r="K73" i="1" s="1"/>
  <c r="G44" i="5"/>
  <c r="G48" i="5"/>
  <c r="J70" i="1"/>
  <c r="K70" i="1" s="1"/>
  <c r="G54" i="5"/>
  <c r="J76" i="1"/>
  <c r="K76" i="1" s="1"/>
  <c r="G52" i="5"/>
  <c r="J74" i="1"/>
  <c r="K74" i="1" s="1"/>
  <c r="G43" i="5"/>
  <c r="I43" i="5" s="1"/>
  <c r="G56" i="5"/>
  <c r="J78" i="1"/>
  <c r="K78" i="1" s="1"/>
  <c r="G46" i="5"/>
  <c r="F16" i="4"/>
  <c r="H64" i="1"/>
  <c r="K81" i="1"/>
  <c r="J53" i="1"/>
  <c r="H20" i="5" l="1"/>
  <c r="J20" i="5" s="1"/>
  <c r="K20" i="5"/>
  <c r="M20" i="5" s="1"/>
  <c r="G20" i="5"/>
  <c r="K18" i="5"/>
  <c r="M18" i="5" s="1"/>
  <c r="H18" i="5"/>
  <c r="J18" i="5" s="1"/>
  <c r="G18" i="5"/>
  <c r="K19" i="5"/>
  <c r="M19" i="5" s="1"/>
  <c r="H19" i="5"/>
  <c r="J19" i="5" s="1"/>
  <c r="G19" i="5"/>
  <c r="J43" i="5"/>
  <c r="J60" i="5"/>
  <c r="I60" i="5"/>
  <c r="I59" i="5"/>
  <c r="J59" i="5"/>
  <c r="I51" i="5"/>
  <c r="J51" i="5"/>
  <c r="I49" i="5"/>
  <c r="J49" i="5"/>
  <c r="J47" i="5"/>
  <c r="I47" i="5"/>
  <c r="I57" i="5"/>
  <c r="J57" i="5"/>
  <c r="I56" i="5"/>
  <c r="J56" i="5"/>
  <c r="J44" i="5"/>
  <c r="I44" i="5"/>
  <c r="I50" i="5"/>
  <c r="J50" i="5"/>
  <c r="J45" i="5"/>
  <c r="I45" i="5"/>
  <c r="J46" i="5"/>
  <c r="I46" i="5"/>
  <c r="I54" i="5"/>
  <c r="J54" i="5"/>
  <c r="I53" i="5"/>
  <c r="J53" i="5"/>
  <c r="J55" i="5"/>
  <c r="I55" i="5"/>
  <c r="J52" i="5"/>
  <c r="I52" i="5"/>
  <c r="J58" i="5"/>
  <c r="I58" i="5"/>
  <c r="I48" i="5"/>
  <c r="J48" i="5"/>
  <c r="K60" i="5"/>
  <c r="K53" i="1"/>
  <c r="J54" i="1"/>
  <c r="K33" i="5" s="1"/>
  <c r="H65" i="1"/>
  <c r="K56" i="5" l="1"/>
  <c r="K51" i="5"/>
  <c r="F17" i="5"/>
  <c r="K58" i="5"/>
  <c r="K55" i="5"/>
  <c r="K49" i="5"/>
  <c r="K53" i="5"/>
  <c r="K54" i="5"/>
  <c r="K57" i="5"/>
  <c r="K50" i="5"/>
  <c r="K52" i="5"/>
  <c r="K59" i="5"/>
  <c r="J55" i="1"/>
  <c r="K34" i="5" s="1"/>
  <c r="K54" i="1"/>
  <c r="H66" i="1"/>
  <c r="I17" i="5" l="1"/>
  <c r="L17" i="5"/>
  <c r="J56" i="1"/>
  <c r="K55" i="1"/>
  <c r="H67" i="1"/>
  <c r="H68" i="1" s="1"/>
  <c r="H69" i="1" s="1"/>
  <c r="H70" i="1" s="1"/>
  <c r="H71" i="1" s="1"/>
  <c r="H72" i="1" s="1"/>
  <c r="H73" i="1" s="1"/>
  <c r="H74" i="1" s="1"/>
  <c r="K35" i="5" l="1"/>
  <c r="J57" i="1"/>
  <c r="K56" i="1"/>
  <c r="K36" i="5" l="1"/>
  <c r="J58" i="1"/>
  <c r="K57" i="1"/>
  <c r="K37" i="5" l="1"/>
  <c r="J59" i="1"/>
  <c r="K58" i="1"/>
  <c r="K38" i="5" l="1"/>
  <c r="J60" i="1"/>
  <c r="K59" i="1"/>
  <c r="K39" i="5" l="1"/>
  <c r="J61" i="1"/>
  <c r="K60" i="1"/>
  <c r="K40" i="5" l="1"/>
  <c r="J62" i="1"/>
  <c r="K61" i="1"/>
  <c r="K41" i="5" l="1"/>
  <c r="J63" i="1"/>
  <c r="K62" i="1"/>
  <c r="K42" i="5" l="1"/>
  <c r="J64" i="1"/>
  <c r="J65" i="1" s="1"/>
  <c r="K63" i="1"/>
  <c r="K65" i="1" l="1"/>
  <c r="J66" i="1"/>
  <c r="K64" i="1"/>
  <c r="K66" i="1" l="1"/>
  <c r="J67" i="1"/>
  <c r="K44" i="5"/>
  <c r="K43" i="5"/>
  <c r="K67" i="1" l="1"/>
  <c r="J68" i="1"/>
  <c r="K45" i="5"/>
  <c r="K68" i="1" l="1"/>
  <c r="K48" i="5"/>
  <c r="K46" i="5"/>
  <c r="K47" i="5" l="1"/>
  <c r="E17" i="5" s="1"/>
  <c r="G17" i="5" l="1"/>
  <c r="H17" i="5"/>
  <c r="J17" i="5" s="1"/>
  <c r="K17" i="5"/>
  <c r="M17" i="5" s="1"/>
</calcChain>
</file>

<file path=xl/comments1.xml><?xml version="1.0" encoding="utf-8"?>
<comments xmlns="http://schemas.openxmlformats.org/spreadsheetml/2006/main">
  <authors>
    <author>Simon Schneider</author>
  </authors>
  <commentList>
    <comment ref="F15" authorId="0" shapeId="0">
      <text>
        <r>
          <rPr>
            <b/>
            <sz val="9"/>
            <color indexed="81"/>
            <rFont val="Segoe UI"/>
            <family val="2"/>
          </rPr>
          <t>Simon Schneider:</t>
        </r>
        <r>
          <rPr>
            <sz val="9"/>
            <color indexed="81"/>
            <rFont val="Segoe UI"/>
            <family val="2"/>
          </rPr>
          <t xml:space="preserve">
Siehe SIA2024</t>
        </r>
      </text>
    </comment>
    <comment ref="G15" authorId="0" shapeId="0">
      <text>
        <r>
          <rPr>
            <b/>
            <sz val="9"/>
            <color indexed="81"/>
            <rFont val="Segoe UI"/>
            <family val="2"/>
          </rPr>
          <t>Simon Schneider:</t>
        </r>
        <r>
          <rPr>
            <sz val="9"/>
            <color indexed="81"/>
            <rFont val="Segoe UI"/>
            <family val="2"/>
          </rPr>
          <t xml:space="preserve">
Siehe SIA2024</t>
        </r>
      </text>
    </comment>
    <comment ref="H15" authorId="0" shapeId="0">
      <text>
        <r>
          <rPr>
            <b/>
            <sz val="9"/>
            <color indexed="81"/>
            <rFont val="Segoe UI"/>
            <family val="2"/>
          </rPr>
          <t>Simon Schneider:</t>
        </r>
        <r>
          <rPr>
            <sz val="9"/>
            <color indexed="81"/>
            <rFont val="Segoe UI"/>
            <family val="2"/>
          </rPr>
          <t xml:space="preserve">
Siehe SIA2024</t>
        </r>
      </text>
    </comment>
    <comment ref="C27" authorId="0" shapeId="0">
      <text>
        <r>
          <rPr>
            <b/>
            <sz val="9"/>
            <color indexed="81"/>
            <rFont val="Segoe UI"/>
            <family val="2"/>
          </rPr>
          <t>Simon Schneider:</t>
        </r>
        <r>
          <rPr>
            <sz val="9"/>
            <color indexed="81"/>
            <rFont val="Segoe UI"/>
            <family val="2"/>
          </rPr>
          <t xml:space="preserve">
Kein Kühlbedarf</t>
        </r>
      </text>
    </comment>
    <comment ref="H45" authorId="0" shapeId="0">
      <text>
        <r>
          <rPr>
            <b/>
            <sz val="9"/>
            <color indexed="81"/>
            <rFont val="Segoe UI"/>
            <family val="2"/>
          </rPr>
          <t>Simon Schneider:</t>
        </r>
        <r>
          <rPr>
            <sz val="9"/>
            <color indexed="81"/>
            <rFont val="Segoe UI"/>
            <family val="2"/>
          </rPr>
          <t xml:space="preserve">
Annahme: Anteil der Dauerlasten (zb Rechenzentren) 
an der insgesamten Last des Systems</t>
        </r>
      </text>
    </comment>
  </commentList>
</comments>
</file>

<file path=xl/comments2.xml><?xml version="1.0" encoding="utf-8"?>
<comments xmlns="http://schemas.openxmlformats.org/spreadsheetml/2006/main">
  <authors>
    <author>Simon Schneider</author>
  </authors>
  <commentList>
    <comment ref="B19" authorId="0" shapeId="0">
      <text>
        <r>
          <rPr>
            <b/>
            <sz val="9"/>
            <color indexed="81"/>
            <rFont val="Segoe UI"/>
            <family val="2"/>
          </rPr>
          <t>Simon Schneider:</t>
        </r>
        <r>
          <rPr>
            <sz val="9"/>
            <color indexed="81"/>
            <rFont val="Segoe UI"/>
            <family val="2"/>
          </rPr>
          <t xml:space="preserve">
Kein Kühlbedarf</t>
        </r>
      </text>
    </comment>
  </commentList>
</comments>
</file>

<file path=xl/sharedStrings.xml><?xml version="1.0" encoding="utf-8"?>
<sst xmlns="http://schemas.openxmlformats.org/spreadsheetml/2006/main" count="469" uniqueCount="230">
  <si>
    <t>Aufgabe 1: Anschlussleistung, Jahresdauerlinie</t>
  </si>
  <si>
    <t>Berechnen Sie den jährlichen Gesamtkältebedarf für alle Gebäude.</t>
  </si>
  <si>
    <t>Ermitteln Sie die Summe der Anschlussleistungen der Einzelabnehmer, den Gleichzeitigkeitsfaktor und die maximale Anschlussleistung inkl. Gleichzeitigkeitsfaktor</t>
  </si>
  <si>
    <t>Ausgabe</t>
  </si>
  <si>
    <t>Abnehmer</t>
  </si>
  <si>
    <t>Anschlussleistung</t>
  </si>
  <si>
    <t>Abnehmer Kälte</t>
  </si>
  <si>
    <t>[kW]</t>
  </si>
  <si>
    <t>Einzel, Gruppenbüro</t>
  </si>
  <si>
    <t>Großraumbüro</t>
  </si>
  <si>
    <t>Sitzungszimmer</t>
  </si>
  <si>
    <t>Schalterhalle, Empfang</t>
  </si>
  <si>
    <t>Übungsräume</t>
  </si>
  <si>
    <t>Aufenthaltsräume</t>
  </si>
  <si>
    <t>Bibliothek</t>
  </si>
  <si>
    <t>Hörsäle</t>
  </si>
  <si>
    <t>Laborräume</t>
  </si>
  <si>
    <t>Fläche</t>
  </si>
  <si>
    <t>m²</t>
  </si>
  <si>
    <t>[m²]</t>
  </si>
  <si>
    <t>SIA-Nr.</t>
  </si>
  <si>
    <t>Raumnutzung</t>
  </si>
  <si>
    <t>[W/m²]</t>
  </si>
  <si>
    <t>Nettogeschoßfläche</t>
  </si>
  <si>
    <t>[kWh/m²]</t>
  </si>
  <si>
    <t>[kWh]</t>
  </si>
  <si>
    <t>Klimakälte-Leistungsbedarf spez.</t>
  </si>
  <si>
    <t>jährlicher Klimakältebedarf spez.</t>
  </si>
  <si>
    <t>Jährliche Volllaststunden</t>
  </si>
  <si>
    <t>[h]</t>
  </si>
  <si>
    <t>Summe</t>
  </si>
  <si>
    <t>Berechnung eingeben</t>
  </si>
  <si>
    <t>Werte eingeben</t>
  </si>
  <si>
    <t>QAn</t>
  </si>
  <si>
    <t>VLh</t>
  </si>
  <si>
    <t>Vollbenutzungsstunden Abnehmer</t>
  </si>
  <si>
    <t>QN</t>
  </si>
  <si>
    <t>Abnehmeranzahl</t>
  </si>
  <si>
    <t>FGlz</t>
  </si>
  <si>
    <t>Gleichzeitigkeitsfaktor</t>
  </si>
  <si>
    <t>QN,max</t>
  </si>
  <si>
    <t>Summe Abnehmer Kälteenergie</t>
  </si>
  <si>
    <t>kWh</t>
  </si>
  <si>
    <t>kWh/a</t>
  </si>
  <si>
    <t xml:space="preserve">Summe Anschlußleistung Abnehmer </t>
  </si>
  <si>
    <t>kW</t>
  </si>
  <si>
    <t>h</t>
  </si>
  <si>
    <t>Jahresdauerlinie nach Sochinsky</t>
  </si>
  <si>
    <t>Betriebsdauer des Systems</t>
  </si>
  <si>
    <t>h/a</t>
  </si>
  <si>
    <t>Pmin (10 %)</t>
  </si>
  <si>
    <t>Pmax</t>
  </si>
  <si>
    <t>Qj</t>
  </si>
  <si>
    <t>minimale Belastung im System</t>
  </si>
  <si>
    <t>-</t>
  </si>
  <si>
    <t>mittlere Belastung im System</t>
  </si>
  <si>
    <t>T</t>
  </si>
  <si>
    <t>t</t>
  </si>
  <si>
    <t>P(T)</t>
  </si>
  <si>
    <t>Rechenzentrum</t>
  </si>
  <si>
    <t>Q(T)</t>
  </si>
  <si>
    <t>Q insg.</t>
  </si>
  <si>
    <t>AKM</t>
  </si>
  <si>
    <t>KKM</t>
  </si>
  <si>
    <t>Auslegung der Kältemaschinen</t>
  </si>
  <si>
    <t>Lieferbarkeit der AKM</t>
  </si>
  <si>
    <t>Anzahl Maschinen</t>
  </si>
  <si>
    <t>Installierte Leistung AKM</t>
  </si>
  <si>
    <t>Lieferbarkeit der KKM</t>
  </si>
  <si>
    <t>Installierte Leistung KKM</t>
  </si>
  <si>
    <t>Installierte Kälteleistung</t>
  </si>
  <si>
    <t>b(T)</t>
  </si>
  <si>
    <t>Insgesamt</t>
  </si>
  <si>
    <t>Anschlussleistungen</t>
  </si>
  <si>
    <t>Jahresdauerlinie nach Sochinsky: Parameter</t>
  </si>
  <si>
    <t>Gesamtkältebedarf</t>
  </si>
  <si>
    <t xml:space="preserve">Legen Sie die Leistungen der Kältemaschinen für das Fernkältesystem aus </t>
  </si>
  <si>
    <t>Aufgabe 2: Rohrnetz</t>
  </si>
  <si>
    <t>Führen Sie die Wärmeverlustberechnung für isolierte Rohre durch</t>
  </si>
  <si>
    <t>Vergleichen Sie die spezifischen "Kälteverluste“ in W/m mit den spezifischen Wärmeverlusten eines typischen Fernwärmenetzes (selber Leistung und Länge, 110°C/70°C VL/RL).</t>
  </si>
  <si>
    <t>Führen Sie zum Vergleich die Wärmeverlustberechnung für ungedämmte Stahlrohre und teilweise gedämmte Stahlrohre (nur Vorlauf) durch.</t>
  </si>
  <si>
    <t>System Fernkälte</t>
  </si>
  <si>
    <t>Maximale Kühlleistung</t>
  </si>
  <si>
    <t>°C</t>
  </si>
  <si>
    <t>Delta T</t>
  </si>
  <si>
    <t>K</t>
  </si>
  <si>
    <t>cp</t>
  </si>
  <si>
    <t>kJ/(kg*K)</t>
  </si>
  <si>
    <t>Massenstrom</t>
  </si>
  <si>
    <t>kg/s</t>
  </si>
  <si>
    <t>kg/m³</t>
  </si>
  <si>
    <t>Volumenstrom</t>
  </si>
  <si>
    <t>m³/s</t>
  </si>
  <si>
    <t>Strömungsgeschw</t>
  </si>
  <si>
    <t>m/s</t>
  </si>
  <si>
    <t>m</t>
  </si>
  <si>
    <t>DN 250</t>
  </si>
  <si>
    <t>Innendurchmesser</t>
  </si>
  <si>
    <t>mm</t>
  </si>
  <si>
    <t>Wandstärke Rohr</t>
  </si>
  <si>
    <t>Wandstärke WD</t>
  </si>
  <si>
    <t>W/(m*K)</t>
  </si>
  <si>
    <t>Umgebungstemperatur</t>
  </si>
  <si>
    <t>W/(m²*K)</t>
  </si>
  <si>
    <t>Netzlänge</t>
  </si>
  <si>
    <t>Wärmeverluste</t>
  </si>
  <si>
    <t>W</t>
  </si>
  <si>
    <t>spez Verluste</t>
  </si>
  <si>
    <t>W/m</t>
  </si>
  <si>
    <t>Ermitteln Sie die Jahresdauerlinie nach Sochinsky mit geeigneter minimaler Systembelastung beta, stellen Sie das Ergebnis grafisch dar</t>
  </si>
  <si>
    <t>minimaleKühlleistung</t>
  </si>
  <si>
    <t>maximaleKühlleistung</t>
  </si>
  <si>
    <t>Jahreskältebedarf</t>
  </si>
  <si>
    <t>tb</t>
  </si>
  <si>
    <r>
      <t>b</t>
    </r>
    <r>
      <rPr>
        <sz val="11"/>
        <color theme="1"/>
        <rFont val="Calibri"/>
        <family val="2"/>
        <scheme val="minor"/>
      </rPr>
      <t>min</t>
    </r>
  </si>
  <si>
    <r>
      <t>b</t>
    </r>
    <r>
      <rPr>
        <sz val="11"/>
        <color theme="1"/>
        <rFont val="Calibri"/>
        <family val="2"/>
        <scheme val="minor"/>
      </rPr>
      <t>m</t>
    </r>
  </si>
  <si>
    <r>
      <t>maximale Abnehmeranschlußleistung inkl F</t>
    </r>
    <r>
      <rPr>
        <vertAlign val="subscript"/>
        <sz val="11"/>
        <rFont val="Calibri"/>
        <family val="2"/>
        <scheme val="minor"/>
      </rPr>
      <t>Glz</t>
    </r>
  </si>
  <si>
    <t>Vorlauftemperatur</t>
  </si>
  <si>
    <t>Rücklauftemperatur</t>
  </si>
  <si>
    <t>dT</t>
  </si>
  <si>
    <t>Spez. Wärmekapazität</t>
  </si>
  <si>
    <t>ρ</t>
  </si>
  <si>
    <t>Bestimmen Sie den benötigten Rohrdurchmesser bei einer Strömungsgeschwindigkeit von 1,5 m/s</t>
  </si>
  <si>
    <t>A</t>
  </si>
  <si>
    <t>d</t>
  </si>
  <si>
    <t>Dichte Wasser</t>
  </si>
  <si>
    <t>DN</t>
  </si>
  <si>
    <r>
      <t>D</t>
    </r>
    <r>
      <rPr>
        <b/>
        <vertAlign val="subscript"/>
        <sz val="12"/>
        <color theme="1"/>
        <rFont val="Arial"/>
        <family val="2"/>
      </rPr>
      <t>i</t>
    </r>
    <r>
      <rPr>
        <b/>
        <sz val="12"/>
        <color theme="1"/>
        <rFont val="Arial"/>
        <family val="2"/>
      </rPr>
      <t xml:space="preserve"> [mm]</t>
    </r>
  </si>
  <si>
    <r>
      <t>s</t>
    </r>
    <r>
      <rPr>
        <b/>
        <vertAlign val="subscript"/>
        <sz val="12"/>
        <color theme="1"/>
        <rFont val="Arial"/>
        <family val="2"/>
      </rPr>
      <t>Stahl</t>
    </r>
    <r>
      <rPr>
        <b/>
        <sz val="12"/>
        <color theme="1"/>
        <rFont val="Arial"/>
        <family val="2"/>
      </rPr>
      <t xml:space="preserve"> [mm]</t>
    </r>
  </si>
  <si>
    <r>
      <t>s</t>
    </r>
    <r>
      <rPr>
        <b/>
        <vertAlign val="subscript"/>
        <sz val="12"/>
        <color theme="1"/>
        <rFont val="Arial"/>
        <family val="2"/>
      </rPr>
      <t>WD</t>
    </r>
    <r>
      <rPr>
        <b/>
        <sz val="12"/>
        <color theme="1"/>
        <rFont val="Arial"/>
        <family val="2"/>
      </rPr>
      <t xml:space="preserve"> [mm]</t>
    </r>
  </si>
  <si>
    <t>DN 60</t>
  </si>
  <si>
    <t>DN 70</t>
  </si>
  <si>
    <t>DN 80</t>
  </si>
  <si>
    <t>DN 100</t>
  </si>
  <si>
    <t>DN 125</t>
  </si>
  <si>
    <t>DN 150</t>
  </si>
  <si>
    <t>DN 200</t>
  </si>
  <si>
    <t>DN 300</t>
  </si>
  <si>
    <t>DN 350</t>
  </si>
  <si>
    <t>DN 400</t>
  </si>
  <si>
    <t>DN 450</t>
  </si>
  <si>
    <t>DN 500</t>
  </si>
  <si>
    <t>Kältebedarf Verbraucher</t>
  </si>
  <si>
    <t>Wärmeverluste mit WD</t>
  </si>
  <si>
    <t>Wärmeverluste ohne WD</t>
  </si>
  <si>
    <t xml:space="preserve">Benötigter Durchmesser </t>
  </si>
  <si>
    <t>Strömungsgeschwindigkeit im Rohr</t>
  </si>
  <si>
    <t>Stahl Wärmeleitfähigkeit</t>
  </si>
  <si>
    <t>WD Wärmeleitfähigkeit</t>
  </si>
  <si>
    <t>Wärmeübergangskoeffizient Innen</t>
  </si>
  <si>
    <t>Wärmeübergangskoeffizient Außen</t>
  </si>
  <si>
    <t>Innenradius Stahlrohr</t>
  </si>
  <si>
    <t>Außenradius Stahlrohr</t>
  </si>
  <si>
    <t>Außenradius Wärmedämmung</t>
  </si>
  <si>
    <t>Vergleich Fernwärme</t>
  </si>
  <si>
    <t>Wärmeverlust</t>
  </si>
  <si>
    <t>Kosten [€/m]</t>
  </si>
  <si>
    <t>Wärmeverlust bei teilweise gedämmten und ungedämmten Rohrleitungen</t>
  </si>
  <si>
    <t>Auswahl DIN-Rohr</t>
  </si>
  <si>
    <r>
      <t>D</t>
    </r>
    <r>
      <rPr>
        <vertAlign val="subscript"/>
        <sz val="11"/>
        <color theme="1"/>
        <rFont val="Calibri"/>
        <family val="2"/>
        <scheme val="minor"/>
      </rPr>
      <t xml:space="preserve">i </t>
    </r>
  </si>
  <si>
    <t>Wärmeverluste mit VL WD, ohne RL WD</t>
  </si>
  <si>
    <t>Temmperaturspreizung</t>
  </si>
  <si>
    <t>Aufgabe 3: Pumpenstrombedarf und Druckverlust</t>
  </si>
  <si>
    <t>Druckverlust</t>
  </si>
  <si>
    <t>Maximaler Volumensstrom</t>
  </si>
  <si>
    <t>Pumpen-Wirkungsgrad</t>
  </si>
  <si>
    <t>Pascal</t>
  </si>
  <si>
    <t>Pumpenstrom</t>
  </si>
  <si>
    <t>Berechnen Sie die notwendige Pumpenleistung sowie den jährlichen Strombedarf für die Umwälzpumpen mit gedämmten Rohren.</t>
  </si>
  <si>
    <t>Druckverlust Netz</t>
  </si>
  <si>
    <t>Kühlbedarf inkl. Netzverluste</t>
  </si>
  <si>
    <t>Pumpenstrombedar</t>
  </si>
  <si>
    <t>Installierte Leistung Pumpe</t>
  </si>
  <si>
    <t xml:space="preserve">Baufeld </t>
  </si>
  <si>
    <t>Neubau</t>
  </si>
  <si>
    <t>Bestand FHTW-</t>
  </si>
  <si>
    <t xml:space="preserve">Bestand Blockrand </t>
  </si>
  <si>
    <t>Brigitta Passage</t>
  </si>
  <si>
    <t>Gesamt</t>
  </si>
  <si>
    <t>BGF [m²]</t>
  </si>
  <si>
    <t>NGF [m²]</t>
  </si>
  <si>
    <t>Wohnen</t>
  </si>
  <si>
    <t>Lebensmittelverkauf</t>
  </si>
  <si>
    <t>Fachgeschäft</t>
  </si>
  <si>
    <t>summe</t>
  </si>
  <si>
    <t>Sanitär /AR/Wege</t>
  </si>
  <si>
    <t>Sanitor/Ar/Wege</t>
  </si>
  <si>
    <t>Aufgabe 4: Energie</t>
  </si>
  <si>
    <t>Ermitteln Sie die thermische und elektrische Endenergie der Fernkälte Variante</t>
  </si>
  <si>
    <t>4.2.1</t>
  </si>
  <si>
    <t>4.2.2</t>
  </si>
  <si>
    <t>4.2.2b</t>
  </si>
  <si>
    <t>Ermitteln Sie die Endenergie von zwei weiteren Kältesystemen:</t>
  </si>
  <si>
    <t>Aufgabe 5: Thermischer Standard</t>
  </si>
  <si>
    <t>Nachdem Sie die drei Fernkälte-Systeme modelliert und analysiert haben, sehen Sie sich die Auswirkung der spezifischen Kältebedärfe der Nutzungen im Detail an. In der SIA Norm haben Sie bis jetzt den Standardwert für den Kühlbedarf einer derzeit konventionellen Planung verwendet. Berechnen Sie den End- und Primärenergiebedarf aller Varianten mit dem "Zielwert" der SIA für Klimakälteleistungsbedarf und jährlichen Klimakälte.</t>
  </si>
  <si>
    <t>Berechnen Sie die entsprechenden CO2-Emissionen für alle Varianten</t>
  </si>
  <si>
    <r>
      <t>4.2.1 Dezentrale</t>
    </r>
    <r>
      <rPr>
        <sz val="11"/>
        <color theme="1"/>
        <rFont val="Calibri"/>
        <family val="2"/>
        <scheme val="minor"/>
      </rPr>
      <t xml:space="preserve"> Kompressionskältemanschinen mit Rückkühlern auf den Dachflächen. Berücksichtigen Sie, dass sich aufgrund der Kleinteiligkeit der Anlagen der Gleichzeitigkeitsfaktor deutlich erhöht</t>
    </r>
  </si>
  <si>
    <r>
      <t>4.2.2 Anergienetz</t>
    </r>
    <r>
      <rPr>
        <sz val="11"/>
        <color theme="1"/>
        <rFont val="Calibri"/>
        <family val="2"/>
        <scheme val="minor"/>
      </rPr>
      <t xml:space="preserve"> auf selber Temperatur, aber Netz nur als Ring im Quartier, Kältequelle Erdsonden mit reversiblen Wärmepumpen. Die Kältebedärfe werden hier wieder gemeinsam gedeckt, es ergibt sich ein ebenso günstiger Gleichzeitigkeitsfaktor, wie bei der Fernkälte-Variante</t>
    </r>
  </si>
  <si>
    <t>Ermitteln Sie die Primärenergie und CO2 Emissionen der Varianten 4.1, 4.2.1 4.2.2 &amp; 4.2.2b</t>
  </si>
  <si>
    <t>grafisch schätzen</t>
  </si>
  <si>
    <t>Strom</t>
  </si>
  <si>
    <t>Wärme</t>
  </si>
  <si>
    <t>Variante Fernkält</t>
  </si>
  <si>
    <t>Dezentrale KKM</t>
  </si>
  <si>
    <t>Endenergie</t>
  </si>
  <si>
    <t>Primärenergie</t>
  </si>
  <si>
    <t>CO2-Emissionen</t>
  </si>
  <si>
    <t>Anergienetz 6-12°C</t>
  </si>
  <si>
    <t>Anergienetz 50% 15-20°C</t>
  </si>
  <si>
    <t>Anergienetz mit  50% der Betriebsdauer free-floating mit 15-20°C und 50% mit 6-12°C wie in Variante 4.2.2. Wie wirkt sich die Temperatur auf Rohrdurchmesser, End- und Primärenergie aus?</t>
  </si>
  <si>
    <t>Legen Sie für Zwischenrechnungen gegebenenfalls zusätzliche Blätter mit dem Namen der Aufgabe an, in die Sie die Berechnungsblätter der ersten Variante kopieren und als Ausgangsbasis verwenden</t>
  </si>
  <si>
    <t>tCO2eq/a</t>
  </si>
  <si>
    <t>4.3 Primärenergie und CO2-Emissionen</t>
  </si>
  <si>
    <t>Diskutieren Sie die Unterschiede. Was sind die kritischsten Parameter aus energetischer Sicht? Ist die Fernkälte primärenergetisch gesehen besser als eine dezentrale Kälteversorgung? Ist sie auch bezüglich ihrer THG Bilanz besser zu bewerten? Untermauern Sie ihre Analyse mit aussagekräftigen Diagrammen, in denen Sie die die Varianten in den drei Kennzahlen gegenüberstellen.</t>
  </si>
  <si>
    <t>Diskutieren Sie die Unterschiede</t>
  </si>
  <si>
    <t>5.2 Primärenergie und CO2-Emissionen</t>
  </si>
  <si>
    <t>bar</t>
  </si>
  <si>
    <t>Kühlbedarf (inkl. Verkuste)</t>
  </si>
  <si>
    <t>Kühlenergie</t>
  </si>
  <si>
    <t>JAZ</t>
  </si>
  <si>
    <t>Leistung</t>
  </si>
  <si>
    <t>Pumpenergie</t>
  </si>
  <si>
    <t>KKM elektrisch</t>
  </si>
  <si>
    <t>kWh Strom</t>
  </si>
  <si>
    <t>kWh FW</t>
  </si>
  <si>
    <t>KKM Dezentral</t>
  </si>
  <si>
    <t>Anergienetz</t>
  </si>
  <si>
    <t>Konversionsfaktoren</t>
  </si>
  <si>
    <t>kg/kWh</t>
  </si>
  <si>
    <t>kWh/kWh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</si>
</sst>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_-* #,##0_-;\-* #,##0_-;_-* &quot;-&quot;??_-;_-@_-"/>
    <numFmt numFmtId="165" formatCode="0.0"/>
    <numFmt numFmtId="166" formatCode="0.000"/>
    <numFmt numFmtId="167" formatCode="0.0000"/>
    <numFmt numFmtId="168" formatCode="0.000000"/>
  </numFmts>
  <fonts count="24"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b/>
      <sz val="11"/>
      <color rgb="FF3F3F3F"/>
      <name val="Calibri"/>
      <family val="2"/>
      <scheme val="minor"/>
    </font>
    <font>
      <i/>
      <sz val="11"/>
      <color rgb="FF7F7F7F"/>
      <name val="Calibri"/>
      <family val="2"/>
      <scheme val="minor"/>
    </font>
    <font>
      <sz val="12"/>
      <color theme="1"/>
      <name val="Arial"/>
      <family val="2"/>
    </font>
    <font>
      <sz val="10"/>
      <name val="Arial"/>
      <family val="2"/>
    </font>
    <font>
      <sz val="9"/>
      <color indexed="81"/>
      <name val="Segoe UI"/>
      <family val="2"/>
    </font>
    <font>
      <b/>
      <sz val="9"/>
      <color indexed="81"/>
      <name val="Segoe UI"/>
      <family val="2"/>
    </font>
    <font>
      <sz val="11"/>
      <color theme="1"/>
      <name val="Arial"/>
      <family val="2"/>
    </font>
    <font>
      <sz val="10"/>
      <name val="Calibri"/>
      <family val="2"/>
      <scheme val="minor"/>
    </font>
    <font>
      <sz val="11"/>
      <name val="Calibri"/>
      <family val="2"/>
      <scheme val="minor"/>
    </font>
    <font>
      <vertAlign val="subscript"/>
      <sz val="11"/>
      <name val="Calibri"/>
      <family val="2"/>
      <scheme val="minor"/>
    </font>
    <font>
      <sz val="11"/>
      <color theme="1"/>
      <name val="Calibri"/>
      <family val="2"/>
    </font>
    <font>
      <b/>
      <sz val="12"/>
      <color theme="1"/>
      <name val="Arial"/>
      <family val="2"/>
    </font>
    <font>
      <b/>
      <vertAlign val="subscript"/>
      <sz val="12"/>
      <color theme="1"/>
      <name val="Arial"/>
      <family val="2"/>
    </font>
    <font>
      <vertAlign val="subscript"/>
      <sz val="11"/>
      <color theme="1"/>
      <name val="Calibri"/>
      <family val="2"/>
      <scheme val="minor"/>
    </font>
    <font>
      <b/>
      <sz val="11"/>
      <color theme="5" tint="-0.499984740745262"/>
      <name val="Calibri"/>
      <family val="2"/>
      <scheme val="minor"/>
    </font>
    <font>
      <b/>
      <sz val="10"/>
      <color rgb="FF000000"/>
      <name val="Calibri"/>
      <family val="2"/>
    </font>
    <font>
      <b/>
      <i/>
      <sz val="10"/>
      <color rgb="FF000000"/>
      <name val="Calibri"/>
      <family val="2"/>
    </font>
    <font>
      <sz val="10"/>
      <color rgb="FF000000"/>
      <name val="Calibri"/>
      <family val="2"/>
    </font>
  </fonts>
  <fills count="20">
    <fill>
      <patternFill patternType="none"/>
    </fill>
    <fill>
      <patternFill patternType="gray125"/>
    </fill>
    <fill>
      <patternFill patternType="solid">
        <fgColor rgb="FFFFCC99"/>
      </patternFill>
    </fill>
    <fill>
      <patternFill patternType="solid">
        <fgColor rgb="FFF2F2F2"/>
      </patternFill>
    </fill>
    <fill>
      <patternFill patternType="solid">
        <fgColor theme="9" tint="0.79998168889431442"/>
        <bgColor indexed="64"/>
      </patternFill>
    </fill>
    <fill>
      <patternFill patternType="solid">
        <fgColor rgb="FF00B0F0"/>
        <bgColor indexed="64"/>
      </patternFill>
    </fill>
    <fill>
      <patternFill patternType="solid">
        <fgColor theme="9" tint="0.59999389629810485"/>
        <bgColor indexed="64"/>
      </patternFill>
    </fill>
    <fill>
      <patternFill patternType="solid">
        <fgColor rgb="FFF2F2F2"/>
        <bgColor indexed="64"/>
      </patternFill>
    </fill>
    <fill>
      <patternFill patternType="solid">
        <fgColor rgb="FF4F81BD"/>
        <bgColor indexed="64"/>
      </patternFill>
    </fill>
    <fill>
      <patternFill patternType="solid">
        <fgColor rgb="FFFFFFFF"/>
        <bgColor indexed="64"/>
      </patternFill>
    </fill>
    <fill>
      <patternFill patternType="solid">
        <fgColor rgb="FFEAF1DD"/>
        <bgColor indexed="64"/>
      </patternFill>
    </fill>
    <fill>
      <patternFill patternType="solid">
        <fgColor rgb="FFE5B8B7"/>
        <bgColor indexed="64"/>
      </patternFill>
    </fill>
    <fill>
      <patternFill patternType="solid">
        <fgColor rgb="FFFBD4B4"/>
        <bgColor indexed="64"/>
      </patternFill>
    </fill>
    <fill>
      <patternFill patternType="solid">
        <fgColor theme="2" tint="-9.9978637043366805E-2"/>
        <bgColor indexed="64"/>
      </patternFill>
    </fill>
    <fill>
      <patternFill patternType="solid">
        <fgColor theme="0"/>
        <bgColor indexed="64"/>
      </patternFill>
    </fill>
    <fill>
      <patternFill patternType="solid">
        <fgColor them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4" tint="0.59999389629810485"/>
        <bgColor indexed="64"/>
      </patternFill>
    </fill>
  </fills>
  <borders count="93">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rgb="FF7F7F7F"/>
      </right>
      <top style="thin">
        <color rgb="FF7F7F7F"/>
      </top>
      <bottom style="thin">
        <color rgb="FF7F7F7F"/>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top style="medium">
        <color indexed="64"/>
      </top>
      <bottom/>
      <diagonal/>
    </border>
    <border>
      <left style="thin">
        <color rgb="FF7F7F7F"/>
      </left>
      <right style="thin">
        <color rgb="FF7F7F7F"/>
      </right>
      <top style="medium">
        <color indexed="64"/>
      </top>
      <bottom style="thin">
        <color rgb="FF7F7F7F"/>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style="thin">
        <color rgb="FF7F7F7F"/>
      </left>
      <right style="thin">
        <color rgb="FF7F7F7F"/>
      </right>
      <top style="thin">
        <color rgb="FF7F7F7F"/>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thin">
        <color rgb="FF7F7F7F"/>
      </left>
      <right style="medium">
        <color indexed="64"/>
      </right>
      <top style="thin">
        <color rgb="FF7F7F7F"/>
      </top>
      <bottom style="thin">
        <color rgb="FF7F7F7F"/>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medium">
        <color indexed="64"/>
      </bottom>
      <diagonal/>
    </border>
    <border>
      <left style="thin">
        <color rgb="FF7F7F7F"/>
      </left>
      <right style="thin">
        <color rgb="FF7F7F7F"/>
      </right>
      <top/>
      <bottom style="medium">
        <color indexed="64"/>
      </bottom>
      <diagonal/>
    </border>
    <border>
      <left style="thin">
        <color rgb="FF7F7F7F"/>
      </left>
      <right style="medium">
        <color indexed="64"/>
      </right>
      <top/>
      <bottom style="medium">
        <color indexed="64"/>
      </bottom>
      <diagonal/>
    </border>
    <border>
      <left style="thin">
        <color rgb="FF7F7F7F"/>
      </left>
      <right style="thin">
        <color rgb="FF7F7F7F"/>
      </right>
      <top style="thin">
        <color rgb="FF7F7F7F"/>
      </top>
      <bottom style="double">
        <color indexed="64"/>
      </bottom>
      <diagonal/>
    </border>
    <border>
      <left style="thin">
        <color rgb="FF7F7F7F"/>
      </left>
      <right style="medium">
        <color indexed="64"/>
      </right>
      <top style="thin">
        <color rgb="FF7F7F7F"/>
      </top>
      <bottom style="double">
        <color indexed="64"/>
      </bottom>
      <diagonal/>
    </border>
    <border>
      <left style="medium">
        <color indexed="64"/>
      </left>
      <right/>
      <top style="medium">
        <color indexed="64"/>
      </top>
      <bottom style="thick">
        <color theme="4" tint="0.499984740745262"/>
      </bottom>
      <diagonal/>
    </border>
    <border>
      <left/>
      <right/>
      <top style="medium">
        <color indexed="64"/>
      </top>
      <bottom style="thick">
        <color theme="4" tint="0.499984740745262"/>
      </bottom>
      <diagonal/>
    </border>
    <border>
      <left/>
      <right style="medium">
        <color indexed="64"/>
      </right>
      <top style="medium">
        <color indexed="64"/>
      </top>
      <bottom style="thick">
        <color theme="4" tint="0.499984740745262"/>
      </bottom>
      <diagonal/>
    </border>
    <border>
      <left style="thin">
        <color rgb="FF3F3F3F"/>
      </left>
      <right style="thin">
        <color rgb="FF3F3F3F"/>
      </right>
      <top style="thin">
        <color rgb="FF3F3F3F"/>
      </top>
      <bottom style="medium">
        <color indexed="64"/>
      </bottom>
      <diagonal/>
    </border>
    <border>
      <left style="medium">
        <color indexed="64"/>
      </left>
      <right/>
      <top/>
      <bottom style="thick">
        <color theme="4" tint="0.499984740745262"/>
      </bottom>
      <diagonal/>
    </border>
    <border>
      <left/>
      <right style="medium">
        <color indexed="64"/>
      </right>
      <top/>
      <bottom style="thick">
        <color theme="4" tint="0.499984740745262"/>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rgb="FF4F81BD"/>
      </left>
      <right/>
      <top style="medium">
        <color rgb="FF4F81BD"/>
      </top>
      <bottom/>
      <diagonal/>
    </border>
    <border>
      <left/>
      <right/>
      <top style="medium">
        <color rgb="FF4F81BD"/>
      </top>
      <bottom/>
      <diagonal/>
    </border>
    <border>
      <left/>
      <right style="medium">
        <color rgb="FF4F81BD"/>
      </right>
      <top style="medium">
        <color rgb="FF4F81BD"/>
      </top>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bottom style="medium">
        <color rgb="FF4F81BD"/>
      </bottom>
      <diagonal/>
    </border>
    <border>
      <left/>
      <right/>
      <top/>
      <bottom style="medium">
        <color rgb="FF4F81BD"/>
      </bottom>
      <diagonal/>
    </border>
    <border>
      <left/>
      <right style="medium">
        <color rgb="FF4F81BD"/>
      </right>
      <top/>
      <bottom style="medium">
        <color rgb="FF4F81BD"/>
      </bottom>
      <diagonal/>
    </border>
    <border>
      <left style="medium">
        <color rgb="FF4F81BD"/>
      </left>
      <right/>
      <top/>
      <bottom/>
      <diagonal/>
    </border>
    <border>
      <left style="thin">
        <color rgb="FF7F7F7F"/>
      </left>
      <right/>
      <top/>
      <bottom/>
      <diagonal/>
    </border>
    <border>
      <left/>
      <right style="thin">
        <color rgb="FF7F7F7F"/>
      </right>
      <top/>
      <bottom/>
      <diagonal/>
    </border>
    <border>
      <left style="thin">
        <color rgb="FF3F3F3F"/>
      </left>
      <right style="medium">
        <color indexed="64"/>
      </right>
      <top style="thin">
        <color rgb="FF3F3F3F"/>
      </top>
      <bottom style="thin">
        <color rgb="FF3F3F3F"/>
      </bottom>
      <diagonal/>
    </border>
    <border>
      <left style="thin">
        <color rgb="FF3F3F3F"/>
      </left>
      <right style="medium">
        <color indexed="64"/>
      </right>
      <top style="thin">
        <color rgb="FF3F3F3F"/>
      </top>
      <bottom style="medium">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thin">
        <color rgb="FF3F3F3F"/>
      </left>
      <right/>
      <top style="thin">
        <color rgb="FF3F3F3F"/>
      </top>
      <bottom style="thin">
        <color rgb="FF3F3F3F"/>
      </bottom>
      <diagonal/>
    </border>
    <border>
      <left style="thin">
        <color rgb="FF3F3F3F"/>
      </left>
      <right/>
      <top style="thin">
        <color rgb="FF3F3F3F"/>
      </top>
      <bottom style="medium">
        <color indexed="64"/>
      </bottom>
      <diagonal/>
    </border>
    <border>
      <left style="thin">
        <color indexed="64"/>
      </left>
      <right style="thin">
        <color rgb="FF7F7F7F"/>
      </right>
      <top style="thin">
        <color rgb="FF7F7F7F"/>
      </top>
      <bottom style="medium">
        <color indexed="64"/>
      </bottom>
      <diagonal/>
    </border>
    <border>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3F3F3F"/>
      </left>
      <right/>
      <top/>
      <bottom style="thin">
        <color rgb="FF3F3F3F"/>
      </bottom>
      <diagonal/>
    </border>
    <border>
      <left/>
      <right/>
      <top/>
      <bottom style="thin">
        <color rgb="FF3F3F3F"/>
      </bottom>
      <diagonal/>
    </border>
    <border>
      <left/>
      <right style="thin">
        <color rgb="FF3F3F3F"/>
      </right>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indexed="64"/>
      </left>
      <right style="medium">
        <color indexed="64"/>
      </right>
      <top/>
      <bottom style="thin">
        <color indexed="64"/>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style="medium">
        <color indexed="64"/>
      </bottom>
      <diagonal/>
    </border>
    <border>
      <left/>
      <right style="thin">
        <color indexed="64"/>
      </right>
      <top style="thin">
        <color indexed="64"/>
      </top>
      <bottom style="medium">
        <color indexed="64"/>
      </bottom>
      <diagonal/>
    </border>
    <border>
      <left style="thin">
        <color rgb="FF7F7F7F"/>
      </left>
      <right style="medium">
        <color indexed="64"/>
      </right>
      <top style="thin">
        <color rgb="FF7F7F7F"/>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s>
  <cellStyleXfs count="9">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0" applyNumberFormat="0" applyFill="0" applyBorder="0" applyAlignment="0" applyProtection="0"/>
    <xf numFmtId="0" fontId="5" fillId="2" borderId="3" applyNumberFormat="0" applyAlignment="0" applyProtection="0"/>
    <xf numFmtId="0" fontId="6" fillId="4" borderId="4" applyNumberFormat="0" applyAlignment="0" applyProtection="0"/>
    <xf numFmtId="0" fontId="20" fillId="3" borderId="3" applyNumberFormat="0" applyAlignment="0" applyProtection="0"/>
    <xf numFmtId="0" fontId="7" fillId="0" borderId="0" applyNumberFormat="0" applyFill="0" applyBorder="0" applyAlignment="0" applyProtection="0"/>
    <xf numFmtId="43" fontId="1" fillId="0" borderId="0" applyFont="0" applyFill="0" applyBorder="0" applyAlignment="0" applyProtection="0"/>
  </cellStyleXfs>
  <cellXfs count="276">
    <xf numFmtId="0" fontId="0" fillId="0" borderId="0" xfId="0"/>
    <xf numFmtId="0" fontId="2" fillId="0" borderId="1" xfId="1"/>
    <xf numFmtId="0" fontId="3" fillId="0" borderId="2" xfId="2"/>
    <xf numFmtId="0" fontId="6" fillId="4" borderId="4" xfId="5"/>
    <xf numFmtId="0" fontId="0" fillId="0" borderId="0" xfId="0" applyAlignment="1">
      <alignment wrapText="1"/>
    </xf>
    <xf numFmtId="0" fontId="0" fillId="0" borderId="5" xfId="0" applyBorder="1"/>
    <xf numFmtId="0" fontId="5" fillId="2" borderId="3" xfId="4" applyAlignment="1">
      <alignment wrapText="1"/>
    </xf>
    <xf numFmtId="0" fontId="20" fillId="3" borderId="3" xfId="6" applyAlignment="1">
      <alignment wrapText="1"/>
    </xf>
    <xf numFmtId="0" fontId="6" fillId="4" borderId="4" xfId="5" applyAlignment="1">
      <alignment wrapText="1"/>
    </xf>
    <xf numFmtId="0" fontId="9" fillId="0" borderId="7" xfId="0" applyFont="1" applyFill="1" applyBorder="1"/>
    <xf numFmtId="0" fontId="0" fillId="0" borderId="7" xfId="0" applyBorder="1"/>
    <xf numFmtId="0" fontId="0" fillId="0" borderId="9" xfId="0" applyBorder="1"/>
    <xf numFmtId="0" fontId="0" fillId="0" borderId="8" xfId="0" applyBorder="1"/>
    <xf numFmtId="43" fontId="0" fillId="0" borderId="0" xfId="0" applyNumberFormat="1"/>
    <xf numFmtId="2" fontId="0" fillId="0" borderId="0" xfId="0" applyNumberFormat="1"/>
    <xf numFmtId="165" fontId="20" fillId="3" borderId="3" xfId="6" applyNumberFormat="1" applyBorder="1"/>
    <xf numFmtId="0" fontId="20" fillId="3" borderId="3" xfId="6" applyBorder="1"/>
    <xf numFmtId="166" fontId="20" fillId="3" borderId="3" xfId="6" applyNumberFormat="1" applyBorder="1"/>
    <xf numFmtId="0" fontId="4" fillId="0" borderId="0" xfId="3" applyBorder="1" applyAlignment="1">
      <alignment horizontal="center"/>
    </xf>
    <xf numFmtId="166" fontId="20" fillId="3" borderId="7" xfId="6" applyNumberFormat="1" applyBorder="1"/>
    <xf numFmtId="43" fontId="20" fillId="3" borderId="7" xfId="6" applyNumberFormat="1" applyBorder="1"/>
    <xf numFmtId="3" fontId="5" fillId="2" borderId="7" xfId="4" applyNumberFormat="1" applyBorder="1" applyAlignment="1" applyProtection="1">
      <alignment horizontal="right"/>
      <protection locked="0"/>
    </xf>
    <xf numFmtId="165" fontId="20" fillId="3" borderId="7" xfId="6" applyNumberFormat="1" applyBorder="1"/>
    <xf numFmtId="0" fontId="20" fillId="3" borderId="7" xfId="6" applyBorder="1"/>
    <xf numFmtId="0" fontId="4" fillId="0" borderId="15" xfId="3" applyBorder="1" applyAlignment="1">
      <alignment horizontal="center"/>
    </xf>
    <xf numFmtId="0" fontId="4" fillId="0" borderId="12" xfId="3" applyBorder="1" applyAlignment="1">
      <alignment horizontal="center"/>
    </xf>
    <xf numFmtId="0" fontId="7" fillId="0" borderId="16" xfId="7" applyBorder="1" applyAlignment="1">
      <alignment horizontal="center"/>
    </xf>
    <xf numFmtId="0" fontId="7" fillId="0" borderId="17" xfId="7" applyBorder="1" applyAlignment="1">
      <alignment horizontal="center"/>
    </xf>
    <xf numFmtId="0" fontId="4" fillId="0" borderId="18" xfId="3" applyBorder="1" applyAlignment="1">
      <alignment horizontal="center"/>
    </xf>
    <xf numFmtId="0" fontId="7" fillId="0" borderId="11" xfId="7" applyBorder="1" applyAlignment="1">
      <alignment horizontal="center"/>
    </xf>
    <xf numFmtId="165" fontId="20" fillId="3" borderId="19" xfId="6" applyNumberFormat="1" applyBorder="1"/>
    <xf numFmtId="165" fontId="20" fillId="3" borderId="20" xfId="6" applyNumberFormat="1" applyBorder="1"/>
    <xf numFmtId="165" fontId="20" fillId="3" borderId="21" xfId="6" applyNumberFormat="1" applyBorder="1"/>
    <xf numFmtId="0" fontId="20" fillId="3" borderId="19" xfId="6" applyBorder="1"/>
    <xf numFmtId="0" fontId="4" fillId="0" borderId="18" xfId="3" applyBorder="1"/>
    <xf numFmtId="0" fontId="7" fillId="0" borderId="11" xfId="7" applyFill="1" applyBorder="1" applyAlignment="1">
      <alignment horizontal="center"/>
    </xf>
    <xf numFmtId="0" fontId="4" fillId="0" borderId="22" xfId="3" applyBorder="1" applyAlignment="1">
      <alignment horizontal="center"/>
    </xf>
    <xf numFmtId="0" fontId="4" fillId="0" borderId="23" xfId="3" applyBorder="1" applyAlignment="1">
      <alignment horizontal="center"/>
    </xf>
    <xf numFmtId="0" fontId="4" fillId="0" borderId="23" xfId="3" applyBorder="1"/>
    <xf numFmtId="0" fontId="0" fillId="0" borderId="24" xfId="0" applyBorder="1"/>
    <xf numFmtId="1" fontId="5" fillId="2" borderId="25" xfId="4" applyNumberFormat="1" applyBorder="1"/>
    <xf numFmtId="0" fontId="0" fillId="0" borderId="26" xfId="0" applyBorder="1"/>
    <xf numFmtId="0" fontId="0" fillId="0" borderId="0" xfId="0" applyBorder="1"/>
    <xf numFmtId="164" fontId="20" fillId="3" borderId="3" xfId="6" applyNumberFormat="1" applyBorder="1"/>
    <xf numFmtId="0" fontId="0" fillId="0" borderId="27" xfId="0" applyBorder="1"/>
    <xf numFmtId="2" fontId="5" fillId="2" borderId="3" xfId="4" applyNumberFormat="1" applyBorder="1"/>
    <xf numFmtId="0" fontId="0" fillId="0" borderId="28" xfId="0" applyBorder="1"/>
    <xf numFmtId="168" fontId="20" fillId="3" borderId="29" xfId="6" applyNumberFormat="1" applyBorder="1"/>
    <xf numFmtId="0" fontId="0" fillId="0" borderId="30" xfId="0" applyBorder="1"/>
    <xf numFmtId="1" fontId="20" fillId="3" borderId="25" xfId="6" applyNumberFormat="1" applyBorder="1"/>
    <xf numFmtId="1" fontId="20" fillId="3" borderId="3" xfId="6" applyNumberFormat="1" applyBorder="1"/>
    <xf numFmtId="0" fontId="5" fillId="2" borderId="3" xfId="4" applyBorder="1"/>
    <xf numFmtId="1" fontId="20" fillId="3" borderId="29" xfId="6" applyNumberFormat="1" applyBorder="1"/>
    <xf numFmtId="0" fontId="0" fillId="0" borderId="31" xfId="0" applyBorder="1"/>
    <xf numFmtId="0" fontId="0" fillId="0" borderId="32" xfId="0" applyBorder="1"/>
    <xf numFmtId="164" fontId="20" fillId="3" borderId="33" xfId="6" applyNumberFormat="1" applyBorder="1"/>
    <xf numFmtId="0" fontId="0" fillId="0" borderId="34" xfId="0" applyBorder="1"/>
    <xf numFmtId="0" fontId="0" fillId="0" borderId="36" xfId="0" applyBorder="1"/>
    <xf numFmtId="0" fontId="0" fillId="0" borderId="31" xfId="0" applyBorder="1" applyAlignment="1">
      <alignment wrapText="1"/>
    </xf>
    <xf numFmtId="0" fontId="0" fillId="0" borderId="24" xfId="0" applyBorder="1" applyAlignment="1">
      <alignment wrapText="1"/>
    </xf>
    <xf numFmtId="0" fontId="0" fillId="0" borderId="26" xfId="0" applyBorder="1" applyAlignment="1">
      <alignment wrapText="1"/>
    </xf>
    <xf numFmtId="0" fontId="7" fillId="0" borderId="36" xfId="7" applyBorder="1"/>
    <xf numFmtId="0" fontId="7" fillId="0" borderId="28" xfId="7" applyBorder="1"/>
    <xf numFmtId="0" fontId="7" fillId="0" borderId="30" xfId="7" applyBorder="1"/>
    <xf numFmtId="1" fontId="20" fillId="3" borderId="37" xfId="6" applyNumberFormat="1" applyBorder="1"/>
    <xf numFmtId="165" fontId="20" fillId="3" borderId="37" xfId="6" applyNumberFormat="1" applyBorder="1"/>
    <xf numFmtId="1" fontId="20" fillId="3" borderId="38" xfId="6" applyNumberFormat="1" applyBorder="1"/>
    <xf numFmtId="0" fontId="5" fillId="2" borderId="39" xfId="4" applyBorder="1"/>
    <xf numFmtId="164" fontId="20" fillId="3" borderId="39" xfId="6" applyNumberFormat="1" applyBorder="1"/>
    <xf numFmtId="164" fontId="20" fillId="3" borderId="40" xfId="6" applyNumberFormat="1" applyBorder="1"/>
    <xf numFmtId="0" fontId="0" fillId="0" borderId="0" xfId="0" applyFont="1"/>
    <xf numFmtId="0" fontId="0" fillId="0" borderId="0" xfId="0" applyFont="1" applyBorder="1"/>
    <xf numFmtId="0" fontId="14" fillId="0" borderId="0" xfId="0" applyFont="1" applyFill="1" applyBorder="1"/>
    <xf numFmtId="0" fontId="0" fillId="0" borderId="0" xfId="0" applyFont="1" applyFill="1" applyBorder="1"/>
    <xf numFmtId="0" fontId="13" fillId="0" borderId="31" xfId="0" applyFont="1" applyBorder="1"/>
    <xf numFmtId="0" fontId="0" fillId="0" borderId="24" xfId="0" applyFont="1" applyBorder="1"/>
    <xf numFmtId="0" fontId="13" fillId="0" borderId="32" xfId="0" applyFont="1" applyBorder="1"/>
    <xf numFmtId="0" fontId="0" fillId="0" borderId="32" xfId="0" applyFont="1" applyBorder="1"/>
    <xf numFmtId="0" fontId="0" fillId="0" borderId="32" xfId="0" applyFont="1" applyFill="1" applyBorder="1"/>
    <xf numFmtId="0" fontId="13" fillId="0" borderId="36" xfId="0" applyFont="1" applyBorder="1"/>
    <xf numFmtId="0" fontId="0" fillId="0" borderId="28" xfId="0" applyFont="1" applyFill="1" applyBorder="1"/>
    <xf numFmtId="0" fontId="0" fillId="0" borderId="31" xfId="0" applyFont="1" applyBorder="1"/>
    <xf numFmtId="0" fontId="14" fillId="0" borderId="24" xfId="0" applyFont="1" applyBorder="1"/>
    <xf numFmtId="0" fontId="14" fillId="0" borderId="32" xfId="0" applyFont="1" applyBorder="1"/>
    <xf numFmtId="0" fontId="0" fillId="0" borderId="36" xfId="0" applyFont="1" applyBorder="1"/>
    <xf numFmtId="0" fontId="14" fillId="0" borderId="28" xfId="0" applyFont="1" applyFill="1" applyBorder="1"/>
    <xf numFmtId="0" fontId="17" fillId="0" borderId="31" xfId="0" applyFont="1" applyBorder="1" applyAlignment="1">
      <alignment vertical="center" wrapText="1"/>
    </xf>
    <xf numFmtId="0" fontId="17" fillId="0" borderId="24" xfId="0" applyFont="1" applyBorder="1" applyAlignment="1">
      <alignment vertical="center" wrapText="1"/>
    </xf>
    <xf numFmtId="0" fontId="17" fillId="0" borderId="26" xfId="0" applyFont="1" applyBorder="1" applyAlignment="1">
      <alignment vertical="center" wrapText="1"/>
    </xf>
    <xf numFmtId="0" fontId="17" fillId="7" borderId="32" xfId="0" applyFont="1" applyFill="1" applyBorder="1" applyAlignment="1">
      <alignment vertical="center" wrapText="1"/>
    </xf>
    <xf numFmtId="0" fontId="8" fillId="7" borderId="0" xfId="0" applyFont="1" applyFill="1" applyBorder="1" applyAlignment="1">
      <alignment vertical="center" wrapText="1"/>
    </xf>
    <xf numFmtId="0" fontId="8" fillId="7" borderId="27" xfId="0" applyFont="1" applyFill="1" applyBorder="1" applyAlignment="1">
      <alignment vertical="center" wrapText="1"/>
    </xf>
    <xf numFmtId="0" fontId="17" fillId="0" borderId="32" xfId="0" applyFont="1" applyBorder="1" applyAlignment="1">
      <alignment vertical="center" wrapText="1"/>
    </xf>
    <xf numFmtId="0" fontId="8" fillId="0" borderId="0" xfId="0" applyFont="1" applyBorder="1" applyAlignment="1">
      <alignment vertical="center" wrapText="1"/>
    </xf>
    <xf numFmtId="0" fontId="8" fillId="0" borderId="27" xfId="0" applyFont="1" applyBorder="1" applyAlignment="1">
      <alignment vertical="center" wrapText="1"/>
    </xf>
    <xf numFmtId="0" fontId="17" fillId="6" borderId="32" xfId="0" applyFont="1" applyFill="1" applyBorder="1" applyAlignment="1">
      <alignment vertical="center" wrapText="1"/>
    </xf>
    <xf numFmtId="0" fontId="8" fillId="6" borderId="0" xfId="0" applyFont="1" applyFill="1" applyBorder="1" applyAlignment="1">
      <alignment vertical="center" wrapText="1"/>
    </xf>
    <xf numFmtId="0" fontId="8" fillId="6" borderId="27" xfId="0" applyFont="1" applyFill="1" applyBorder="1" applyAlignment="1">
      <alignment vertical="center" wrapText="1"/>
    </xf>
    <xf numFmtId="0" fontId="17" fillId="6" borderId="36" xfId="0" applyFont="1" applyFill="1" applyBorder="1" applyAlignment="1">
      <alignment vertical="center" wrapText="1"/>
    </xf>
    <xf numFmtId="0" fontId="8" fillId="6" borderId="28" xfId="0" applyFont="1" applyFill="1" applyBorder="1" applyAlignment="1">
      <alignment vertical="center" wrapText="1"/>
    </xf>
    <xf numFmtId="0" fontId="8" fillId="6" borderId="30" xfId="0" applyFont="1" applyFill="1" applyBorder="1" applyAlignment="1">
      <alignment vertical="center" wrapText="1"/>
    </xf>
    <xf numFmtId="0" fontId="3" fillId="0" borderId="41" xfId="2" applyBorder="1"/>
    <xf numFmtId="0" fontId="3" fillId="0" borderId="42" xfId="2" applyBorder="1"/>
    <xf numFmtId="0" fontId="3" fillId="0" borderId="43" xfId="2" applyBorder="1"/>
    <xf numFmtId="2" fontId="20" fillId="3" borderId="3" xfId="6" applyNumberFormat="1" applyBorder="1"/>
    <xf numFmtId="0" fontId="16" fillId="0" borderId="32" xfId="0" applyFont="1" applyBorder="1"/>
    <xf numFmtId="167" fontId="20" fillId="3" borderId="3" xfId="6" applyNumberFormat="1" applyBorder="1"/>
    <xf numFmtId="166" fontId="6" fillId="4" borderId="4" xfId="5" applyNumberFormat="1" applyBorder="1"/>
    <xf numFmtId="0" fontId="6" fillId="4" borderId="4" xfId="5" applyBorder="1"/>
    <xf numFmtId="0" fontId="6" fillId="4" borderId="4" xfId="5" applyBorder="1" applyAlignment="1">
      <alignment vertical="center" wrapText="1"/>
    </xf>
    <xf numFmtId="165" fontId="6" fillId="4" borderId="4" xfId="5" applyNumberFormat="1" applyBorder="1"/>
    <xf numFmtId="166" fontId="6" fillId="4" borderId="44" xfId="5" applyNumberFormat="1" applyBorder="1"/>
    <xf numFmtId="0" fontId="7" fillId="0" borderId="0" xfId="7" applyBorder="1"/>
    <xf numFmtId="0" fontId="7" fillId="0" borderId="27" xfId="7" applyBorder="1"/>
    <xf numFmtId="0" fontId="3" fillId="0" borderId="45" xfId="2" applyBorder="1"/>
    <xf numFmtId="0" fontId="3" fillId="0" borderId="2" xfId="2" applyBorder="1"/>
    <xf numFmtId="0" fontId="7" fillId="0" borderId="46" xfId="7" applyBorder="1"/>
    <xf numFmtId="0" fontId="6" fillId="4" borderId="44" xfId="5" applyBorder="1"/>
    <xf numFmtId="2" fontId="20" fillId="3" borderId="7" xfId="6" applyNumberFormat="1" applyBorder="1"/>
    <xf numFmtId="1" fontId="20" fillId="3" borderId="7" xfId="6" applyNumberFormat="1" applyBorder="1"/>
    <xf numFmtId="0" fontId="4" fillId="0" borderId="47" xfId="3" applyBorder="1" applyAlignment="1">
      <alignment horizontal="center"/>
    </xf>
    <xf numFmtId="0" fontId="4" fillId="0" borderId="24" xfId="3" applyBorder="1" applyAlignment="1">
      <alignment horizontal="center"/>
    </xf>
    <xf numFmtId="0" fontId="4" fillId="0" borderId="48" xfId="3" applyBorder="1"/>
    <xf numFmtId="0" fontId="4" fillId="0" borderId="51" xfId="3" applyBorder="1" applyAlignment="1">
      <alignment horizontal="center"/>
    </xf>
    <xf numFmtId="0" fontId="7" fillId="0" borderId="10" xfId="7" applyBorder="1" applyAlignment="1">
      <alignment horizontal="center"/>
    </xf>
    <xf numFmtId="0" fontId="7" fillId="0" borderId="53" xfId="7" applyBorder="1" applyAlignment="1">
      <alignment horizontal="center"/>
    </xf>
    <xf numFmtId="3" fontId="5" fillId="2" borderId="6" xfId="4" applyNumberFormat="1" applyBorder="1" applyAlignment="1" applyProtection="1">
      <alignment horizontal="right"/>
      <protection locked="0"/>
    </xf>
    <xf numFmtId="165" fontId="20" fillId="3" borderId="54" xfId="6" applyNumberFormat="1" applyBorder="1"/>
    <xf numFmtId="9" fontId="5" fillId="2" borderId="3" xfId="4" applyNumberFormat="1" applyBorder="1"/>
    <xf numFmtId="1" fontId="5" fillId="2" borderId="3" xfId="4" applyNumberFormat="1" applyBorder="1"/>
    <xf numFmtId="2" fontId="6" fillId="4" borderId="4" xfId="5" applyNumberFormat="1" applyBorder="1"/>
    <xf numFmtId="0" fontId="21" fillId="8" borderId="55" xfId="0" applyFont="1" applyFill="1" applyBorder="1" applyAlignment="1">
      <alignment horizontal="center" vertical="center"/>
    </xf>
    <xf numFmtId="0" fontId="22" fillId="8" borderId="56" xfId="0" applyFont="1" applyFill="1" applyBorder="1" applyAlignment="1">
      <alignment horizontal="center" vertical="center"/>
    </xf>
    <xf numFmtId="0" fontId="21" fillId="8" borderId="56" xfId="0" applyFont="1" applyFill="1" applyBorder="1" applyAlignment="1">
      <alignment horizontal="center" vertical="center" wrapText="1"/>
    </xf>
    <xf numFmtId="0" fontId="21" fillId="8" borderId="56" xfId="0" applyFont="1" applyFill="1" applyBorder="1" applyAlignment="1">
      <alignment horizontal="center" vertical="center"/>
    </xf>
    <xf numFmtId="0" fontId="21" fillId="8" borderId="57" xfId="0" applyFont="1" applyFill="1" applyBorder="1" applyAlignment="1">
      <alignment horizontal="center" vertical="center"/>
    </xf>
    <xf numFmtId="0" fontId="21" fillId="9" borderId="58" xfId="0" applyFont="1" applyFill="1" applyBorder="1" applyAlignment="1">
      <alignment horizontal="center" vertical="center"/>
    </xf>
    <xf numFmtId="3" fontId="23" fillId="5" borderId="59" xfId="0" applyNumberFormat="1" applyFont="1" applyFill="1" applyBorder="1" applyAlignment="1">
      <alignment horizontal="center" vertical="center"/>
    </xf>
    <xf numFmtId="3" fontId="23" fillId="10" borderId="59" xfId="0" applyNumberFormat="1" applyFont="1" applyFill="1" applyBorder="1" applyAlignment="1">
      <alignment horizontal="center" vertical="center"/>
    </xf>
    <xf numFmtId="3" fontId="23" fillId="11" borderId="59" xfId="0" applyNumberFormat="1" applyFont="1" applyFill="1" applyBorder="1" applyAlignment="1">
      <alignment horizontal="center" vertical="center" wrapText="1"/>
    </xf>
    <xf numFmtId="3" fontId="23" fillId="12" borderId="59" xfId="0" applyNumberFormat="1" applyFont="1" applyFill="1" applyBorder="1" applyAlignment="1">
      <alignment horizontal="center" vertical="center"/>
    </xf>
    <xf numFmtId="3" fontId="21" fillId="0" borderId="60" xfId="0" applyNumberFormat="1" applyFont="1" applyBorder="1" applyAlignment="1">
      <alignment horizontal="center" vertical="center"/>
    </xf>
    <xf numFmtId="0" fontId="21" fillId="9" borderId="61" xfId="0" applyFont="1" applyFill="1" applyBorder="1" applyAlignment="1">
      <alignment horizontal="center" vertical="center"/>
    </xf>
    <xf numFmtId="3" fontId="23" fillId="5" borderId="62" xfId="0" applyNumberFormat="1" applyFont="1" applyFill="1" applyBorder="1" applyAlignment="1">
      <alignment horizontal="center" vertical="center"/>
    </xf>
    <xf numFmtId="3" fontId="23" fillId="10" borderId="62" xfId="0" applyNumberFormat="1" applyFont="1" applyFill="1" applyBorder="1" applyAlignment="1">
      <alignment horizontal="center" vertical="center"/>
    </xf>
    <xf numFmtId="3" fontId="23" fillId="11" borderId="62" xfId="0" applyNumberFormat="1" applyFont="1" applyFill="1" applyBorder="1" applyAlignment="1">
      <alignment horizontal="center" vertical="center" wrapText="1"/>
    </xf>
    <xf numFmtId="3" fontId="23" fillId="12" borderId="62" xfId="0" applyNumberFormat="1" applyFont="1" applyFill="1" applyBorder="1" applyAlignment="1">
      <alignment horizontal="center" vertical="center"/>
    </xf>
    <xf numFmtId="3" fontId="21" fillId="0" borderId="63" xfId="0" applyNumberFormat="1" applyFont="1" applyBorder="1" applyAlignment="1">
      <alignment horizontal="center" vertical="center"/>
    </xf>
    <xf numFmtId="0" fontId="0" fillId="0" borderId="0" xfId="0" applyFill="1" applyBorder="1"/>
    <xf numFmtId="0" fontId="0" fillId="0" borderId="32" xfId="0" applyFill="1" applyBorder="1"/>
    <xf numFmtId="0" fontId="0" fillId="0" borderId="0" xfId="0" applyAlignment="1">
      <alignment textRotation="45"/>
    </xf>
    <xf numFmtId="0" fontId="0" fillId="0" borderId="0" xfId="0" applyFill="1" applyBorder="1" applyAlignment="1">
      <alignment textRotation="45"/>
    </xf>
    <xf numFmtId="0" fontId="0" fillId="0" borderId="0" xfId="0" applyBorder="1" applyAlignment="1">
      <alignment textRotation="45"/>
    </xf>
    <xf numFmtId="0" fontId="0" fillId="0" borderId="0" xfId="0" applyAlignment="1"/>
    <xf numFmtId="0" fontId="21" fillId="8" borderId="64" xfId="0" applyFont="1" applyFill="1" applyBorder="1" applyAlignment="1">
      <alignment horizontal="center" vertical="center"/>
    </xf>
    <xf numFmtId="0" fontId="5" fillId="2" borderId="3" xfId="4" applyBorder="1" applyAlignment="1"/>
    <xf numFmtId="0" fontId="5" fillId="2" borderId="0" xfId="4" applyBorder="1" applyAlignment="1"/>
    <xf numFmtId="0" fontId="5" fillId="2" borderId="66" xfId="4" applyBorder="1" applyAlignment="1"/>
    <xf numFmtId="3" fontId="5" fillId="2" borderId="65" xfId="4" applyNumberFormat="1" applyBorder="1" applyAlignment="1"/>
    <xf numFmtId="3" fontId="0" fillId="0" borderId="0" xfId="0" applyNumberFormat="1" applyAlignment="1"/>
    <xf numFmtId="0" fontId="3" fillId="0" borderId="41" xfId="2" applyFill="1" applyBorder="1" applyAlignment="1">
      <alignment wrapText="1"/>
    </xf>
    <xf numFmtId="0" fontId="3" fillId="0" borderId="42" xfId="2" applyFill="1" applyBorder="1" applyAlignment="1">
      <alignment wrapText="1"/>
    </xf>
    <xf numFmtId="0" fontId="0" fillId="0" borderId="27" xfId="0" applyBorder="1" applyAlignment="1">
      <alignment textRotation="45"/>
    </xf>
    <xf numFmtId="0" fontId="0" fillId="0" borderId="0" xfId="0" applyBorder="1" applyAlignment="1"/>
    <xf numFmtId="0" fontId="0" fillId="0" borderId="27" xfId="0" applyBorder="1" applyAlignment="1"/>
    <xf numFmtId="0" fontId="0" fillId="0" borderId="28" xfId="0" applyBorder="1" applyAlignment="1">
      <alignment textRotation="45"/>
    </xf>
    <xf numFmtId="0" fontId="0" fillId="0" borderId="30" xfId="0" applyBorder="1" applyAlignment="1">
      <alignment textRotation="45"/>
    </xf>
    <xf numFmtId="0" fontId="0" fillId="0" borderId="5" xfId="0" applyBorder="1" applyAlignment="1">
      <alignment textRotation="45"/>
    </xf>
    <xf numFmtId="0" fontId="0" fillId="0" borderId="35" xfId="0" applyBorder="1" applyAlignment="1">
      <alignment textRotation="45"/>
    </xf>
    <xf numFmtId="0" fontId="3" fillId="0" borderId="7" xfId="2" applyFill="1" applyBorder="1" applyAlignment="1">
      <alignment horizontal="center" vertical="center" textRotation="45"/>
    </xf>
    <xf numFmtId="0" fontId="3" fillId="0" borderId="7" xfId="2" applyFill="1" applyBorder="1" applyAlignment="1">
      <alignment horizontal="center" vertical="center" textRotation="45" wrapText="1"/>
    </xf>
    <xf numFmtId="0" fontId="3" fillId="0" borderId="42" xfId="2" applyFill="1" applyBorder="1" applyAlignment="1">
      <alignment textRotation="45" wrapText="1"/>
    </xf>
    <xf numFmtId="0" fontId="0" fillId="0" borderId="0" xfId="0" applyAlignment="1">
      <alignment vertical="top"/>
    </xf>
    <xf numFmtId="0" fontId="0" fillId="15" borderId="0" xfId="0" applyFill="1"/>
    <xf numFmtId="0" fontId="0" fillId="14" borderId="0" xfId="0" applyFill="1"/>
    <xf numFmtId="0" fontId="0" fillId="15" borderId="0" xfId="0" applyFill="1" applyAlignment="1">
      <alignment vertical="top"/>
    </xf>
    <xf numFmtId="0" fontId="6" fillId="4" borderId="67" xfId="5" applyBorder="1"/>
    <xf numFmtId="14" fontId="3" fillId="0" borderId="45" xfId="2" quotePrefix="1" applyNumberFormat="1" applyBorder="1" applyAlignment="1">
      <alignment horizontal="right"/>
    </xf>
    <xf numFmtId="14" fontId="3" fillId="0" borderId="36" xfId="2" quotePrefix="1" applyNumberFormat="1" applyBorder="1" applyAlignment="1">
      <alignment horizontal="right"/>
    </xf>
    <xf numFmtId="0" fontId="3" fillId="0" borderId="28" xfId="2" applyBorder="1"/>
    <xf numFmtId="0" fontId="20" fillId="3" borderId="29" xfId="6" applyBorder="1"/>
    <xf numFmtId="0" fontId="6" fillId="4" borderId="68" xfId="5" applyBorder="1"/>
    <xf numFmtId="0" fontId="0" fillId="0" borderId="69" xfId="0" applyFont="1" applyBorder="1" applyAlignment="1">
      <alignment horizontal="right"/>
    </xf>
    <xf numFmtId="0" fontId="0" fillId="0" borderId="70" xfId="0" applyFont="1" applyBorder="1" applyAlignment="1">
      <alignment horizontal="right" vertical="center"/>
    </xf>
    <xf numFmtId="14" fontId="0" fillId="0" borderId="70" xfId="0" quotePrefix="1" applyNumberFormat="1" applyFont="1" applyBorder="1" applyAlignment="1">
      <alignment horizontal="right" vertical="center"/>
    </xf>
    <xf numFmtId="0" fontId="0" fillId="0" borderId="70" xfId="0" applyFont="1" applyBorder="1" applyAlignment="1">
      <alignment horizontal="right" vertical="top"/>
    </xf>
    <xf numFmtId="0" fontId="0" fillId="0" borderId="71" xfId="0" applyFont="1" applyBorder="1" applyAlignment="1">
      <alignment horizontal="right" vertical="top"/>
    </xf>
    <xf numFmtId="0" fontId="12" fillId="0" borderId="69" xfId="0" applyFont="1" applyBorder="1" applyAlignment="1">
      <alignment horizontal="right" vertical="top"/>
    </xf>
    <xf numFmtId="0" fontId="0" fillId="0" borderId="71" xfId="0" applyBorder="1" applyAlignment="1">
      <alignment vertical="top"/>
    </xf>
    <xf numFmtId="0" fontId="0" fillId="0" borderId="71" xfId="0" applyFont="1" applyBorder="1"/>
    <xf numFmtId="0" fontId="0" fillId="0" borderId="71" xfId="0" applyBorder="1"/>
    <xf numFmtId="0" fontId="0" fillId="0" borderId="70" xfId="0" applyBorder="1"/>
    <xf numFmtId="0" fontId="0" fillId="0" borderId="69" xfId="0" applyBorder="1"/>
    <xf numFmtId="0" fontId="6" fillId="4" borderId="72" xfId="5" applyBorder="1"/>
    <xf numFmtId="0" fontId="6" fillId="4" borderId="73" xfId="5" applyBorder="1"/>
    <xf numFmtId="0" fontId="7" fillId="0" borderId="22" xfId="7" applyBorder="1"/>
    <xf numFmtId="0" fontId="20" fillId="3" borderId="14" xfId="6" applyBorder="1"/>
    <xf numFmtId="0" fontId="20" fillId="3" borderId="74" xfId="6" applyBorder="1"/>
    <xf numFmtId="0" fontId="0" fillId="19" borderId="22" xfId="0" applyFill="1" applyBorder="1"/>
    <xf numFmtId="0" fontId="0" fillId="16" borderId="0" xfId="0" applyFill="1" applyBorder="1"/>
    <xf numFmtId="165" fontId="5" fillId="2" borderId="3" xfId="4" applyNumberFormat="1" applyBorder="1"/>
    <xf numFmtId="165" fontId="5" fillId="2" borderId="39" xfId="4" applyNumberFormat="1" applyBorder="1"/>
    <xf numFmtId="1" fontId="5" fillId="2" borderId="39" xfId="4" applyNumberFormat="1" applyBorder="1"/>
    <xf numFmtId="164" fontId="6" fillId="4" borderId="4" xfId="8" applyNumberFormat="1" applyFont="1" applyFill="1" applyBorder="1"/>
    <xf numFmtId="3" fontId="5" fillId="2" borderId="76" xfId="4" applyNumberFormat="1" applyBorder="1" applyAlignment="1" applyProtection="1">
      <alignment horizontal="right"/>
      <protection locked="0"/>
    </xf>
    <xf numFmtId="166" fontId="20" fillId="3" borderId="8" xfId="6" applyNumberFormat="1" applyBorder="1"/>
    <xf numFmtId="2" fontId="20" fillId="3" borderId="8" xfId="6" applyNumberFormat="1" applyBorder="1"/>
    <xf numFmtId="165" fontId="20" fillId="3" borderId="78" xfId="6" applyNumberFormat="1" applyBorder="1"/>
    <xf numFmtId="0" fontId="4" fillId="0" borderId="0" xfId="3" applyBorder="1"/>
    <xf numFmtId="0" fontId="7" fillId="0" borderId="22" xfId="7" applyFill="1" applyBorder="1" applyAlignment="1">
      <alignment horizontal="center"/>
    </xf>
    <xf numFmtId="164" fontId="20" fillId="3" borderId="14" xfId="8" applyNumberFormat="1" applyFont="1" applyFill="1" applyBorder="1"/>
    <xf numFmtId="164" fontId="20" fillId="3" borderId="3" xfId="8" applyNumberFormat="1" applyFont="1" applyFill="1" applyBorder="1"/>
    <xf numFmtId="164" fontId="20" fillId="3" borderId="74" xfId="8" applyNumberFormat="1" applyFont="1" applyFill="1" applyBorder="1"/>
    <xf numFmtId="164" fontId="20" fillId="3" borderId="29" xfId="8" applyNumberFormat="1" applyFont="1" applyFill="1" applyBorder="1"/>
    <xf numFmtId="164" fontId="6" fillId="4" borderId="44" xfId="8" applyNumberFormat="1" applyFont="1" applyFill="1" applyBorder="1"/>
    <xf numFmtId="164" fontId="20" fillId="3" borderId="7" xfId="8" applyNumberFormat="1" applyFont="1" applyFill="1" applyBorder="1"/>
    <xf numFmtId="164" fontId="20" fillId="3" borderId="19" xfId="8" applyNumberFormat="1" applyFont="1" applyFill="1" applyBorder="1"/>
    <xf numFmtId="164" fontId="20" fillId="3" borderId="20" xfId="8" applyNumberFormat="1" applyFont="1" applyFill="1" applyBorder="1"/>
    <xf numFmtId="0" fontId="7" fillId="0" borderId="51" xfId="7" applyFill="1" applyBorder="1" applyAlignment="1">
      <alignment horizontal="center"/>
    </xf>
    <xf numFmtId="0" fontId="7" fillId="0" borderId="52" xfId="7" applyFill="1" applyBorder="1" applyAlignment="1">
      <alignment horizontal="center"/>
    </xf>
    <xf numFmtId="0" fontId="4" fillId="0" borderId="52" xfId="3" applyBorder="1"/>
    <xf numFmtId="0" fontId="7" fillId="0" borderId="84" xfId="7" applyFill="1" applyBorder="1" applyAlignment="1">
      <alignment horizontal="center"/>
    </xf>
    <xf numFmtId="3" fontId="20" fillId="3" borderId="85" xfId="6" applyNumberFormat="1" applyBorder="1" applyAlignment="1" applyProtection="1">
      <alignment horizontal="right"/>
      <protection locked="0"/>
    </xf>
    <xf numFmtId="164" fontId="20" fillId="3" borderId="54" xfId="8" applyNumberFormat="1" applyFont="1" applyFill="1" applyBorder="1"/>
    <xf numFmtId="3" fontId="20" fillId="3" borderId="86" xfId="6" applyNumberFormat="1" applyBorder="1" applyAlignment="1" applyProtection="1">
      <alignment horizontal="right"/>
      <protection locked="0"/>
    </xf>
    <xf numFmtId="164" fontId="20" fillId="3" borderId="77" xfId="8" applyNumberFormat="1" applyFont="1" applyFill="1" applyBorder="1"/>
    <xf numFmtId="164" fontId="20" fillId="3" borderId="8" xfId="8" applyNumberFormat="1" applyFont="1" applyFill="1" applyBorder="1"/>
    <xf numFmtId="164" fontId="20" fillId="3" borderId="87" xfId="8" applyNumberFormat="1" applyFont="1" applyFill="1" applyBorder="1"/>
    <xf numFmtId="0" fontId="4" fillId="0" borderId="47" xfId="3" applyFill="1" applyBorder="1"/>
    <xf numFmtId="0" fontId="4" fillId="0" borderId="50" xfId="3" applyFill="1" applyBorder="1"/>
    <xf numFmtId="1" fontId="20" fillId="3" borderId="85" xfId="6" applyNumberFormat="1" applyBorder="1"/>
    <xf numFmtId="1" fontId="20" fillId="3" borderId="33" xfId="6" applyNumberFormat="1" applyBorder="1"/>
    <xf numFmtId="1" fontId="20" fillId="3" borderId="86" xfId="6" applyNumberFormat="1" applyBorder="1"/>
    <xf numFmtId="1" fontId="20" fillId="3" borderId="88" xfId="6" applyNumberFormat="1" applyBorder="1"/>
    <xf numFmtId="0" fontId="4" fillId="0" borderId="48" xfId="3" applyFill="1" applyBorder="1"/>
    <xf numFmtId="0" fontId="20" fillId="3" borderId="33" xfId="6" applyBorder="1"/>
    <xf numFmtId="0" fontId="4" fillId="0" borderId="89" xfId="3" applyFill="1" applyBorder="1"/>
    <xf numFmtId="0" fontId="7" fillId="0" borderId="90" xfId="7" applyFill="1" applyBorder="1" applyAlignment="1">
      <alignment horizontal="center"/>
    </xf>
    <xf numFmtId="0" fontId="20" fillId="3" borderId="91" xfId="6" applyBorder="1"/>
    <xf numFmtId="1" fontId="20" fillId="3" borderId="91" xfId="6" applyNumberFormat="1" applyBorder="1"/>
    <xf numFmtId="1" fontId="20" fillId="3" borderId="92" xfId="6" applyNumberFormat="1" applyBorder="1"/>
    <xf numFmtId="0" fontId="7" fillId="0" borderId="0" xfId="7" applyFill="1" applyBorder="1"/>
    <xf numFmtId="165" fontId="20" fillId="3" borderId="8" xfId="6" applyNumberFormat="1" applyBorder="1"/>
    <xf numFmtId="0" fontId="4" fillId="0" borderId="15" xfId="3" applyBorder="1" applyAlignment="1">
      <alignment horizontal="center"/>
    </xf>
    <xf numFmtId="0" fontId="4" fillId="0" borderId="12" xfId="3" applyBorder="1" applyAlignment="1">
      <alignment horizontal="center"/>
    </xf>
    <xf numFmtId="0" fontId="4" fillId="0" borderId="13" xfId="3" applyBorder="1" applyAlignment="1">
      <alignment horizontal="center"/>
    </xf>
    <xf numFmtId="0" fontId="4" fillId="0" borderId="48" xfId="3" applyBorder="1" applyAlignment="1">
      <alignment horizontal="center" wrapText="1"/>
    </xf>
    <xf numFmtId="0" fontId="4" fillId="0" borderId="23" xfId="3" applyBorder="1" applyAlignment="1">
      <alignment horizontal="center" wrapText="1"/>
    </xf>
    <xf numFmtId="0" fontId="4" fillId="0" borderId="26" xfId="3" applyBorder="1" applyAlignment="1">
      <alignment horizontal="center" wrapText="1"/>
    </xf>
    <xf numFmtId="0" fontId="4" fillId="0" borderId="27" xfId="3" applyBorder="1" applyAlignment="1">
      <alignment horizontal="center" wrapText="1"/>
    </xf>
    <xf numFmtId="0" fontId="7" fillId="4" borderId="79" xfId="7" applyFill="1" applyBorder="1" applyAlignment="1">
      <alignment horizontal="center" vertical="top" wrapText="1"/>
    </xf>
    <xf numFmtId="0" fontId="7" fillId="4" borderId="80" xfId="7" applyFill="1" applyBorder="1" applyAlignment="1">
      <alignment horizontal="center" vertical="top" wrapText="1"/>
    </xf>
    <xf numFmtId="0" fontId="7" fillId="4" borderId="81" xfId="7" applyFill="1" applyBorder="1" applyAlignment="1">
      <alignment horizontal="center" vertical="top" wrapText="1"/>
    </xf>
    <xf numFmtId="0" fontId="7" fillId="4" borderId="72" xfId="7" applyFill="1" applyBorder="1" applyAlignment="1">
      <alignment horizontal="center" vertical="top" wrapText="1"/>
    </xf>
    <xf numFmtId="0" fontId="7" fillId="4" borderId="82" xfId="7" applyFill="1" applyBorder="1" applyAlignment="1">
      <alignment horizontal="center" vertical="top" wrapText="1"/>
    </xf>
    <xf numFmtId="0" fontId="7" fillId="4" borderId="83" xfId="7" applyFill="1" applyBorder="1" applyAlignment="1">
      <alignment horizontal="center" vertical="top" wrapText="1"/>
    </xf>
    <xf numFmtId="0" fontId="4" fillId="0" borderId="49" xfId="3" applyBorder="1" applyAlignment="1">
      <alignment horizontal="center"/>
    </xf>
    <xf numFmtId="0" fontId="4" fillId="0" borderId="26" xfId="3" applyBorder="1" applyAlignment="1">
      <alignment horizontal="center"/>
    </xf>
    <xf numFmtId="0" fontId="4" fillId="0" borderId="31" xfId="3" applyBorder="1" applyAlignment="1">
      <alignment horizontal="center"/>
    </xf>
    <xf numFmtId="0" fontId="4" fillId="0" borderId="24" xfId="3" applyBorder="1" applyAlignment="1">
      <alignment horizontal="center"/>
    </xf>
    <xf numFmtId="0" fontId="0" fillId="17" borderId="49" xfId="0" applyFill="1" applyBorder="1" applyAlignment="1">
      <alignment horizontal="center"/>
    </xf>
    <xf numFmtId="0" fontId="0" fillId="17" borderId="24" xfId="0" applyFill="1" applyBorder="1" applyAlignment="1">
      <alignment horizontal="center"/>
    </xf>
    <xf numFmtId="0" fontId="0" fillId="17" borderId="75" xfId="0" applyFill="1" applyBorder="1" applyAlignment="1">
      <alignment horizontal="center"/>
    </xf>
    <xf numFmtId="0" fontId="0" fillId="13" borderId="49" xfId="0" applyFill="1" applyBorder="1" applyAlignment="1">
      <alignment horizontal="center"/>
    </xf>
    <xf numFmtId="0" fontId="0" fillId="13" borderId="24" xfId="0" applyFill="1" applyBorder="1" applyAlignment="1">
      <alignment horizontal="center"/>
    </xf>
    <xf numFmtId="0" fontId="0" fillId="13" borderId="26" xfId="0" applyFill="1" applyBorder="1" applyAlignment="1">
      <alignment horizontal="center"/>
    </xf>
    <xf numFmtId="0" fontId="3" fillId="0" borderId="0" xfId="2" applyBorder="1" applyAlignment="1">
      <alignment horizontal="center" wrapText="1"/>
    </xf>
    <xf numFmtId="0" fontId="7" fillId="0" borderId="0" xfId="7" applyAlignment="1">
      <alignment horizontal="left" wrapText="1"/>
    </xf>
    <xf numFmtId="0" fontId="0" fillId="18" borderId="49" xfId="0" applyFill="1" applyBorder="1" applyAlignment="1">
      <alignment horizontal="center" wrapText="1"/>
    </xf>
    <xf numFmtId="0" fontId="0" fillId="18" borderId="24" xfId="0" applyFill="1" applyBorder="1" applyAlignment="1">
      <alignment horizontal="center" wrapText="1"/>
    </xf>
    <xf numFmtId="0" fontId="0" fillId="18" borderId="75" xfId="0" applyFill="1" applyBorder="1" applyAlignment="1">
      <alignment horizontal="center" wrapText="1"/>
    </xf>
    <xf numFmtId="0" fontId="0" fillId="0" borderId="69" xfId="0" applyFont="1" applyBorder="1" applyAlignment="1">
      <alignment horizontal="left" wrapText="1"/>
    </xf>
    <xf numFmtId="0" fontId="0" fillId="0" borderId="70" xfId="0" applyFont="1" applyBorder="1" applyAlignment="1">
      <alignment horizontal="left" wrapText="1"/>
    </xf>
    <xf numFmtId="0" fontId="0" fillId="0" borderId="71" xfId="0" applyFont="1" applyBorder="1" applyAlignment="1">
      <alignment horizontal="left" wrapText="1"/>
    </xf>
    <xf numFmtId="0" fontId="3" fillId="0" borderId="2" xfId="2" applyAlignment="1">
      <alignment horizontal="center" wrapText="1"/>
    </xf>
    <xf numFmtId="0" fontId="0" fillId="0" borderId="69" xfId="0" applyFont="1" applyBorder="1" applyAlignment="1">
      <alignment horizontal="left" vertical="top" wrapText="1"/>
    </xf>
  </cellXfs>
  <cellStyles count="9">
    <cellStyle name="Ausgabe" xfId="5" builtinId="21" customBuiltin="1"/>
    <cellStyle name="Berechnung" xfId="6" builtinId="22" customBuiltin="1"/>
    <cellStyle name="Eingabe" xfId="4" builtinId="20"/>
    <cellStyle name="Erklärender Text" xfId="7" builtinId="53"/>
    <cellStyle name="Komma" xfId="8" builtinId="3"/>
    <cellStyle name="Standard" xfId="0" builtinId="0"/>
    <cellStyle name="Überschrift 1" xfId="1" builtinId="16"/>
    <cellStyle name="Überschrift 2" xfId="2" builtinId="17"/>
    <cellStyle name="Überschrift 4" xfId="3" builtin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38100</xdr:colOff>
      <xdr:row>16</xdr:row>
      <xdr:rowOff>19050</xdr:rowOff>
    </xdr:from>
    <xdr:ext cx="152541" cy="172227"/>
    <mc:AlternateContent xmlns:mc="http://schemas.openxmlformats.org/markup-compatibility/2006" xmlns:a14="http://schemas.microsoft.com/office/drawing/2010/main">
      <mc:Choice Requires="a14">
        <xdr:sp macro="" textlink="">
          <xdr:nvSpPr>
            <xdr:cNvPr id="3" name="Textfeld 2"/>
            <xdr:cNvSpPr txBox="1"/>
          </xdr:nvSpPr>
          <xdr:spPr>
            <a:xfrm>
              <a:off x="800100" y="3286125"/>
              <a:ext cx="1525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i="1">
                            <a:latin typeface="Cambria Math" panose="02040503050406030204" pitchFamily="18" charset="0"/>
                          </a:rPr>
                        </m:ctrlPr>
                      </m:accPr>
                      <m:e>
                        <m:r>
                          <a:rPr lang="de-AT" sz="1100" b="0" i="1">
                            <a:latin typeface="Cambria Math" panose="02040503050406030204" pitchFamily="18" charset="0"/>
                          </a:rPr>
                          <m:t>𝑚</m:t>
                        </m:r>
                      </m:e>
                    </m:acc>
                  </m:oMath>
                </m:oMathPara>
              </a14:m>
              <a:endParaRPr lang="en-US" sz="1100"/>
            </a:p>
          </xdr:txBody>
        </xdr:sp>
      </mc:Choice>
      <mc:Fallback xmlns="">
        <xdr:sp macro="" textlink="">
          <xdr:nvSpPr>
            <xdr:cNvPr id="3" name="Textfeld 2"/>
            <xdr:cNvSpPr txBox="1"/>
          </xdr:nvSpPr>
          <xdr:spPr>
            <a:xfrm>
              <a:off x="800100" y="3286125"/>
              <a:ext cx="1525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rPr>
                <a:t>𝑚</a:t>
              </a:r>
              <a:r>
                <a:rPr lang="en-US" sz="1100" b="0" i="0">
                  <a:latin typeface="Cambria Math" panose="02040503050406030204" pitchFamily="18" charset="0"/>
                </a:rPr>
                <a:t> ̇</a:t>
              </a:r>
              <a:endParaRPr lang="en-US" sz="1100"/>
            </a:p>
          </xdr:txBody>
        </xdr:sp>
      </mc:Fallback>
    </mc:AlternateContent>
    <xdr:clientData/>
  </xdr:oneCellAnchor>
  <xdr:oneCellAnchor>
    <xdr:from>
      <xdr:col>2</xdr:col>
      <xdr:colOff>19050</xdr:colOff>
      <xdr:row>18</xdr:row>
      <xdr:rowOff>9525</xdr:rowOff>
    </xdr:from>
    <xdr:ext cx="124586" cy="181140"/>
    <mc:AlternateContent xmlns:mc="http://schemas.openxmlformats.org/markup-compatibility/2006" xmlns:a14="http://schemas.microsoft.com/office/drawing/2010/main">
      <mc:Choice Requires="a14">
        <xdr:sp macro="" textlink="">
          <xdr:nvSpPr>
            <xdr:cNvPr id="4" name="Textfeld 3"/>
            <xdr:cNvSpPr txBox="1"/>
          </xdr:nvSpPr>
          <xdr:spPr>
            <a:xfrm>
              <a:off x="781050" y="3657600"/>
              <a:ext cx="124586"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de-AT" sz="1100" b="0" i="1">
                            <a:latin typeface="Cambria Math" panose="02040503050406030204" pitchFamily="18" charset="0"/>
                          </a:rPr>
                        </m:ctrlPr>
                      </m:accPr>
                      <m:e>
                        <m:r>
                          <a:rPr lang="de-AT" sz="1100" b="0" i="1">
                            <a:latin typeface="Cambria Math" panose="02040503050406030204" pitchFamily="18" charset="0"/>
                          </a:rPr>
                          <m:t>𝑉</m:t>
                        </m:r>
                      </m:e>
                    </m:acc>
                  </m:oMath>
                </m:oMathPara>
              </a14:m>
              <a:endParaRPr lang="en-US" sz="1100"/>
            </a:p>
          </xdr:txBody>
        </xdr:sp>
      </mc:Choice>
      <mc:Fallback xmlns="">
        <xdr:sp macro="" textlink="">
          <xdr:nvSpPr>
            <xdr:cNvPr id="4" name="Textfeld 3"/>
            <xdr:cNvSpPr txBox="1"/>
          </xdr:nvSpPr>
          <xdr:spPr>
            <a:xfrm>
              <a:off x="781050" y="3657600"/>
              <a:ext cx="124586"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rPr>
                <a:t>𝑉 ̇</a:t>
              </a:r>
              <a:endParaRPr lang="en-US" sz="1100"/>
            </a:p>
          </xdr:txBody>
        </xdr:sp>
      </mc:Fallback>
    </mc:AlternateContent>
    <xdr:clientData/>
  </xdr:oneCellAnchor>
  <xdr:oneCellAnchor>
    <xdr:from>
      <xdr:col>2</xdr:col>
      <xdr:colOff>38100</xdr:colOff>
      <xdr:row>19</xdr:row>
      <xdr:rowOff>9525</xdr:rowOff>
    </xdr:from>
    <xdr:ext cx="112723" cy="172227"/>
    <mc:AlternateContent xmlns:mc="http://schemas.openxmlformats.org/markup-compatibility/2006" xmlns:a14="http://schemas.microsoft.com/office/drawing/2010/main">
      <mc:Choice Requires="a14">
        <xdr:sp macro="" textlink="">
          <xdr:nvSpPr>
            <xdr:cNvPr id="5" name="Textfeld 4"/>
            <xdr:cNvSpPr txBox="1"/>
          </xdr:nvSpPr>
          <xdr:spPr>
            <a:xfrm>
              <a:off x="800100" y="4038600"/>
              <a:ext cx="1127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de-AT" sz="1100" b="0" i="1">
                        <a:latin typeface="Cambria Math" panose="02040503050406030204" pitchFamily="18" charset="0"/>
                      </a:rPr>
                      <m:t>𝑣</m:t>
                    </m:r>
                  </m:oMath>
                </m:oMathPara>
              </a14:m>
              <a:endParaRPr lang="en-US" sz="1100"/>
            </a:p>
          </xdr:txBody>
        </xdr:sp>
      </mc:Choice>
      <mc:Fallback xmlns="">
        <xdr:sp macro="" textlink="">
          <xdr:nvSpPr>
            <xdr:cNvPr id="5" name="Textfeld 4"/>
            <xdr:cNvSpPr txBox="1"/>
          </xdr:nvSpPr>
          <xdr:spPr>
            <a:xfrm>
              <a:off x="800100" y="4038600"/>
              <a:ext cx="1127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rPr>
                <a:t>𝑣</a:t>
              </a:r>
              <a:endParaRPr lang="en-US" sz="1100"/>
            </a:p>
          </xdr:txBody>
        </xdr:sp>
      </mc:Fallback>
    </mc:AlternateContent>
    <xdr:clientData/>
  </xdr:oneCellAnchor>
  <xdr:oneCellAnchor>
    <xdr:from>
      <xdr:col>8</xdr:col>
      <xdr:colOff>38100</xdr:colOff>
      <xdr:row>16</xdr:row>
      <xdr:rowOff>19050</xdr:rowOff>
    </xdr:from>
    <xdr:ext cx="152541" cy="172227"/>
    <mc:AlternateContent xmlns:mc="http://schemas.openxmlformats.org/markup-compatibility/2006" xmlns:a14="http://schemas.microsoft.com/office/drawing/2010/main">
      <mc:Choice Requires="a14">
        <xdr:sp macro="" textlink="">
          <xdr:nvSpPr>
            <xdr:cNvPr id="8" name="Textfeld 7"/>
            <xdr:cNvSpPr txBox="1"/>
          </xdr:nvSpPr>
          <xdr:spPr>
            <a:xfrm>
              <a:off x="800100" y="3476625"/>
              <a:ext cx="1525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i="1">
                            <a:latin typeface="Cambria Math" panose="02040503050406030204" pitchFamily="18" charset="0"/>
                          </a:rPr>
                        </m:ctrlPr>
                      </m:accPr>
                      <m:e>
                        <m:r>
                          <a:rPr lang="de-AT" sz="1100" b="0" i="1">
                            <a:latin typeface="Cambria Math" panose="02040503050406030204" pitchFamily="18" charset="0"/>
                          </a:rPr>
                          <m:t>𝑚</m:t>
                        </m:r>
                      </m:e>
                    </m:acc>
                  </m:oMath>
                </m:oMathPara>
              </a14:m>
              <a:endParaRPr lang="en-US" sz="1100"/>
            </a:p>
          </xdr:txBody>
        </xdr:sp>
      </mc:Choice>
      <mc:Fallback xmlns="">
        <xdr:sp macro="" textlink="">
          <xdr:nvSpPr>
            <xdr:cNvPr id="8" name="Textfeld 7"/>
            <xdr:cNvSpPr txBox="1"/>
          </xdr:nvSpPr>
          <xdr:spPr>
            <a:xfrm>
              <a:off x="800100" y="3476625"/>
              <a:ext cx="1525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rPr>
                <a:t>𝑚</a:t>
              </a:r>
              <a:r>
                <a:rPr lang="en-US" sz="1100" b="0" i="0">
                  <a:latin typeface="Cambria Math" panose="02040503050406030204" pitchFamily="18" charset="0"/>
                </a:rPr>
                <a:t> ̇</a:t>
              </a:r>
              <a:endParaRPr lang="en-US" sz="1100"/>
            </a:p>
          </xdr:txBody>
        </xdr:sp>
      </mc:Fallback>
    </mc:AlternateContent>
    <xdr:clientData/>
  </xdr:oneCellAnchor>
  <xdr:oneCellAnchor>
    <xdr:from>
      <xdr:col>8</xdr:col>
      <xdr:colOff>19050</xdr:colOff>
      <xdr:row>18</xdr:row>
      <xdr:rowOff>9525</xdr:rowOff>
    </xdr:from>
    <xdr:ext cx="124586" cy="181140"/>
    <mc:AlternateContent xmlns:mc="http://schemas.openxmlformats.org/markup-compatibility/2006" xmlns:a14="http://schemas.microsoft.com/office/drawing/2010/main">
      <mc:Choice Requires="a14">
        <xdr:sp macro="" textlink="">
          <xdr:nvSpPr>
            <xdr:cNvPr id="9" name="Textfeld 8"/>
            <xdr:cNvSpPr txBox="1"/>
          </xdr:nvSpPr>
          <xdr:spPr>
            <a:xfrm>
              <a:off x="781050" y="3848100"/>
              <a:ext cx="124586"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de-AT" sz="1100" b="0" i="1">
                            <a:latin typeface="Cambria Math" panose="02040503050406030204" pitchFamily="18" charset="0"/>
                          </a:rPr>
                        </m:ctrlPr>
                      </m:accPr>
                      <m:e>
                        <m:r>
                          <a:rPr lang="de-AT" sz="1100" b="0" i="1">
                            <a:latin typeface="Cambria Math" panose="02040503050406030204" pitchFamily="18" charset="0"/>
                          </a:rPr>
                          <m:t>𝑉</m:t>
                        </m:r>
                      </m:e>
                    </m:acc>
                  </m:oMath>
                </m:oMathPara>
              </a14:m>
              <a:endParaRPr lang="en-US" sz="1100"/>
            </a:p>
          </xdr:txBody>
        </xdr:sp>
      </mc:Choice>
      <mc:Fallback xmlns="">
        <xdr:sp macro="" textlink="">
          <xdr:nvSpPr>
            <xdr:cNvPr id="9" name="Textfeld 8"/>
            <xdr:cNvSpPr txBox="1"/>
          </xdr:nvSpPr>
          <xdr:spPr>
            <a:xfrm>
              <a:off x="781050" y="3848100"/>
              <a:ext cx="124586"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rPr>
                <a:t>𝑉 ̇</a:t>
              </a:r>
              <a:endParaRPr lang="en-US" sz="1100"/>
            </a:p>
          </xdr:txBody>
        </xdr:sp>
      </mc:Fallback>
    </mc:AlternateContent>
    <xdr:clientData/>
  </xdr:oneCellAnchor>
  <xdr:oneCellAnchor>
    <xdr:from>
      <xdr:col>8</xdr:col>
      <xdr:colOff>38100</xdr:colOff>
      <xdr:row>19</xdr:row>
      <xdr:rowOff>9525</xdr:rowOff>
    </xdr:from>
    <xdr:ext cx="112723" cy="172227"/>
    <mc:AlternateContent xmlns:mc="http://schemas.openxmlformats.org/markup-compatibility/2006" xmlns:a14="http://schemas.microsoft.com/office/drawing/2010/main">
      <mc:Choice Requires="a14">
        <xdr:sp macro="" textlink="">
          <xdr:nvSpPr>
            <xdr:cNvPr id="10" name="Textfeld 9"/>
            <xdr:cNvSpPr txBox="1"/>
          </xdr:nvSpPr>
          <xdr:spPr>
            <a:xfrm>
              <a:off x="800100" y="4038600"/>
              <a:ext cx="1127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de-AT" sz="1100" b="0" i="1">
                        <a:latin typeface="Cambria Math" panose="02040503050406030204" pitchFamily="18" charset="0"/>
                      </a:rPr>
                      <m:t>𝑣</m:t>
                    </m:r>
                  </m:oMath>
                </m:oMathPara>
              </a14:m>
              <a:endParaRPr lang="en-US" sz="1100"/>
            </a:p>
          </xdr:txBody>
        </xdr:sp>
      </mc:Choice>
      <mc:Fallback xmlns="">
        <xdr:sp macro="" textlink="">
          <xdr:nvSpPr>
            <xdr:cNvPr id="10" name="Textfeld 9"/>
            <xdr:cNvSpPr txBox="1"/>
          </xdr:nvSpPr>
          <xdr:spPr>
            <a:xfrm>
              <a:off x="800100" y="4038600"/>
              <a:ext cx="1127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rPr>
                <a:t>𝑣</a:t>
              </a:r>
              <a:endParaRPr lang="en-US" sz="1100"/>
            </a:p>
          </xdr:txBody>
        </xdr:sp>
      </mc:Fallback>
    </mc:AlternateContent>
    <xdr:clientData/>
  </xdr:oneCellAnchor>
  <xdr:oneCellAnchor>
    <xdr:from>
      <xdr:col>2</xdr:col>
      <xdr:colOff>19050</xdr:colOff>
      <xdr:row>31</xdr:row>
      <xdr:rowOff>19050</xdr:rowOff>
    </xdr:from>
    <xdr:ext cx="416588" cy="172227"/>
    <mc:AlternateContent xmlns:mc="http://schemas.openxmlformats.org/markup-compatibility/2006" xmlns:a14="http://schemas.microsoft.com/office/drawing/2010/main">
      <mc:Choice Requires="a14">
        <xdr:sp macro="" textlink="">
          <xdr:nvSpPr>
            <xdr:cNvPr id="12" name="Textfeld 11"/>
            <xdr:cNvSpPr txBox="1"/>
          </xdr:nvSpPr>
          <xdr:spPr>
            <a:xfrm>
              <a:off x="781050" y="6334125"/>
              <a:ext cx="41658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𝛼</m:t>
                        </m:r>
                      </m:e>
                      <m:sub>
                        <m:r>
                          <a:rPr lang="de-AT" sz="1100" b="0" i="1">
                            <a:latin typeface="Cambria Math" panose="02040503050406030204" pitchFamily="18" charset="0"/>
                            <a:ea typeface="Cambria Math" panose="02040503050406030204" pitchFamily="18" charset="0"/>
                          </a:rPr>
                          <m:t>𝑖𝑛𝑛𝑒𝑛</m:t>
                        </m:r>
                      </m:sub>
                    </m:sSub>
                  </m:oMath>
                </m:oMathPara>
              </a14:m>
              <a:endParaRPr lang="de-AT" sz="1100" b="0">
                <a:ea typeface="Cambria Math" panose="02040503050406030204" pitchFamily="18" charset="0"/>
              </a:endParaRPr>
            </a:p>
          </xdr:txBody>
        </xdr:sp>
      </mc:Choice>
      <mc:Fallback xmlns="">
        <xdr:sp macro="" textlink="">
          <xdr:nvSpPr>
            <xdr:cNvPr id="12" name="Textfeld 11"/>
            <xdr:cNvSpPr txBox="1"/>
          </xdr:nvSpPr>
          <xdr:spPr>
            <a:xfrm>
              <a:off x="781050" y="6334125"/>
              <a:ext cx="41658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𝛼_𝑖𝑛𝑛𝑒𝑛</a:t>
              </a:r>
              <a:endParaRPr lang="de-AT" sz="1100" b="0">
                <a:ea typeface="Cambria Math" panose="02040503050406030204" pitchFamily="18" charset="0"/>
              </a:endParaRPr>
            </a:p>
          </xdr:txBody>
        </xdr:sp>
      </mc:Fallback>
    </mc:AlternateContent>
    <xdr:clientData/>
  </xdr:oneCellAnchor>
  <xdr:oneCellAnchor>
    <xdr:from>
      <xdr:col>2</xdr:col>
      <xdr:colOff>9525</xdr:colOff>
      <xdr:row>31</xdr:row>
      <xdr:rowOff>180975</xdr:rowOff>
    </xdr:from>
    <xdr:ext cx="440249" cy="172227"/>
    <mc:AlternateContent xmlns:mc="http://schemas.openxmlformats.org/markup-compatibility/2006" xmlns:a14="http://schemas.microsoft.com/office/drawing/2010/main">
      <mc:Choice Requires="a14">
        <xdr:sp macro="" textlink="">
          <xdr:nvSpPr>
            <xdr:cNvPr id="13" name="Textfeld 12"/>
            <xdr:cNvSpPr txBox="1"/>
          </xdr:nvSpPr>
          <xdr:spPr>
            <a:xfrm>
              <a:off x="771525" y="6496050"/>
              <a:ext cx="440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𝛼</m:t>
                        </m:r>
                      </m:e>
                      <m:sub>
                        <m:r>
                          <a:rPr lang="de-AT" sz="1100" b="0" i="1">
                            <a:latin typeface="Cambria Math" panose="02040503050406030204" pitchFamily="18" charset="0"/>
                            <a:ea typeface="Cambria Math" panose="02040503050406030204" pitchFamily="18" charset="0"/>
                          </a:rPr>
                          <m:t>𝑎𝑢</m:t>
                        </m:r>
                        <m:r>
                          <a:rPr lang="de-AT" sz="1100" b="0" i="1">
                            <a:latin typeface="Cambria Math" panose="02040503050406030204" pitchFamily="18" charset="0"/>
                            <a:ea typeface="Cambria Math" panose="02040503050406030204" pitchFamily="18" charset="0"/>
                          </a:rPr>
                          <m:t>ß</m:t>
                        </m:r>
                        <m:r>
                          <a:rPr lang="de-AT" sz="1100" b="0" i="1">
                            <a:latin typeface="Cambria Math" panose="02040503050406030204" pitchFamily="18" charset="0"/>
                            <a:ea typeface="Cambria Math" panose="02040503050406030204" pitchFamily="18" charset="0"/>
                          </a:rPr>
                          <m:t>𝑒𝑛</m:t>
                        </m:r>
                      </m:sub>
                    </m:sSub>
                  </m:oMath>
                </m:oMathPara>
              </a14:m>
              <a:endParaRPr lang="de-AT" sz="1100" b="0">
                <a:ea typeface="Cambria Math" panose="02040503050406030204" pitchFamily="18" charset="0"/>
              </a:endParaRPr>
            </a:p>
          </xdr:txBody>
        </xdr:sp>
      </mc:Choice>
      <mc:Fallback xmlns="">
        <xdr:sp macro="" textlink="">
          <xdr:nvSpPr>
            <xdr:cNvPr id="13" name="Textfeld 12"/>
            <xdr:cNvSpPr txBox="1"/>
          </xdr:nvSpPr>
          <xdr:spPr>
            <a:xfrm>
              <a:off x="771525" y="6496050"/>
              <a:ext cx="440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𝛼_𝑎𝑢ß𝑒𝑛</a:t>
              </a:r>
              <a:endParaRPr lang="de-AT" sz="1100" b="0">
                <a:ea typeface="Cambria Math" panose="02040503050406030204" pitchFamily="18" charset="0"/>
              </a:endParaRPr>
            </a:p>
          </xdr:txBody>
        </xdr:sp>
      </mc:Fallback>
    </mc:AlternateContent>
    <xdr:clientData/>
  </xdr:oneCellAnchor>
  <xdr:oneCellAnchor>
    <xdr:from>
      <xdr:col>2</xdr:col>
      <xdr:colOff>9525</xdr:colOff>
      <xdr:row>28</xdr:row>
      <xdr:rowOff>0</xdr:rowOff>
    </xdr:from>
    <xdr:ext cx="377155" cy="172227"/>
    <mc:AlternateContent xmlns:mc="http://schemas.openxmlformats.org/markup-compatibility/2006" xmlns:a14="http://schemas.microsoft.com/office/drawing/2010/main">
      <mc:Choice Requires="a14">
        <xdr:sp macro="" textlink="">
          <xdr:nvSpPr>
            <xdr:cNvPr id="14" name="Textfeld 13"/>
            <xdr:cNvSpPr txBox="1"/>
          </xdr:nvSpPr>
          <xdr:spPr>
            <a:xfrm>
              <a:off x="771525" y="5743575"/>
              <a:ext cx="3771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𝜆</m:t>
                        </m:r>
                      </m:e>
                      <m:sub>
                        <m:r>
                          <a:rPr lang="de-AT" sz="1100" b="0" i="1">
                            <a:latin typeface="Cambria Math" panose="02040503050406030204" pitchFamily="18" charset="0"/>
                            <a:ea typeface="Cambria Math" panose="02040503050406030204" pitchFamily="18" charset="0"/>
                          </a:rPr>
                          <m:t>𝑆𝑡𝑎h𝑙</m:t>
                        </m:r>
                      </m:sub>
                    </m:sSub>
                  </m:oMath>
                </m:oMathPara>
              </a14:m>
              <a:endParaRPr lang="de-AT" sz="1100" b="0">
                <a:ea typeface="Cambria Math" panose="02040503050406030204" pitchFamily="18" charset="0"/>
              </a:endParaRPr>
            </a:p>
          </xdr:txBody>
        </xdr:sp>
      </mc:Choice>
      <mc:Fallback xmlns="">
        <xdr:sp macro="" textlink="">
          <xdr:nvSpPr>
            <xdr:cNvPr id="14" name="Textfeld 13"/>
            <xdr:cNvSpPr txBox="1"/>
          </xdr:nvSpPr>
          <xdr:spPr>
            <a:xfrm>
              <a:off x="771525" y="5743575"/>
              <a:ext cx="3771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𝜆_𝑆𝑡𝑎ℎ𝑙</a:t>
              </a:r>
              <a:endParaRPr lang="de-AT" sz="1100" b="0">
                <a:ea typeface="Cambria Math" panose="02040503050406030204" pitchFamily="18" charset="0"/>
              </a:endParaRPr>
            </a:p>
          </xdr:txBody>
        </xdr:sp>
      </mc:Fallback>
    </mc:AlternateContent>
    <xdr:clientData/>
  </xdr:oneCellAnchor>
  <xdr:oneCellAnchor>
    <xdr:from>
      <xdr:col>2</xdr:col>
      <xdr:colOff>9525</xdr:colOff>
      <xdr:row>29</xdr:row>
      <xdr:rowOff>19050</xdr:rowOff>
    </xdr:from>
    <xdr:ext cx="264047" cy="172227"/>
    <mc:AlternateContent xmlns:mc="http://schemas.openxmlformats.org/markup-compatibility/2006" xmlns:a14="http://schemas.microsoft.com/office/drawing/2010/main">
      <mc:Choice Requires="a14">
        <xdr:sp macro="" textlink="">
          <xdr:nvSpPr>
            <xdr:cNvPr id="15" name="Textfeld 14"/>
            <xdr:cNvSpPr txBox="1"/>
          </xdr:nvSpPr>
          <xdr:spPr>
            <a:xfrm>
              <a:off x="771525" y="5953125"/>
              <a:ext cx="2640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𝜆</m:t>
                        </m:r>
                      </m:e>
                      <m:sub>
                        <m:r>
                          <a:rPr lang="de-AT" sz="1100" b="0" i="1">
                            <a:latin typeface="Cambria Math" panose="02040503050406030204" pitchFamily="18" charset="0"/>
                            <a:ea typeface="Cambria Math" panose="02040503050406030204" pitchFamily="18" charset="0"/>
                          </a:rPr>
                          <m:t>𝑤𝑑</m:t>
                        </m:r>
                      </m:sub>
                    </m:sSub>
                  </m:oMath>
                </m:oMathPara>
              </a14:m>
              <a:endParaRPr lang="de-AT" sz="1100" b="0">
                <a:ea typeface="Cambria Math" panose="02040503050406030204" pitchFamily="18" charset="0"/>
              </a:endParaRPr>
            </a:p>
          </xdr:txBody>
        </xdr:sp>
      </mc:Choice>
      <mc:Fallback xmlns="">
        <xdr:sp macro="" textlink="">
          <xdr:nvSpPr>
            <xdr:cNvPr id="15" name="Textfeld 14"/>
            <xdr:cNvSpPr txBox="1"/>
          </xdr:nvSpPr>
          <xdr:spPr>
            <a:xfrm>
              <a:off x="771525" y="5953125"/>
              <a:ext cx="2640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𝜆_𝑤𝑑</a:t>
              </a:r>
              <a:endParaRPr lang="de-AT" sz="1100" b="0">
                <a:ea typeface="Cambria Math" panose="02040503050406030204" pitchFamily="18" charset="0"/>
              </a:endParaRPr>
            </a:p>
          </xdr:txBody>
        </xdr:sp>
      </mc:Fallback>
    </mc:AlternateContent>
    <xdr:clientData/>
  </xdr:oneCellAnchor>
  <xdr:twoCellAnchor>
    <xdr:from>
      <xdr:col>2</xdr:col>
      <xdr:colOff>43962</xdr:colOff>
      <xdr:row>32</xdr:row>
      <xdr:rowOff>190499</xdr:rowOff>
    </xdr:from>
    <xdr:to>
      <xdr:col>2</xdr:col>
      <xdr:colOff>243987</xdr:colOff>
      <xdr:row>34</xdr:row>
      <xdr:rowOff>49823</xdr:rowOff>
    </xdr:to>
    <xdr:pic>
      <xdr:nvPicPr>
        <xdr:cNvPr id="16" name="Grafik 1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05962" y="6520961"/>
          <a:ext cx="200025" cy="254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36634</xdr:colOff>
      <xdr:row>34</xdr:row>
      <xdr:rowOff>0</xdr:rowOff>
    </xdr:from>
    <xdr:to>
      <xdr:col>2</xdr:col>
      <xdr:colOff>265234</xdr:colOff>
      <xdr:row>35</xdr:row>
      <xdr:rowOff>57150</xdr:rowOff>
    </xdr:to>
    <xdr:pic>
      <xdr:nvPicPr>
        <xdr:cNvPr id="17" name="Grafik 16"/>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98634" y="6726115"/>
          <a:ext cx="228600" cy="254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36634</xdr:colOff>
      <xdr:row>34</xdr:row>
      <xdr:rowOff>183173</xdr:rowOff>
    </xdr:from>
    <xdr:to>
      <xdr:col>2</xdr:col>
      <xdr:colOff>379534</xdr:colOff>
      <xdr:row>36</xdr:row>
      <xdr:rowOff>42496</xdr:rowOff>
    </xdr:to>
    <xdr:pic>
      <xdr:nvPicPr>
        <xdr:cNvPr id="18" name="Grafik 1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98634" y="6909288"/>
          <a:ext cx="342900" cy="254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xdr:col>
      <xdr:colOff>19050</xdr:colOff>
      <xdr:row>31</xdr:row>
      <xdr:rowOff>19050</xdr:rowOff>
    </xdr:from>
    <xdr:ext cx="416588" cy="172227"/>
    <mc:AlternateContent xmlns:mc="http://schemas.openxmlformats.org/markup-compatibility/2006" xmlns:a14="http://schemas.microsoft.com/office/drawing/2010/main">
      <mc:Choice Requires="a14">
        <xdr:sp macro="" textlink="">
          <xdr:nvSpPr>
            <xdr:cNvPr id="19" name="Textfeld 18"/>
            <xdr:cNvSpPr txBox="1"/>
          </xdr:nvSpPr>
          <xdr:spPr>
            <a:xfrm>
              <a:off x="781050" y="6339168"/>
              <a:ext cx="41658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𝛼</m:t>
                        </m:r>
                      </m:e>
                      <m:sub>
                        <m:r>
                          <a:rPr lang="de-AT" sz="1100" b="0" i="1">
                            <a:latin typeface="Cambria Math" panose="02040503050406030204" pitchFamily="18" charset="0"/>
                            <a:ea typeface="Cambria Math" panose="02040503050406030204" pitchFamily="18" charset="0"/>
                          </a:rPr>
                          <m:t>𝑖𝑛𝑛𝑒𝑛</m:t>
                        </m:r>
                      </m:sub>
                    </m:sSub>
                  </m:oMath>
                </m:oMathPara>
              </a14:m>
              <a:endParaRPr lang="de-AT" sz="1100" b="0">
                <a:ea typeface="Cambria Math" panose="02040503050406030204" pitchFamily="18" charset="0"/>
              </a:endParaRPr>
            </a:p>
          </xdr:txBody>
        </xdr:sp>
      </mc:Choice>
      <mc:Fallback xmlns="">
        <xdr:sp macro="" textlink="">
          <xdr:nvSpPr>
            <xdr:cNvPr id="19" name="Textfeld 18"/>
            <xdr:cNvSpPr txBox="1"/>
          </xdr:nvSpPr>
          <xdr:spPr>
            <a:xfrm>
              <a:off x="781050" y="6339168"/>
              <a:ext cx="41658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𝛼_𝑖𝑛𝑛𝑒𝑛</a:t>
              </a:r>
              <a:endParaRPr lang="de-AT" sz="1100" b="0">
                <a:ea typeface="Cambria Math" panose="02040503050406030204" pitchFamily="18" charset="0"/>
              </a:endParaRPr>
            </a:p>
          </xdr:txBody>
        </xdr:sp>
      </mc:Fallback>
    </mc:AlternateContent>
    <xdr:clientData/>
  </xdr:oneCellAnchor>
  <xdr:oneCellAnchor>
    <xdr:from>
      <xdr:col>8</xdr:col>
      <xdr:colOff>9525</xdr:colOff>
      <xdr:row>31</xdr:row>
      <xdr:rowOff>180975</xdr:rowOff>
    </xdr:from>
    <xdr:ext cx="440249" cy="172227"/>
    <mc:AlternateContent xmlns:mc="http://schemas.openxmlformats.org/markup-compatibility/2006" xmlns:a14="http://schemas.microsoft.com/office/drawing/2010/main">
      <mc:Choice Requires="a14">
        <xdr:sp macro="" textlink="">
          <xdr:nvSpPr>
            <xdr:cNvPr id="20" name="Textfeld 19"/>
            <xdr:cNvSpPr txBox="1"/>
          </xdr:nvSpPr>
          <xdr:spPr>
            <a:xfrm>
              <a:off x="771525" y="6501093"/>
              <a:ext cx="440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𝛼</m:t>
                        </m:r>
                      </m:e>
                      <m:sub>
                        <m:r>
                          <a:rPr lang="de-AT" sz="1100" b="0" i="1">
                            <a:latin typeface="Cambria Math" panose="02040503050406030204" pitchFamily="18" charset="0"/>
                            <a:ea typeface="Cambria Math" panose="02040503050406030204" pitchFamily="18" charset="0"/>
                          </a:rPr>
                          <m:t>𝑎𝑢</m:t>
                        </m:r>
                        <m:r>
                          <a:rPr lang="de-AT" sz="1100" b="0" i="1">
                            <a:latin typeface="Cambria Math" panose="02040503050406030204" pitchFamily="18" charset="0"/>
                            <a:ea typeface="Cambria Math" panose="02040503050406030204" pitchFamily="18" charset="0"/>
                          </a:rPr>
                          <m:t>ß</m:t>
                        </m:r>
                        <m:r>
                          <a:rPr lang="de-AT" sz="1100" b="0" i="1">
                            <a:latin typeface="Cambria Math" panose="02040503050406030204" pitchFamily="18" charset="0"/>
                            <a:ea typeface="Cambria Math" panose="02040503050406030204" pitchFamily="18" charset="0"/>
                          </a:rPr>
                          <m:t>𝑒𝑛</m:t>
                        </m:r>
                      </m:sub>
                    </m:sSub>
                  </m:oMath>
                </m:oMathPara>
              </a14:m>
              <a:endParaRPr lang="de-AT" sz="1100" b="0">
                <a:ea typeface="Cambria Math" panose="02040503050406030204" pitchFamily="18" charset="0"/>
              </a:endParaRPr>
            </a:p>
          </xdr:txBody>
        </xdr:sp>
      </mc:Choice>
      <mc:Fallback xmlns="">
        <xdr:sp macro="" textlink="">
          <xdr:nvSpPr>
            <xdr:cNvPr id="20" name="Textfeld 19"/>
            <xdr:cNvSpPr txBox="1"/>
          </xdr:nvSpPr>
          <xdr:spPr>
            <a:xfrm>
              <a:off x="771525" y="6501093"/>
              <a:ext cx="440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𝛼_𝑎𝑢ß𝑒𝑛</a:t>
              </a:r>
              <a:endParaRPr lang="de-AT" sz="1100" b="0">
                <a:ea typeface="Cambria Math" panose="02040503050406030204" pitchFamily="18" charset="0"/>
              </a:endParaRPr>
            </a:p>
          </xdr:txBody>
        </xdr:sp>
      </mc:Fallback>
    </mc:AlternateContent>
    <xdr:clientData/>
  </xdr:oneCellAnchor>
  <xdr:oneCellAnchor>
    <xdr:from>
      <xdr:col>8</xdr:col>
      <xdr:colOff>9525</xdr:colOff>
      <xdr:row>28</xdr:row>
      <xdr:rowOff>0</xdr:rowOff>
    </xdr:from>
    <xdr:ext cx="377155" cy="172227"/>
    <mc:AlternateContent xmlns:mc="http://schemas.openxmlformats.org/markup-compatibility/2006" xmlns:a14="http://schemas.microsoft.com/office/drawing/2010/main">
      <mc:Choice Requires="a14">
        <xdr:sp macro="" textlink="">
          <xdr:nvSpPr>
            <xdr:cNvPr id="21" name="Textfeld 20"/>
            <xdr:cNvSpPr txBox="1"/>
          </xdr:nvSpPr>
          <xdr:spPr>
            <a:xfrm>
              <a:off x="771525" y="5748618"/>
              <a:ext cx="3771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𝜆</m:t>
                        </m:r>
                      </m:e>
                      <m:sub>
                        <m:r>
                          <a:rPr lang="de-AT" sz="1100" b="0" i="1">
                            <a:latin typeface="Cambria Math" panose="02040503050406030204" pitchFamily="18" charset="0"/>
                            <a:ea typeface="Cambria Math" panose="02040503050406030204" pitchFamily="18" charset="0"/>
                          </a:rPr>
                          <m:t>𝑆𝑡𝑎h𝑙</m:t>
                        </m:r>
                      </m:sub>
                    </m:sSub>
                  </m:oMath>
                </m:oMathPara>
              </a14:m>
              <a:endParaRPr lang="de-AT" sz="1100" b="0">
                <a:ea typeface="Cambria Math" panose="02040503050406030204" pitchFamily="18" charset="0"/>
              </a:endParaRPr>
            </a:p>
          </xdr:txBody>
        </xdr:sp>
      </mc:Choice>
      <mc:Fallback xmlns="">
        <xdr:sp macro="" textlink="">
          <xdr:nvSpPr>
            <xdr:cNvPr id="21" name="Textfeld 20"/>
            <xdr:cNvSpPr txBox="1"/>
          </xdr:nvSpPr>
          <xdr:spPr>
            <a:xfrm>
              <a:off x="771525" y="5748618"/>
              <a:ext cx="3771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𝜆_𝑆𝑡𝑎ℎ𝑙</a:t>
              </a:r>
              <a:endParaRPr lang="de-AT" sz="1100" b="0">
                <a:ea typeface="Cambria Math" panose="02040503050406030204" pitchFamily="18" charset="0"/>
              </a:endParaRPr>
            </a:p>
          </xdr:txBody>
        </xdr:sp>
      </mc:Fallback>
    </mc:AlternateContent>
    <xdr:clientData/>
  </xdr:oneCellAnchor>
  <xdr:oneCellAnchor>
    <xdr:from>
      <xdr:col>8</xdr:col>
      <xdr:colOff>9525</xdr:colOff>
      <xdr:row>29</xdr:row>
      <xdr:rowOff>19050</xdr:rowOff>
    </xdr:from>
    <xdr:ext cx="264047" cy="172227"/>
    <mc:AlternateContent xmlns:mc="http://schemas.openxmlformats.org/markup-compatibility/2006" xmlns:a14="http://schemas.microsoft.com/office/drawing/2010/main">
      <mc:Choice Requires="a14">
        <xdr:sp macro="" textlink="">
          <xdr:nvSpPr>
            <xdr:cNvPr id="22" name="Textfeld 21"/>
            <xdr:cNvSpPr txBox="1"/>
          </xdr:nvSpPr>
          <xdr:spPr>
            <a:xfrm>
              <a:off x="771525" y="5958168"/>
              <a:ext cx="2640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𝜆</m:t>
                        </m:r>
                      </m:e>
                      <m:sub>
                        <m:r>
                          <a:rPr lang="de-AT" sz="1100" b="0" i="1">
                            <a:latin typeface="Cambria Math" panose="02040503050406030204" pitchFamily="18" charset="0"/>
                            <a:ea typeface="Cambria Math" panose="02040503050406030204" pitchFamily="18" charset="0"/>
                          </a:rPr>
                          <m:t>𝑤𝑑</m:t>
                        </m:r>
                      </m:sub>
                    </m:sSub>
                  </m:oMath>
                </m:oMathPara>
              </a14:m>
              <a:endParaRPr lang="de-AT" sz="1100" b="0">
                <a:ea typeface="Cambria Math" panose="02040503050406030204" pitchFamily="18" charset="0"/>
              </a:endParaRPr>
            </a:p>
          </xdr:txBody>
        </xdr:sp>
      </mc:Choice>
      <mc:Fallback xmlns="">
        <xdr:sp macro="" textlink="">
          <xdr:nvSpPr>
            <xdr:cNvPr id="22" name="Textfeld 21"/>
            <xdr:cNvSpPr txBox="1"/>
          </xdr:nvSpPr>
          <xdr:spPr>
            <a:xfrm>
              <a:off x="771525" y="5958168"/>
              <a:ext cx="2640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𝜆_𝑤𝑑</a:t>
              </a:r>
              <a:endParaRPr lang="de-AT" sz="1100" b="0">
                <a:ea typeface="Cambria Math" panose="02040503050406030204" pitchFamily="18" charset="0"/>
              </a:endParaRPr>
            </a:p>
          </xdr:txBody>
        </xdr:sp>
      </mc:Fallback>
    </mc:AlternateContent>
    <xdr:clientData/>
  </xdr:oneCellAnchor>
  <xdr:twoCellAnchor>
    <xdr:from>
      <xdr:col>8</xdr:col>
      <xdr:colOff>0</xdr:colOff>
      <xdr:row>33</xdr:row>
      <xdr:rowOff>0</xdr:rowOff>
    </xdr:from>
    <xdr:to>
      <xdr:col>8</xdr:col>
      <xdr:colOff>200025</xdr:colOff>
      <xdr:row>34</xdr:row>
      <xdr:rowOff>57150</xdr:rowOff>
    </xdr:to>
    <xdr:pic>
      <xdr:nvPicPr>
        <xdr:cNvPr id="23" name="Grafik 22"/>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62000" y="6701118"/>
          <a:ext cx="2000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0</xdr:colOff>
      <xdr:row>34</xdr:row>
      <xdr:rowOff>0</xdr:rowOff>
    </xdr:from>
    <xdr:to>
      <xdr:col>8</xdr:col>
      <xdr:colOff>228600</xdr:colOff>
      <xdr:row>35</xdr:row>
      <xdr:rowOff>57150</xdr:rowOff>
    </xdr:to>
    <xdr:pic>
      <xdr:nvPicPr>
        <xdr:cNvPr id="24" name="Grafik 23"/>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62000" y="6891618"/>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0</xdr:colOff>
      <xdr:row>35</xdr:row>
      <xdr:rowOff>0</xdr:rowOff>
    </xdr:from>
    <xdr:to>
      <xdr:col>8</xdr:col>
      <xdr:colOff>342900</xdr:colOff>
      <xdr:row>36</xdr:row>
      <xdr:rowOff>57150</xdr:rowOff>
    </xdr:to>
    <xdr:pic>
      <xdr:nvPicPr>
        <xdr:cNvPr id="25" name="Grafik 24"/>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880652" y="6940826"/>
          <a:ext cx="342900" cy="2559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561975</xdr:colOff>
      <xdr:row>8</xdr:row>
      <xdr:rowOff>114300</xdr:rowOff>
    </xdr:from>
    <xdr:to>
      <xdr:col>18</xdr:col>
      <xdr:colOff>534477</xdr:colOff>
      <xdr:row>26</xdr:row>
      <xdr:rowOff>48486</xdr:rowOff>
    </xdr:to>
    <xdr:pic>
      <xdr:nvPicPr>
        <xdr:cNvPr id="11" name="Grafik 10"/>
        <xdr:cNvPicPr>
          <a:picLocks noChangeAspect="1"/>
        </xdr:cNvPicPr>
      </xdr:nvPicPr>
      <xdr:blipFill>
        <a:blip xmlns:r="http://schemas.openxmlformats.org/officeDocument/2006/relationships" r:embed="rId4"/>
        <a:stretch>
          <a:fillRect/>
        </a:stretch>
      </xdr:blipFill>
      <xdr:spPr>
        <a:xfrm>
          <a:off x="10210800" y="1666875"/>
          <a:ext cx="4382577" cy="3506061"/>
        </a:xfrm>
        <a:prstGeom prst="rect">
          <a:avLst/>
        </a:prstGeom>
      </xdr:spPr>
    </xdr:pic>
    <xdr:clientData/>
  </xdr:twoCellAnchor>
  <xdr:oneCellAnchor>
    <xdr:from>
      <xdr:col>2</xdr:col>
      <xdr:colOff>34438</xdr:colOff>
      <xdr:row>12</xdr:row>
      <xdr:rowOff>31506</xdr:rowOff>
    </xdr:from>
    <xdr:ext cx="241668" cy="172227"/>
    <mc:AlternateContent xmlns:mc="http://schemas.openxmlformats.org/markup-compatibility/2006" xmlns:a14="http://schemas.microsoft.com/office/drawing/2010/main">
      <mc:Choice Requires="a14">
        <xdr:sp macro="" textlink="">
          <xdr:nvSpPr>
            <xdr:cNvPr id="40" name="Textfeld 39"/>
            <xdr:cNvSpPr txBox="1"/>
          </xdr:nvSpPr>
          <xdr:spPr>
            <a:xfrm>
              <a:off x="796438" y="2398102"/>
              <a:ext cx="241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𝜗</m:t>
                        </m:r>
                      </m:e>
                      <m:sub>
                        <m:r>
                          <a:rPr lang="de-AT" sz="1100" b="0" i="1">
                            <a:latin typeface="Cambria Math" panose="02040503050406030204" pitchFamily="18" charset="0"/>
                            <a:ea typeface="Cambria Math" panose="02040503050406030204" pitchFamily="18" charset="0"/>
                          </a:rPr>
                          <m:t>𝑉𝐿</m:t>
                        </m:r>
                      </m:sub>
                    </m:sSub>
                  </m:oMath>
                </m:oMathPara>
              </a14:m>
              <a:endParaRPr lang="de-AT" sz="1100" b="0">
                <a:ea typeface="Cambria Math" panose="02040503050406030204" pitchFamily="18" charset="0"/>
              </a:endParaRPr>
            </a:p>
          </xdr:txBody>
        </xdr:sp>
      </mc:Choice>
      <mc:Fallback xmlns="">
        <xdr:sp macro="" textlink="">
          <xdr:nvSpPr>
            <xdr:cNvPr id="40" name="Textfeld 39"/>
            <xdr:cNvSpPr txBox="1"/>
          </xdr:nvSpPr>
          <xdr:spPr>
            <a:xfrm>
              <a:off x="796438" y="2398102"/>
              <a:ext cx="241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𝜗_𝑉𝐿</a:t>
              </a:r>
              <a:endParaRPr lang="de-AT" sz="1100" b="0">
                <a:ea typeface="Cambria Math" panose="02040503050406030204" pitchFamily="18" charset="0"/>
              </a:endParaRPr>
            </a:p>
          </xdr:txBody>
        </xdr:sp>
      </mc:Fallback>
    </mc:AlternateContent>
    <xdr:clientData/>
  </xdr:oneCellAnchor>
  <xdr:oneCellAnchor>
    <xdr:from>
      <xdr:col>2</xdr:col>
      <xdr:colOff>54954</xdr:colOff>
      <xdr:row>13</xdr:row>
      <xdr:rowOff>36635</xdr:rowOff>
    </xdr:from>
    <xdr:ext cx="208816" cy="172227"/>
    <mc:AlternateContent xmlns:mc="http://schemas.openxmlformats.org/markup-compatibility/2006" xmlns:a14="http://schemas.microsoft.com/office/drawing/2010/main">
      <mc:Choice Requires="a14">
        <xdr:sp macro="" textlink="">
          <xdr:nvSpPr>
            <xdr:cNvPr id="41" name="Textfeld 40"/>
            <xdr:cNvSpPr txBox="1"/>
          </xdr:nvSpPr>
          <xdr:spPr>
            <a:xfrm>
              <a:off x="816954" y="2593731"/>
              <a:ext cx="2088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𝜗</m:t>
                        </m:r>
                      </m:e>
                      <m:sub>
                        <m:r>
                          <a:rPr lang="de-AT" sz="1100" b="0" i="1">
                            <a:latin typeface="Cambria Math" panose="02040503050406030204" pitchFamily="18" charset="0"/>
                            <a:ea typeface="Cambria Math" panose="02040503050406030204" pitchFamily="18" charset="0"/>
                          </a:rPr>
                          <m:t>𝑅𝐿</m:t>
                        </m:r>
                      </m:sub>
                    </m:sSub>
                  </m:oMath>
                </m:oMathPara>
              </a14:m>
              <a:endParaRPr lang="de-AT" sz="1100" b="0">
                <a:ea typeface="Cambria Math" panose="02040503050406030204" pitchFamily="18" charset="0"/>
              </a:endParaRPr>
            </a:p>
          </xdr:txBody>
        </xdr:sp>
      </mc:Choice>
      <mc:Fallback xmlns="">
        <xdr:sp macro="" textlink="">
          <xdr:nvSpPr>
            <xdr:cNvPr id="41" name="Textfeld 40"/>
            <xdr:cNvSpPr txBox="1"/>
          </xdr:nvSpPr>
          <xdr:spPr>
            <a:xfrm>
              <a:off x="816954" y="2593731"/>
              <a:ext cx="2088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de-AT" sz="1100" b="0" i="0">
                  <a:latin typeface="Cambria Math" panose="02040503050406030204" pitchFamily="18" charset="0"/>
                  <a:ea typeface="Cambria Math" panose="02040503050406030204" pitchFamily="18" charset="0"/>
                </a:rPr>
                <a:t>𝜗_𝑅𝐿</a:t>
              </a:r>
              <a:endParaRPr lang="de-AT" sz="1100" b="0">
                <a:ea typeface="Cambria Math" panose="02040503050406030204" pitchFamily="18" charset="0"/>
              </a:endParaRPr>
            </a:p>
          </xdr:txBody>
        </xdr:sp>
      </mc:Fallback>
    </mc:AlternateContent>
    <xdr:clientData/>
  </xdr:oneCellAnchor>
  <xdr:oneCellAnchor>
    <xdr:from>
      <xdr:col>2</xdr:col>
      <xdr:colOff>7326</xdr:colOff>
      <xdr:row>30</xdr:row>
      <xdr:rowOff>14654</xdr:rowOff>
    </xdr:from>
    <xdr:ext cx="192553" cy="172227"/>
    <mc:AlternateContent xmlns:mc="http://schemas.openxmlformats.org/markup-compatibility/2006" xmlns:a14="http://schemas.microsoft.com/office/drawing/2010/main">
      <mc:Choice Requires="a14">
        <xdr:sp macro="" textlink="">
          <xdr:nvSpPr>
            <xdr:cNvPr id="42" name="Textfeld 41"/>
            <xdr:cNvSpPr txBox="1"/>
          </xdr:nvSpPr>
          <xdr:spPr>
            <a:xfrm>
              <a:off x="769326" y="5949462"/>
              <a:ext cx="1925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𝜗</m:t>
                        </m:r>
                      </m:e>
                      <m:sub>
                        <m:r>
                          <a:rPr lang="de-AT" sz="1100" b="0" i="1">
                            <a:latin typeface="Cambria Math" panose="02040503050406030204" pitchFamily="18" charset="0"/>
                            <a:ea typeface="Cambria Math" panose="02040503050406030204" pitchFamily="18" charset="0"/>
                          </a:rPr>
                          <m:t>𝑈</m:t>
                        </m:r>
                      </m:sub>
                    </m:sSub>
                  </m:oMath>
                </m:oMathPara>
              </a14:m>
              <a:endParaRPr lang="de-AT" sz="1100" b="0">
                <a:ea typeface="Cambria Math" panose="02040503050406030204" pitchFamily="18" charset="0"/>
              </a:endParaRPr>
            </a:p>
          </xdr:txBody>
        </xdr:sp>
      </mc:Choice>
      <mc:Fallback xmlns="">
        <xdr:sp macro="" textlink="">
          <xdr:nvSpPr>
            <xdr:cNvPr id="42" name="Textfeld 41"/>
            <xdr:cNvSpPr txBox="1"/>
          </xdr:nvSpPr>
          <xdr:spPr>
            <a:xfrm>
              <a:off x="769326" y="5949462"/>
              <a:ext cx="1925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𝜗_𝑈</a:t>
              </a:r>
              <a:endParaRPr lang="de-AT" sz="1100" b="0">
                <a:ea typeface="Cambria Math" panose="02040503050406030204" pitchFamily="18" charset="0"/>
              </a:endParaRPr>
            </a:p>
          </xdr:txBody>
        </xdr:sp>
      </mc:Fallback>
    </mc:AlternateContent>
    <xdr:clientData/>
  </xdr:oneCellAnchor>
  <xdr:oneCellAnchor>
    <xdr:from>
      <xdr:col>2</xdr:col>
      <xdr:colOff>21981</xdr:colOff>
      <xdr:row>36</xdr:row>
      <xdr:rowOff>21981</xdr:rowOff>
    </xdr:from>
    <xdr:ext cx="318036" cy="172227"/>
    <mc:AlternateContent xmlns:mc="http://schemas.openxmlformats.org/markup-compatibility/2006" xmlns:a14="http://schemas.microsoft.com/office/drawing/2010/main">
      <mc:Choice Requires="a14">
        <xdr:sp macro="" textlink="">
          <xdr:nvSpPr>
            <xdr:cNvPr id="43" name="Textfeld 42"/>
            <xdr:cNvSpPr txBox="1"/>
          </xdr:nvSpPr>
          <xdr:spPr>
            <a:xfrm>
              <a:off x="783981" y="7143750"/>
              <a:ext cx="3180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𝑙</m:t>
                        </m:r>
                      </m:e>
                      <m:sub>
                        <m:r>
                          <a:rPr lang="de-AT" sz="1100" b="0" i="1">
                            <a:latin typeface="Cambria Math" panose="02040503050406030204" pitchFamily="18" charset="0"/>
                            <a:ea typeface="Cambria Math" panose="02040503050406030204" pitchFamily="18" charset="0"/>
                          </a:rPr>
                          <m:t>𝑁𝑒𝑡𝑧</m:t>
                        </m:r>
                      </m:sub>
                    </m:sSub>
                  </m:oMath>
                </m:oMathPara>
              </a14:m>
              <a:endParaRPr lang="de-AT" sz="1100" b="0">
                <a:ea typeface="Cambria Math" panose="02040503050406030204" pitchFamily="18" charset="0"/>
              </a:endParaRPr>
            </a:p>
          </xdr:txBody>
        </xdr:sp>
      </mc:Choice>
      <mc:Fallback xmlns="">
        <xdr:sp macro="" textlink="">
          <xdr:nvSpPr>
            <xdr:cNvPr id="43" name="Textfeld 42"/>
            <xdr:cNvSpPr txBox="1"/>
          </xdr:nvSpPr>
          <xdr:spPr>
            <a:xfrm>
              <a:off x="783981" y="7143750"/>
              <a:ext cx="3180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𝑙_𝑁𝑒𝑡𝑧</a:t>
              </a:r>
              <a:endParaRPr lang="de-AT" sz="1100" b="0">
                <a:ea typeface="Cambria Math" panose="02040503050406030204" pitchFamily="18" charset="0"/>
              </a:endParaRPr>
            </a:p>
          </xdr:txBody>
        </xdr:sp>
      </mc:Fallback>
    </mc:AlternateContent>
    <xdr:clientData/>
  </xdr:oneCellAnchor>
  <xdr:oneCellAnchor>
    <xdr:from>
      <xdr:col>8</xdr:col>
      <xdr:colOff>38100</xdr:colOff>
      <xdr:row>16</xdr:row>
      <xdr:rowOff>19050</xdr:rowOff>
    </xdr:from>
    <xdr:ext cx="152541" cy="172227"/>
    <mc:AlternateContent xmlns:mc="http://schemas.openxmlformats.org/markup-compatibility/2006" xmlns:a14="http://schemas.microsoft.com/office/drawing/2010/main">
      <mc:Choice Requires="a14">
        <xdr:sp macro="" textlink="">
          <xdr:nvSpPr>
            <xdr:cNvPr id="44" name="Textfeld 43"/>
            <xdr:cNvSpPr txBox="1"/>
          </xdr:nvSpPr>
          <xdr:spPr>
            <a:xfrm>
              <a:off x="800100" y="3149876"/>
              <a:ext cx="1525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i="1">
                            <a:latin typeface="Cambria Math" panose="02040503050406030204" pitchFamily="18" charset="0"/>
                          </a:rPr>
                        </m:ctrlPr>
                      </m:accPr>
                      <m:e>
                        <m:r>
                          <a:rPr lang="de-AT" sz="1100" b="0" i="1">
                            <a:latin typeface="Cambria Math" panose="02040503050406030204" pitchFamily="18" charset="0"/>
                          </a:rPr>
                          <m:t>𝑚</m:t>
                        </m:r>
                      </m:e>
                    </m:acc>
                  </m:oMath>
                </m:oMathPara>
              </a14:m>
              <a:endParaRPr lang="en-US" sz="1100"/>
            </a:p>
          </xdr:txBody>
        </xdr:sp>
      </mc:Choice>
      <mc:Fallback xmlns="">
        <xdr:sp macro="" textlink="">
          <xdr:nvSpPr>
            <xdr:cNvPr id="44" name="Textfeld 43"/>
            <xdr:cNvSpPr txBox="1"/>
          </xdr:nvSpPr>
          <xdr:spPr>
            <a:xfrm>
              <a:off x="800100" y="3149876"/>
              <a:ext cx="1525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rPr>
                <a:t>𝑚</a:t>
              </a:r>
              <a:r>
                <a:rPr lang="en-US" sz="1100" b="0" i="0">
                  <a:latin typeface="Cambria Math" panose="02040503050406030204" pitchFamily="18" charset="0"/>
                </a:rPr>
                <a:t> ̇</a:t>
              </a:r>
              <a:endParaRPr lang="en-US" sz="1100"/>
            </a:p>
          </xdr:txBody>
        </xdr:sp>
      </mc:Fallback>
    </mc:AlternateContent>
    <xdr:clientData/>
  </xdr:oneCellAnchor>
  <xdr:oneCellAnchor>
    <xdr:from>
      <xdr:col>8</xdr:col>
      <xdr:colOff>19050</xdr:colOff>
      <xdr:row>18</xdr:row>
      <xdr:rowOff>9525</xdr:rowOff>
    </xdr:from>
    <xdr:ext cx="124586" cy="181140"/>
    <mc:AlternateContent xmlns:mc="http://schemas.openxmlformats.org/markup-compatibility/2006" xmlns:a14="http://schemas.microsoft.com/office/drawing/2010/main">
      <mc:Choice Requires="a14">
        <xdr:sp macro="" textlink="">
          <xdr:nvSpPr>
            <xdr:cNvPr id="45" name="Textfeld 44"/>
            <xdr:cNvSpPr txBox="1"/>
          </xdr:nvSpPr>
          <xdr:spPr>
            <a:xfrm>
              <a:off x="781050" y="3521351"/>
              <a:ext cx="124586"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de-AT" sz="1100" b="0" i="1">
                            <a:latin typeface="Cambria Math" panose="02040503050406030204" pitchFamily="18" charset="0"/>
                          </a:rPr>
                        </m:ctrlPr>
                      </m:accPr>
                      <m:e>
                        <m:r>
                          <a:rPr lang="de-AT" sz="1100" b="0" i="1">
                            <a:latin typeface="Cambria Math" panose="02040503050406030204" pitchFamily="18" charset="0"/>
                          </a:rPr>
                          <m:t>𝑉</m:t>
                        </m:r>
                      </m:e>
                    </m:acc>
                  </m:oMath>
                </m:oMathPara>
              </a14:m>
              <a:endParaRPr lang="en-US" sz="1100"/>
            </a:p>
          </xdr:txBody>
        </xdr:sp>
      </mc:Choice>
      <mc:Fallback xmlns="">
        <xdr:sp macro="" textlink="">
          <xdr:nvSpPr>
            <xdr:cNvPr id="45" name="Textfeld 44"/>
            <xdr:cNvSpPr txBox="1"/>
          </xdr:nvSpPr>
          <xdr:spPr>
            <a:xfrm>
              <a:off x="781050" y="3521351"/>
              <a:ext cx="124586"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rPr>
                <a:t>𝑉 ̇</a:t>
              </a:r>
              <a:endParaRPr lang="en-US" sz="1100"/>
            </a:p>
          </xdr:txBody>
        </xdr:sp>
      </mc:Fallback>
    </mc:AlternateContent>
    <xdr:clientData/>
  </xdr:oneCellAnchor>
  <xdr:oneCellAnchor>
    <xdr:from>
      <xdr:col>8</xdr:col>
      <xdr:colOff>38100</xdr:colOff>
      <xdr:row>19</xdr:row>
      <xdr:rowOff>9525</xdr:rowOff>
    </xdr:from>
    <xdr:ext cx="112723" cy="172227"/>
    <mc:AlternateContent xmlns:mc="http://schemas.openxmlformats.org/markup-compatibility/2006" xmlns:a14="http://schemas.microsoft.com/office/drawing/2010/main">
      <mc:Choice Requires="a14">
        <xdr:sp macro="" textlink="">
          <xdr:nvSpPr>
            <xdr:cNvPr id="46" name="Textfeld 45"/>
            <xdr:cNvSpPr txBox="1"/>
          </xdr:nvSpPr>
          <xdr:spPr>
            <a:xfrm>
              <a:off x="800100" y="3711851"/>
              <a:ext cx="1127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de-AT" sz="1100" b="0" i="1">
                        <a:latin typeface="Cambria Math" panose="02040503050406030204" pitchFamily="18" charset="0"/>
                      </a:rPr>
                      <m:t>𝑣</m:t>
                    </m:r>
                  </m:oMath>
                </m:oMathPara>
              </a14:m>
              <a:endParaRPr lang="en-US" sz="1100"/>
            </a:p>
          </xdr:txBody>
        </xdr:sp>
      </mc:Choice>
      <mc:Fallback xmlns="">
        <xdr:sp macro="" textlink="">
          <xdr:nvSpPr>
            <xdr:cNvPr id="46" name="Textfeld 45"/>
            <xdr:cNvSpPr txBox="1"/>
          </xdr:nvSpPr>
          <xdr:spPr>
            <a:xfrm>
              <a:off x="800100" y="3711851"/>
              <a:ext cx="1127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rPr>
                <a:t>𝑣</a:t>
              </a:r>
              <a:endParaRPr lang="en-US" sz="1100"/>
            </a:p>
          </xdr:txBody>
        </xdr:sp>
      </mc:Fallback>
    </mc:AlternateContent>
    <xdr:clientData/>
  </xdr:oneCellAnchor>
  <xdr:oneCellAnchor>
    <xdr:from>
      <xdr:col>8</xdr:col>
      <xdr:colOff>34438</xdr:colOff>
      <xdr:row>12</xdr:row>
      <xdr:rowOff>31506</xdr:rowOff>
    </xdr:from>
    <xdr:ext cx="241668" cy="172227"/>
    <mc:AlternateContent xmlns:mc="http://schemas.openxmlformats.org/markup-compatibility/2006" xmlns:a14="http://schemas.microsoft.com/office/drawing/2010/main">
      <mc:Choice Requires="a14">
        <xdr:sp macro="" textlink="">
          <xdr:nvSpPr>
            <xdr:cNvPr id="47" name="Textfeld 46"/>
            <xdr:cNvSpPr txBox="1"/>
          </xdr:nvSpPr>
          <xdr:spPr>
            <a:xfrm>
              <a:off x="796438" y="2400332"/>
              <a:ext cx="241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𝜗</m:t>
                        </m:r>
                      </m:e>
                      <m:sub>
                        <m:r>
                          <a:rPr lang="de-AT" sz="1100" b="0" i="1">
                            <a:latin typeface="Cambria Math" panose="02040503050406030204" pitchFamily="18" charset="0"/>
                            <a:ea typeface="Cambria Math" panose="02040503050406030204" pitchFamily="18" charset="0"/>
                          </a:rPr>
                          <m:t>𝑉𝐿</m:t>
                        </m:r>
                      </m:sub>
                    </m:sSub>
                  </m:oMath>
                </m:oMathPara>
              </a14:m>
              <a:endParaRPr lang="de-AT" sz="1100" b="0">
                <a:ea typeface="Cambria Math" panose="02040503050406030204" pitchFamily="18" charset="0"/>
              </a:endParaRPr>
            </a:p>
          </xdr:txBody>
        </xdr:sp>
      </mc:Choice>
      <mc:Fallback xmlns="">
        <xdr:sp macro="" textlink="">
          <xdr:nvSpPr>
            <xdr:cNvPr id="47" name="Textfeld 46"/>
            <xdr:cNvSpPr txBox="1"/>
          </xdr:nvSpPr>
          <xdr:spPr>
            <a:xfrm>
              <a:off x="796438" y="2400332"/>
              <a:ext cx="241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𝜗_𝑉𝐿</a:t>
              </a:r>
              <a:endParaRPr lang="de-AT" sz="1100" b="0">
                <a:ea typeface="Cambria Math" panose="02040503050406030204" pitchFamily="18" charset="0"/>
              </a:endParaRPr>
            </a:p>
          </xdr:txBody>
        </xdr:sp>
      </mc:Fallback>
    </mc:AlternateContent>
    <xdr:clientData/>
  </xdr:oneCellAnchor>
  <xdr:oneCellAnchor>
    <xdr:from>
      <xdr:col>8</xdr:col>
      <xdr:colOff>54954</xdr:colOff>
      <xdr:row>13</xdr:row>
      <xdr:rowOff>36635</xdr:rowOff>
    </xdr:from>
    <xdr:ext cx="208816" cy="172227"/>
    <mc:AlternateContent xmlns:mc="http://schemas.openxmlformats.org/markup-compatibility/2006" xmlns:a14="http://schemas.microsoft.com/office/drawing/2010/main">
      <mc:Choice Requires="a14">
        <xdr:sp macro="" textlink="">
          <xdr:nvSpPr>
            <xdr:cNvPr id="48" name="Textfeld 47"/>
            <xdr:cNvSpPr txBox="1"/>
          </xdr:nvSpPr>
          <xdr:spPr>
            <a:xfrm>
              <a:off x="816954" y="2595961"/>
              <a:ext cx="2088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𝜗</m:t>
                        </m:r>
                      </m:e>
                      <m:sub>
                        <m:r>
                          <a:rPr lang="de-AT" sz="1100" b="0" i="1">
                            <a:latin typeface="Cambria Math" panose="02040503050406030204" pitchFamily="18" charset="0"/>
                            <a:ea typeface="Cambria Math" panose="02040503050406030204" pitchFamily="18" charset="0"/>
                          </a:rPr>
                          <m:t>𝑅𝐿</m:t>
                        </m:r>
                      </m:sub>
                    </m:sSub>
                  </m:oMath>
                </m:oMathPara>
              </a14:m>
              <a:endParaRPr lang="de-AT" sz="1100" b="0">
                <a:ea typeface="Cambria Math" panose="02040503050406030204" pitchFamily="18" charset="0"/>
              </a:endParaRPr>
            </a:p>
          </xdr:txBody>
        </xdr:sp>
      </mc:Choice>
      <mc:Fallback xmlns="">
        <xdr:sp macro="" textlink="">
          <xdr:nvSpPr>
            <xdr:cNvPr id="48" name="Textfeld 47"/>
            <xdr:cNvSpPr txBox="1"/>
          </xdr:nvSpPr>
          <xdr:spPr>
            <a:xfrm>
              <a:off x="816954" y="2595961"/>
              <a:ext cx="2088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de-AT" sz="1100" b="0" i="0">
                  <a:latin typeface="Cambria Math" panose="02040503050406030204" pitchFamily="18" charset="0"/>
                  <a:ea typeface="Cambria Math" panose="02040503050406030204" pitchFamily="18" charset="0"/>
                </a:rPr>
                <a:t>𝜗_𝑅𝐿</a:t>
              </a:r>
              <a:endParaRPr lang="de-AT" sz="1100" b="0">
                <a:ea typeface="Cambria Math" panose="02040503050406030204" pitchFamily="18" charset="0"/>
              </a:endParaRPr>
            </a:p>
          </xdr:txBody>
        </xdr:sp>
      </mc:Fallback>
    </mc:AlternateContent>
    <xdr:clientData/>
  </xdr:oneCellAnchor>
  <xdr:oneCellAnchor>
    <xdr:from>
      <xdr:col>8</xdr:col>
      <xdr:colOff>19050</xdr:colOff>
      <xdr:row>31</xdr:row>
      <xdr:rowOff>19050</xdr:rowOff>
    </xdr:from>
    <xdr:ext cx="416588" cy="172227"/>
    <mc:AlternateContent xmlns:mc="http://schemas.openxmlformats.org/markup-compatibility/2006" xmlns:a14="http://schemas.microsoft.com/office/drawing/2010/main">
      <mc:Choice Requires="a14">
        <xdr:sp macro="" textlink="">
          <xdr:nvSpPr>
            <xdr:cNvPr id="49" name="Textfeld 48"/>
            <xdr:cNvSpPr txBox="1"/>
          </xdr:nvSpPr>
          <xdr:spPr>
            <a:xfrm>
              <a:off x="781050" y="6164746"/>
              <a:ext cx="41658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𝛼</m:t>
                        </m:r>
                      </m:e>
                      <m:sub>
                        <m:r>
                          <a:rPr lang="de-AT" sz="1100" b="0" i="1">
                            <a:latin typeface="Cambria Math" panose="02040503050406030204" pitchFamily="18" charset="0"/>
                            <a:ea typeface="Cambria Math" panose="02040503050406030204" pitchFamily="18" charset="0"/>
                          </a:rPr>
                          <m:t>𝑖𝑛𝑛𝑒𝑛</m:t>
                        </m:r>
                      </m:sub>
                    </m:sSub>
                  </m:oMath>
                </m:oMathPara>
              </a14:m>
              <a:endParaRPr lang="de-AT" sz="1100" b="0">
                <a:ea typeface="Cambria Math" panose="02040503050406030204" pitchFamily="18" charset="0"/>
              </a:endParaRPr>
            </a:p>
          </xdr:txBody>
        </xdr:sp>
      </mc:Choice>
      <mc:Fallback xmlns="">
        <xdr:sp macro="" textlink="">
          <xdr:nvSpPr>
            <xdr:cNvPr id="49" name="Textfeld 48"/>
            <xdr:cNvSpPr txBox="1"/>
          </xdr:nvSpPr>
          <xdr:spPr>
            <a:xfrm>
              <a:off x="781050" y="6164746"/>
              <a:ext cx="41658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𝛼_𝑖𝑛𝑛𝑒𝑛</a:t>
              </a:r>
              <a:endParaRPr lang="de-AT" sz="1100" b="0">
                <a:ea typeface="Cambria Math" panose="02040503050406030204" pitchFamily="18" charset="0"/>
              </a:endParaRPr>
            </a:p>
          </xdr:txBody>
        </xdr:sp>
      </mc:Fallback>
    </mc:AlternateContent>
    <xdr:clientData/>
  </xdr:oneCellAnchor>
  <xdr:oneCellAnchor>
    <xdr:from>
      <xdr:col>8</xdr:col>
      <xdr:colOff>9525</xdr:colOff>
      <xdr:row>31</xdr:row>
      <xdr:rowOff>180975</xdr:rowOff>
    </xdr:from>
    <xdr:ext cx="440249" cy="172227"/>
    <mc:AlternateContent xmlns:mc="http://schemas.openxmlformats.org/markup-compatibility/2006" xmlns:a14="http://schemas.microsoft.com/office/drawing/2010/main">
      <mc:Choice Requires="a14">
        <xdr:sp macro="" textlink="">
          <xdr:nvSpPr>
            <xdr:cNvPr id="50" name="Textfeld 49"/>
            <xdr:cNvSpPr txBox="1"/>
          </xdr:nvSpPr>
          <xdr:spPr>
            <a:xfrm>
              <a:off x="771525" y="6326671"/>
              <a:ext cx="440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𝛼</m:t>
                        </m:r>
                      </m:e>
                      <m:sub>
                        <m:r>
                          <a:rPr lang="de-AT" sz="1100" b="0" i="1">
                            <a:latin typeface="Cambria Math" panose="02040503050406030204" pitchFamily="18" charset="0"/>
                            <a:ea typeface="Cambria Math" panose="02040503050406030204" pitchFamily="18" charset="0"/>
                          </a:rPr>
                          <m:t>𝑎𝑢</m:t>
                        </m:r>
                        <m:r>
                          <a:rPr lang="de-AT" sz="1100" b="0" i="1">
                            <a:latin typeface="Cambria Math" panose="02040503050406030204" pitchFamily="18" charset="0"/>
                            <a:ea typeface="Cambria Math" panose="02040503050406030204" pitchFamily="18" charset="0"/>
                          </a:rPr>
                          <m:t>ß</m:t>
                        </m:r>
                        <m:r>
                          <a:rPr lang="de-AT" sz="1100" b="0" i="1">
                            <a:latin typeface="Cambria Math" panose="02040503050406030204" pitchFamily="18" charset="0"/>
                            <a:ea typeface="Cambria Math" panose="02040503050406030204" pitchFamily="18" charset="0"/>
                          </a:rPr>
                          <m:t>𝑒𝑛</m:t>
                        </m:r>
                      </m:sub>
                    </m:sSub>
                  </m:oMath>
                </m:oMathPara>
              </a14:m>
              <a:endParaRPr lang="de-AT" sz="1100" b="0">
                <a:ea typeface="Cambria Math" panose="02040503050406030204" pitchFamily="18" charset="0"/>
              </a:endParaRPr>
            </a:p>
          </xdr:txBody>
        </xdr:sp>
      </mc:Choice>
      <mc:Fallback xmlns="">
        <xdr:sp macro="" textlink="">
          <xdr:nvSpPr>
            <xdr:cNvPr id="50" name="Textfeld 49"/>
            <xdr:cNvSpPr txBox="1"/>
          </xdr:nvSpPr>
          <xdr:spPr>
            <a:xfrm>
              <a:off x="771525" y="6326671"/>
              <a:ext cx="440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𝛼_𝑎𝑢ß𝑒𝑛</a:t>
              </a:r>
              <a:endParaRPr lang="de-AT" sz="1100" b="0">
                <a:ea typeface="Cambria Math" panose="02040503050406030204" pitchFamily="18" charset="0"/>
              </a:endParaRPr>
            </a:p>
          </xdr:txBody>
        </xdr:sp>
      </mc:Fallback>
    </mc:AlternateContent>
    <xdr:clientData/>
  </xdr:oneCellAnchor>
  <xdr:oneCellAnchor>
    <xdr:from>
      <xdr:col>8</xdr:col>
      <xdr:colOff>9525</xdr:colOff>
      <xdr:row>28</xdr:row>
      <xdr:rowOff>0</xdr:rowOff>
    </xdr:from>
    <xdr:ext cx="377155" cy="172227"/>
    <mc:AlternateContent xmlns:mc="http://schemas.openxmlformats.org/markup-compatibility/2006" xmlns:a14="http://schemas.microsoft.com/office/drawing/2010/main">
      <mc:Choice Requires="a14">
        <xdr:sp macro="" textlink="">
          <xdr:nvSpPr>
            <xdr:cNvPr id="51" name="Textfeld 50"/>
            <xdr:cNvSpPr txBox="1"/>
          </xdr:nvSpPr>
          <xdr:spPr>
            <a:xfrm>
              <a:off x="771525" y="5507935"/>
              <a:ext cx="3771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𝜆</m:t>
                        </m:r>
                      </m:e>
                      <m:sub>
                        <m:r>
                          <a:rPr lang="de-AT" sz="1100" b="0" i="1">
                            <a:latin typeface="Cambria Math" panose="02040503050406030204" pitchFamily="18" charset="0"/>
                            <a:ea typeface="Cambria Math" panose="02040503050406030204" pitchFamily="18" charset="0"/>
                          </a:rPr>
                          <m:t>𝑆𝑡𝑎h𝑙</m:t>
                        </m:r>
                      </m:sub>
                    </m:sSub>
                  </m:oMath>
                </m:oMathPara>
              </a14:m>
              <a:endParaRPr lang="de-AT" sz="1100" b="0">
                <a:ea typeface="Cambria Math" panose="02040503050406030204" pitchFamily="18" charset="0"/>
              </a:endParaRPr>
            </a:p>
          </xdr:txBody>
        </xdr:sp>
      </mc:Choice>
      <mc:Fallback xmlns="">
        <xdr:sp macro="" textlink="">
          <xdr:nvSpPr>
            <xdr:cNvPr id="51" name="Textfeld 50"/>
            <xdr:cNvSpPr txBox="1"/>
          </xdr:nvSpPr>
          <xdr:spPr>
            <a:xfrm>
              <a:off x="771525" y="5507935"/>
              <a:ext cx="3771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𝜆_𝑆𝑡𝑎ℎ𝑙</a:t>
              </a:r>
              <a:endParaRPr lang="de-AT" sz="1100" b="0">
                <a:ea typeface="Cambria Math" panose="02040503050406030204" pitchFamily="18" charset="0"/>
              </a:endParaRPr>
            </a:p>
          </xdr:txBody>
        </xdr:sp>
      </mc:Fallback>
    </mc:AlternateContent>
    <xdr:clientData/>
  </xdr:oneCellAnchor>
  <xdr:oneCellAnchor>
    <xdr:from>
      <xdr:col>8</xdr:col>
      <xdr:colOff>9525</xdr:colOff>
      <xdr:row>29</xdr:row>
      <xdr:rowOff>19050</xdr:rowOff>
    </xdr:from>
    <xdr:ext cx="264047" cy="172227"/>
    <mc:AlternateContent xmlns:mc="http://schemas.openxmlformats.org/markup-compatibility/2006" xmlns:a14="http://schemas.microsoft.com/office/drawing/2010/main">
      <mc:Choice Requires="a14">
        <xdr:sp macro="" textlink="">
          <xdr:nvSpPr>
            <xdr:cNvPr id="52" name="Textfeld 51"/>
            <xdr:cNvSpPr txBox="1"/>
          </xdr:nvSpPr>
          <xdr:spPr>
            <a:xfrm>
              <a:off x="771525" y="5725767"/>
              <a:ext cx="2640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𝜆</m:t>
                        </m:r>
                      </m:e>
                      <m:sub>
                        <m:r>
                          <a:rPr lang="de-AT" sz="1100" b="0" i="1">
                            <a:latin typeface="Cambria Math" panose="02040503050406030204" pitchFamily="18" charset="0"/>
                            <a:ea typeface="Cambria Math" panose="02040503050406030204" pitchFamily="18" charset="0"/>
                          </a:rPr>
                          <m:t>𝑤𝑑</m:t>
                        </m:r>
                      </m:sub>
                    </m:sSub>
                  </m:oMath>
                </m:oMathPara>
              </a14:m>
              <a:endParaRPr lang="de-AT" sz="1100" b="0">
                <a:ea typeface="Cambria Math" panose="02040503050406030204" pitchFamily="18" charset="0"/>
              </a:endParaRPr>
            </a:p>
          </xdr:txBody>
        </xdr:sp>
      </mc:Choice>
      <mc:Fallback xmlns="">
        <xdr:sp macro="" textlink="">
          <xdr:nvSpPr>
            <xdr:cNvPr id="52" name="Textfeld 51"/>
            <xdr:cNvSpPr txBox="1"/>
          </xdr:nvSpPr>
          <xdr:spPr>
            <a:xfrm>
              <a:off x="771525" y="5725767"/>
              <a:ext cx="2640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𝜆_𝑤𝑑</a:t>
              </a:r>
              <a:endParaRPr lang="de-AT" sz="1100" b="0">
                <a:ea typeface="Cambria Math" panose="02040503050406030204" pitchFamily="18" charset="0"/>
              </a:endParaRPr>
            </a:p>
          </xdr:txBody>
        </xdr:sp>
      </mc:Fallback>
    </mc:AlternateContent>
    <xdr:clientData/>
  </xdr:oneCellAnchor>
  <xdr:oneCellAnchor>
    <xdr:from>
      <xdr:col>8</xdr:col>
      <xdr:colOff>7326</xdr:colOff>
      <xdr:row>30</xdr:row>
      <xdr:rowOff>14654</xdr:rowOff>
    </xdr:from>
    <xdr:ext cx="192553" cy="172227"/>
    <mc:AlternateContent xmlns:mc="http://schemas.openxmlformats.org/markup-compatibility/2006" xmlns:a14="http://schemas.microsoft.com/office/drawing/2010/main">
      <mc:Choice Requires="a14">
        <xdr:sp macro="" textlink="">
          <xdr:nvSpPr>
            <xdr:cNvPr id="56" name="Textfeld 55"/>
            <xdr:cNvSpPr txBox="1"/>
          </xdr:nvSpPr>
          <xdr:spPr>
            <a:xfrm>
              <a:off x="769326" y="5961567"/>
              <a:ext cx="1925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𝜗</m:t>
                        </m:r>
                      </m:e>
                      <m:sub>
                        <m:r>
                          <a:rPr lang="de-AT" sz="1100" b="0" i="1">
                            <a:latin typeface="Cambria Math" panose="02040503050406030204" pitchFamily="18" charset="0"/>
                            <a:ea typeface="Cambria Math" panose="02040503050406030204" pitchFamily="18" charset="0"/>
                          </a:rPr>
                          <m:t>𝑈</m:t>
                        </m:r>
                      </m:sub>
                    </m:sSub>
                  </m:oMath>
                </m:oMathPara>
              </a14:m>
              <a:endParaRPr lang="de-AT" sz="1100" b="0">
                <a:ea typeface="Cambria Math" panose="02040503050406030204" pitchFamily="18" charset="0"/>
              </a:endParaRPr>
            </a:p>
          </xdr:txBody>
        </xdr:sp>
      </mc:Choice>
      <mc:Fallback xmlns="">
        <xdr:sp macro="" textlink="">
          <xdr:nvSpPr>
            <xdr:cNvPr id="56" name="Textfeld 55"/>
            <xdr:cNvSpPr txBox="1"/>
          </xdr:nvSpPr>
          <xdr:spPr>
            <a:xfrm>
              <a:off x="769326" y="5961567"/>
              <a:ext cx="1925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𝜗_𝑈</a:t>
              </a:r>
              <a:endParaRPr lang="de-AT" sz="1100" b="0">
                <a:ea typeface="Cambria Math" panose="02040503050406030204" pitchFamily="18" charset="0"/>
              </a:endParaRPr>
            </a:p>
          </xdr:txBody>
        </xdr:sp>
      </mc:Fallback>
    </mc:AlternateContent>
    <xdr:clientData/>
  </xdr:oneCellAnchor>
  <xdr:oneCellAnchor>
    <xdr:from>
      <xdr:col>8</xdr:col>
      <xdr:colOff>21981</xdr:colOff>
      <xdr:row>36</xdr:row>
      <xdr:rowOff>21981</xdr:rowOff>
    </xdr:from>
    <xdr:ext cx="318036" cy="172227"/>
    <mc:AlternateContent xmlns:mc="http://schemas.openxmlformats.org/markup-compatibility/2006" xmlns:a14="http://schemas.microsoft.com/office/drawing/2010/main">
      <mc:Choice Requires="a14">
        <xdr:sp macro="" textlink="">
          <xdr:nvSpPr>
            <xdr:cNvPr id="57" name="Textfeld 56"/>
            <xdr:cNvSpPr txBox="1"/>
          </xdr:nvSpPr>
          <xdr:spPr>
            <a:xfrm>
              <a:off x="783981" y="7161590"/>
              <a:ext cx="3180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𝑙</m:t>
                        </m:r>
                      </m:e>
                      <m:sub>
                        <m:r>
                          <a:rPr lang="de-AT" sz="1100" b="0" i="1">
                            <a:latin typeface="Cambria Math" panose="02040503050406030204" pitchFamily="18" charset="0"/>
                            <a:ea typeface="Cambria Math" panose="02040503050406030204" pitchFamily="18" charset="0"/>
                          </a:rPr>
                          <m:t>𝑁𝑒𝑡𝑧</m:t>
                        </m:r>
                      </m:sub>
                    </m:sSub>
                  </m:oMath>
                </m:oMathPara>
              </a14:m>
              <a:endParaRPr lang="de-AT" sz="1100" b="0">
                <a:ea typeface="Cambria Math" panose="02040503050406030204" pitchFamily="18" charset="0"/>
              </a:endParaRPr>
            </a:p>
          </xdr:txBody>
        </xdr:sp>
      </mc:Choice>
      <mc:Fallback xmlns="">
        <xdr:sp macro="" textlink="">
          <xdr:nvSpPr>
            <xdr:cNvPr id="57" name="Textfeld 56"/>
            <xdr:cNvSpPr txBox="1"/>
          </xdr:nvSpPr>
          <xdr:spPr>
            <a:xfrm>
              <a:off x="783981" y="7161590"/>
              <a:ext cx="3180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𝑙_𝑁𝑒𝑡𝑧</a:t>
              </a:r>
              <a:endParaRPr lang="de-AT" sz="1100" b="0">
                <a:ea typeface="Cambria Math" panose="02040503050406030204" pitchFamily="18" charset="0"/>
              </a:endParaRPr>
            </a:p>
          </xdr:txBody>
        </xdr:sp>
      </mc:Fallback>
    </mc:AlternateContent>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8"/>
  <sheetViews>
    <sheetView showGridLines="0" tabSelected="1" topLeftCell="A32" zoomScale="99" zoomScaleNormal="130" workbookViewId="0">
      <selection activeCell="J41" sqref="J41"/>
    </sheetView>
  </sheetViews>
  <sheetFormatPr baseColWidth="10" defaultRowHeight="14.4" x14ac:dyDescent="0.3"/>
  <cols>
    <col min="1" max="1" width="4.33203125" style="173" customWidth="1"/>
    <col min="2" max="2" width="4.6640625" customWidth="1"/>
    <col min="3" max="3" width="7.88671875" customWidth="1"/>
    <col min="4" max="4" width="28.44140625" customWidth="1"/>
    <col min="5" max="8" width="13.88671875" customWidth="1"/>
  </cols>
  <sheetData>
    <row r="1" spans="1:10" s="173" customFormat="1" x14ac:dyDescent="0.3"/>
    <row r="2" spans="1:10" s="174" customFormat="1" x14ac:dyDescent="0.3">
      <c r="A2" s="173"/>
      <c r="B2"/>
    </row>
    <row r="3" spans="1:10" ht="30.6" thickBot="1" x14ac:dyDescent="0.45">
      <c r="C3" s="1" t="s">
        <v>0</v>
      </c>
      <c r="D3" s="1"/>
      <c r="E3" s="1"/>
      <c r="H3" s="6" t="s">
        <v>32</v>
      </c>
      <c r="I3" s="7" t="s">
        <v>31</v>
      </c>
      <c r="J3" s="8" t="s">
        <v>3</v>
      </c>
    </row>
    <row r="4" spans="1:10" ht="15" thickTop="1" x14ac:dyDescent="0.3">
      <c r="C4" s="192">
        <v>1.1000000000000001</v>
      </c>
      <c r="D4" s="192" t="s">
        <v>1</v>
      </c>
      <c r="E4" s="192"/>
      <c r="F4" s="192"/>
      <c r="G4" s="192"/>
    </row>
    <row r="5" spans="1:10" x14ac:dyDescent="0.3">
      <c r="C5" s="192">
        <v>1.2</v>
      </c>
      <c r="D5" s="192" t="s">
        <v>2</v>
      </c>
      <c r="E5" s="192"/>
      <c r="F5" s="192"/>
      <c r="G5" s="192"/>
    </row>
    <row r="6" spans="1:10" x14ac:dyDescent="0.3">
      <c r="C6" s="192">
        <v>1.3</v>
      </c>
      <c r="D6" s="192" t="s">
        <v>109</v>
      </c>
      <c r="E6" s="192"/>
      <c r="F6" s="192"/>
      <c r="G6" s="192"/>
    </row>
    <row r="7" spans="1:10" x14ac:dyDescent="0.3">
      <c r="C7">
        <v>1.4</v>
      </c>
      <c r="D7" t="s">
        <v>76</v>
      </c>
    </row>
    <row r="10" spans="1:10" x14ac:dyDescent="0.3">
      <c r="A10" s="175"/>
      <c r="B10" s="172"/>
    </row>
    <row r="11" spans="1:10" ht="18" thickBot="1" x14ac:dyDescent="0.4">
      <c r="A11" s="175"/>
      <c r="B11" s="172"/>
      <c r="C11" s="2">
        <v>1.1000000000000001</v>
      </c>
      <c r="D11" s="2" t="s">
        <v>75</v>
      </c>
      <c r="E11" s="2"/>
      <c r="F11" s="2"/>
      <c r="G11" s="2"/>
      <c r="H11" s="2"/>
      <c r="I11" s="2"/>
      <c r="J11" s="2"/>
    </row>
    <row r="12" spans="1:10" s="4" customFormat="1" ht="43.8" thickTop="1" x14ac:dyDescent="0.3">
      <c r="A12" s="173"/>
      <c r="B12"/>
      <c r="C12" s="58" t="s">
        <v>20</v>
      </c>
      <c r="D12" s="59" t="s">
        <v>21</v>
      </c>
      <c r="E12" s="59" t="s">
        <v>23</v>
      </c>
      <c r="F12" s="59" t="s">
        <v>26</v>
      </c>
      <c r="G12" s="59" t="s">
        <v>27</v>
      </c>
      <c r="H12" s="59" t="s">
        <v>28</v>
      </c>
      <c r="I12" s="59" t="s">
        <v>5</v>
      </c>
      <c r="J12" s="60" t="s">
        <v>6</v>
      </c>
    </row>
    <row r="13" spans="1:10" ht="15" thickBot="1" x14ac:dyDescent="0.35">
      <c r="C13" s="61"/>
      <c r="D13" s="62"/>
      <c r="E13" s="62" t="s">
        <v>19</v>
      </c>
      <c r="F13" s="62" t="s">
        <v>22</v>
      </c>
      <c r="G13" s="62" t="s">
        <v>24</v>
      </c>
      <c r="H13" s="62" t="s">
        <v>29</v>
      </c>
      <c r="I13" s="62" t="s">
        <v>7</v>
      </c>
      <c r="J13" s="63" t="s">
        <v>25</v>
      </c>
    </row>
    <row r="14" spans="1:10" x14ac:dyDescent="0.3">
      <c r="C14" s="53"/>
      <c r="D14" s="39"/>
      <c r="E14" s="39"/>
      <c r="F14" s="39"/>
      <c r="G14" s="39"/>
      <c r="H14" s="39"/>
      <c r="I14" s="39"/>
      <c r="J14" s="41"/>
    </row>
    <row r="15" spans="1:10" x14ac:dyDescent="0.3">
      <c r="C15" s="54">
        <v>1.1000000000000001</v>
      </c>
      <c r="D15" s="148" t="s">
        <v>181</v>
      </c>
      <c r="E15" s="51">
        <v>65200</v>
      </c>
      <c r="F15" s="200">
        <v>12</v>
      </c>
      <c r="G15" s="200">
        <v>6.6</v>
      </c>
      <c r="H15" s="129">
        <f>G15/F15*1000</f>
        <v>549.99999999999989</v>
      </c>
      <c r="I15" s="43">
        <f>E15*F15/1000</f>
        <v>782.4</v>
      </c>
      <c r="J15" s="55">
        <f>E15*G15</f>
        <v>430320</v>
      </c>
    </row>
    <row r="16" spans="1:10" x14ac:dyDescent="0.3">
      <c r="C16" s="54">
        <v>3.1</v>
      </c>
      <c r="D16" s="42" t="s">
        <v>8</v>
      </c>
      <c r="E16" s="51">
        <v>4500</v>
      </c>
      <c r="F16" s="200">
        <v>27</v>
      </c>
      <c r="G16" s="200">
        <v>13.3</v>
      </c>
      <c r="H16" s="129">
        <v>490</v>
      </c>
      <c r="I16" s="43">
        <f t="shared" ref="I16:I25" si="0">E16*F16/1000</f>
        <v>121.5</v>
      </c>
      <c r="J16" s="55">
        <f t="shared" ref="J16:J25" si="1">E16*G16</f>
        <v>59850</v>
      </c>
    </row>
    <row r="17" spans="3:11" x14ac:dyDescent="0.3">
      <c r="C17" s="54">
        <v>3.2</v>
      </c>
      <c r="D17" s="42" t="s">
        <v>9</v>
      </c>
      <c r="E17" s="51">
        <v>4000</v>
      </c>
      <c r="F17" s="200">
        <v>26</v>
      </c>
      <c r="G17" s="200">
        <v>20.6</v>
      </c>
      <c r="H17" s="129">
        <f t="shared" ref="H17:H26" si="2">G17/F17*1000</f>
        <v>792.30769230769238</v>
      </c>
      <c r="I17" s="43">
        <f t="shared" si="0"/>
        <v>104</v>
      </c>
      <c r="J17" s="55">
        <f t="shared" si="1"/>
        <v>82400</v>
      </c>
    </row>
    <row r="18" spans="3:11" x14ac:dyDescent="0.3">
      <c r="C18" s="54">
        <v>3.3</v>
      </c>
      <c r="D18" s="42" t="s">
        <v>10</v>
      </c>
      <c r="E18" s="51">
        <v>1000</v>
      </c>
      <c r="F18" s="200">
        <v>42</v>
      </c>
      <c r="G18" s="200">
        <v>10.7</v>
      </c>
      <c r="H18" s="129">
        <f t="shared" si="2"/>
        <v>254.76190476190476</v>
      </c>
      <c r="I18" s="43">
        <f t="shared" si="0"/>
        <v>42</v>
      </c>
      <c r="J18" s="55">
        <f t="shared" si="1"/>
        <v>10700</v>
      </c>
    </row>
    <row r="19" spans="3:11" x14ac:dyDescent="0.3">
      <c r="C19" s="54">
        <v>3.4</v>
      </c>
      <c r="D19" s="42" t="s">
        <v>11</v>
      </c>
      <c r="E19" s="51">
        <v>1000</v>
      </c>
      <c r="F19" s="200">
        <v>22</v>
      </c>
      <c r="G19" s="200">
        <v>12.9</v>
      </c>
      <c r="H19" s="129">
        <f t="shared" si="2"/>
        <v>586.36363636363637</v>
      </c>
      <c r="I19" s="43">
        <f t="shared" si="0"/>
        <v>22</v>
      </c>
      <c r="J19" s="55">
        <f t="shared" si="1"/>
        <v>12900</v>
      </c>
    </row>
    <row r="20" spans="3:11" x14ac:dyDescent="0.3">
      <c r="C20" s="54">
        <v>4.0999999999999996</v>
      </c>
      <c r="D20" s="42" t="s">
        <v>12</v>
      </c>
      <c r="E20" s="51">
        <v>5800</v>
      </c>
      <c r="F20" s="200">
        <v>36</v>
      </c>
      <c r="G20" s="200">
        <v>16.899999999999999</v>
      </c>
      <c r="H20" s="129">
        <f t="shared" si="2"/>
        <v>469.4444444444444</v>
      </c>
      <c r="I20" s="43">
        <f t="shared" si="0"/>
        <v>208.8</v>
      </c>
      <c r="J20" s="55">
        <f t="shared" si="1"/>
        <v>98019.999999999985</v>
      </c>
    </row>
    <row r="21" spans="3:11" x14ac:dyDescent="0.3">
      <c r="C21" s="54">
        <v>4.2</v>
      </c>
      <c r="D21" s="42" t="s">
        <v>13</v>
      </c>
      <c r="E21" s="51">
        <v>3620</v>
      </c>
      <c r="F21" s="200">
        <v>37</v>
      </c>
      <c r="G21" s="200">
        <v>9.9</v>
      </c>
      <c r="H21" s="129">
        <f t="shared" si="2"/>
        <v>267.56756756756755</v>
      </c>
      <c r="I21" s="43">
        <f t="shared" si="0"/>
        <v>133.94</v>
      </c>
      <c r="J21" s="55">
        <f t="shared" si="1"/>
        <v>35838</v>
      </c>
    </row>
    <row r="22" spans="3:11" x14ac:dyDescent="0.3">
      <c r="C22" s="54">
        <v>4.3</v>
      </c>
      <c r="D22" s="42" t="s">
        <v>14</v>
      </c>
      <c r="E22" s="51">
        <v>1000</v>
      </c>
      <c r="F22" s="200">
        <v>21</v>
      </c>
      <c r="G22" s="200">
        <v>8.3000000000000007</v>
      </c>
      <c r="H22" s="129">
        <f t="shared" si="2"/>
        <v>395.2380952380953</v>
      </c>
      <c r="I22" s="43">
        <f t="shared" si="0"/>
        <v>21</v>
      </c>
      <c r="J22" s="55">
        <f t="shared" si="1"/>
        <v>8300</v>
      </c>
    </row>
    <row r="23" spans="3:11" x14ac:dyDescent="0.3">
      <c r="C23" s="54">
        <v>4.4000000000000004</v>
      </c>
      <c r="D23" s="42" t="s">
        <v>15</v>
      </c>
      <c r="E23" s="51">
        <v>6000</v>
      </c>
      <c r="F23" s="200">
        <v>48</v>
      </c>
      <c r="G23" s="200">
        <v>20.5</v>
      </c>
      <c r="H23" s="129">
        <f t="shared" si="2"/>
        <v>427.08333333333331</v>
      </c>
      <c r="I23" s="43">
        <f t="shared" si="0"/>
        <v>288</v>
      </c>
      <c r="J23" s="55">
        <f t="shared" si="1"/>
        <v>123000</v>
      </c>
    </row>
    <row r="24" spans="3:11" x14ac:dyDescent="0.3">
      <c r="C24" s="54">
        <v>9.3000000000000007</v>
      </c>
      <c r="D24" s="42" t="s">
        <v>16</v>
      </c>
      <c r="E24" s="51">
        <v>6000</v>
      </c>
      <c r="F24" s="200">
        <v>48</v>
      </c>
      <c r="G24" s="200">
        <v>15.8</v>
      </c>
      <c r="H24" s="129">
        <f t="shared" si="2"/>
        <v>329.16666666666669</v>
      </c>
      <c r="I24" s="43">
        <f t="shared" si="0"/>
        <v>288</v>
      </c>
      <c r="J24" s="55">
        <f t="shared" si="1"/>
        <v>94800</v>
      </c>
    </row>
    <row r="25" spans="3:11" x14ac:dyDescent="0.3">
      <c r="C25" s="54">
        <v>5.0999999999999996</v>
      </c>
      <c r="D25" s="148" t="s">
        <v>182</v>
      </c>
      <c r="E25" s="51">
        <v>1000</v>
      </c>
      <c r="F25" s="200">
        <v>21</v>
      </c>
      <c r="G25" s="200">
        <v>17.600000000000001</v>
      </c>
      <c r="H25" s="129">
        <f t="shared" si="2"/>
        <v>838.09523809523807</v>
      </c>
      <c r="I25" s="43">
        <f t="shared" si="0"/>
        <v>21</v>
      </c>
      <c r="J25" s="55">
        <f t="shared" si="1"/>
        <v>17600</v>
      </c>
    </row>
    <row r="26" spans="3:11" x14ac:dyDescent="0.3">
      <c r="C26" s="149">
        <v>5.2</v>
      </c>
      <c r="D26" s="148" t="s">
        <v>183</v>
      </c>
      <c r="E26" s="51">
        <v>1000</v>
      </c>
      <c r="F26" s="200">
        <v>41</v>
      </c>
      <c r="G26" s="200">
        <v>88.6</v>
      </c>
      <c r="H26" s="129">
        <f t="shared" si="2"/>
        <v>2160.9756097560971</v>
      </c>
      <c r="I26" s="43">
        <f>E26*F26/1000</f>
        <v>41</v>
      </c>
      <c r="J26" s="55">
        <f>E26*G26</f>
        <v>88600</v>
      </c>
    </row>
    <row r="27" spans="3:11" ht="15" thickBot="1" x14ac:dyDescent="0.35">
      <c r="C27" s="54">
        <v>12</v>
      </c>
      <c r="D27" s="148" t="s">
        <v>186</v>
      </c>
      <c r="E27" s="67">
        <v>19344</v>
      </c>
      <c r="F27" s="201"/>
      <c r="G27" s="201"/>
      <c r="H27" s="202"/>
      <c r="I27" s="68">
        <f>E27*F27/1000</f>
        <v>0</v>
      </c>
      <c r="J27" s="69">
        <f>E27*G27</f>
        <v>0</v>
      </c>
      <c r="K27" s="13"/>
    </row>
    <row r="28" spans="3:11" ht="15.6" thickTop="1" thickBot="1" x14ac:dyDescent="0.35">
      <c r="C28" s="57" t="s">
        <v>30</v>
      </c>
      <c r="D28" s="46"/>
      <c r="E28" s="64">
        <f>SUM(E14:E27)</f>
        <v>119464</v>
      </c>
      <c r="F28" s="65">
        <f>I28/E28</f>
        <v>1.7357865130918103E-2</v>
      </c>
      <c r="G28" s="65">
        <f>J28/E28</f>
        <v>8.8924529565392092</v>
      </c>
      <c r="H28" s="64">
        <f>J28/I28</f>
        <v>512.3010744391504</v>
      </c>
      <c r="I28" s="64">
        <f>SUM(I14:I27)</f>
        <v>2073.6400000000003</v>
      </c>
      <c r="J28" s="66">
        <f>SUM(J14:J27)</f>
        <v>1062328</v>
      </c>
    </row>
    <row r="31" spans="3:11" ht="18" thickBot="1" x14ac:dyDescent="0.4">
      <c r="C31" s="2">
        <v>1.2</v>
      </c>
      <c r="D31" s="2" t="s">
        <v>73</v>
      </c>
      <c r="E31" s="2"/>
      <c r="F31" s="2"/>
      <c r="G31" s="2"/>
      <c r="H31" s="2"/>
      <c r="I31" s="2"/>
      <c r="J31" s="2"/>
    </row>
    <row r="32" spans="3:11" ht="15" thickTop="1" x14ac:dyDescent="0.3">
      <c r="C32" s="81" t="s">
        <v>33</v>
      </c>
      <c r="D32" s="82" t="s">
        <v>41</v>
      </c>
      <c r="E32" s="39"/>
      <c r="F32" s="39"/>
      <c r="G32" s="39"/>
      <c r="H32" s="49">
        <f>J28</f>
        <v>1062328</v>
      </c>
      <c r="I32" s="39" t="s">
        <v>43</v>
      </c>
      <c r="J32" s="41"/>
    </row>
    <row r="33" spans="3:10" x14ac:dyDescent="0.3">
      <c r="C33" s="83" t="s">
        <v>36</v>
      </c>
      <c r="D33" s="72" t="s">
        <v>44</v>
      </c>
      <c r="E33" s="42"/>
      <c r="F33" s="42"/>
      <c r="G33" s="42"/>
      <c r="H33" s="50">
        <f>I28</f>
        <v>2073.6400000000003</v>
      </c>
      <c r="I33" s="42" t="s">
        <v>45</v>
      </c>
      <c r="J33" s="44"/>
    </row>
    <row r="34" spans="3:10" x14ac:dyDescent="0.3">
      <c r="C34" s="77" t="s">
        <v>34</v>
      </c>
      <c r="D34" s="72" t="s">
        <v>35</v>
      </c>
      <c r="E34" s="42"/>
      <c r="F34" s="42"/>
      <c r="G34" s="42"/>
      <c r="H34" s="50">
        <f>H32/H33</f>
        <v>512.3010744391504</v>
      </c>
      <c r="I34" s="42" t="s">
        <v>46</v>
      </c>
      <c r="J34" s="44"/>
    </row>
    <row r="35" spans="3:10" x14ac:dyDescent="0.3">
      <c r="C35" s="77" t="s">
        <v>4</v>
      </c>
      <c r="D35" s="73" t="s">
        <v>37</v>
      </c>
      <c r="E35" s="42"/>
      <c r="F35" s="42"/>
      <c r="G35" s="42"/>
      <c r="H35" s="51">
        <v>50</v>
      </c>
      <c r="I35" s="42"/>
      <c r="J35" s="44"/>
    </row>
    <row r="36" spans="3:10" x14ac:dyDescent="0.3">
      <c r="C36" s="77" t="s">
        <v>38</v>
      </c>
      <c r="D36" s="71" t="s">
        <v>39</v>
      </c>
      <c r="E36" s="42"/>
      <c r="F36" s="42"/>
      <c r="G36" s="42"/>
      <c r="H36" s="51">
        <v>0.5</v>
      </c>
      <c r="I36" s="148" t="s">
        <v>199</v>
      </c>
      <c r="J36" s="44"/>
    </row>
    <row r="37" spans="3:10" ht="16.2" thickBot="1" x14ac:dyDescent="0.4">
      <c r="C37" s="84" t="s">
        <v>40</v>
      </c>
      <c r="D37" s="85" t="s">
        <v>116</v>
      </c>
      <c r="E37" s="46"/>
      <c r="F37" s="46"/>
      <c r="G37" s="46"/>
      <c r="H37" s="52">
        <f>H33*H36</f>
        <v>1036.8200000000002</v>
      </c>
      <c r="I37" s="46" t="s">
        <v>45</v>
      </c>
      <c r="J37" s="48"/>
    </row>
    <row r="38" spans="3:10" x14ac:dyDescent="0.3">
      <c r="C38" s="70"/>
      <c r="D38" s="70"/>
    </row>
    <row r="39" spans="3:10" x14ac:dyDescent="0.3">
      <c r="C39" s="70"/>
      <c r="D39" s="70"/>
    </row>
    <row r="40" spans="3:10" ht="18" thickBot="1" x14ac:dyDescent="0.4">
      <c r="C40" s="2">
        <v>1.3</v>
      </c>
      <c r="D40" s="2" t="s">
        <v>74</v>
      </c>
      <c r="E40" s="2"/>
      <c r="F40" s="2"/>
      <c r="G40" s="2"/>
      <c r="H40" s="2"/>
      <c r="I40" s="2"/>
      <c r="J40" s="2"/>
    </row>
    <row r="41" spans="3:10" ht="15" thickTop="1" x14ac:dyDescent="0.3">
      <c r="C41" s="74" t="s">
        <v>113</v>
      </c>
      <c r="D41" s="75" t="s">
        <v>48</v>
      </c>
      <c r="E41" s="39"/>
      <c r="F41" s="39"/>
      <c r="G41" s="39"/>
      <c r="H41" s="40">
        <f>20*7*24</f>
        <v>3360</v>
      </c>
      <c r="I41" s="11" t="s">
        <v>49</v>
      </c>
      <c r="J41" s="41"/>
    </row>
    <row r="42" spans="3:10" x14ac:dyDescent="0.3">
      <c r="C42" s="76" t="s">
        <v>50</v>
      </c>
      <c r="D42" s="73" t="s">
        <v>110</v>
      </c>
      <c r="E42" s="42"/>
      <c r="F42" s="42"/>
      <c r="G42" s="42"/>
      <c r="H42" s="43">
        <f>H37*0.1</f>
        <v>103.68200000000002</v>
      </c>
      <c r="I42" s="10" t="s">
        <v>45</v>
      </c>
      <c r="J42" s="44"/>
    </row>
    <row r="43" spans="3:10" x14ac:dyDescent="0.3">
      <c r="C43" s="77" t="s">
        <v>51</v>
      </c>
      <c r="D43" s="73" t="s">
        <v>111</v>
      </c>
      <c r="E43" s="42"/>
      <c r="F43" s="42"/>
      <c r="G43" s="42"/>
      <c r="H43" s="43">
        <f>H37</f>
        <v>1036.8200000000002</v>
      </c>
      <c r="I43" s="10" t="s">
        <v>45</v>
      </c>
      <c r="J43" s="44"/>
    </row>
    <row r="44" spans="3:10" x14ac:dyDescent="0.3">
      <c r="C44" s="78" t="s">
        <v>52</v>
      </c>
      <c r="D44" s="73" t="s">
        <v>112</v>
      </c>
      <c r="E44" s="42"/>
      <c r="F44" s="42"/>
      <c r="G44" s="42"/>
      <c r="H44" s="43">
        <f>H32</f>
        <v>1062328</v>
      </c>
      <c r="I44" s="9" t="s">
        <v>43</v>
      </c>
      <c r="J44" s="44"/>
    </row>
    <row r="45" spans="3:10" x14ac:dyDescent="0.3">
      <c r="C45" s="76" t="s">
        <v>114</v>
      </c>
      <c r="D45" s="73" t="s">
        <v>53</v>
      </c>
      <c r="E45" s="42"/>
      <c r="F45" s="42"/>
      <c r="G45" s="42"/>
      <c r="H45" s="45">
        <v>0.1</v>
      </c>
      <c r="I45" s="10" t="s">
        <v>54</v>
      </c>
      <c r="J45" s="44"/>
    </row>
    <row r="46" spans="3:10" ht="15" thickBot="1" x14ac:dyDescent="0.35">
      <c r="C46" s="79" t="s">
        <v>115</v>
      </c>
      <c r="D46" s="80" t="s">
        <v>55</v>
      </c>
      <c r="E46" s="46"/>
      <c r="F46" s="46"/>
      <c r="G46" s="46"/>
      <c r="H46" s="47">
        <f>H44/H41/H43</f>
        <v>0.30494111573758953</v>
      </c>
      <c r="I46" s="12" t="s">
        <v>54</v>
      </c>
      <c r="J46" s="48"/>
    </row>
    <row r="48" spans="3:10" x14ac:dyDescent="0.3">
      <c r="H48" s="13"/>
    </row>
    <row r="49" spans="3:11" ht="18" thickBot="1" x14ac:dyDescent="0.4">
      <c r="C49" s="2">
        <v>1.3</v>
      </c>
      <c r="D49" s="2" t="s">
        <v>47</v>
      </c>
      <c r="E49" s="2"/>
      <c r="F49" s="2"/>
      <c r="G49" s="2"/>
      <c r="H49" s="2"/>
      <c r="I49" s="2"/>
      <c r="J49" s="2"/>
      <c r="K49" s="2"/>
    </row>
    <row r="50" spans="3:11" ht="15" thickTop="1" x14ac:dyDescent="0.3">
      <c r="C50" s="24" t="s">
        <v>56</v>
      </c>
      <c r="D50" s="28" t="s">
        <v>71</v>
      </c>
      <c r="E50" s="28" t="s">
        <v>57</v>
      </c>
      <c r="F50" s="25" t="s">
        <v>58</v>
      </c>
      <c r="G50" s="34" t="s">
        <v>60</v>
      </c>
      <c r="H50" s="34" t="s">
        <v>61</v>
      </c>
      <c r="I50" s="243" t="s">
        <v>70</v>
      </c>
      <c r="J50" s="244"/>
      <c r="K50" s="245"/>
    </row>
    <row r="51" spans="3:11" x14ac:dyDescent="0.3">
      <c r="C51" s="36"/>
      <c r="D51" s="37"/>
      <c r="E51" s="37"/>
      <c r="F51" s="18"/>
      <c r="G51" s="38"/>
      <c r="H51" s="38"/>
      <c r="I51" s="38" t="s">
        <v>62</v>
      </c>
      <c r="J51" s="38" t="s">
        <v>63</v>
      </c>
      <c r="K51" s="38" t="s">
        <v>72</v>
      </c>
    </row>
    <row r="52" spans="3:11" x14ac:dyDescent="0.3">
      <c r="C52" s="26" t="s">
        <v>54</v>
      </c>
      <c r="D52" s="29" t="s">
        <v>54</v>
      </c>
      <c r="E52" s="29" t="s">
        <v>46</v>
      </c>
      <c r="F52" s="27" t="s">
        <v>45</v>
      </c>
      <c r="G52" s="35" t="s">
        <v>42</v>
      </c>
      <c r="H52" s="35" t="s">
        <v>42</v>
      </c>
      <c r="I52" s="35" t="s">
        <v>45</v>
      </c>
      <c r="J52" s="35" t="s">
        <v>45</v>
      </c>
      <c r="K52" s="35" t="s">
        <v>45</v>
      </c>
    </row>
    <row r="53" spans="3:11" x14ac:dyDescent="0.3">
      <c r="C53" s="19">
        <f>MIN(E53/$H$41,1)</f>
        <v>0</v>
      </c>
      <c r="D53" s="20">
        <f>IF(E53&gt;$H$41,0,1-((1-$H$45)*C53^(($H$46-$H$45)/(1-$H$46))))</f>
        <v>1</v>
      </c>
      <c r="E53" s="21">
        <v>0</v>
      </c>
      <c r="F53" s="31">
        <f>D53*$H$43</f>
        <v>1036.8200000000002</v>
      </c>
      <c r="G53" s="23"/>
      <c r="H53" s="23"/>
      <c r="I53" s="33">
        <f>$E$86</f>
        <v>300</v>
      </c>
      <c r="J53" s="23">
        <f>$E$88</f>
        <v>736</v>
      </c>
      <c r="K53" s="23">
        <f>I53+J53</f>
        <v>1036</v>
      </c>
    </row>
    <row r="54" spans="3:11" x14ac:dyDescent="0.3">
      <c r="C54" s="19">
        <f t="shared" ref="C54:C80" si="3">MIN(E54/$H$41,1)</f>
        <v>7.4404761904761901E-3</v>
      </c>
      <c r="D54" s="20">
        <f t="shared" ref="D54:D81" si="4">IF(E54&gt;$H$41,0,1-((1-$H$45)*C54^(($H$46-$H$45)/(1-$H$46))))</f>
        <v>0.78783448926390154</v>
      </c>
      <c r="E54" s="21">
        <v>25</v>
      </c>
      <c r="F54" s="32">
        <f t="shared" ref="F54:F81" si="5">D54*$H$43</f>
        <v>816.84255515859854</v>
      </c>
      <c r="G54" s="22">
        <f t="shared" ref="G54:G67" si="6">(F53+F54)/2*(E54-E53)</f>
        <v>23170.781939482484</v>
      </c>
      <c r="H54" s="30">
        <f>G54+H53</f>
        <v>23170.781939482484</v>
      </c>
      <c r="I54" s="23">
        <f t="shared" ref="I54:I81" si="7">$E$86</f>
        <v>300</v>
      </c>
      <c r="J54" s="23">
        <f>IF(F53&gt;I53,J53,0)</f>
        <v>736</v>
      </c>
      <c r="K54" s="23">
        <f t="shared" ref="K54:K81" si="8">J54+I54</f>
        <v>1036</v>
      </c>
    </row>
    <row r="55" spans="3:11" x14ac:dyDescent="0.3">
      <c r="C55" s="19">
        <f t="shared" si="3"/>
        <v>1.488095238095238E-2</v>
      </c>
      <c r="D55" s="20">
        <f t="shared" si="4"/>
        <v>0.73972360534556147</v>
      </c>
      <c r="E55" s="21">
        <v>50</v>
      </c>
      <c r="F55" s="22">
        <f t="shared" si="5"/>
        <v>766.96022849438521</v>
      </c>
      <c r="G55" s="22">
        <f t="shared" si="6"/>
        <v>19797.534795662294</v>
      </c>
      <c r="H55" s="22">
        <f t="shared" ref="H55:H72" si="9">G55+H54</f>
        <v>42968.316735144777</v>
      </c>
      <c r="I55" s="23">
        <f t="shared" si="7"/>
        <v>300</v>
      </c>
      <c r="J55" s="23">
        <f t="shared" ref="J55:J81" si="10">IF(F54&gt;I54,J54,0)</f>
        <v>736</v>
      </c>
      <c r="K55" s="23">
        <f t="shared" si="8"/>
        <v>1036</v>
      </c>
    </row>
    <row r="56" spans="3:11" x14ac:dyDescent="0.3">
      <c r="C56" s="19">
        <f t="shared" si="3"/>
        <v>2.976190476190476E-2</v>
      </c>
      <c r="D56" s="20">
        <f t="shared" si="4"/>
        <v>0.6807030446217246</v>
      </c>
      <c r="E56" s="21">
        <v>100</v>
      </c>
      <c r="F56" s="22">
        <f t="shared" si="5"/>
        <v>705.76653072469662</v>
      </c>
      <c r="G56" s="22">
        <f t="shared" si="6"/>
        <v>36818.16898047705</v>
      </c>
      <c r="H56" s="22">
        <f t="shared" si="9"/>
        <v>79786.48571562182</v>
      </c>
      <c r="I56" s="23">
        <f t="shared" si="7"/>
        <v>300</v>
      </c>
      <c r="J56" s="23">
        <f t="shared" si="10"/>
        <v>736</v>
      </c>
      <c r="K56" s="23">
        <f t="shared" si="8"/>
        <v>1036</v>
      </c>
    </row>
    <row r="57" spans="3:11" x14ac:dyDescent="0.3">
      <c r="C57" s="19">
        <f t="shared" si="3"/>
        <v>5.9523809523809521E-2</v>
      </c>
      <c r="D57" s="20">
        <f t="shared" si="4"/>
        <v>0.60829891681420745</v>
      </c>
      <c r="E57" s="21">
        <v>200</v>
      </c>
      <c r="F57" s="22">
        <f t="shared" si="5"/>
        <v>630.69648293130672</v>
      </c>
      <c r="G57" s="22">
        <f>(F56+F57)/2*(E57-E56)</f>
        <v>66823.150682800173</v>
      </c>
      <c r="H57" s="22">
        <f t="shared" si="9"/>
        <v>146609.63639842201</v>
      </c>
      <c r="I57" s="23">
        <f t="shared" si="7"/>
        <v>300</v>
      </c>
      <c r="J57" s="23">
        <f t="shared" si="10"/>
        <v>736</v>
      </c>
      <c r="K57" s="23">
        <f t="shared" si="8"/>
        <v>1036</v>
      </c>
    </row>
    <row r="58" spans="3:11" x14ac:dyDescent="0.3">
      <c r="C58" s="19">
        <f t="shared" si="3"/>
        <v>8.9285714285714288E-2</v>
      </c>
      <c r="D58" s="20">
        <f t="shared" si="4"/>
        <v>0.55855557017293567</v>
      </c>
      <c r="E58" s="21">
        <v>300</v>
      </c>
      <c r="F58" s="22">
        <f t="shared" si="5"/>
        <v>579.12158626670328</v>
      </c>
      <c r="G58" s="22">
        <f t="shared" si="6"/>
        <v>60490.903459900503</v>
      </c>
      <c r="H58" s="22">
        <f t="shared" si="9"/>
        <v>207100.5398583225</v>
      </c>
      <c r="I58" s="23">
        <f t="shared" si="7"/>
        <v>300</v>
      </c>
      <c r="J58" s="23">
        <f t="shared" si="10"/>
        <v>736</v>
      </c>
      <c r="K58" s="23">
        <f t="shared" si="8"/>
        <v>1036</v>
      </c>
    </row>
    <row r="59" spans="3:11" x14ac:dyDescent="0.3">
      <c r="C59" s="19">
        <f t="shared" si="3"/>
        <v>0.11904761904761904</v>
      </c>
      <c r="D59" s="20">
        <f t="shared" si="4"/>
        <v>0.51947634957197475</v>
      </c>
      <c r="E59" s="21">
        <v>400</v>
      </c>
      <c r="F59" s="22">
        <f t="shared" si="5"/>
        <v>538.60346876321489</v>
      </c>
      <c r="G59" s="22">
        <f t="shared" si="6"/>
        <v>55886.252751495907</v>
      </c>
      <c r="H59" s="22">
        <f t="shared" si="9"/>
        <v>262986.7926098184</v>
      </c>
      <c r="I59" s="23">
        <f t="shared" si="7"/>
        <v>300</v>
      </c>
      <c r="J59" s="23">
        <f t="shared" si="10"/>
        <v>736</v>
      </c>
      <c r="K59" s="23">
        <f t="shared" si="8"/>
        <v>1036</v>
      </c>
    </row>
    <row r="60" spans="3:11" x14ac:dyDescent="0.3">
      <c r="C60" s="19">
        <f t="shared" si="3"/>
        <v>0.17857142857142858</v>
      </c>
      <c r="D60" s="20">
        <f t="shared" si="4"/>
        <v>0.45845314708766394</v>
      </c>
      <c r="E60" s="21">
        <v>600</v>
      </c>
      <c r="F60" s="22">
        <f t="shared" si="5"/>
        <v>475.33339196343178</v>
      </c>
      <c r="G60" s="22">
        <f t="shared" si="6"/>
        <v>101393.68607266467</v>
      </c>
      <c r="H60" s="22">
        <f t="shared" si="9"/>
        <v>364380.47868248308</v>
      </c>
      <c r="I60" s="23">
        <f t="shared" si="7"/>
        <v>300</v>
      </c>
      <c r="J60" s="23">
        <f t="shared" si="10"/>
        <v>736</v>
      </c>
      <c r="K60" s="23">
        <f t="shared" si="8"/>
        <v>1036</v>
      </c>
    </row>
    <row r="61" spans="3:11" x14ac:dyDescent="0.3">
      <c r="C61" s="19">
        <f t="shared" si="3"/>
        <v>0.23809523809523808</v>
      </c>
      <c r="D61" s="20">
        <f t="shared" si="4"/>
        <v>0.41051227956101255</v>
      </c>
      <c r="E61" s="21">
        <v>800</v>
      </c>
      <c r="F61" s="22">
        <f t="shared" si="5"/>
        <v>425.62734169444911</v>
      </c>
      <c r="G61" s="22">
        <f t="shared" si="6"/>
        <v>90096.073365788077</v>
      </c>
      <c r="H61" s="22">
        <f t="shared" si="9"/>
        <v>454476.55204827117</v>
      </c>
      <c r="I61" s="23">
        <f t="shared" si="7"/>
        <v>300</v>
      </c>
      <c r="J61" s="23">
        <f t="shared" si="10"/>
        <v>736</v>
      </c>
      <c r="K61" s="23">
        <f t="shared" si="8"/>
        <v>1036</v>
      </c>
    </row>
    <row r="62" spans="3:11" x14ac:dyDescent="0.3">
      <c r="C62" s="19">
        <f t="shared" si="3"/>
        <v>0.29761904761904762</v>
      </c>
      <c r="D62" s="20">
        <f t="shared" si="4"/>
        <v>0.37042264465898833</v>
      </c>
      <c r="E62" s="21">
        <v>1000</v>
      </c>
      <c r="F62" s="22">
        <f t="shared" si="5"/>
        <v>384.06160643533235</v>
      </c>
      <c r="G62" s="22">
        <f t="shared" si="6"/>
        <v>80968.894812978149</v>
      </c>
      <c r="H62" s="22">
        <f t="shared" si="9"/>
        <v>535445.44686124928</v>
      </c>
      <c r="I62" s="23">
        <f t="shared" si="7"/>
        <v>300</v>
      </c>
      <c r="J62" s="23">
        <f t="shared" si="10"/>
        <v>736</v>
      </c>
      <c r="K62" s="23">
        <f t="shared" si="8"/>
        <v>1036</v>
      </c>
    </row>
    <row r="63" spans="3:11" x14ac:dyDescent="0.3">
      <c r="C63" s="19">
        <f t="shared" si="3"/>
        <v>0.35714285714285715</v>
      </c>
      <c r="D63" s="20">
        <f t="shared" si="4"/>
        <v>0.33565138875091238</v>
      </c>
      <c r="E63" s="21">
        <v>1200</v>
      </c>
      <c r="F63" s="22">
        <f t="shared" si="5"/>
        <v>348.01007288472101</v>
      </c>
      <c r="G63" s="22">
        <f t="shared" si="6"/>
        <v>73207.167932005337</v>
      </c>
      <c r="H63" s="22">
        <f t="shared" si="9"/>
        <v>608652.61479325464</v>
      </c>
      <c r="I63" s="23">
        <f t="shared" si="7"/>
        <v>300</v>
      </c>
      <c r="J63" s="23">
        <f t="shared" si="10"/>
        <v>736</v>
      </c>
      <c r="K63" s="23">
        <f t="shared" si="8"/>
        <v>1036</v>
      </c>
    </row>
    <row r="64" spans="3:11" x14ac:dyDescent="0.3">
      <c r="C64" s="19">
        <f t="shared" si="3"/>
        <v>0.41666666666666669</v>
      </c>
      <c r="D64" s="20">
        <f t="shared" si="4"/>
        <v>0.30475866996141776</v>
      </c>
      <c r="E64" s="21">
        <v>1400</v>
      </c>
      <c r="F64" s="22">
        <f t="shared" si="5"/>
        <v>315.97988418939724</v>
      </c>
      <c r="G64" s="22">
        <f t="shared" si="6"/>
        <v>66398.995707411828</v>
      </c>
      <c r="H64" s="22">
        <f t="shared" si="9"/>
        <v>675051.61050066643</v>
      </c>
      <c r="I64" s="23">
        <f t="shared" si="7"/>
        <v>300</v>
      </c>
      <c r="J64" s="23">
        <f t="shared" si="10"/>
        <v>736</v>
      </c>
      <c r="K64" s="23">
        <f t="shared" si="8"/>
        <v>1036</v>
      </c>
    </row>
    <row r="65" spans="3:11" x14ac:dyDescent="0.3">
      <c r="C65" s="19">
        <f t="shared" si="3"/>
        <v>0.47619047619047616</v>
      </c>
      <c r="D65" s="20">
        <f t="shared" si="4"/>
        <v>0.27683939752221831</v>
      </c>
      <c r="E65" s="21">
        <v>1600</v>
      </c>
      <c r="F65" s="22">
        <f t="shared" si="5"/>
        <v>287.03262413898642</v>
      </c>
      <c r="G65" s="22">
        <f t="shared" si="6"/>
        <v>60301.250832838363</v>
      </c>
      <c r="H65" s="22">
        <f t="shared" si="9"/>
        <v>735352.86133350478</v>
      </c>
      <c r="I65" s="23">
        <f t="shared" si="7"/>
        <v>300</v>
      </c>
      <c r="J65" s="23">
        <f t="shared" si="10"/>
        <v>736</v>
      </c>
      <c r="K65" s="23">
        <f t="shared" si="8"/>
        <v>1036</v>
      </c>
    </row>
    <row r="66" spans="3:11" x14ac:dyDescent="0.3">
      <c r="C66" s="19">
        <f t="shared" si="3"/>
        <v>0.5357142857142857</v>
      </c>
      <c r="D66" s="20">
        <f t="shared" si="4"/>
        <v>0.25128367909018667</v>
      </c>
      <c r="E66" s="21">
        <v>1800</v>
      </c>
      <c r="F66" s="22">
        <f t="shared" si="5"/>
        <v>260.53594415428739</v>
      </c>
      <c r="G66" s="22">
        <f t="shared" si="6"/>
        <v>54756.856829327378</v>
      </c>
      <c r="H66" s="22">
        <f t="shared" si="9"/>
        <v>790109.7181628322</v>
      </c>
      <c r="I66" s="23">
        <f t="shared" si="7"/>
        <v>300</v>
      </c>
      <c r="J66" s="23">
        <f t="shared" si="10"/>
        <v>0</v>
      </c>
      <c r="K66" s="23">
        <f t="shared" si="8"/>
        <v>300</v>
      </c>
    </row>
    <row r="67" spans="3:11" x14ac:dyDescent="0.3">
      <c r="C67" s="19">
        <f t="shared" si="3"/>
        <v>0.59523809523809523</v>
      </c>
      <c r="D67" s="20">
        <f t="shared" si="4"/>
        <v>0.22765899303936898</v>
      </c>
      <c r="E67" s="21">
        <v>2000</v>
      </c>
      <c r="F67" s="22">
        <f t="shared" si="5"/>
        <v>236.04139716307859</v>
      </c>
      <c r="G67" s="22">
        <f t="shared" si="6"/>
        <v>49657.734131736594</v>
      </c>
      <c r="H67" s="22">
        <f t="shared" si="9"/>
        <v>839767.45229456876</v>
      </c>
      <c r="I67" s="23">
        <f t="shared" si="7"/>
        <v>300</v>
      </c>
      <c r="J67" s="23">
        <f t="shared" si="10"/>
        <v>0</v>
      </c>
      <c r="K67" s="23">
        <f t="shared" si="8"/>
        <v>300</v>
      </c>
    </row>
    <row r="68" spans="3:11" x14ac:dyDescent="0.3">
      <c r="C68" s="19">
        <f t="shared" si="3"/>
        <v>0.65476190476190477</v>
      </c>
      <c r="D68" s="20">
        <f t="shared" si="4"/>
        <v>0.20564633041939073</v>
      </c>
      <c r="E68" s="21">
        <v>2200</v>
      </c>
      <c r="F68" s="22">
        <f t="shared" si="5"/>
        <v>213.21822830543275</v>
      </c>
      <c r="G68" s="22">
        <f t="shared" ref="G68:G72" si="11">(F67+F68)/2*(E68-E67)</f>
        <v>44925.962546851137</v>
      </c>
      <c r="H68" s="22">
        <f t="shared" si="9"/>
        <v>884693.4148414199</v>
      </c>
      <c r="I68" s="23">
        <f t="shared" si="7"/>
        <v>300</v>
      </c>
      <c r="J68" s="23">
        <f t="shared" si="10"/>
        <v>0</v>
      </c>
      <c r="K68" s="23">
        <f t="shared" si="8"/>
        <v>300</v>
      </c>
    </row>
    <row r="69" spans="3:11" x14ac:dyDescent="0.3">
      <c r="C69" s="19">
        <f t="shared" si="3"/>
        <v>0.7142857142857143</v>
      </c>
      <c r="D69" s="20">
        <f t="shared" si="4"/>
        <v>0.1850029690043512</v>
      </c>
      <c r="E69" s="21">
        <v>2400</v>
      </c>
      <c r="F69" s="22">
        <f t="shared" si="5"/>
        <v>191.81477832309145</v>
      </c>
      <c r="G69" s="22">
        <f t="shared" si="11"/>
        <v>40503.300662852416</v>
      </c>
      <c r="H69" s="22">
        <f t="shared" si="9"/>
        <v>925196.71550427238</v>
      </c>
      <c r="I69" s="23">
        <f t="shared" si="7"/>
        <v>300</v>
      </c>
      <c r="J69" s="23">
        <f t="shared" si="10"/>
        <v>0</v>
      </c>
      <c r="K69" s="23">
        <f t="shared" si="8"/>
        <v>300</v>
      </c>
    </row>
    <row r="70" spans="3:11" x14ac:dyDescent="0.3">
      <c r="C70" s="19">
        <f t="shared" si="3"/>
        <v>0.77380952380952384</v>
      </c>
      <c r="D70" s="20">
        <f t="shared" si="4"/>
        <v>0.16553949975033566</v>
      </c>
      <c r="E70" s="21">
        <v>2600</v>
      </c>
      <c r="F70" s="22">
        <f t="shared" si="5"/>
        <v>171.63466413114304</v>
      </c>
      <c r="G70" s="22">
        <f t="shared" si="11"/>
        <v>36344.944245423452</v>
      </c>
      <c r="H70" s="22">
        <f t="shared" si="9"/>
        <v>961541.6597496958</v>
      </c>
      <c r="I70" s="23">
        <f t="shared" si="7"/>
        <v>300</v>
      </c>
      <c r="J70" s="23">
        <f t="shared" si="10"/>
        <v>0</v>
      </c>
      <c r="K70" s="23">
        <f t="shared" si="8"/>
        <v>300</v>
      </c>
    </row>
    <row r="71" spans="3:11" x14ac:dyDescent="0.3">
      <c r="C71" s="19">
        <f t="shared" si="3"/>
        <v>0.83333333333333337</v>
      </c>
      <c r="D71" s="20">
        <f t="shared" si="4"/>
        <v>0.14710498341891631</v>
      </c>
      <c r="E71" s="21">
        <v>2800</v>
      </c>
      <c r="F71" s="22">
        <f t="shared" si="5"/>
        <v>152.52138890840084</v>
      </c>
      <c r="G71" s="22">
        <f t="shared" si="11"/>
        <v>32415.605303954384</v>
      </c>
      <c r="H71" s="22">
        <f t="shared" si="9"/>
        <v>993957.26505365013</v>
      </c>
      <c r="I71" s="23">
        <f t="shared" si="7"/>
        <v>300</v>
      </c>
      <c r="J71" s="23">
        <f t="shared" si="10"/>
        <v>0</v>
      </c>
      <c r="K71" s="23">
        <f t="shared" si="8"/>
        <v>300</v>
      </c>
    </row>
    <row r="72" spans="3:11" x14ac:dyDescent="0.3">
      <c r="C72" s="19">
        <f t="shared" si="3"/>
        <v>0.8928571428571429</v>
      </c>
      <c r="D72" s="20">
        <f t="shared" si="4"/>
        <v>0.12957699101363418</v>
      </c>
      <c r="E72" s="21">
        <v>3000</v>
      </c>
      <c r="F72" s="22">
        <f t="shared" si="5"/>
        <v>134.34801582275622</v>
      </c>
      <c r="G72" s="22">
        <f t="shared" si="11"/>
        <v>28686.940473115705</v>
      </c>
      <c r="H72" s="22">
        <f t="shared" si="9"/>
        <v>1022644.2055267658</v>
      </c>
      <c r="I72" s="23">
        <f t="shared" si="7"/>
        <v>300</v>
      </c>
      <c r="J72" s="23">
        <f t="shared" si="10"/>
        <v>0</v>
      </c>
      <c r="K72" s="23">
        <f t="shared" si="8"/>
        <v>300</v>
      </c>
    </row>
    <row r="73" spans="3:11" x14ac:dyDescent="0.3">
      <c r="C73" s="19">
        <f t="shared" si="3"/>
        <v>0.95238095238095233</v>
      </c>
      <c r="D73" s="20">
        <f t="shared" si="4"/>
        <v>0.11285470613945492</v>
      </c>
      <c r="E73" s="21">
        <v>3200</v>
      </c>
      <c r="F73" s="22">
        <f t="shared" si="5"/>
        <v>117.01001641950967</v>
      </c>
      <c r="G73" s="22">
        <f t="shared" ref="G73" si="12">(F72+F73)/2*(E73-E72)</f>
        <v>25135.803224226591</v>
      </c>
      <c r="H73" s="22">
        <f t="shared" ref="H73" si="13">G73+H72</f>
        <v>1047780.0087509924</v>
      </c>
      <c r="I73" s="23">
        <f t="shared" si="7"/>
        <v>300</v>
      </c>
      <c r="J73" s="23">
        <f t="shared" si="10"/>
        <v>0</v>
      </c>
      <c r="K73" s="23">
        <f t="shared" si="8"/>
        <v>300</v>
      </c>
    </row>
    <row r="74" spans="3:11" x14ac:dyDescent="0.3">
      <c r="C74" s="19">
        <f t="shared" si="3"/>
        <v>1</v>
      </c>
      <c r="D74" s="20">
        <f t="shared" si="4"/>
        <v>9.9999999999999978E-2</v>
      </c>
      <c r="E74" s="21">
        <v>3360</v>
      </c>
      <c r="F74" s="22">
        <f t="shared" si="5"/>
        <v>103.68199999999999</v>
      </c>
      <c r="G74" s="22">
        <f t="shared" ref="G74" si="14">(F73+F74)/2*(E74-E73)</f>
        <v>17655.361313560774</v>
      </c>
      <c r="H74" s="22">
        <f t="shared" ref="H74" si="15">G74+H73</f>
        <v>1065435.3700645531</v>
      </c>
      <c r="I74" s="23">
        <f t="shared" si="7"/>
        <v>300</v>
      </c>
      <c r="J74" s="23">
        <f t="shared" si="10"/>
        <v>0</v>
      </c>
      <c r="K74" s="23">
        <f t="shared" si="8"/>
        <v>300</v>
      </c>
    </row>
    <row r="75" spans="3:11" x14ac:dyDescent="0.3">
      <c r="C75" s="19">
        <f t="shared" si="3"/>
        <v>1</v>
      </c>
      <c r="D75" s="20">
        <f t="shared" si="4"/>
        <v>0</v>
      </c>
      <c r="E75" s="21">
        <v>3361</v>
      </c>
      <c r="F75" s="22">
        <f t="shared" si="5"/>
        <v>0</v>
      </c>
      <c r="G75" s="22"/>
      <c r="H75" s="23"/>
      <c r="I75" s="23">
        <f t="shared" si="7"/>
        <v>300</v>
      </c>
      <c r="J75" s="23">
        <f t="shared" si="10"/>
        <v>0</v>
      </c>
      <c r="K75" s="23">
        <f t="shared" si="8"/>
        <v>300</v>
      </c>
    </row>
    <row r="76" spans="3:11" x14ac:dyDescent="0.3">
      <c r="C76" s="19">
        <f t="shared" si="3"/>
        <v>1</v>
      </c>
      <c r="D76" s="20">
        <f t="shared" si="4"/>
        <v>0</v>
      </c>
      <c r="E76" s="21">
        <v>3361</v>
      </c>
      <c r="F76" s="22">
        <f t="shared" si="5"/>
        <v>0</v>
      </c>
      <c r="G76" s="19"/>
      <c r="H76" s="23"/>
      <c r="I76" s="23">
        <f t="shared" si="7"/>
        <v>300</v>
      </c>
      <c r="J76" s="23">
        <f t="shared" si="10"/>
        <v>0</v>
      </c>
      <c r="K76" s="23">
        <f t="shared" si="8"/>
        <v>300</v>
      </c>
    </row>
    <row r="77" spans="3:11" x14ac:dyDescent="0.3">
      <c r="C77" s="19">
        <f t="shared" si="3"/>
        <v>1</v>
      </c>
      <c r="D77" s="20">
        <f t="shared" si="4"/>
        <v>0</v>
      </c>
      <c r="E77" s="21">
        <v>3361</v>
      </c>
      <c r="F77" s="22">
        <f t="shared" si="5"/>
        <v>0</v>
      </c>
      <c r="G77" s="19"/>
      <c r="H77" s="23"/>
      <c r="I77" s="23">
        <f t="shared" si="7"/>
        <v>300</v>
      </c>
      <c r="J77" s="23">
        <f t="shared" si="10"/>
        <v>0</v>
      </c>
      <c r="K77" s="23">
        <f t="shared" si="8"/>
        <v>300</v>
      </c>
    </row>
    <row r="78" spans="3:11" x14ac:dyDescent="0.3">
      <c r="C78" s="19">
        <f t="shared" si="3"/>
        <v>1</v>
      </c>
      <c r="D78" s="20">
        <f t="shared" si="4"/>
        <v>0</v>
      </c>
      <c r="E78" s="21">
        <v>3361</v>
      </c>
      <c r="F78" s="22">
        <f t="shared" si="5"/>
        <v>0</v>
      </c>
      <c r="G78" s="19"/>
      <c r="H78" s="23"/>
      <c r="I78" s="23">
        <f t="shared" si="7"/>
        <v>300</v>
      </c>
      <c r="J78" s="23">
        <f t="shared" si="10"/>
        <v>0</v>
      </c>
      <c r="K78" s="23">
        <f t="shared" si="8"/>
        <v>300</v>
      </c>
    </row>
    <row r="79" spans="3:11" x14ac:dyDescent="0.3">
      <c r="C79" s="19">
        <f t="shared" si="3"/>
        <v>1</v>
      </c>
      <c r="D79" s="20">
        <f t="shared" si="4"/>
        <v>0</v>
      </c>
      <c r="E79" s="21">
        <v>3361</v>
      </c>
      <c r="F79" s="22">
        <f t="shared" si="5"/>
        <v>0</v>
      </c>
      <c r="G79" s="19"/>
      <c r="H79" s="23"/>
      <c r="I79" s="23">
        <f t="shared" si="7"/>
        <v>300</v>
      </c>
      <c r="J79" s="23">
        <f t="shared" si="10"/>
        <v>0</v>
      </c>
      <c r="K79" s="23">
        <f t="shared" si="8"/>
        <v>300</v>
      </c>
    </row>
    <row r="80" spans="3:11" x14ac:dyDescent="0.3">
      <c r="C80" s="19">
        <f t="shared" si="3"/>
        <v>1</v>
      </c>
      <c r="D80" s="20">
        <f t="shared" si="4"/>
        <v>0</v>
      </c>
      <c r="E80" s="21">
        <v>3361</v>
      </c>
      <c r="F80" s="22">
        <f t="shared" si="5"/>
        <v>0</v>
      </c>
      <c r="G80" s="19"/>
      <c r="H80" s="23"/>
      <c r="I80" s="23">
        <f t="shared" si="7"/>
        <v>300</v>
      </c>
      <c r="J80" s="23">
        <f t="shared" si="10"/>
        <v>0</v>
      </c>
      <c r="K80" s="23">
        <f t="shared" si="8"/>
        <v>300</v>
      </c>
    </row>
    <row r="81" spans="3:11" x14ac:dyDescent="0.3">
      <c r="C81" s="19">
        <f>MIN(E81/$H$41,1)</f>
        <v>1</v>
      </c>
      <c r="D81" s="20">
        <f t="shared" si="4"/>
        <v>0</v>
      </c>
      <c r="E81" s="21">
        <v>3361</v>
      </c>
      <c r="F81" s="22">
        <f t="shared" si="5"/>
        <v>0</v>
      </c>
      <c r="G81" s="19"/>
      <c r="H81" s="23"/>
      <c r="I81" s="23">
        <f t="shared" si="7"/>
        <v>300</v>
      </c>
      <c r="J81" s="23">
        <f t="shared" si="10"/>
        <v>0</v>
      </c>
      <c r="K81" s="23">
        <f t="shared" si="8"/>
        <v>300</v>
      </c>
    </row>
    <row r="83" spans="3:11" ht="18" thickBot="1" x14ac:dyDescent="0.4">
      <c r="C83" s="2">
        <v>1.4</v>
      </c>
      <c r="D83" s="2" t="s">
        <v>64</v>
      </c>
      <c r="E83" s="2"/>
      <c r="F83" s="2"/>
      <c r="G83" s="2"/>
      <c r="H83" s="2"/>
      <c r="I83" s="2"/>
      <c r="J83" s="2"/>
      <c r="K83" s="2"/>
    </row>
    <row r="84" spans="3:11" ht="15" thickTop="1" x14ac:dyDescent="0.3">
      <c r="D84" t="s">
        <v>65</v>
      </c>
      <c r="E84">
        <v>100</v>
      </c>
      <c r="F84" t="s">
        <v>45</v>
      </c>
    </row>
    <row r="85" spans="3:11" x14ac:dyDescent="0.3">
      <c r="D85" t="s">
        <v>66</v>
      </c>
      <c r="E85" s="3">
        <v>3</v>
      </c>
    </row>
    <row r="86" spans="3:11" x14ac:dyDescent="0.3">
      <c r="D86" t="s">
        <v>67</v>
      </c>
      <c r="E86" s="3">
        <f>E84*E85</f>
        <v>300</v>
      </c>
      <c r="F86" t="s">
        <v>45</v>
      </c>
    </row>
    <row r="87" spans="3:11" x14ac:dyDescent="0.3">
      <c r="D87" t="s">
        <v>68</v>
      </c>
      <c r="E87">
        <v>1</v>
      </c>
      <c r="F87" t="s">
        <v>45</v>
      </c>
    </row>
    <row r="88" spans="3:11" x14ac:dyDescent="0.3">
      <c r="D88" t="s">
        <v>69</v>
      </c>
      <c r="E88" s="3">
        <f>$E$87*(INT(($F$53-$E$86)/$E$87))</f>
        <v>736</v>
      </c>
      <c r="F88" t="s">
        <v>45</v>
      </c>
    </row>
  </sheetData>
  <mergeCells count="1">
    <mergeCell ref="I50:K50"/>
  </mergeCells>
  <conditionalFormatting sqref="F53:F81">
    <cfRule type="dataBar" priority="5">
      <dataBar>
        <cfvo type="min"/>
        <cfvo type="max"/>
        <color rgb="FF008AEF"/>
      </dataBar>
      <extLst>
        <ext xmlns:x14="http://schemas.microsoft.com/office/spreadsheetml/2009/9/main" uri="{B025F937-C7B1-47D3-B67F-A62EFF666E3E}">
          <x14:id>{B9E66991-27C2-4232-B13C-A764847A33FF}</x14:id>
        </ext>
      </extLst>
    </cfRule>
  </conditionalFormatting>
  <conditionalFormatting sqref="G53:G81">
    <cfRule type="dataBar" priority="4">
      <dataBar>
        <cfvo type="min"/>
        <cfvo type="max"/>
        <color rgb="FF008AEF"/>
      </dataBar>
      <extLst>
        <ext xmlns:x14="http://schemas.microsoft.com/office/spreadsheetml/2009/9/main" uri="{B025F937-C7B1-47D3-B67F-A62EFF666E3E}">
          <x14:id>{C9DDADAD-35E0-4C27-A6FC-A607D0001F3B}</x14:id>
        </ext>
      </extLst>
    </cfRule>
  </conditionalFormatting>
  <conditionalFormatting sqref="E15:E27">
    <cfRule type="dataBar" priority="3">
      <dataBar>
        <cfvo type="min"/>
        <cfvo type="max"/>
        <color rgb="FF008AEF"/>
      </dataBar>
      <extLst>
        <ext xmlns:x14="http://schemas.microsoft.com/office/spreadsheetml/2009/9/main" uri="{B025F937-C7B1-47D3-B67F-A62EFF666E3E}">
          <x14:id>{4538514D-EF72-4805-A30A-64FDDCC1B82B}</x14:id>
        </ext>
      </extLst>
    </cfRule>
  </conditionalFormatting>
  <conditionalFormatting sqref="J15:J26">
    <cfRule type="dataBar" priority="2">
      <dataBar>
        <cfvo type="min"/>
        <cfvo type="max"/>
        <color rgb="FF008AEF"/>
      </dataBar>
      <extLst>
        <ext xmlns:x14="http://schemas.microsoft.com/office/spreadsheetml/2009/9/main" uri="{B025F937-C7B1-47D3-B67F-A62EFF666E3E}">
          <x14:id>{2C05D633-C85D-4CDC-A1D7-013821B6C1D7}</x14:id>
        </ext>
      </extLst>
    </cfRule>
  </conditionalFormatting>
  <conditionalFormatting sqref="H53:H74">
    <cfRule type="dataBar" priority="1">
      <dataBar>
        <cfvo type="min"/>
        <cfvo type="max"/>
        <color rgb="FF008AEF"/>
      </dataBar>
      <extLst>
        <ext xmlns:x14="http://schemas.microsoft.com/office/spreadsheetml/2009/9/main" uri="{B025F937-C7B1-47D3-B67F-A62EFF666E3E}">
          <x14:id>{DE9198E4-0E9B-402E-AA97-B1981252AB2F}</x14:id>
        </ext>
      </extLst>
    </cfRule>
  </conditionalFormatting>
  <pageMargins left="0.7" right="0.7" top="0.78740157499999996" bottom="0.78740157499999996" header="0.3" footer="0.3"/>
  <pageSetup paperSize="9" orientation="portrait" verticalDpi="0" r:id="rId1"/>
  <legacyDrawing r:id="rId2"/>
  <extLst>
    <ext xmlns:x14="http://schemas.microsoft.com/office/spreadsheetml/2009/9/main" uri="{78C0D931-6437-407d-A8EE-F0AAD7539E65}">
      <x14:conditionalFormattings>
        <x14:conditionalFormatting xmlns:xm="http://schemas.microsoft.com/office/excel/2006/main">
          <x14:cfRule type="dataBar" id="{B9E66991-27C2-4232-B13C-A764847A33FF}">
            <x14:dataBar minLength="0" maxLength="100" gradient="0">
              <x14:cfvo type="autoMin"/>
              <x14:cfvo type="autoMax"/>
              <x14:negativeFillColor rgb="FFFF0000"/>
              <x14:axisColor rgb="FF000000"/>
            </x14:dataBar>
          </x14:cfRule>
          <xm:sqref>F53:F81</xm:sqref>
        </x14:conditionalFormatting>
        <x14:conditionalFormatting xmlns:xm="http://schemas.microsoft.com/office/excel/2006/main">
          <x14:cfRule type="dataBar" id="{C9DDADAD-35E0-4C27-A6FC-A607D0001F3B}">
            <x14:dataBar minLength="0" maxLength="100" gradient="0">
              <x14:cfvo type="autoMin"/>
              <x14:cfvo type="autoMax"/>
              <x14:negativeFillColor rgb="FFFF0000"/>
              <x14:axisColor rgb="FF000000"/>
            </x14:dataBar>
          </x14:cfRule>
          <xm:sqref>G53:G81</xm:sqref>
        </x14:conditionalFormatting>
        <x14:conditionalFormatting xmlns:xm="http://schemas.microsoft.com/office/excel/2006/main">
          <x14:cfRule type="dataBar" id="{4538514D-EF72-4805-A30A-64FDDCC1B82B}">
            <x14:dataBar minLength="0" maxLength="100" gradient="0">
              <x14:cfvo type="autoMin"/>
              <x14:cfvo type="autoMax"/>
              <x14:negativeFillColor rgb="FFFF0000"/>
              <x14:axisColor rgb="FF000000"/>
            </x14:dataBar>
          </x14:cfRule>
          <xm:sqref>E15:E27</xm:sqref>
        </x14:conditionalFormatting>
        <x14:conditionalFormatting xmlns:xm="http://schemas.microsoft.com/office/excel/2006/main">
          <x14:cfRule type="dataBar" id="{2C05D633-C85D-4CDC-A1D7-013821B6C1D7}">
            <x14:dataBar minLength="0" maxLength="100" gradient="0">
              <x14:cfvo type="autoMin"/>
              <x14:cfvo type="autoMax"/>
              <x14:negativeFillColor rgb="FFFF0000"/>
              <x14:axisColor rgb="FF000000"/>
            </x14:dataBar>
          </x14:cfRule>
          <xm:sqref>J15:J26</xm:sqref>
        </x14:conditionalFormatting>
        <x14:conditionalFormatting xmlns:xm="http://schemas.microsoft.com/office/excel/2006/main">
          <x14:cfRule type="dataBar" id="{DE9198E4-0E9B-402E-AA97-B1981252AB2F}">
            <x14:dataBar minLength="0" maxLength="100" gradient="0">
              <x14:cfvo type="autoMin"/>
              <x14:cfvo type="autoMax"/>
              <x14:negativeFillColor rgb="FFFF0000"/>
              <x14:axisColor rgb="FF000000"/>
            </x14:dataBar>
          </x14:cfRule>
          <xm:sqref>H53:H74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
  <sheetViews>
    <sheetView showGridLines="0" topLeftCell="A39" zoomScaleNormal="100" workbookViewId="0">
      <selection activeCell="E52" sqref="E52"/>
    </sheetView>
  </sheetViews>
  <sheetFormatPr baseColWidth="10" defaultRowHeight="14.4" x14ac:dyDescent="0.3"/>
  <cols>
    <col min="1" max="1" width="4.33203125" style="173" customWidth="1"/>
    <col min="2" max="2" width="4.6640625" customWidth="1"/>
    <col min="3" max="3" width="7.5546875" customWidth="1"/>
    <col min="4" max="4" width="18.88671875" customWidth="1"/>
    <col min="5" max="5" width="17.33203125" customWidth="1"/>
    <col min="6" max="6" width="16.88671875" customWidth="1"/>
    <col min="7" max="7" width="9.88671875" customWidth="1"/>
    <col min="8" max="8" width="6.33203125" customWidth="1"/>
    <col min="9" max="9" width="10.5546875" customWidth="1"/>
    <col min="10" max="10" width="23.6640625" customWidth="1"/>
    <col min="12" max="12" width="14.6640625" customWidth="1"/>
    <col min="14" max="14" width="5.88671875" customWidth="1"/>
    <col min="15" max="15" width="13.44140625" bestFit="1" customWidth="1"/>
    <col min="16" max="16" width="13.88671875" customWidth="1"/>
    <col min="17" max="17" width="16.5546875" customWidth="1"/>
    <col min="18" max="19" width="13.88671875" customWidth="1"/>
  </cols>
  <sheetData>
    <row r="1" spans="1:13" s="173" customFormat="1" x14ac:dyDescent="0.3"/>
    <row r="2" spans="1:13" s="174" customFormat="1" x14ac:dyDescent="0.3">
      <c r="A2" s="173"/>
      <c r="B2"/>
    </row>
    <row r="3" spans="1:13" ht="30.6" thickBot="1" x14ac:dyDescent="0.45">
      <c r="C3" s="1" t="s">
        <v>77</v>
      </c>
      <c r="D3" s="1"/>
      <c r="E3" s="1"/>
      <c r="F3" s="1"/>
      <c r="I3" s="6" t="s">
        <v>32</v>
      </c>
      <c r="J3" s="7" t="s">
        <v>31</v>
      </c>
      <c r="K3" s="8" t="s">
        <v>3</v>
      </c>
    </row>
    <row r="4" spans="1:13" ht="15" thickTop="1" x14ac:dyDescent="0.3">
      <c r="C4">
        <v>2.1</v>
      </c>
      <c r="D4" t="s">
        <v>122</v>
      </c>
    </row>
    <row r="5" spans="1:13" x14ac:dyDescent="0.3">
      <c r="C5" s="191">
        <v>2.2000000000000002</v>
      </c>
      <c r="D5" s="191" t="s">
        <v>78</v>
      </c>
      <c r="E5" s="191"/>
      <c r="F5" s="191"/>
      <c r="G5" s="191"/>
    </row>
    <row r="6" spans="1:13" x14ac:dyDescent="0.3">
      <c r="C6" s="191">
        <v>2.2999999999999998</v>
      </c>
      <c r="D6" s="191" t="s">
        <v>79</v>
      </c>
      <c r="E6" s="191"/>
      <c r="F6" s="191"/>
      <c r="G6" s="191"/>
    </row>
    <row r="7" spans="1:13" x14ac:dyDescent="0.3">
      <c r="C7">
        <v>2.4</v>
      </c>
      <c r="D7" t="s">
        <v>80</v>
      </c>
    </row>
    <row r="9" spans="1:13" ht="15" thickBot="1" x14ac:dyDescent="0.35"/>
    <row r="10" spans="1:13" ht="18" thickBot="1" x14ac:dyDescent="0.4">
      <c r="A10" s="175"/>
      <c r="B10" s="172"/>
      <c r="C10" s="101">
        <v>2.1</v>
      </c>
      <c r="D10" s="102" t="s">
        <v>81</v>
      </c>
      <c r="E10" s="102"/>
      <c r="F10" s="102"/>
      <c r="G10" s="103"/>
      <c r="I10" s="101">
        <v>2.2999999999999998</v>
      </c>
      <c r="J10" s="102" t="s">
        <v>154</v>
      </c>
      <c r="K10" s="102"/>
      <c r="L10" s="102"/>
      <c r="M10" s="103"/>
    </row>
    <row r="11" spans="1:13" ht="15" thickTop="1" x14ac:dyDescent="0.3">
      <c r="A11" s="175"/>
      <c r="B11" s="172"/>
      <c r="C11" s="54"/>
      <c r="D11" s="42"/>
      <c r="E11" s="42"/>
      <c r="F11" s="42"/>
      <c r="G11" s="44"/>
      <c r="I11" s="54"/>
      <c r="J11" s="42"/>
      <c r="K11" s="42"/>
      <c r="L11" s="42"/>
      <c r="M11" s="44"/>
    </row>
    <row r="12" spans="1:13" x14ac:dyDescent="0.3">
      <c r="C12" s="54" t="s">
        <v>51</v>
      </c>
      <c r="D12" s="42" t="s">
        <v>82</v>
      </c>
      <c r="E12" s="42"/>
      <c r="F12" s="43">
        <f>'Aufgabe 1'!H43</f>
        <v>1036.8200000000002</v>
      </c>
      <c r="G12" s="113" t="s">
        <v>45</v>
      </c>
      <c r="I12" s="54" t="s">
        <v>51</v>
      </c>
      <c r="J12" s="42" t="s">
        <v>82</v>
      </c>
      <c r="K12" s="42"/>
      <c r="L12" s="43">
        <f>'Aufgabe 1'!H43</f>
        <v>1036.8200000000002</v>
      </c>
      <c r="M12" s="113" t="s">
        <v>45</v>
      </c>
    </row>
    <row r="13" spans="1:13" x14ac:dyDescent="0.3">
      <c r="C13" s="54"/>
      <c r="D13" s="42" t="s">
        <v>117</v>
      </c>
      <c r="E13" s="42"/>
      <c r="F13" s="51">
        <v>6</v>
      </c>
      <c r="G13" s="113" t="s">
        <v>83</v>
      </c>
      <c r="I13" s="54"/>
      <c r="J13" s="42" t="s">
        <v>117</v>
      </c>
      <c r="K13" s="42"/>
      <c r="L13" s="51"/>
      <c r="M13" s="113" t="s">
        <v>83</v>
      </c>
    </row>
    <row r="14" spans="1:13" x14ac:dyDescent="0.3">
      <c r="C14" s="54"/>
      <c r="D14" s="42" t="s">
        <v>118</v>
      </c>
      <c r="E14" s="42"/>
      <c r="F14" s="51">
        <v>12</v>
      </c>
      <c r="G14" s="113" t="s">
        <v>83</v>
      </c>
      <c r="I14" s="54"/>
      <c r="J14" s="42" t="s">
        <v>118</v>
      </c>
      <c r="K14" s="42"/>
      <c r="L14" s="51"/>
      <c r="M14" s="113" t="s">
        <v>83</v>
      </c>
    </row>
    <row r="15" spans="1:13" x14ac:dyDescent="0.3">
      <c r="C15" s="54" t="s">
        <v>119</v>
      </c>
      <c r="D15" s="42" t="s">
        <v>161</v>
      </c>
      <c r="E15" s="42"/>
      <c r="F15" s="16">
        <f>F14-F13</f>
        <v>6</v>
      </c>
      <c r="G15" s="113" t="s">
        <v>85</v>
      </c>
      <c r="I15" s="54" t="s">
        <v>119</v>
      </c>
      <c r="J15" s="42" t="s">
        <v>84</v>
      </c>
      <c r="K15" s="42"/>
      <c r="L15" s="16"/>
      <c r="M15" s="113" t="s">
        <v>85</v>
      </c>
    </row>
    <row r="16" spans="1:13" x14ac:dyDescent="0.3">
      <c r="C16" s="54" t="s">
        <v>86</v>
      </c>
      <c r="D16" s="42" t="s">
        <v>120</v>
      </c>
      <c r="E16" s="42"/>
      <c r="F16" s="51">
        <v>4.2</v>
      </c>
      <c r="G16" s="113" t="s">
        <v>87</v>
      </c>
      <c r="I16" s="54" t="s">
        <v>86</v>
      </c>
      <c r="J16" s="42" t="s">
        <v>120</v>
      </c>
      <c r="K16" s="42"/>
      <c r="L16" s="51"/>
      <c r="M16" s="113" t="s">
        <v>87</v>
      </c>
    </row>
    <row r="17" spans="3:19" x14ac:dyDescent="0.3">
      <c r="C17" s="54"/>
      <c r="D17" s="42" t="s">
        <v>88</v>
      </c>
      <c r="E17" s="42"/>
      <c r="F17" s="104">
        <f>F12/(F16*F15)</f>
        <v>41.143650793650792</v>
      </c>
      <c r="G17" s="113" t="s">
        <v>89</v>
      </c>
      <c r="I17" s="54"/>
      <c r="J17" s="42" t="s">
        <v>88</v>
      </c>
      <c r="K17" s="42"/>
      <c r="L17" s="104"/>
      <c r="M17" s="113" t="s">
        <v>89</v>
      </c>
    </row>
    <row r="18" spans="3:19" x14ac:dyDescent="0.3">
      <c r="C18" s="105" t="s">
        <v>121</v>
      </c>
      <c r="D18" s="42" t="s">
        <v>125</v>
      </c>
      <c r="E18" s="42"/>
      <c r="F18" s="51">
        <v>999.78</v>
      </c>
      <c r="G18" s="113" t="s">
        <v>90</v>
      </c>
      <c r="I18" s="105" t="s">
        <v>121</v>
      </c>
      <c r="J18" s="42" t="s">
        <v>125</v>
      </c>
      <c r="K18" s="42"/>
      <c r="L18" s="51"/>
      <c r="M18" s="113" t="s">
        <v>90</v>
      </c>
    </row>
    <row r="19" spans="3:19" x14ac:dyDescent="0.3">
      <c r="C19" s="54"/>
      <c r="D19" s="42" t="s">
        <v>91</v>
      </c>
      <c r="E19" s="42"/>
      <c r="F19" s="17">
        <f>F17/F18</f>
        <v>4.115270438861629E-2</v>
      </c>
      <c r="G19" s="113" t="s">
        <v>92</v>
      </c>
      <c r="I19" s="54"/>
      <c r="J19" s="42" t="s">
        <v>91</v>
      </c>
      <c r="K19" s="42"/>
      <c r="L19" s="17"/>
      <c r="M19" s="113" t="s">
        <v>92</v>
      </c>
    </row>
    <row r="20" spans="3:19" x14ac:dyDescent="0.3">
      <c r="C20" s="54"/>
      <c r="D20" s="42" t="s">
        <v>93</v>
      </c>
      <c r="E20" s="42"/>
      <c r="F20" s="51">
        <v>1.5</v>
      </c>
      <c r="G20" s="113" t="s">
        <v>94</v>
      </c>
      <c r="I20" s="54"/>
      <c r="J20" s="42" t="s">
        <v>93</v>
      </c>
      <c r="K20" s="42"/>
      <c r="L20" s="51"/>
      <c r="M20" s="113" t="s">
        <v>94</v>
      </c>
    </row>
    <row r="21" spans="3:19" x14ac:dyDescent="0.3">
      <c r="C21" s="54" t="s">
        <v>123</v>
      </c>
      <c r="D21" s="42" t="s">
        <v>17</v>
      </c>
      <c r="E21" s="42"/>
      <c r="F21" s="106">
        <f>F19/F20</f>
        <v>2.7435136259077526E-2</v>
      </c>
      <c r="G21" s="113" t="s">
        <v>18</v>
      </c>
      <c r="I21" s="54" t="s">
        <v>123</v>
      </c>
      <c r="J21" s="42" t="s">
        <v>17</v>
      </c>
      <c r="K21" s="42"/>
      <c r="L21" s="106"/>
      <c r="M21" s="113" t="s">
        <v>18</v>
      </c>
    </row>
    <row r="22" spans="3:19" x14ac:dyDescent="0.3">
      <c r="C22" s="54" t="s">
        <v>124</v>
      </c>
      <c r="D22" s="42" t="s">
        <v>145</v>
      </c>
      <c r="E22" s="42"/>
      <c r="F22" s="107">
        <f>SQRT(4*F21/PI())</f>
        <v>0.18689970679552986</v>
      </c>
      <c r="G22" s="113" t="s">
        <v>95</v>
      </c>
      <c r="I22" s="54" t="s">
        <v>124</v>
      </c>
      <c r="J22" s="42" t="s">
        <v>145</v>
      </c>
      <c r="K22" s="42"/>
      <c r="L22" s="107"/>
      <c r="M22" s="113" t="s">
        <v>95</v>
      </c>
    </row>
    <row r="23" spans="3:19" x14ac:dyDescent="0.3">
      <c r="C23" s="54"/>
      <c r="D23" s="42" t="s">
        <v>158</v>
      </c>
      <c r="E23" s="42"/>
      <c r="F23" s="108" t="s">
        <v>136</v>
      </c>
      <c r="G23" s="113"/>
      <c r="I23" s="54"/>
      <c r="J23" s="42" t="s">
        <v>158</v>
      </c>
      <c r="K23" s="42"/>
      <c r="L23" s="108"/>
      <c r="M23" s="113"/>
    </row>
    <row r="24" spans="3:19" ht="15.6" x14ac:dyDescent="0.35">
      <c r="C24" s="54" t="s">
        <v>159</v>
      </c>
      <c r="D24" s="42" t="s">
        <v>97</v>
      </c>
      <c r="E24" s="42"/>
      <c r="F24" s="109">
        <f>VLOOKUP(F23,$O$30:$P$43,2,FALSE)</f>
        <v>210.1</v>
      </c>
      <c r="G24" s="113" t="s">
        <v>98</v>
      </c>
      <c r="I24" s="54" t="s">
        <v>159</v>
      </c>
      <c r="J24" s="42" t="s">
        <v>97</v>
      </c>
      <c r="K24" s="42"/>
      <c r="L24" s="109"/>
      <c r="M24" s="113" t="s">
        <v>98</v>
      </c>
    </row>
    <row r="25" spans="3:19" ht="18" thickBot="1" x14ac:dyDescent="0.4">
      <c r="C25" s="114">
        <v>2.2000000000000002</v>
      </c>
      <c r="D25" s="115" t="s">
        <v>155</v>
      </c>
      <c r="E25" s="115"/>
      <c r="F25" s="115"/>
      <c r="G25" s="116"/>
      <c r="I25" s="54"/>
      <c r="J25" s="42"/>
      <c r="K25" s="42"/>
      <c r="L25" s="42"/>
      <c r="M25" s="116"/>
    </row>
    <row r="26" spans="3:19" ht="15" thickTop="1" x14ac:dyDescent="0.3">
      <c r="C26" s="54"/>
      <c r="D26" s="42" t="s">
        <v>146</v>
      </c>
      <c r="E26" s="42"/>
      <c r="F26" s="17">
        <f>F19/((F24/1000)^2*PI()/4)</f>
        <v>1.1870155119892036</v>
      </c>
      <c r="G26" s="113" t="s">
        <v>94</v>
      </c>
      <c r="I26" s="54"/>
      <c r="J26" s="42" t="s">
        <v>146</v>
      </c>
      <c r="K26" s="42"/>
      <c r="L26" s="17"/>
      <c r="M26" s="113" t="s">
        <v>94</v>
      </c>
    </row>
    <row r="27" spans="3:19" x14ac:dyDescent="0.3">
      <c r="C27" s="54"/>
      <c r="D27" s="42" t="s">
        <v>99</v>
      </c>
      <c r="E27" s="42"/>
      <c r="F27" s="16">
        <f>VLOOKUP(F23,$O$30:$R$43,4,FALSE)</f>
        <v>4.5</v>
      </c>
      <c r="G27" s="113" t="s">
        <v>98</v>
      </c>
      <c r="I27" s="54"/>
      <c r="J27" s="42" t="s">
        <v>99</v>
      </c>
      <c r="K27" s="42"/>
      <c r="L27" s="16"/>
      <c r="M27" s="113" t="s">
        <v>98</v>
      </c>
    </row>
    <row r="28" spans="3:19" x14ac:dyDescent="0.3">
      <c r="C28" s="54"/>
      <c r="D28" s="42" t="s">
        <v>100</v>
      </c>
      <c r="E28" s="42"/>
      <c r="F28" s="16">
        <f>VLOOKUP(F23,$O$30:$S$43,5,FALSE)</f>
        <v>47.95</v>
      </c>
      <c r="G28" s="113" t="s">
        <v>98</v>
      </c>
      <c r="I28" s="54"/>
      <c r="J28" s="42" t="s">
        <v>100</v>
      </c>
      <c r="K28" s="42"/>
      <c r="L28" s="16"/>
      <c r="M28" s="113" t="s">
        <v>98</v>
      </c>
    </row>
    <row r="29" spans="3:19" ht="15" thickBot="1" x14ac:dyDescent="0.35">
      <c r="C29" s="54"/>
      <c r="D29" s="42" t="s">
        <v>147</v>
      </c>
      <c r="E29" s="42"/>
      <c r="F29" s="51">
        <v>43</v>
      </c>
      <c r="G29" s="113" t="s">
        <v>101</v>
      </c>
      <c r="I29" s="54"/>
      <c r="J29" s="42" t="s">
        <v>147</v>
      </c>
      <c r="K29" s="42"/>
      <c r="L29" s="51"/>
      <c r="M29" s="113" t="s">
        <v>101</v>
      </c>
    </row>
    <row r="30" spans="3:19" ht="18" x14ac:dyDescent="0.3">
      <c r="C30" s="54"/>
      <c r="D30" s="42" t="s">
        <v>148</v>
      </c>
      <c r="E30" s="42"/>
      <c r="F30" s="51">
        <v>2.7E-2</v>
      </c>
      <c r="G30" s="113" t="s">
        <v>101</v>
      </c>
      <c r="I30" s="54"/>
      <c r="J30" s="42" t="s">
        <v>148</v>
      </c>
      <c r="K30" s="42"/>
      <c r="L30" s="51"/>
      <c r="M30" s="113" t="s">
        <v>101</v>
      </c>
      <c r="O30" s="86" t="s">
        <v>126</v>
      </c>
      <c r="P30" s="87" t="s">
        <v>127</v>
      </c>
      <c r="Q30" s="87" t="s">
        <v>156</v>
      </c>
      <c r="R30" s="87" t="s">
        <v>128</v>
      </c>
      <c r="S30" s="88" t="s">
        <v>129</v>
      </c>
    </row>
    <row r="31" spans="3:19" ht="15.6" x14ac:dyDescent="0.3">
      <c r="C31" s="54"/>
      <c r="D31" s="42" t="s">
        <v>102</v>
      </c>
      <c r="E31" s="42"/>
      <c r="F31" s="51">
        <v>15</v>
      </c>
      <c r="G31" s="113" t="s">
        <v>83</v>
      </c>
      <c r="I31" s="54"/>
      <c r="J31" s="42" t="s">
        <v>102</v>
      </c>
      <c r="K31" s="42"/>
      <c r="L31" s="51"/>
      <c r="M31" s="113" t="s">
        <v>83</v>
      </c>
      <c r="O31" s="89" t="s">
        <v>130</v>
      </c>
      <c r="P31" s="90">
        <v>53.9</v>
      </c>
      <c r="Q31" s="42">
        <v>300</v>
      </c>
      <c r="R31" s="90">
        <v>3.2</v>
      </c>
      <c r="S31" s="91">
        <v>32.35</v>
      </c>
    </row>
    <row r="32" spans="3:19" ht="15.6" x14ac:dyDescent="0.3">
      <c r="C32" s="54"/>
      <c r="D32" s="42" t="s">
        <v>149</v>
      </c>
      <c r="E32" s="42"/>
      <c r="F32" s="51">
        <v>3000</v>
      </c>
      <c r="G32" s="113" t="s">
        <v>103</v>
      </c>
      <c r="I32" s="54"/>
      <c r="J32" s="42" t="s">
        <v>149</v>
      </c>
      <c r="K32" s="42"/>
      <c r="L32" s="51"/>
      <c r="M32" s="113" t="s">
        <v>103</v>
      </c>
      <c r="O32" s="92" t="s">
        <v>131</v>
      </c>
      <c r="P32" s="93">
        <v>69.7</v>
      </c>
      <c r="Q32" s="42">
        <v>310</v>
      </c>
      <c r="R32" s="93">
        <v>3.2</v>
      </c>
      <c r="S32" s="94">
        <v>31.95</v>
      </c>
    </row>
    <row r="33" spans="3:19" ht="15.6" x14ac:dyDescent="0.3">
      <c r="C33" s="54"/>
      <c r="D33" s="42" t="s">
        <v>150</v>
      </c>
      <c r="E33" s="42"/>
      <c r="F33" s="51">
        <v>10</v>
      </c>
      <c r="G33" s="113" t="s">
        <v>103</v>
      </c>
      <c r="I33" s="54"/>
      <c r="J33" s="42" t="s">
        <v>150</v>
      </c>
      <c r="K33" s="42"/>
      <c r="L33" s="51"/>
      <c r="M33" s="113" t="s">
        <v>103</v>
      </c>
      <c r="O33" s="89" t="s">
        <v>132</v>
      </c>
      <c r="P33" s="90">
        <v>82.5</v>
      </c>
      <c r="Q33" s="42">
        <v>320</v>
      </c>
      <c r="R33" s="90">
        <v>3.2</v>
      </c>
      <c r="S33" s="91">
        <v>35.549999999999997</v>
      </c>
    </row>
    <row r="34" spans="3:19" ht="15.6" x14ac:dyDescent="0.3">
      <c r="C34" s="54"/>
      <c r="D34" s="42" t="s">
        <v>151</v>
      </c>
      <c r="E34" s="42"/>
      <c r="F34" s="16">
        <f>F24/1000/2</f>
        <v>0.10504999999999999</v>
      </c>
      <c r="G34" s="113" t="s">
        <v>95</v>
      </c>
      <c r="I34" s="54"/>
      <c r="J34" s="42" t="s">
        <v>151</v>
      </c>
      <c r="K34" s="42"/>
      <c r="L34" s="16"/>
      <c r="M34" s="113" t="s">
        <v>95</v>
      </c>
      <c r="O34" s="92" t="s">
        <v>133</v>
      </c>
      <c r="P34" s="93">
        <v>107.1</v>
      </c>
      <c r="Q34" s="42">
        <v>330</v>
      </c>
      <c r="R34" s="93">
        <v>3.6</v>
      </c>
      <c r="S34" s="94">
        <v>42.85</v>
      </c>
    </row>
    <row r="35" spans="3:19" ht="15.6" x14ac:dyDescent="0.3">
      <c r="C35" s="54"/>
      <c r="D35" s="42" t="s">
        <v>152</v>
      </c>
      <c r="E35" s="42"/>
      <c r="F35" s="16">
        <f>F34+(F27/1000)</f>
        <v>0.10954999999999999</v>
      </c>
      <c r="G35" s="113" t="s">
        <v>95</v>
      </c>
      <c r="I35" s="54"/>
      <c r="J35" s="42" t="s">
        <v>152</v>
      </c>
      <c r="K35" s="42"/>
      <c r="L35" s="16"/>
      <c r="M35" s="113" t="s">
        <v>95</v>
      </c>
      <c r="O35" s="89" t="s">
        <v>134</v>
      </c>
      <c r="P35" s="90">
        <v>132.5</v>
      </c>
      <c r="Q35" s="42">
        <v>340</v>
      </c>
      <c r="R35" s="90">
        <v>3.6</v>
      </c>
      <c r="S35" s="91">
        <v>42.65</v>
      </c>
    </row>
    <row r="36" spans="3:19" ht="15.6" x14ac:dyDescent="0.3">
      <c r="C36" s="54"/>
      <c r="D36" s="42" t="s">
        <v>153</v>
      </c>
      <c r="E36" s="42"/>
      <c r="F36" s="16">
        <f>F35+(F28/1000)</f>
        <v>0.1575</v>
      </c>
      <c r="G36" s="113" t="s">
        <v>95</v>
      </c>
      <c r="I36" s="54"/>
      <c r="J36" s="42" t="s">
        <v>153</v>
      </c>
      <c r="K36" s="42"/>
      <c r="L36" s="16"/>
      <c r="M36" s="113" t="s">
        <v>95</v>
      </c>
      <c r="O36" s="92" t="s">
        <v>135</v>
      </c>
      <c r="P36" s="93">
        <v>160.30000000000001</v>
      </c>
      <c r="Q36" s="42">
        <v>350</v>
      </c>
      <c r="R36" s="93">
        <v>4</v>
      </c>
      <c r="S36" s="94">
        <v>40.85</v>
      </c>
    </row>
    <row r="37" spans="3:19" ht="15.6" x14ac:dyDescent="0.3">
      <c r="C37" s="54"/>
      <c r="D37" s="42" t="s">
        <v>104</v>
      </c>
      <c r="E37" s="42"/>
      <c r="F37" s="51">
        <v>1500</v>
      </c>
      <c r="G37" s="113" t="s">
        <v>95</v>
      </c>
      <c r="I37" s="54"/>
      <c r="J37" s="42" t="s">
        <v>104</v>
      </c>
      <c r="K37" s="42"/>
      <c r="L37" s="51"/>
      <c r="M37" s="113" t="s">
        <v>95</v>
      </c>
      <c r="O37" s="95" t="s">
        <v>136</v>
      </c>
      <c r="P37" s="96">
        <v>210.1</v>
      </c>
      <c r="Q37" s="42">
        <v>360</v>
      </c>
      <c r="R37" s="96">
        <v>4.5</v>
      </c>
      <c r="S37" s="97">
        <v>47.95</v>
      </c>
    </row>
    <row r="38" spans="3:19" ht="15.6" x14ac:dyDescent="0.3">
      <c r="C38" s="54"/>
      <c r="D38" s="42"/>
      <c r="E38" s="42"/>
      <c r="F38" s="42"/>
      <c r="G38" s="113"/>
      <c r="I38" s="54"/>
      <c r="J38" s="42"/>
      <c r="K38" s="42"/>
      <c r="L38" s="42"/>
      <c r="M38" s="113"/>
      <c r="O38" s="95" t="s">
        <v>96</v>
      </c>
      <c r="P38" s="96">
        <v>263</v>
      </c>
      <c r="Q38" s="42">
        <v>380</v>
      </c>
      <c r="R38" s="96">
        <v>5</v>
      </c>
      <c r="S38" s="97">
        <v>63.05</v>
      </c>
    </row>
    <row r="39" spans="3:19" ht="15.6" x14ac:dyDescent="0.3">
      <c r="C39" s="54"/>
      <c r="D39" s="42" t="s">
        <v>105</v>
      </c>
      <c r="E39" s="42"/>
      <c r="F39" s="110">
        <f>2*PI()*((F31-F13)+(F31-F14))*F37/((1/(F34*F32))+(1/F29*LN(F35/F34))+(1/F30*LN(F36/F35))+(1/(F36*F33)))</f>
        <v>8029.5398360391446</v>
      </c>
      <c r="G39" s="113" t="s">
        <v>106</v>
      </c>
      <c r="I39" s="54"/>
      <c r="J39" s="42" t="s">
        <v>105</v>
      </c>
      <c r="K39" s="42"/>
      <c r="L39" s="110"/>
      <c r="M39" s="113" t="s">
        <v>106</v>
      </c>
      <c r="O39" s="95" t="s">
        <v>137</v>
      </c>
      <c r="P39" s="96">
        <v>312.7</v>
      </c>
      <c r="Q39" s="42">
        <v>400</v>
      </c>
      <c r="R39" s="96">
        <v>5.6</v>
      </c>
      <c r="S39" s="97">
        <v>63.05</v>
      </c>
    </row>
    <row r="40" spans="3:19" ht="15.6" x14ac:dyDescent="0.3">
      <c r="C40" s="54"/>
      <c r="D40" s="42" t="s">
        <v>107</v>
      </c>
      <c r="E40" s="42"/>
      <c r="F40" s="107">
        <f>F39/F37</f>
        <v>5.3530265573594296</v>
      </c>
      <c r="G40" s="113" t="s">
        <v>108</v>
      </c>
      <c r="I40" s="54"/>
      <c r="J40" s="42" t="s">
        <v>107</v>
      </c>
      <c r="K40" s="42"/>
      <c r="L40" s="107"/>
      <c r="M40" s="113" t="s">
        <v>108</v>
      </c>
      <c r="O40" s="95" t="s">
        <v>138</v>
      </c>
      <c r="P40" s="96">
        <v>343.8</v>
      </c>
      <c r="Q40" s="42">
        <v>410</v>
      </c>
      <c r="R40" s="96">
        <v>5.6</v>
      </c>
      <c r="S40" s="97">
        <v>72.2</v>
      </c>
    </row>
    <row r="41" spans="3:19" ht="15.6" x14ac:dyDescent="0.3">
      <c r="C41" s="54"/>
      <c r="D41" s="42"/>
      <c r="E41" s="42"/>
      <c r="F41" s="42"/>
      <c r="G41" s="113"/>
      <c r="I41" s="54"/>
      <c r="J41" s="42"/>
      <c r="K41" s="42"/>
      <c r="L41" s="42"/>
      <c r="M41" s="113"/>
      <c r="O41" s="95" t="s">
        <v>139</v>
      </c>
      <c r="P41" s="96">
        <v>393.7</v>
      </c>
      <c r="Q41" s="42">
        <v>430</v>
      </c>
      <c r="R41" s="96">
        <v>6.3</v>
      </c>
      <c r="S41" s="97">
        <v>86.5</v>
      </c>
    </row>
    <row r="42" spans="3:19" ht="15.6" x14ac:dyDescent="0.3">
      <c r="C42" s="54"/>
      <c r="D42" s="42" t="s">
        <v>142</v>
      </c>
      <c r="E42" s="42"/>
      <c r="F42" s="15">
        <f>'Aufgabe 1'!H44</f>
        <v>1062328</v>
      </c>
      <c r="G42" s="113" t="s">
        <v>43</v>
      </c>
      <c r="I42" s="54"/>
      <c r="J42" s="42" t="s">
        <v>142</v>
      </c>
      <c r="K42" s="42"/>
      <c r="L42" s="15"/>
      <c r="M42" s="113" t="s">
        <v>43</v>
      </c>
      <c r="O42" s="95" t="s">
        <v>140</v>
      </c>
      <c r="P42" s="96">
        <v>444.4</v>
      </c>
      <c r="Q42" s="42">
        <v>450</v>
      </c>
      <c r="R42" s="96">
        <v>6.3</v>
      </c>
      <c r="S42" s="97">
        <v>86.5</v>
      </c>
    </row>
    <row r="43" spans="3:19" ht="16.2" thickBot="1" x14ac:dyDescent="0.35">
      <c r="C43" s="57"/>
      <c r="D43" s="46" t="s">
        <v>143</v>
      </c>
      <c r="E43" s="46"/>
      <c r="F43" s="111">
        <f>F39/1000</f>
        <v>8.0295398360391452</v>
      </c>
      <c r="G43" s="63" t="s">
        <v>45</v>
      </c>
      <c r="I43" s="57"/>
      <c r="J43" s="46" t="s">
        <v>143</v>
      </c>
      <c r="K43" s="46"/>
      <c r="L43" s="111"/>
      <c r="M43" s="63" t="s">
        <v>45</v>
      </c>
      <c r="O43" s="98" t="s">
        <v>141</v>
      </c>
      <c r="P43" s="99">
        <v>495.4</v>
      </c>
      <c r="Q43" s="46">
        <v>470</v>
      </c>
      <c r="R43" s="99">
        <v>6.3</v>
      </c>
      <c r="S43" s="100">
        <v>101</v>
      </c>
    </row>
    <row r="44" spans="3:19" ht="15" thickBot="1" x14ac:dyDescent="0.35"/>
    <row r="45" spans="3:19" ht="18" thickBot="1" x14ac:dyDescent="0.4">
      <c r="C45" s="101">
        <v>2.4</v>
      </c>
      <c r="D45" s="102" t="s">
        <v>157</v>
      </c>
      <c r="E45" s="102"/>
      <c r="F45" s="102"/>
      <c r="G45" s="102"/>
      <c r="H45" s="102"/>
      <c r="I45" s="102"/>
      <c r="J45" s="102"/>
      <c r="K45" s="102"/>
      <c r="L45" s="102"/>
      <c r="M45" s="103"/>
    </row>
    <row r="46" spans="3:19" ht="15" thickTop="1" x14ac:dyDescent="0.3">
      <c r="C46" s="54"/>
      <c r="D46" s="42" t="s">
        <v>160</v>
      </c>
      <c r="E46" s="42"/>
      <c r="F46" s="108"/>
      <c r="G46" s="112" t="s">
        <v>45</v>
      </c>
      <c r="H46" s="42"/>
      <c r="I46" s="42"/>
      <c r="J46" s="42" t="s">
        <v>160</v>
      </c>
      <c r="K46" s="42"/>
      <c r="L46" s="108"/>
      <c r="M46" s="113" t="s">
        <v>45</v>
      </c>
    </row>
    <row r="47" spans="3:19" x14ac:dyDescent="0.3">
      <c r="C47" s="54"/>
      <c r="D47" s="42"/>
      <c r="E47" s="42"/>
      <c r="F47" s="108"/>
      <c r="G47" s="112" t="s">
        <v>108</v>
      </c>
      <c r="H47" s="42"/>
      <c r="I47" s="42"/>
      <c r="J47" s="42"/>
      <c r="K47" s="42"/>
      <c r="L47" s="108"/>
      <c r="M47" s="113" t="s">
        <v>108</v>
      </c>
    </row>
    <row r="48" spans="3:19" x14ac:dyDescent="0.3">
      <c r="C48" s="54"/>
      <c r="D48" s="42" t="s">
        <v>144</v>
      </c>
      <c r="E48" s="42"/>
      <c r="F48" s="108"/>
      <c r="G48" s="112" t="s">
        <v>45</v>
      </c>
      <c r="H48" s="42"/>
      <c r="I48" s="42"/>
      <c r="J48" s="42" t="s">
        <v>144</v>
      </c>
      <c r="K48" s="42"/>
      <c r="L48" s="108"/>
      <c r="M48" s="113" t="s">
        <v>45</v>
      </c>
    </row>
    <row r="49" spans="3:13" ht="15" thickBot="1" x14ac:dyDescent="0.35">
      <c r="C49" s="57"/>
      <c r="D49" s="46"/>
      <c r="E49" s="46"/>
      <c r="F49" s="117"/>
      <c r="G49" s="62" t="s">
        <v>108</v>
      </c>
      <c r="H49" s="46"/>
      <c r="I49" s="46"/>
      <c r="J49" s="46"/>
      <c r="K49" s="46"/>
      <c r="L49" s="117"/>
      <c r="M49" s="63" t="s">
        <v>108</v>
      </c>
    </row>
  </sheetData>
  <conditionalFormatting sqref="S46:S58">
    <cfRule type="colorScale" priority="3">
      <colorScale>
        <cfvo type="min"/>
        <cfvo type="percentile" val="50"/>
        <cfvo type="max"/>
        <color rgb="FF63BE7B"/>
        <color rgb="FFFFEB84"/>
        <color rgb="FFF8696B"/>
      </colorScale>
    </cfRule>
  </conditionalFormatting>
  <conditionalFormatting sqref="U46:U58">
    <cfRule type="colorScale" priority="2">
      <colorScale>
        <cfvo type="min"/>
        <cfvo type="percentile" val="50"/>
        <cfvo type="max"/>
        <color rgb="FF63BE7B"/>
        <color rgb="FFFFEB84"/>
        <color rgb="FFF8696B"/>
      </colorScale>
    </cfRule>
  </conditionalFormatting>
  <conditionalFormatting sqref="O46:O58">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F23 L23">
      <formula1>rohre</formula1>
    </dataValidation>
  </dataValidations>
  <pageMargins left="0.7" right="0.7" top="0.78740157499999996" bottom="0.78740157499999996" header="0.3" footer="0.3"/>
  <drawing r:id="rId1"/>
  <extLst>
    <ext xmlns:x14="http://schemas.microsoft.com/office/spreadsheetml/2009/9/main" uri="{05C60535-1F16-4fd2-B633-F4F36F0B64E0}">
      <x14:sparklineGroups xmlns:xm="http://schemas.microsoft.com/office/excel/2006/main">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'Aufgabe 2'!Q31:Q43</xm:f>
              <xm:sqref>Q30</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'Aufgabe 2'!P31:P43</xm:f>
              <xm:sqref>P30</xm:sqref>
            </x14:sparkline>
          </x14:sparklines>
        </x14:sparklineGroup>
        <x14:sparklineGroup type="column" displayEmptyCellsAs="gap" high="1">
          <x14:colorSeries rgb="FF376092"/>
          <x14:colorNegative rgb="FFD00000"/>
          <x14:colorAxis rgb="FF000000"/>
          <x14:colorMarkers rgb="FFD00000"/>
          <x14:colorFirst rgb="FFD00000"/>
          <x14:colorLast rgb="FFD00000"/>
          <x14:colorHigh rgb="FFD00000"/>
          <x14:colorLow rgb="FFD00000"/>
          <x14:sparklines>
            <x14:sparkline>
              <xm:f>'Aufgabe 2'!U46:U58</xm:f>
              <xm:sqref>U45</xm:sqref>
            </x14:sparkline>
          </x14:sparklines>
        </x14:sparklineGroup>
        <x14:sparklineGroup type="column" displayEmptyCellsAs="gap" high="1" low="1">
          <x14:colorSeries rgb="FF376092"/>
          <x14:colorNegative rgb="FFD00000"/>
          <x14:colorAxis rgb="FF000000"/>
          <x14:colorMarkers rgb="FFD00000"/>
          <x14:colorFirst rgb="FFD00000"/>
          <x14:colorLast rgb="FFD00000"/>
          <x14:colorHigh rgb="FFD00000"/>
          <x14:colorLow rgb="FFD00000"/>
          <x14:sparklines>
            <x14:sparkline>
              <xm:f>'Aufgabe 2'!S46:S58</xm:f>
              <xm:sqref>S45</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'Aufgabe 2'!O46:O58</xm:f>
              <xm:sqref>O45</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showGridLines="0" zoomScale="85" zoomScaleNormal="85" workbookViewId="0">
      <selection activeCell="C43" sqref="C43"/>
    </sheetView>
  </sheetViews>
  <sheetFormatPr baseColWidth="10" defaultRowHeight="14.4" x14ac:dyDescent="0.3"/>
  <cols>
    <col min="1" max="1" width="4.33203125" style="173" customWidth="1"/>
    <col min="2" max="2" width="4.6640625" customWidth="1"/>
    <col min="4" max="4" width="23.88671875" customWidth="1"/>
    <col min="8" max="8" width="12.44140625" customWidth="1"/>
    <col min="9" max="9" width="14.6640625" bestFit="1" customWidth="1"/>
  </cols>
  <sheetData>
    <row r="1" spans="1:11" s="173" customFormat="1" x14ac:dyDescent="0.3"/>
    <row r="3" spans="1:11" ht="30.6" thickBot="1" x14ac:dyDescent="0.45">
      <c r="C3" s="1" t="s">
        <v>162</v>
      </c>
      <c r="D3" s="1"/>
      <c r="E3" s="1"/>
      <c r="F3" s="1"/>
      <c r="I3" s="6" t="s">
        <v>32</v>
      </c>
      <c r="J3" s="7" t="s">
        <v>31</v>
      </c>
      <c r="K3" s="8" t="s">
        <v>3</v>
      </c>
    </row>
    <row r="4" spans="1:11" ht="15.75" customHeight="1" thickTop="1" x14ac:dyDescent="0.3">
      <c r="C4">
        <v>3.1</v>
      </c>
      <c r="D4" t="s">
        <v>168</v>
      </c>
    </row>
    <row r="9" spans="1:11" ht="18" thickBot="1" x14ac:dyDescent="0.4">
      <c r="C9" s="2">
        <v>3.1</v>
      </c>
      <c r="D9" s="2" t="s">
        <v>163</v>
      </c>
      <c r="E9" s="2"/>
      <c r="F9" s="2"/>
      <c r="G9" s="2"/>
      <c r="H9" s="2"/>
      <c r="I9" s="2"/>
    </row>
    <row r="10" spans="1:11" ht="15" thickTop="1" x14ac:dyDescent="0.3">
      <c r="A10" s="175"/>
      <c r="B10" s="172"/>
      <c r="C10" s="54"/>
      <c r="D10" s="42" t="s">
        <v>164</v>
      </c>
      <c r="E10" s="42"/>
      <c r="F10" s="15">
        <f>'Aufgabe 2'!F26</f>
        <v>1.1870155119892036</v>
      </c>
      <c r="G10" s="42" t="s">
        <v>92</v>
      </c>
      <c r="H10" s="42"/>
      <c r="I10" s="44"/>
    </row>
    <row r="11" spans="1:11" x14ac:dyDescent="0.3">
      <c r="A11" s="175"/>
      <c r="B11" s="172"/>
      <c r="C11" s="54"/>
      <c r="D11" s="42" t="s">
        <v>155</v>
      </c>
      <c r="E11" s="42"/>
      <c r="F11" s="15">
        <f>'Aufgabe 2'!F43</f>
        <v>8.0295398360391452</v>
      </c>
      <c r="G11" s="42" t="s">
        <v>45</v>
      </c>
      <c r="H11" s="42"/>
      <c r="I11" s="44"/>
    </row>
    <row r="12" spans="1:11" x14ac:dyDescent="0.3">
      <c r="C12" s="54"/>
      <c r="D12" s="42" t="s">
        <v>165</v>
      </c>
      <c r="E12" s="42"/>
      <c r="F12" s="128">
        <v>0.7</v>
      </c>
      <c r="G12" s="42"/>
      <c r="H12" s="42"/>
      <c r="I12" s="44"/>
    </row>
    <row r="13" spans="1:11" x14ac:dyDescent="0.3">
      <c r="C13" s="54"/>
      <c r="D13" s="42" t="s">
        <v>169</v>
      </c>
      <c r="E13" s="42"/>
      <c r="F13" s="129">
        <f>10*2*'Aufgabe 2'!F37</f>
        <v>30000</v>
      </c>
      <c r="G13" s="42" t="s">
        <v>166</v>
      </c>
      <c r="H13" s="42"/>
      <c r="I13" s="44"/>
    </row>
    <row r="14" spans="1:11" x14ac:dyDescent="0.3">
      <c r="C14" s="54"/>
      <c r="D14" s="42"/>
      <c r="E14" s="42"/>
      <c r="F14" s="42">
        <f>F13/10000</f>
        <v>3</v>
      </c>
      <c r="G14" s="148" t="s">
        <v>216</v>
      </c>
      <c r="H14" s="42"/>
      <c r="I14" s="44"/>
    </row>
    <row r="15" spans="1:11" x14ac:dyDescent="0.3">
      <c r="C15" s="54"/>
      <c r="D15" s="42" t="s">
        <v>172</v>
      </c>
      <c r="E15" s="42"/>
      <c r="F15" s="130">
        <f>G22</f>
        <v>50.872093370965871</v>
      </c>
      <c r="G15" s="42" t="s">
        <v>45</v>
      </c>
      <c r="H15" s="42"/>
      <c r="I15" s="44"/>
    </row>
    <row r="16" spans="1:11" x14ac:dyDescent="0.3">
      <c r="C16" s="54"/>
      <c r="D16" s="42" t="s">
        <v>167</v>
      </c>
      <c r="E16" s="42"/>
      <c r="F16" s="203">
        <f>SUM(I22:I50)</f>
        <v>53190.682608911578</v>
      </c>
      <c r="G16" s="42" t="s">
        <v>42</v>
      </c>
      <c r="H16" s="42"/>
      <c r="I16" s="44"/>
    </row>
    <row r="17" spans="3:10" x14ac:dyDescent="0.3">
      <c r="C17" s="54"/>
      <c r="D17" s="42"/>
      <c r="E17" s="42"/>
      <c r="F17" s="42"/>
      <c r="G17" s="42"/>
      <c r="H17" s="42"/>
      <c r="I17" s="44"/>
    </row>
    <row r="18" spans="3:10" ht="15" thickBot="1" x14ac:dyDescent="0.35">
      <c r="C18" s="57"/>
      <c r="D18" s="46"/>
      <c r="E18" s="46"/>
      <c r="F18" s="46"/>
      <c r="G18" s="46"/>
      <c r="H18" s="46"/>
      <c r="I18" s="48"/>
    </row>
    <row r="19" spans="3:10" x14ac:dyDescent="0.3">
      <c r="C19" s="120" t="s">
        <v>57</v>
      </c>
      <c r="D19" s="121" t="s">
        <v>170</v>
      </c>
      <c r="E19" s="122" t="s">
        <v>60</v>
      </c>
      <c r="F19" s="122" t="s">
        <v>91</v>
      </c>
      <c r="G19" s="122" t="s">
        <v>167</v>
      </c>
      <c r="H19" s="246"/>
      <c r="I19" s="248" t="s">
        <v>171</v>
      </c>
    </row>
    <row r="20" spans="3:10" x14ac:dyDescent="0.3">
      <c r="C20" s="123"/>
      <c r="D20" s="18"/>
      <c r="E20" s="38"/>
      <c r="F20" s="38"/>
      <c r="G20" s="38"/>
      <c r="H20" s="247"/>
      <c r="I20" s="249"/>
    </row>
    <row r="21" spans="3:10" x14ac:dyDescent="0.3">
      <c r="C21" s="124" t="s">
        <v>46</v>
      </c>
      <c r="D21" s="27" t="s">
        <v>45</v>
      </c>
      <c r="E21" s="35" t="s">
        <v>42</v>
      </c>
      <c r="F21" s="35" t="s">
        <v>92</v>
      </c>
      <c r="G21" s="35" t="s">
        <v>45</v>
      </c>
      <c r="H21" s="29"/>
      <c r="I21" s="125" t="s">
        <v>42</v>
      </c>
    </row>
    <row r="22" spans="3:10" x14ac:dyDescent="0.3">
      <c r="C22" s="126">
        <f>'Aufgabe 1'!E53</f>
        <v>0</v>
      </c>
      <c r="D22" s="31">
        <f>IF('Aufgabe 1'!F53&gt;0,'Aufgabe 1'!F53+$F$11,0)</f>
        <v>1044.8495398360394</v>
      </c>
      <c r="E22" s="119">
        <v>0</v>
      </c>
      <c r="F22" s="19">
        <f>$F$10*D22/$D$22</f>
        <v>1.1870155119892036</v>
      </c>
      <c r="G22" s="118">
        <f>F22*$F$13/$F$12/1000</f>
        <v>50.872093370965871</v>
      </c>
      <c r="H22" s="22"/>
      <c r="I22" s="127"/>
    </row>
    <row r="23" spans="3:10" x14ac:dyDescent="0.3">
      <c r="C23" s="126">
        <f>'Aufgabe 1'!E54</f>
        <v>25</v>
      </c>
      <c r="D23" s="31">
        <f>IF('Aufgabe 1'!F54&gt;0,'Aufgabe 1'!F54+$F$11,0)</f>
        <v>824.87209499463768</v>
      </c>
      <c r="E23" s="119">
        <f>(D22+D23)/2*(C23-C22)</f>
        <v>23371.520435383463</v>
      </c>
      <c r="F23" s="19">
        <f t="shared" ref="F23:F41" si="0">$F$10*D23/$D$22</f>
        <v>0.937107147809354</v>
      </c>
      <c r="G23" s="118">
        <f t="shared" ref="G23:G41" si="1">F23*$F$13/$F$12/1000</f>
        <v>40.161734906115178</v>
      </c>
      <c r="H23" s="22"/>
      <c r="I23" s="127">
        <f>(G22+G23)/2*(C23-C22)</f>
        <v>1137.9228534635131</v>
      </c>
      <c r="J23" s="14"/>
    </row>
    <row r="24" spans="3:10" x14ac:dyDescent="0.3">
      <c r="C24" s="126">
        <f>'Aufgabe 1'!E55</f>
        <v>50</v>
      </c>
      <c r="D24" s="31">
        <f>IF('Aufgabe 1'!F55&gt;0,'Aufgabe 1'!F55+$F$11,0)</f>
        <v>774.98976833042434</v>
      </c>
      <c r="E24" s="119">
        <f t="shared" ref="E24:E50" si="2">(D23+D24)/2*(C24-C23)</f>
        <v>19998.273291563277</v>
      </c>
      <c r="F24" s="19">
        <f t="shared" si="0"/>
        <v>0.88043765304762445</v>
      </c>
      <c r="G24" s="118">
        <f t="shared" si="1"/>
        <v>37.733042273469621</v>
      </c>
      <c r="H24" s="22"/>
      <c r="I24" s="127">
        <f t="shared" ref="I24:I41" si="3">(G23+G24)/2*(C24-C23)</f>
        <v>973.68471474480987</v>
      </c>
    </row>
    <row r="25" spans="3:10" x14ac:dyDescent="0.3">
      <c r="C25" s="126">
        <f>'Aufgabe 1'!E56</f>
        <v>100</v>
      </c>
      <c r="D25" s="31">
        <f>IF('Aufgabe 1'!F56&gt;0,'Aufgabe 1'!F56+$F$11,0)</f>
        <v>713.79607056073576</v>
      </c>
      <c r="E25" s="119">
        <f t="shared" si="2"/>
        <v>37219.645972279002</v>
      </c>
      <c r="F25" s="19">
        <f t="shared" si="0"/>
        <v>0.81091772149843899</v>
      </c>
      <c r="G25" s="118">
        <f t="shared" si="1"/>
        <v>34.75361663564739</v>
      </c>
      <c r="H25" s="22"/>
      <c r="I25" s="127">
        <f t="shared" si="3"/>
        <v>1812.1664727279253</v>
      </c>
    </row>
    <row r="26" spans="3:10" x14ac:dyDescent="0.3">
      <c r="C26" s="126">
        <f>'Aufgabe 1'!E57</f>
        <v>200</v>
      </c>
      <c r="D26" s="31">
        <f>IF('Aufgabe 1'!F57&gt;0,'Aufgabe 1'!F57+$F$11,0)</f>
        <v>638.72602276734585</v>
      </c>
      <c r="E26" s="119">
        <f t="shared" si="2"/>
        <v>67626.104666404077</v>
      </c>
      <c r="F26" s="19">
        <f t="shared" si="0"/>
        <v>0.7256333740214731</v>
      </c>
      <c r="G26" s="118">
        <f t="shared" si="1"/>
        <v>31.09857317234885</v>
      </c>
      <c r="H26" s="22"/>
      <c r="I26" s="127">
        <f t="shared" si="3"/>
        <v>3292.6094903998119</v>
      </c>
    </row>
    <row r="27" spans="3:10" x14ac:dyDescent="0.3">
      <c r="C27" s="126">
        <f>'Aufgabe 1'!E58</f>
        <v>300</v>
      </c>
      <c r="D27" s="31">
        <f>IF('Aufgabe 1'!F58&gt;0,'Aufgabe 1'!F58+$F$11,0)</f>
        <v>587.15112610274241</v>
      </c>
      <c r="E27" s="119">
        <f t="shared" si="2"/>
        <v>61293.857443504407</v>
      </c>
      <c r="F27" s="19">
        <f t="shared" si="0"/>
        <v>0.66704101212051314</v>
      </c>
      <c r="G27" s="118">
        <f t="shared" si="1"/>
        <v>28.587471948021992</v>
      </c>
      <c r="H27" s="22"/>
      <c r="I27" s="127">
        <f t="shared" si="3"/>
        <v>2984.3022560185423</v>
      </c>
    </row>
    <row r="28" spans="3:10" x14ac:dyDescent="0.3">
      <c r="C28" s="126">
        <f>'Aufgabe 1'!E59</f>
        <v>400</v>
      </c>
      <c r="D28" s="31">
        <f>IF('Aufgabe 1'!F59&gt;0,'Aufgabe 1'!F59+$F$11,0)</f>
        <v>546.63300859925403</v>
      </c>
      <c r="E28" s="119">
        <f t="shared" si="2"/>
        <v>56689.206735099819</v>
      </c>
      <c r="F28" s="19">
        <f t="shared" si="0"/>
        <v>0.6210098543704804</v>
      </c>
      <c r="G28" s="118">
        <f t="shared" si="1"/>
        <v>26.614708044449163</v>
      </c>
      <c r="H28" s="22"/>
      <c r="I28" s="127">
        <f t="shared" si="3"/>
        <v>2760.1089996235578</v>
      </c>
    </row>
    <row r="29" spans="3:10" x14ac:dyDescent="0.3">
      <c r="C29" s="126">
        <f>'Aufgabe 1'!E60</f>
        <v>600</v>
      </c>
      <c r="D29" s="31">
        <f>IF('Aufgabe 1'!F60&gt;0,'Aufgabe 1'!F60+$F$11,0)</f>
        <v>483.36293179947091</v>
      </c>
      <c r="E29" s="119">
        <f t="shared" si="2"/>
        <v>102999.59403987249</v>
      </c>
      <c r="F29" s="19">
        <f t="shared" si="0"/>
        <v>0.54913102422056603</v>
      </c>
      <c r="G29" s="118">
        <f t="shared" si="1"/>
        <v>23.534186752309974</v>
      </c>
      <c r="H29" s="22"/>
      <c r="I29" s="127">
        <f t="shared" si="3"/>
        <v>5014.8894796759141</v>
      </c>
    </row>
    <row r="30" spans="3:10" x14ac:dyDescent="0.3">
      <c r="C30" s="126">
        <f>'Aufgabe 1'!E61</f>
        <v>800</v>
      </c>
      <c r="D30" s="31">
        <f>IF('Aufgabe 1'!F61&gt;0,'Aufgabe 1'!F61+$F$11,0)</f>
        <v>433.65688153048825</v>
      </c>
      <c r="E30" s="119">
        <f t="shared" si="2"/>
        <v>91701.981332995914</v>
      </c>
      <c r="F30" s="19">
        <f t="shared" si="0"/>
        <v>0.49266179065201204</v>
      </c>
      <c r="G30" s="118">
        <f t="shared" si="1"/>
        <v>21.114076742229091</v>
      </c>
      <c r="H30" s="22"/>
      <c r="I30" s="127">
        <f t="shared" si="3"/>
        <v>4464.8263494539069</v>
      </c>
    </row>
    <row r="31" spans="3:10" x14ac:dyDescent="0.3">
      <c r="C31" s="126">
        <f>'Aufgabe 1'!E62</f>
        <v>1000</v>
      </c>
      <c r="D31" s="31">
        <f>IF('Aufgabe 1'!F62&gt;0,'Aufgabe 1'!F62+$F$11,0)</f>
        <v>392.09114627137149</v>
      </c>
      <c r="E31" s="119">
        <f t="shared" si="2"/>
        <v>82574.802780185972</v>
      </c>
      <c r="F31" s="19">
        <f t="shared" si="0"/>
        <v>0.44544047252083824</v>
      </c>
      <c r="G31" s="118">
        <f t="shared" si="1"/>
        <v>19.090305965178786</v>
      </c>
      <c r="H31" s="22"/>
      <c r="I31" s="127">
        <f t="shared" si="3"/>
        <v>4020.4382707407872</v>
      </c>
    </row>
    <row r="32" spans="3:10" x14ac:dyDescent="0.3">
      <c r="C32" s="126">
        <f>'Aufgabe 1'!E63</f>
        <v>1200</v>
      </c>
      <c r="D32" s="31">
        <f>IF('Aufgabe 1'!F63&gt;0,'Aufgabe 1'!F63+$F$11,0)</f>
        <v>356.03961272076015</v>
      </c>
      <c r="E32" s="119">
        <f t="shared" si="2"/>
        <v>74813.07589921316</v>
      </c>
      <c r="F32" s="19">
        <f t="shared" si="0"/>
        <v>0.40448363814036831</v>
      </c>
      <c r="G32" s="118">
        <f t="shared" si="1"/>
        <v>17.335013063158645</v>
      </c>
      <c r="H32" s="22"/>
      <c r="I32" s="127">
        <f t="shared" si="3"/>
        <v>3642.5319028337426</v>
      </c>
    </row>
    <row r="33" spans="3:9" x14ac:dyDescent="0.3">
      <c r="C33" s="126">
        <f>'Aufgabe 1'!E64</f>
        <v>1400</v>
      </c>
      <c r="D33" s="31">
        <f>IF('Aufgabe 1'!F64&gt;0,'Aufgabe 1'!F64+$F$11,0)</f>
        <v>324.00942402543637</v>
      </c>
      <c r="E33" s="119">
        <f t="shared" si="2"/>
        <v>68004.903674619651</v>
      </c>
      <c r="F33" s="19">
        <f t="shared" si="0"/>
        <v>0.3680953072049335</v>
      </c>
      <c r="G33" s="118">
        <f t="shared" si="1"/>
        <v>15.775513165925723</v>
      </c>
      <c r="H33" s="22"/>
      <c r="I33" s="127">
        <f t="shared" si="3"/>
        <v>3311.0526229084371</v>
      </c>
    </row>
    <row r="34" spans="3:9" x14ac:dyDescent="0.3">
      <c r="C34" s="126">
        <f>'Aufgabe 1'!E65</f>
        <v>1600</v>
      </c>
      <c r="D34" s="31">
        <f>IF('Aufgabe 1'!F65&gt;0,'Aufgabe 1'!F65+$F$11,0)</f>
        <v>295.06216397502556</v>
      </c>
      <c r="E34" s="119">
        <f t="shared" si="2"/>
        <v>61907.158800046192</v>
      </c>
      <c r="F34" s="19">
        <f t="shared" si="0"/>
        <v>0.33520937923217003</v>
      </c>
      <c r="G34" s="118">
        <f t="shared" si="1"/>
        <v>14.366116252807288</v>
      </c>
      <c r="H34" s="22"/>
      <c r="I34" s="127">
        <f t="shared" si="3"/>
        <v>3014.162941873301</v>
      </c>
    </row>
    <row r="35" spans="3:9" x14ac:dyDescent="0.3">
      <c r="C35" s="126">
        <f>'Aufgabe 1'!E66</f>
        <v>1800</v>
      </c>
      <c r="D35" s="31">
        <f>IF('Aufgabe 1'!F66&gt;0,'Aufgabe 1'!F66+$F$11,0)</f>
        <v>268.56548399032653</v>
      </c>
      <c r="E35" s="119">
        <f t="shared" si="2"/>
        <v>56362.764796535201</v>
      </c>
      <c r="F35" s="19">
        <f t="shared" si="0"/>
        <v>0.30510746602944505</v>
      </c>
      <c r="G35" s="118">
        <f t="shared" si="1"/>
        <v>13.076034258404789</v>
      </c>
      <c r="H35" s="22"/>
      <c r="I35" s="127">
        <f t="shared" si="3"/>
        <v>2744.2150511212076</v>
      </c>
    </row>
    <row r="36" spans="3:9" x14ac:dyDescent="0.3">
      <c r="C36" s="126">
        <f>'Aufgabe 1'!E67</f>
        <v>2000</v>
      </c>
      <c r="D36" s="31">
        <f>IF('Aufgabe 1'!F67&gt;0,'Aufgabe 1'!F67+$F$11,0)</f>
        <v>244.07093699911772</v>
      </c>
      <c r="E36" s="119">
        <f t="shared" si="2"/>
        <v>51263.642098944423</v>
      </c>
      <c r="F36" s="19">
        <f t="shared" si="0"/>
        <v>0.27728010320907581</v>
      </c>
      <c r="G36" s="118">
        <f t="shared" si="1"/>
        <v>11.883432994674676</v>
      </c>
      <c r="H36" s="22"/>
      <c r="I36" s="127">
        <f t="shared" si="3"/>
        <v>2495.9467253079465</v>
      </c>
    </row>
    <row r="37" spans="3:9" x14ac:dyDescent="0.3">
      <c r="C37" s="126">
        <f>'Aufgabe 1'!E68</f>
        <v>2200</v>
      </c>
      <c r="D37" s="31">
        <f>IF('Aufgabe 1'!F68&gt;0,'Aufgabe 1'!F68+$F$11,0)</f>
        <v>221.24776814147188</v>
      </c>
      <c r="E37" s="119">
        <f t="shared" si="2"/>
        <v>46531.870514058959</v>
      </c>
      <c r="F37" s="19">
        <f t="shared" si="0"/>
        <v>0.25135153221977741</v>
      </c>
      <c r="G37" s="118">
        <f t="shared" si="1"/>
        <v>10.772208523704746</v>
      </c>
      <c r="H37" s="22"/>
      <c r="I37" s="127">
        <f t="shared" si="3"/>
        <v>2265.5641518379421</v>
      </c>
    </row>
    <row r="38" spans="3:9" x14ac:dyDescent="0.3">
      <c r="C38" s="126">
        <f>'Aufgabe 1'!E69</f>
        <v>2400</v>
      </c>
      <c r="D38" s="31">
        <f>IF('Aufgabe 1'!F69&gt;0,'Aufgabe 1'!F69+$F$11,0)</f>
        <v>199.84431815913058</v>
      </c>
      <c r="E38" s="119">
        <f t="shared" si="2"/>
        <v>42109.208630060246</v>
      </c>
      <c r="F38" s="19">
        <f t="shared" si="0"/>
        <v>0.22703585214290148</v>
      </c>
      <c r="G38" s="118">
        <f t="shared" si="1"/>
        <v>9.7301079489814928</v>
      </c>
      <c r="H38" s="22"/>
      <c r="I38" s="127">
        <f t="shared" si="3"/>
        <v>2050.2316472686239</v>
      </c>
    </row>
    <row r="39" spans="3:9" x14ac:dyDescent="0.3">
      <c r="C39" s="126">
        <f>'Aufgabe 1'!E70</f>
        <v>2600</v>
      </c>
      <c r="D39" s="31">
        <f>IF('Aufgabe 1'!F70&gt;0,'Aufgabe 1'!F70+$F$11,0)</f>
        <v>179.66420396718217</v>
      </c>
      <c r="E39" s="119">
        <f t="shared" si="2"/>
        <v>37950.852212631275</v>
      </c>
      <c r="F39" s="19">
        <f t="shared" si="0"/>
        <v>0.2041099593073501</v>
      </c>
      <c r="G39" s="118">
        <f t="shared" si="1"/>
        <v>8.7475696846007196</v>
      </c>
      <c r="H39" s="22"/>
      <c r="I39" s="127">
        <f t="shared" si="3"/>
        <v>1847.7677633582211</v>
      </c>
    </row>
    <row r="40" spans="3:9" x14ac:dyDescent="0.3">
      <c r="C40" s="126">
        <f>'Aufgabe 1'!E71</f>
        <v>2800</v>
      </c>
      <c r="D40" s="31">
        <f>IF('Aufgabe 1'!F71&gt;0,'Aufgabe 1'!F71+$F$11,0)</f>
        <v>160.55092874443997</v>
      </c>
      <c r="E40" s="119">
        <f t="shared" si="2"/>
        <v>34021.513271162214</v>
      </c>
      <c r="F40" s="19">
        <f t="shared" si="0"/>
        <v>0.1823960633737077</v>
      </c>
      <c r="G40" s="118">
        <f t="shared" si="1"/>
        <v>7.8169741445874736</v>
      </c>
      <c r="H40" s="22"/>
      <c r="I40" s="127">
        <f t="shared" si="3"/>
        <v>1656.4543829188192</v>
      </c>
    </row>
    <row r="41" spans="3:9" x14ac:dyDescent="0.3">
      <c r="C41" s="126">
        <f>'Aufgabe 1'!E72</f>
        <v>3000</v>
      </c>
      <c r="D41" s="31">
        <f>IF('Aufgabe 1'!F72&gt;0,'Aufgabe 1'!F72+$F$11,0)</f>
        <v>142.37755565879536</v>
      </c>
      <c r="E41" s="119">
        <f t="shared" si="2"/>
        <v>30292.848440323531</v>
      </c>
      <c r="F41" s="19">
        <f t="shared" si="0"/>
        <v>0.16174995602966616</v>
      </c>
      <c r="G41" s="118">
        <f t="shared" si="1"/>
        <v>6.9321409726999788</v>
      </c>
      <c r="H41" s="22"/>
      <c r="I41" s="127">
        <f t="shared" si="3"/>
        <v>1474.9115117287452</v>
      </c>
    </row>
    <row r="42" spans="3:9" x14ac:dyDescent="0.3">
      <c r="C42" s="126">
        <f>'Aufgabe 1'!E73</f>
        <v>3200</v>
      </c>
      <c r="D42" s="31">
        <f>IF('Aufgabe 1'!F73&gt;0,'Aufgabe 1'!F73+$F$11,0)</f>
        <v>125.03955625554882</v>
      </c>
      <c r="E42" s="119">
        <f t="shared" si="2"/>
        <v>26741.711191434417</v>
      </c>
      <c r="F42" s="19">
        <f t="shared" ref="F42:F50" si="4">$F$10*D42/$D$22</f>
        <v>0.14205288630444743</v>
      </c>
      <c r="G42" s="118">
        <f t="shared" ref="G42:G50" si="5">F42*$F$13/$F$12/1000</f>
        <v>6.0879808416191752</v>
      </c>
      <c r="H42" s="22"/>
      <c r="I42" s="127">
        <f t="shared" ref="I42:I50" si="6">(G41+G42)/2*(C42-C41)</f>
        <v>1302.0121814319155</v>
      </c>
    </row>
    <row r="43" spans="3:9" x14ac:dyDescent="0.3">
      <c r="C43" s="126">
        <f>'Aufgabe 1'!E74</f>
        <v>3360</v>
      </c>
      <c r="D43" s="31">
        <f>IF('Aufgabe 1'!F74&gt;0,'Aufgabe 1'!F74+$F$11,0)</f>
        <v>111.71153983603914</v>
      </c>
      <c r="E43" s="119">
        <f t="shared" si="2"/>
        <v>18940.087687327035</v>
      </c>
      <c r="F43" s="19">
        <f t="shared" si="4"/>
        <v>0.12691141221575961</v>
      </c>
      <c r="G43" s="118">
        <f t="shared" si="5"/>
        <v>5.4390605235325555</v>
      </c>
      <c r="H43" s="22"/>
      <c r="I43" s="127">
        <f t="shared" si="6"/>
        <v>922.16330921213853</v>
      </c>
    </row>
    <row r="44" spans="3:9" x14ac:dyDescent="0.3">
      <c r="C44" s="126">
        <f>'Aufgabe 1'!E75</f>
        <v>3361</v>
      </c>
      <c r="D44" s="31">
        <f>IF('Aufgabe 1'!F75&gt;0,'Aufgabe 1'!F75+$F$11,0)</f>
        <v>0</v>
      </c>
      <c r="E44" s="119">
        <f t="shared" si="2"/>
        <v>55.855769918019568</v>
      </c>
      <c r="F44" s="19">
        <f t="shared" si="4"/>
        <v>0</v>
      </c>
      <c r="G44" s="118">
        <f t="shared" si="5"/>
        <v>0</v>
      </c>
      <c r="H44" s="22"/>
      <c r="I44" s="127">
        <f t="shared" si="6"/>
        <v>2.7195302617662778</v>
      </c>
    </row>
    <row r="45" spans="3:9" x14ac:dyDescent="0.3">
      <c r="C45" s="126">
        <f>'Aufgabe 1'!E76</f>
        <v>3361</v>
      </c>
      <c r="D45" s="31">
        <f>IF('Aufgabe 1'!F76&gt;0,'Aufgabe 1'!F76+$F$11,0)</f>
        <v>0</v>
      </c>
      <c r="E45" s="119">
        <f t="shared" si="2"/>
        <v>0</v>
      </c>
      <c r="F45" s="19">
        <f t="shared" si="4"/>
        <v>0</v>
      </c>
      <c r="G45" s="118">
        <f t="shared" si="5"/>
        <v>0</v>
      </c>
      <c r="H45" s="22"/>
      <c r="I45" s="127">
        <f t="shared" si="6"/>
        <v>0</v>
      </c>
    </row>
    <row r="46" spans="3:9" x14ac:dyDescent="0.3">
      <c r="C46" s="126">
        <f>'Aufgabe 1'!E77</f>
        <v>3361</v>
      </c>
      <c r="D46" s="31">
        <f>IF('Aufgabe 1'!F77&gt;0,'Aufgabe 1'!F77+$F$11,0)</f>
        <v>0</v>
      </c>
      <c r="E46" s="119">
        <f t="shared" si="2"/>
        <v>0</v>
      </c>
      <c r="F46" s="19">
        <f t="shared" si="4"/>
        <v>0</v>
      </c>
      <c r="G46" s="118">
        <f t="shared" si="5"/>
        <v>0</v>
      </c>
      <c r="H46" s="22"/>
      <c r="I46" s="127">
        <f t="shared" si="6"/>
        <v>0</v>
      </c>
    </row>
    <row r="47" spans="3:9" x14ac:dyDescent="0.3">
      <c r="C47" s="126">
        <f>'Aufgabe 1'!E78</f>
        <v>3361</v>
      </c>
      <c r="D47" s="31">
        <f>IF('Aufgabe 1'!F78&gt;0,'Aufgabe 1'!F78+$F$11,0)</f>
        <v>0</v>
      </c>
      <c r="E47" s="119">
        <f t="shared" si="2"/>
        <v>0</v>
      </c>
      <c r="F47" s="19">
        <f t="shared" si="4"/>
        <v>0</v>
      </c>
      <c r="G47" s="118">
        <f t="shared" si="5"/>
        <v>0</v>
      </c>
      <c r="H47" s="22"/>
      <c r="I47" s="127">
        <f t="shared" si="6"/>
        <v>0</v>
      </c>
    </row>
    <row r="48" spans="3:9" x14ac:dyDescent="0.3">
      <c r="C48" s="126">
        <f>'Aufgabe 1'!E79</f>
        <v>3361</v>
      </c>
      <c r="D48" s="31">
        <f>IF('Aufgabe 1'!F79&gt;0,'Aufgabe 1'!F79+$F$11,0)</f>
        <v>0</v>
      </c>
      <c r="E48" s="119">
        <f t="shared" si="2"/>
        <v>0</v>
      </c>
      <c r="F48" s="19">
        <f t="shared" si="4"/>
        <v>0</v>
      </c>
      <c r="G48" s="118">
        <f t="shared" si="5"/>
        <v>0</v>
      </c>
      <c r="H48" s="22"/>
      <c r="I48" s="127">
        <f t="shared" si="6"/>
        <v>0</v>
      </c>
    </row>
    <row r="49" spans="3:9" x14ac:dyDescent="0.3">
      <c r="C49" s="126">
        <f>'Aufgabe 1'!E80</f>
        <v>3361</v>
      </c>
      <c r="D49" s="31">
        <f>IF('Aufgabe 1'!F80&gt;0,'Aufgabe 1'!F80+$F$11,0)</f>
        <v>0</v>
      </c>
      <c r="E49" s="119">
        <f t="shared" si="2"/>
        <v>0</v>
      </c>
      <c r="F49" s="19">
        <f t="shared" si="4"/>
        <v>0</v>
      </c>
      <c r="G49" s="118">
        <f t="shared" si="5"/>
        <v>0</v>
      </c>
      <c r="H49" s="22"/>
      <c r="I49" s="127">
        <f t="shared" si="6"/>
        <v>0</v>
      </c>
    </row>
    <row r="50" spans="3:9" ht="15" thickBot="1" x14ac:dyDescent="0.35">
      <c r="C50" s="204">
        <f>'Aufgabe 1'!E81</f>
        <v>3361</v>
      </c>
      <c r="D50" s="31">
        <f>IF('Aufgabe 1'!F81&gt;0,'Aufgabe 1'!F81+$F$11,0)</f>
        <v>0</v>
      </c>
      <c r="E50" s="119">
        <f t="shared" si="2"/>
        <v>0</v>
      </c>
      <c r="F50" s="205">
        <f t="shared" si="4"/>
        <v>0</v>
      </c>
      <c r="G50" s="206">
        <f t="shared" si="5"/>
        <v>0</v>
      </c>
      <c r="H50" s="242"/>
      <c r="I50" s="207">
        <f t="shared" si="6"/>
        <v>0</v>
      </c>
    </row>
  </sheetData>
  <mergeCells count="2">
    <mergeCell ref="H19:H20"/>
    <mergeCell ref="I19:I20"/>
  </mergeCells>
  <conditionalFormatting sqref="F22:F50">
    <cfRule type="dataBar" priority="10">
      <dataBar>
        <cfvo type="min"/>
        <cfvo type="max"/>
        <color rgb="FF008AEF"/>
      </dataBar>
      <extLst>
        <ext xmlns:x14="http://schemas.microsoft.com/office/spreadsheetml/2009/9/main" uri="{B025F937-C7B1-47D3-B67F-A62EFF666E3E}">
          <x14:id>{3206D29F-4CEB-4766-8E01-B16AAC0B968B}</x14:id>
        </ext>
      </extLst>
    </cfRule>
  </conditionalFormatting>
  <conditionalFormatting sqref="D22:D50">
    <cfRule type="dataBar" priority="9">
      <dataBar>
        <cfvo type="min"/>
        <cfvo type="max"/>
        <color rgb="FF008AEF"/>
      </dataBar>
      <extLst>
        <ext xmlns:x14="http://schemas.microsoft.com/office/spreadsheetml/2009/9/main" uri="{B025F937-C7B1-47D3-B67F-A62EFF666E3E}">
          <x14:id>{5DA28812-2697-4023-BBC7-A68EAA66FFED}</x14:id>
        </ext>
      </extLst>
    </cfRule>
  </conditionalFormatting>
  <conditionalFormatting sqref="E22:E50">
    <cfRule type="dataBar" priority="11">
      <dataBar>
        <cfvo type="min"/>
        <cfvo type="max"/>
        <color rgb="FFFF555A"/>
      </dataBar>
      <extLst>
        <ext xmlns:x14="http://schemas.microsoft.com/office/spreadsheetml/2009/9/main" uri="{B025F937-C7B1-47D3-B67F-A62EFF666E3E}">
          <x14:id>{6F75C77D-4F51-4AFA-B245-DACD009B440D}</x14:id>
        </ext>
      </extLst>
    </cfRule>
  </conditionalFormatting>
  <conditionalFormatting sqref="G22:G50">
    <cfRule type="dataBar" priority="7">
      <dataBar>
        <cfvo type="min"/>
        <cfvo type="max"/>
        <color rgb="FFFFB628"/>
      </dataBar>
      <extLst>
        <ext xmlns:x14="http://schemas.microsoft.com/office/spreadsheetml/2009/9/main" uri="{B025F937-C7B1-47D3-B67F-A62EFF666E3E}">
          <x14:id>{85F2C607-EBBB-4CA3-A70C-136A583CB57A}</x14:id>
        </ext>
      </extLst>
    </cfRule>
  </conditionalFormatting>
  <conditionalFormatting sqref="H22:H50">
    <cfRule type="dataBar" priority="6">
      <dataBar>
        <cfvo type="min"/>
        <cfvo type="max"/>
        <color rgb="FF008AEF"/>
      </dataBar>
      <extLst>
        <ext xmlns:x14="http://schemas.microsoft.com/office/spreadsheetml/2009/9/main" uri="{B025F937-C7B1-47D3-B67F-A62EFF666E3E}">
          <x14:id>{3CF81D42-6A9B-43CD-8AFA-4D6E1EA31E46}</x14:id>
        </ext>
      </extLst>
    </cfRule>
  </conditionalFormatting>
  <conditionalFormatting sqref="G22:H50 D22:D50">
    <cfRule type="dataBar" priority="5">
      <dataBar>
        <cfvo type="min"/>
        <cfvo type="max"/>
        <color rgb="FF008AEF"/>
      </dataBar>
      <extLst>
        <ext xmlns:x14="http://schemas.microsoft.com/office/spreadsheetml/2009/9/main" uri="{B025F937-C7B1-47D3-B67F-A62EFF666E3E}">
          <x14:id>{43E2109E-71AA-425F-9FFF-2E2EC35F4942}</x14:id>
        </ext>
      </extLst>
    </cfRule>
  </conditionalFormatting>
  <conditionalFormatting sqref="E22:E50">
    <cfRule type="dataBar" priority="4">
      <dataBar>
        <cfvo type="min"/>
        <cfvo type="max"/>
        <color rgb="FFFF555A"/>
      </dataBar>
      <extLst>
        <ext xmlns:x14="http://schemas.microsoft.com/office/spreadsheetml/2009/9/main" uri="{B025F937-C7B1-47D3-B67F-A62EFF666E3E}">
          <x14:id>{1A8B46A8-3964-4C93-9681-94B359C1E4F0}</x14:id>
        </ext>
      </extLst>
    </cfRule>
  </conditionalFormatting>
  <conditionalFormatting sqref="I22:I50">
    <cfRule type="dataBar" priority="3">
      <dataBar>
        <cfvo type="min"/>
        <cfvo type="max"/>
        <color rgb="FF008AEF"/>
      </dataBar>
      <extLst>
        <ext xmlns:x14="http://schemas.microsoft.com/office/spreadsheetml/2009/9/main" uri="{B025F937-C7B1-47D3-B67F-A62EFF666E3E}">
          <x14:id>{715CE765-4729-44FE-936A-7EB542F6B130}</x14:id>
        </ext>
      </extLst>
    </cfRule>
  </conditionalFormatting>
  <conditionalFormatting sqref="I22:I50">
    <cfRule type="dataBar" priority="1">
      <dataBar>
        <cfvo type="min"/>
        <cfvo type="max"/>
        <color rgb="FFFFB628"/>
      </dataBar>
      <extLst>
        <ext xmlns:x14="http://schemas.microsoft.com/office/spreadsheetml/2009/9/main" uri="{B025F937-C7B1-47D3-B67F-A62EFF666E3E}">
          <x14:id>{BE63FB25-33EA-4D0F-8624-0E473A3F55B2}</x14:id>
        </ext>
      </extLst>
    </cfRule>
  </conditionalFormatting>
  <pageMargins left="0.7" right="0.7" top="0.78740157499999996" bottom="0.78740157499999996" header="0.3" footer="0.3"/>
  <ignoredErrors>
    <ignoredError sqref="C26" unlockedFormula="1"/>
  </ignoredErrors>
  <extLst>
    <ext xmlns:x14="http://schemas.microsoft.com/office/spreadsheetml/2009/9/main" uri="{78C0D931-6437-407d-A8EE-F0AAD7539E65}">
      <x14:conditionalFormattings>
        <x14:conditionalFormatting xmlns:xm="http://schemas.microsoft.com/office/excel/2006/main">
          <x14:cfRule type="dataBar" id="{3206D29F-4CEB-4766-8E01-B16AAC0B968B}">
            <x14:dataBar minLength="0" maxLength="100" gradient="0">
              <x14:cfvo type="autoMin"/>
              <x14:cfvo type="autoMax"/>
              <x14:negativeFillColor rgb="FFFF0000"/>
              <x14:axisColor rgb="FF000000"/>
            </x14:dataBar>
          </x14:cfRule>
          <xm:sqref>F22:F50</xm:sqref>
        </x14:conditionalFormatting>
        <x14:conditionalFormatting xmlns:xm="http://schemas.microsoft.com/office/excel/2006/main">
          <x14:cfRule type="dataBar" id="{5DA28812-2697-4023-BBC7-A68EAA66FFED}">
            <x14:dataBar minLength="0" maxLength="100" gradient="0">
              <x14:cfvo type="autoMin"/>
              <x14:cfvo type="autoMax"/>
              <x14:negativeFillColor rgb="FFFF0000"/>
              <x14:axisColor rgb="FF000000"/>
            </x14:dataBar>
          </x14:cfRule>
          <xm:sqref>D22:D50</xm:sqref>
        </x14:conditionalFormatting>
        <x14:conditionalFormatting xmlns:xm="http://schemas.microsoft.com/office/excel/2006/main">
          <x14:cfRule type="dataBar" id="{6F75C77D-4F51-4AFA-B245-DACD009B440D}">
            <x14:dataBar minLength="0" maxLength="100" gradient="0">
              <x14:cfvo type="autoMin"/>
              <x14:cfvo type="autoMax"/>
              <x14:negativeFillColor rgb="FFFF0000"/>
              <x14:axisColor rgb="FF000000"/>
            </x14:dataBar>
          </x14:cfRule>
          <xm:sqref>E22:E50</xm:sqref>
        </x14:conditionalFormatting>
        <x14:conditionalFormatting xmlns:xm="http://schemas.microsoft.com/office/excel/2006/main">
          <x14:cfRule type="dataBar" id="{85F2C607-EBBB-4CA3-A70C-136A583CB57A}">
            <x14:dataBar minLength="0" maxLength="100" gradient="0">
              <x14:cfvo type="autoMin"/>
              <x14:cfvo type="autoMax"/>
              <x14:negativeFillColor rgb="FFFF0000"/>
              <x14:axisColor rgb="FF000000"/>
            </x14:dataBar>
          </x14:cfRule>
          <xm:sqref>G22:G50</xm:sqref>
        </x14:conditionalFormatting>
        <x14:conditionalFormatting xmlns:xm="http://schemas.microsoft.com/office/excel/2006/main">
          <x14:cfRule type="dataBar" id="{3CF81D42-6A9B-43CD-8AFA-4D6E1EA31E46}">
            <x14:dataBar minLength="0" maxLength="100" gradient="0">
              <x14:cfvo type="autoMin"/>
              <x14:cfvo type="autoMax"/>
              <x14:negativeFillColor rgb="FFFF0000"/>
              <x14:axisColor rgb="FF000000"/>
            </x14:dataBar>
          </x14:cfRule>
          <xm:sqref>H22:H50</xm:sqref>
        </x14:conditionalFormatting>
        <x14:conditionalFormatting xmlns:xm="http://schemas.microsoft.com/office/excel/2006/main">
          <x14:cfRule type="dataBar" id="{43E2109E-71AA-425F-9FFF-2E2EC35F4942}">
            <x14:dataBar minLength="0" maxLength="100" gradient="0">
              <x14:cfvo type="autoMin"/>
              <x14:cfvo type="autoMax"/>
              <x14:negativeFillColor rgb="FFFF0000"/>
              <x14:axisColor rgb="FF000000"/>
            </x14:dataBar>
          </x14:cfRule>
          <xm:sqref>G22:H50 D22:D50</xm:sqref>
        </x14:conditionalFormatting>
        <x14:conditionalFormatting xmlns:xm="http://schemas.microsoft.com/office/excel/2006/main">
          <x14:cfRule type="dataBar" id="{1A8B46A8-3964-4C93-9681-94B359C1E4F0}">
            <x14:dataBar minLength="0" maxLength="100" gradient="0">
              <x14:cfvo type="autoMin"/>
              <x14:cfvo type="autoMax"/>
              <x14:negativeFillColor rgb="FFFF0000"/>
              <x14:axisColor rgb="FF000000"/>
            </x14:dataBar>
          </x14:cfRule>
          <xm:sqref>E22:E50</xm:sqref>
        </x14:conditionalFormatting>
        <x14:conditionalFormatting xmlns:xm="http://schemas.microsoft.com/office/excel/2006/main">
          <x14:cfRule type="dataBar" id="{715CE765-4729-44FE-936A-7EB542F6B130}">
            <x14:dataBar minLength="0" maxLength="100" gradient="0">
              <x14:cfvo type="autoMin"/>
              <x14:cfvo type="autoMax"/>
              <x14:negativeFillColor rgb="FFFF0000"/>
              <x14:axisColor rgb="FF000000"/>
            </x14:dataBar>
          </x14:cfRule>
          <xm:sqref>I22:I50</xm:sqref>
        </x14:conditionalFormatting>
        <x14:conditionalFormatting xmlns:xm="http://schemas.microsoft.com/office/excel/2006/main">
          <x14:cfRule type="dataBar" id="{BE63FB25-33EA-4D0F-8624-0E473A3F55B2}">
            <x14:dataBar minLength="0" maxLength="100" gradient="0">
              <x14:cfvo type="autoMin"/>
              <x14:cfvo type="autoMax"/>
              <x14:negativeFillColor rgb="FFFF0000"/>
              <x14:axisColor rgb="FF000000"/>
            </x14:dataBar>
          </x14:cfRule>
          <xm:sqref>I22:I50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0"/>
  <sheetViews>
    <sheetView showGridLines="0" topLeftCell="A23" zoomScale="86" zoomScaleNormal="130" workbookViewId="0">
      <selection activeCell="C36" sqref="C36"/>
    </sheetView>
  </sheetViews>
  <sheetFormatPr baseColWidth="10" defaultRowHeight="14.4" x14ac:dyDescent="0.3"/>
  <cols>
    <col min="1" max="1" width="4.33203125" style="173" customWidth="1"/>
    <col min="2" max="2" width="4.6640625" customWidth="1"/>
    <col min="3" max="3" width="8.5546875" customWidth="1"/>
    <col min="4" max="4" width="34.109375" customWidth="1"/>
    <col min="5" max="7" width="11.6640625" customWidth="1"/>
    <col min="8" max="9" width="11.44140625" customWidth="1"/>
    <col min="10" max="10" width="12.88671875" bestFit="1" customWidth="1"/>
    <col min="12" max="12" width="12.109375" customWidth="1"/>
    <col min="14" max="14" width="6" customWidth="1"/>
  </cols>
  <sheetData>
    <row r="1" spans="1:20" s="173" customFormat="1" x14ac:dyDescent="0.3"/>
    <row r="3" spans="1:20" ht="30.6" thickBot="1" x14ac:dyDescent="0.45">
      <c r="C3" s="1" t="s">
        <v>187</v>
      </c>
      <c r="D3" s="1"/>
      <c r="E3" s="6" t="s">
        <v>32</v>
      </c>
      <c r="F3" s="7" t="s">
        <v>31</v>
      </c>
      <c r="G3" s="8" t="s">
        <v>3</v>
      </c>
    </row>
    <row r="4" spans="1:20" ht="47.25" customHeight="1" thickTop="1" x14ac:dyDescent="0.3">
      <c r="C4" s="267" t="s">
        <v>210</v>
      </c>
      <c r="D4" s="267"/>
      <c r="E4" s="267"/>
      <c r="F4" s="267"/>
      <c r="G4" s="267"/>
    </row>
    <row r="5" spans="1:20" x14ac:dyDescent="0.3">
      <c r="C5" s="182">
        <v>4.0999999999999996</v>
      </c>
      <c r="D5" s="271" t="s">
        <v>188</v>
      </c>
      <c r="E5" s="271"/>
      <c r="F5" s="271"/>
      <c r="G5" s="271"/>
    </row>
    <row r="6" spans="1:20" x14ac:dyDescent="0.3">
      <c r="C6" s="183">
        <v>4.2</v>
      </c>
      <c r="D6" s="272" t="s">
        <v>192</v>
      </c>
      <c r="E6" s="272"/>
      <c r="F6" s="272"/>
      <c r="G6" s="272"/>
    </row>
    <row r="7" spans="1:20" ht="45" customHeight="1" x14ac:dyDescent="0.3">
      <c r="C7" s="184"/>
      <c r="D7" s="272" t="s">
        <v>196</v>
      </c>
      <c r="E7" s="272"/>
      <c r="F7" s="272"/>
      <c r="G7" s="272"/>
    </row>
    <row r="8" spans="1:20" ht="63" customHeight="1" x14ac:dyDescent="0.3">
      <c r="C8" s="184"/>
      <c r="D8" s="272" t="s">
        <v>197</v>
      </c>
      <c r="E8" s="272"/>
      <c r="F8" s="272"/>
      <c r="G8" s="272"/>
    </row>
    <row r="9" spans="1:20" ht="46.5" customHeight="1" x14ac:dyDescent="0.3">
      <c r="C9" s="185" t="s">
        <v>191</v>
      </c>
      <c r="D9" s="272" t="s">
        <v>209</v>
      </c>
      <c r="E9" s="272"/>
      <c r="F9" s="272"/>
      <c r="G9" s="272"/>
    </row>
    <row r="10" spans="1:20" s="172" customFormat="1" ht="34.5" customHeight="1" x14ac:dyDescent="0.3">
      <c r="A10" s="175"/>
      <c r="C10" s="185">
        <v>4.3</v>
      </c>
      <c r="D10" s="272" t="s">
        <v>198</v>
      </c>
      <c r="E10" s="272"/>
      <c r="F10" s="272"/>
      <c r="G10" s="272"/>
    </row>
    <row r="11" spans="1:20" s="172" customFormat="1" ht="75.75" customHeight="1" x14ac:dyDescent="0.3">
      <c r="A11" s="175"/>
      <c r="C11" s="186">
        <v>4.4000000000000004</v>
      </c>
      <c r="D11" s="273" t="s">
        <v>213</v>
      </c>
      <c r="E11" s="273"/>
      <c r="F11" s="273"/>
      <c r="G11" s="273"/>
    </row>
    <row r="13" spans="1:20" ht="18" thickBot="1" x14ac:dyDescent="0.4">
      <c r="G13" s="266" t="s">
        <v>212</v>
      </c>
      <c r="H13" s="266"/>
      <c r="I13" s="266"/>
      <c r="J13" s="266"/>
      <c r="K13" s="266"/>
      <c r="L13" s="266"/>
      <c r="M13" s="266"/>
      <c r="O13" s="266" t="s">
        <v>227</v>
      </c>
      <c r="P13" s="266"/>
      <c r="Q13" s="266"/>
      <c r="R13" s="266"/>
      <c r="S13" s="266"/>
      <c r="T13" s="266"/>
    </row>
    <row r="14" spans="1:20" x14ac:dyDescent="0.3">
      <c r="C14" s="53"/>
      <c r="D14" s="39"/>
      <c r="E14" s="268" t="s">
        <v>204</v>
      </c>
      <c r="F14" s="269"/>
      <c r="G14" s="270"/>
      <c r="H14" s="260" t="s">
        <v>205</v>
      </c>
      <c r="I14" s="261"/>
      <c r="J14" s="262"/>
      <c r="K14" s="263" t="s">
        <v>206</v>
      </c>
      <c r="L14" s="264"/>
      <c r="M14" s="265"/>
      <c r="O14" s="260" t="s">
        <v>205</v>
      </c>
      <c r="P14" s="261"/>
      <c r="Q14" s="262"/>
      <c r="R14" s="263" t="s">
        <v>206</v>
      </c>
      <c r="S14" s="264"/>
      <c r="T14" s="265"/>
    </row>
    <row r="15" spans="1:20" x14ac:dyDescent="0.3">
      <c r="C15" s="54"/>
      <c r="D15" s="42"/>
      <c r="E15" s="198" t="s">
        <v>200</v>
      </c>
      <c r="F15" s="199" t="s">
        <v>201</v>
      </c>
      <c r="G15" s="42" t="s">
        <v>30</v>
      </c>
      <c r="H15" s="198" t="s">
        <v>200</v>
      </c>
      <c r="I15" s="199" t="s">
        <v>201</v>
      </c>
      <c r="J15" s="42" t="s">
        <v>30</v>
      </c>
      <c r="K15" s="198" t="s">
        <v>200</v>
      </c>
      <c r="L15" s="199" t="s">
        <v>201</v>
      </c>
      <c r="M15" s="44" t="s">
        <v>30</v>
      </c>
      <c r="O15" s="198" t="s">
        <v>200</v>
      </c>
      <c r="P15" s="199" t="s">
        <v>201</v>
      </c>
      <c r="R15" s="198" t="s">
        <v>200</v>
      </c>
      <c r="S15" s="199" t="s">
        <v>201</v>
      </c>
    </row>
    <row r="16" spans="1:20" x14ac:dyDescent="0.3">
      <c r="C16" s="54"/>
      <c r="D16" s="42"/>
      <c r="E16" s="195" t="s">
        <v>43</v>
      </c>
      <c r="F16" s="112" t="s">
        <v>43</v>
      </c>
      <c r="G16" s="112" t="s">
        <v>43</v>
      </c>
      <c r="H16" s="195" t="s">
        <v>43</v>
      </c>
      <c r="I16" s="112" t="s">
        <v>43</v>
      </c>
      <c r="J16" s="112" t="s">
        <v>43</v>
      </c>
      <c r="K16" s="195" t="s">
        <v>211</v>
      </c>
      <c r="L16" s="112" t="s">
        <v>211</v>
      </c>
      <c r="M16" s="113" t="s">
        <v>211</v>
      </c>
      <c r="O16" s="241" t="s">
        <v>229</v>
      </c>
      <c r="P16" s="241" t="s">
        <v>229</v>
      </c>
      <c r="Q16" s="241"/>
      <c r="R16" s="195" t="s">
        <v>228</v>
      </c>
      <c r="S16" s="195" t="s">
        <v>228</v>
      </c>
      <c r="T16" s="195"/>
    </row>
    <row r="17" spans="3:19" ht="18" thickBot="1" x14ac:dyDescent="0.4">
      <c r="C17" s="114">
        <v>4.0999999999999996</v>
      </c>
      <c r="D17" s="115" t="s">
        <v>202</v>
      </c>
      <c r="E17" s="210">
        <f>SUM(F32:F60,J32:K60)</f>
        <v>183944.14738396148</v>
      </c>
      <c r="F17" s="211">
        <f>SUM(I32:I60)</f>
        <v>1647553.1420197957</v>
      </c>
      <c r="G17" s="203">
        <f>SUM(E17:F17)</f>
        <v>1831497.2894037571</v>
      </c>
      <c r="H17" s="210">
        <f>E17*O17</f>
        <v>305347.28465737606</v>
      </c>
      <c r="I17" s="210">
        <f>F17*P17</f>
        <v>494265.9426059387</v>
      </c>
      <c r="J17" s="203">
        <f>SUM(H17:I17)</f>
        <v>799613.22726331477</v>
      </c>
      <c r="K17" s="210">
        <f>E17*R17</f>
        <v>41755.321456159254</v>
      </c>
      <c r="L17" s="210">
        <f>F17*S17</f>
        <v>123566.48565148468</v>
      </c>
      <c r="M17" s="203">
        <f>SUM(K17:L17)</f>
        <v>165321.80710764392</v>
      </c>
      <c r="O17">
        <v>1.66</v>
      </c>
      <c r="P17">
        <v>0.3</v>
      </c>
      <c r="R17">
        <v>0.22700000000000001</v>
      </c>
      <c r="S17">
        <v>7.4999999999999997E-2</v>
      </c>
    </row>
    <row r="18" spans="3:19" ht="18.600000000000001" thickTop="1" thickBot="1" x14ac:dyDescent="0.4">
      <c r="C18" s="177" t="s">
        <v>189</v>
      </c>
      <c r="D18" s="115" t="s">
        <v>203</v>
      </c>
      <c r="E18" s="210">
        <f>SUM(L32:L60,F32:F60)</f>
        <v>417347.50917009928</v>
      </c>
      <c r="F18" s="211"/>
      <c r="G18" s="203">
        <f t="shared" ref="G18:G20" si="0">SUM(E18:F18)</f>
        <v>417347.50917009928</v>
      </c>
      <c r="H18" s="210">
        <f t="shared" ref="H18:H20" si="1">E18*O18</f>
        <v>692796.86522236478</v>
      </c>
      <c r="I18" s="211">
        <f t="shared" ref="I18:I20" si="2">F18*P18</f>
        <v>0</v>
      </c>
      <c r="J18" s="203">
        <f t="shared" ref="J18:J20" si="3">SUM(H18:I18)</f>
        <v>692796.86522236478</v>
      </c>
      <c r="K18" s="210">
        <f t="shared" ref="K18:K20" si="4">E18*R18</f>
        <v>94737.884581612539</v>
      </c>
      <c r="L18" s="210">
        <f t="shared" ref="L18:L20" si="5">F18*S18</f>
        <v>0</v>
      </c>
      <c r="M18" s="203">
        <f t="shared" ref="M18:M20" si="6">SUM(K18:L18)</f>
        <v>94737.884581612539</v>
      </c>
      <c r="O18">
        <v>1.66</v>
      </c>
      <c r="P18">
        <v>0.3</v>
      </c>
      <c r="R18">
        <v>0.22700000000000001</v>
      </c>
      <c r="S18">
        <v>7.4999999999999997E-2</v>
      </c>
    </row>
    <row r="19" spans="3:19" ht="18.600000000000001" thickTop="1" thickBot="1" x14ac:dyDescent="0.4">
      <c r="C19" s="177" t="s">
        <v>190</v>
      </c>
      <c r="D19" s="115" t="s">
        <v>207</v>
      </c>
      <c r="E19" s="210">
        <f>SUM(M32:M60,F32:F60)</f>
        <v>271684.77854562423</v>
      </c>
      <c r="F19" s="211"/>
      <c r="G19" s="203">
        <f t="shared" si="0"/>
        <v>271684.77854562423</v>
      </c>
      <c r="H19" s="210">
        <f t="shared" si="1"/>
        <v>450996.73238573619</v>
      </c>
      <c r="I19" s="211">
        <f t="shared" si="2"/>
        <v>0</v>
      </c>
      <c r="J19" s="203">
        <f t="shared" si="3"/>
        <v>450996.73238573619</v>
      </c>
      <c r="K19" s="210">
        <f t="shared" si="4"/>
        <v>61672.444729856703</v>
      </c>
      <c r="L19" s="210">
        <f t="shared" si="5"/>
        <v>0</v>
      </c>
      <c r="M19" s="203">
        <f t="shared" si="6"/>
        <v>61672.444729856703</v>
      </c>
      <c r="O19">
        <v>1.66</v>
      </c>
      <c r="P19">
        <v>0.3</v>
      </c>
      <c r="R19">
        <v>0.22700000000000001</v>
      </c>
      <c r="S19">
        <v>7.4999999999999997E-2</v>
      </c>
    </row>
    <row r="20" spans="3:19" ht="18.600000000000001" thickTop="1" thickBot="1" x14ac:dyDescent="0.4">
      <c r="C20" s="178" t="s">
        <v>191</v>
      </c>
      <c r="D20" s="179" t="s">
        <v>208</v>
      </c>
      <c r="E20" s="210">
        <f>SUM(M32:M60)*0.5+SUM(F32:F60)</f>
        <v>162437.73057726788</v>
      </c>
      <c r="F20" s="213"/>
      <c r="G20" s="214">
        <f t="shared" si="0"/>
        <v>162437.73057726788</v>
      </c>
      <c r="H20" s="212">
        <f t="shared" si="1"/>
        <v>269646.63275826466</v>
      </c>
      <c r="I20" s="213">
        <f t="shared" si="2"/>
        <v>0</v>
      </c>
      <c r="J20" s="214">
        <f t="shared" si="3"/>
        <v>269646.63275826466</v>
      </c>
      <c r="K20" s="210">
        <f t="shared" si="4"/>
        <v>36873.364841039809</v>
      </c>
      <c r="L20" s="210">
        <f t="shared" si="5"/>
        <v>0</v>
      </c>
      <c r="M20" s="214">
        <f t="shared" si="6"/>
        <v>36873.364841039809</v>
      </c>
      <c r="O20">
        <v>1.66</v>
      </c>
      <c r="P20">
        <v>0.3</v>
      </c>
      <c r="R20">
        <v>0.22700000000000001</v>
      </c>
      <c r="S20">
        <v>7.4999999999999997E-2</v>
      </c>
    </row>
    <row r="22" spans="3:19" ht="18" thickBot="1" x14ac:dyDescent="0.4">
      <c r="C22" s="2">
        <v>4.4000000000000004</v>
      </c>
      <c r="D22" s="2" t="s">
        <v>214</v>
      </c>
      <c r="E22" s="2"/>
      <c r="F22" s="2"/>
      <c r="G22" s="2"/>
      <c r="H22" s="2"/>
      <c r="I22" s="2"/>
      <c r="J22" s="2"/>
      <c r="K22" s="2"/>
      <c r="L22" s="2"/>
      <c r="M22" s="2"/>
    </row>
    <row r="23" spans="3:19" ht="62.25" customHeight="1" thickTop="1" x14ac:dyDescent="0.3">
      <c r="C23">
        <v>1</v>
      </c>
      <c r="D23" s="250"/>
      <c r="E23" s="251"/>
      <c r="F23" s="251"/>
      <c r="G23" s="251"/>
      <c r="H23" s="251"/>
      <c r="I23" s="251"/>
      <c r="J23" s="251"/>
      <c r="K23" s="251"/>
      <c r="L23" s="251"/>
      <c r="M23" s="252"/>
    </row>
    <row r="24" spans="3:19" ht="62.25" customHeight="1" x14ac:dyDescent="0.3">
      <c r="C24">
        <v>2</v>
      </c>
      <c r="D24" s="253"/>
      <c r="E24" s="254"/>
      <c r="F24" s="254"/>
      <c r="G24" s="254"/>
      <c r="H24" s="254"/>
      <c r="I24" s="254"/>
      <c r="J24" s="254"/>
      <c r="K24" s="254"/>
      <c r="L24" s="254"/>
      <c r="M24" s="255"/>
    </row>
    <row r="25" spans="3:19" ht="62.25" customHeight="1" x14ac:dyDescent="0.3">
      <c r="C25">
        <v>3</v>
      </c>
      <c r="D25" s="253"/>
      <c r="E25" s="254"/>
      <c r="F25" s="254"/>
      <c r="G25" s="254"/>
      <c r="H25" s="254"/>
      <c r="I25" s="254"/>
      <c r="J25" s="254"/>
      <c r="K25" s="254"/>
      <c r="L25" s="254"/>
      <c r="M25" s="255"/>
    </row>
    <row r="26" spans="3:19" ht="18" customHeight="1" x14ac:dyDescent="0.3"/>
    <row r="27" spans="3:19" ht="18" customHeight="1" x14ac:dyDescent="0.3"/>
    <row r="28" spans="3:19" ht="15" thickBot="1" x14ac:dyDescent="0.35">
      <c r="C28" s="18"/>
      <c r="D28" s="18"/>
      <c r="E28" s="208"/>
      <c r="F28" s="208"/>
      <c r="G28" s="18"/>
      <c r="H28" s="18" t="s">
        <v>219</v>
      </c>
      <c r="I28">
        <v>0.5</v>
      </c>
      <c r="K28">
        <v>3</v>
      </c>
      <c r="L28">
        <v>3</v>
      </c>
      <c r="M28">
        <v>5</v>
      </c>
    </row>
    <row r="29" spans="3:19" ht="15" thickBot="1" x14ac:dyDescent="0.35">
      <c r="C29" s="120" t="s">
        <v>57</v>
      </c>
      <c r="D29" s="121" t="s">
        <v>217</v>
      </c>
      <c r="E29" s="122" t="s">
        <v>218</v>
      </c>
      <c r="F29" s="122" t="s">
        <v>221</v>
      </c>
      <c r="G29" s="256" t="s">
        <v>220</v>
      </c>
      <c r="H29" s="257"/>
      <c r="I29" s="258" t="s">
        <v>204</v>
      </c>
      <c r="J29" s="259"/>
      <c r="K29" s="259"/>
      <c r="L29" s="259"/>
      <c r="M29" s="257"/>
    </row>
    <row r="30" spans="3:19" x14ac:dyDescent="0.3">
      <c r="C30" s="123"/>
      <c r="D30" s="18"/>
      <c r="E30" s="38"/>
      <c r="F30" s="38"/>
      <c r="G30" s="38" t="s">
        <v>62</v>
      </c>
      <c r="H30" s="220" t="s">
        <v>63</v>
      </c>
      <c r="I30" s="228" t="s">
        <v>62</v>
      </c>
      <c r="J30" s="234" t="s">
        <v>62</v>
      </c>
      <c r="K30" s="229" t="s">
        <v>222</v>
      </c>
      <c r="L30" s="236" t="s">
        <v>225</v>
      </c>
      <c r="M30" s="236" t="s">
        <v>226</v>
      </c>
    </row>
    <row r="31" spans="3:19" x14ac:dyDescent="0.3">
      <c r="C31" s="124" t="s">
        <v>46</v>
      </c>
      <c r="D31" s="27" t="s">
        <v>45</v>
      </c>
      <c r="E31" s="35" t="s">
        <v>42</v>
      </c>
      <c r="F31" s="35" t="s">
        <v>223</v>
      </c>
      <c r="G31" s="35" t="s">
        <v>45</v>
      </c>
      <c r="H31" s="221" t="s">
        <v>45</v>
      </c>
      <c r="I31" s="218" t="s">
        <v>224</v>
      </c>
      <c r="J31" s="209" t="s">
        <v>223</v>
      </c>
      <c r="K31" s="219" t="s">
        <v>223</v>
      </c>
      <c r="L31" s="237" t="s">
        <v>223</v>
      </c>
      <c r="M31" s="237" t="s">
        <v>223</v>
      </c>
    </row>
    <row r="32" spans="3:19" x14ac:dyDescent="0.3">
      <c r="C32" s="222">
        <f>'Aufgabe 1'!E53</f>
        <v>0</v>
      </c>
      <c r="D32" s="217">
        <f>'Aufgabe 3'!D22</f>
        <v>1044.8495398360394</v>
      </c>
      <c r="E32" s="215"/>
      <c r="F32" s="215">
        <f>'Aufgabe 3'!I22</f>
        <v>0</v>
      </c>
      <c r="G32" s="216">
        <f>MIN('Aufgabe 1'!I53,D32)</f>
        <v>300</v>
      </c>
      <c r="H32" s="223">
        <f>D32-G32</f>
        <v>744.84953983603941</v>
      </c>
      <c r="I32" s="230"/>
      <c r="J32" s="50"/>
      <c r="K32" s="235"/>
      <c r="L32" s="238"/>
      <c r="M32" s="238"/>
    </row>
    <row r="33" spans="3:13" x14ac:dyDescent="0.3">
      <c r="C33" s="222">
        <f>'Aufgabe 1'!E54</f>
        <v>25</v>
      </c>
      <c r="D33" s="217">
        <f>'Aufgabe 3'!D23</f>
        <v>824.87209499463768</v>
      </c>
      <c r="E33" s="215">
        <f t="shared" ref="E33:E60" si="7">(D32+D33)/2*(C33-C32)</f>
        <v>23371.520435383463</v>
      </c>
      <c r="F33" s="215">
        <f>'Aufgabe 3'!I23</f>
        <v>1137.9228534635131</v>
      </c>
      <c r="G33" s="216">
        <f>MIN('Aufgabe 1'!I54,D33)</f>
        <v>300</v>
      </c>
      <c r="H33" s="223">
        <f t="shared" ref="H33:H60" si="8">D33-G33</f>
        <v>524.87209499463768</v>
      </c>
      <c r="I33" s="230">
        <f t="shared" ref="I33:I60" si="9">((G32+G33)/2*($C33-$C32))/I$28</f>
        <v>15000</v>
      </c>
      <c r="J33" s="50">
        <f t="shared" ref="J33:J60" si="10">((G32+G33)/2*($C33-$C32))*0.05</f>
        <v>375</v>
      </c>
      <c r="K33" s="231">
        <f t="shared" ref="K33:K60" si="11">((H32+H33)/2*($C33-$C32))/K$28</f>
        <v>5290.5068117944875</v>
      </c>
      <c r="L33" s="239">
        <f>(E33)/L$28</f>
        <v>7790.5068117944875</v>
      </c>
      <c r="M33" s="239">
        <f>(E33)/M$28</f>
        <v>4674.3040870766927</v>
      </c>
    </row>
    <row r="34" spans="3:13" x14ac:dyDescent="0.3">
      <c r="C34" s="222">
        <f>'Aufgabe 1'!E55</f>
        <v>50</v>
      </c>
      <c r="D34" s="217">
        <f>'Aufgabe 3'!D24</f>
        <v>774.98976833042434</v>
      </c>
      <c r="E34" s="215">
        <f t="shared" si="7"/>
        <v>19998.273291563277</v>
      </c>
      <c r="F34" s="215">
        <f>'Aufgabe 3'!I24</f>
        <v>973.68471474480987</v>
      </c>
      <c r="G34" s="216">
        <f>MIN('Aufgabe 1'!I55,D34)</f>
        <v>300</v>
      </c>
      <c r="H34" s="223">
        <f t="shared" si="8"/>
        <v>474.98976833042434</v>
      </c>
      <c r="I34" s="230">
        <f t="shared" si="9"/>
        <v>15000</v>
      </c>
      <c r="J34" s="50">
        <f t="shared" si="10"/>
        <v>375</v>
      </c>
      <c r="K34" s="231">
        <f t="shared" si="11"/>
        <v>4166.0910971877584</v>
      </c>
      <c r="L34" s="239">
        <f t="shared" ref="L34:L60" si="12">(E34)/L$28</f>
        <v>6666.0910971877593</v>
      </c>
      <c r="M34" s="239">
        <f t="shared" ref="M34:M60" si="13">(E34)/M$28</f>
        <v>3999.6546583126556</v>
      </c>
    </row>
    <row r="35" spans="3:13" x14ac:dyDescent="0.3">
      <c r="C35" s="222">
        <f>'Aufgabe 1'!E56</f>
        <v>100</v>
      </c>
      <c r="D35" s="217">
        <f>'Aufgabe 3'!D25</f>
        <v>713.79607056073576</v>
      </c>
      <c r="E35" s="215">
        <f t="shared" si="7"/>
        <v>37219.645972279002</v>
      </c>
      <c r="F35" s="215">
        <f>'Aufgabe 3'!I25</f>
        <v>1812.1664727279253</v>
      </c>
      <c r="G35" s="216">
        <f>MIN('Aufgabe 1'!I56,D35)</f>
        <v>300</v>
      </c>
      <c r="H35" s="223">
        <f t="shared" si="8"/>
        <v>413.79607056073576</v>
      </c>
      <c r="I35" s="230">
        <f t="shared" si="9"/>
        <v>30000</v>
      </c>
      <c r="J35" s="50">
        <f t="shared" si="10"/>
        <v>750</v>
      </c>
      <c r="K35" s="231">
        <f t="shared" si="11"/>
        <v>7406.5486574263341</v>
      </c>
      <c r="L35" s="239">
        <f t="shared" si="12"/>
        <v>12406.548657426334</v>
      </c>
      <c r="M35" s="239">
        <f t="shared" si="13"/>
        <v>7443.9291944558008</v>
      </c>
    </row>
    <row r="36" spans="3:13" x14ac:dyDescent="0.3">
      <c r="C36" s="222">
        <f>'Aufgabe 1'!E57</f>
        <v>200</v>
      </c>
      <c r="D36" s="217">
        <f>'Aufgabe 3'!D26</f>
        <v>638.72602276734585</v>
      </c>
      <c r="E36" s="215">
        <f>(D35+D36)/2*(C36-C35)</f>
        <v>67626.104666404077</v>
      </c>
      <c r="F36" s="215">
        <f>'Aufgabe 3'!I26</f>
        <v>3292.6094903998119</v>
      </c>
      <c r="G36" s="216">
        <f>MIN('Aufgabe 1'!I57,D36)</f>
        <v>300</v>
      </c>
      <c r="H36" s="223">
        <f t="shared" si="8"/>
        <v>338.72602276734585</v>
      </c>
      <c r="I36" s="230">
        <f t="shared" si="9"/>
        <v>60000</v>
      </c>
      <c r="J36" s="50">
        <f t="shared" si="10"/>
        <v>1500</v>
      </c>
      <c r="K36" s="231">
        <f t="shared" si="11"/>
        <v>12542.03488880136</v>
      </c>
      <c r="L36" s="239">
        <f t="shared" si="12"/>
        <v>22542.034888801358</v>
      </c>
      <c r="M36" s="239">
        <f t="shared" si="13"/>
        <v>13525.220933280816</v>
      </c>
    </row>
    <row r="37" spans="3:13" x14ac:dyDescent="0.3">
      <c r="C37" s="222">
        <f>'Aufgabe 1'!E58</f>
        <v>300</v>
      </c>
      <c r="D37" s="217">
        <f>'Aufgabe 3'!D27</f>
        <v>587.15112610274241</v>
      </c>
      <c r="E37" s="215">
        <f t="shared" si="7"/>
        <v>61293.857443504407</v>
      </c>
      <c r="F37" s="215">
        <f>'Aufgabe 3'!I27</f>
        <v>2984.3022560185423</v>
      </c>
      <c r="G37" s="216">
        <f>MIN('Aufgabe 1'!I58,D37)</f>
        <v>300</v>
      </c>
      <c r="H37" s="223">
        <f t="shared" si="8"/>
        <v>287.15112610274241</v>
      </c>
      <c r="I37" s="230">
        <f t="shared" si="9"/>
        <v>60000</v>
      </c>
      <c r="J37" s="50">
        <f t="shared" si="10"/>
        <v>1500</v>
      </c>
      <c r="K37" s="231">
        <f t="shared" si="11"/>
        <v>10431.285814501471</v>
      </c>
      <c r="L37" s="239">
        <f t="shared" si="12"/>
        <v>20431.285814501469</v>
      </c>
      <c r="M37" s="239">
        <f t="shared" si="13"/>
        <v>12258.771488700881</v>
      </c>
    </row>
    <row r="38" spans="3:13" x14ac:dyDescent="0.3">
      <c r="C38" s="222">
        <f>'Aufgabe 1'!E59</f>
        <v>400</v>
      </c>
      <c r="D38" s="217">
        <f>'Aufgabe 3'!D28</f>
        <v>546.63300859925403</v>
      </c>
      <c r="E38" s="215">
        <f t="shared" si="7"/>
        <v>56689.206735099819</v>
      </c>
      <c r="F38" s="215">
        <f>'Aufgabe 3'!I28</f>
        <v>2760.1089996235578</v>
      </c>
      <c r="G38" s="216">
        <f>MIN('Aufgabe 1'!I59,D38)</f>
        <v>300</v>
      </c>
      <c r="H38" s="223">
        <f t="shared" si="8"/>
        <v>246.63300859925403</v>
      </c>
      <c r="I38" s="230">
        <f t="shared" si="9"/>
        <v>60000</v>
      </c>
      <c r="J38" s="50">
        <f t="shared" si="10"/>
        <v>1500</v>
      </c>
      <c r="K38" s="231">
        <f t="shared" si="11"/>
        <v>8896.4022450332741</v>
      </c>
      <c r="L38" s="239">
        <f t="shared" si="12"/>
        <v>18896.402245033274</v>
      </c>
      <c r="M38" s="239">
        <f t="shared" si="13"/>
        <v>11337.841347019963</v>
      </c>
    </row>
    <row r="39" spans="3:13" x14ac:dyDescent="0.3">
      <c r="C39" s="222">
        <f>'Aufgabe 1'!E60</f>
        <v>600</v>
      </c>
      <c r="D39" s="217">
        <f>'Aufgabe 3'!D29</f>
        <v>483.36293179947091</v>
      </c>
      <c r="E39" s="215">
        <f t="shared" si="7"/>
        <v>102999.59403987249</v>
      </c>
      <c r="F39" s="215">
        <f>'Aufgabe 3'!I29</f>
        <v>5014.8894796759141</v>
      </c>
      <c r="G39" s="216">
        <f>MIN('Aufgabe 1'!I60,D39)</f>
        <v>300</v>
      </c>
      <c r="H39" s="223">
        <f t="shared" si="8"/>
        <v>183.36293179947091</v>
      </c>
      <c r="I39" s="230">
        <f t="shared" si="9"/>
        <v>120000</v>
      </c>
      <c r="J39" s="50">
        <f t="shared" si="10"/>
        <v>3000</v>
      </c>
      <c r="K39" s="231">
        <f t="shared" si="11"/>
        <v>14333.19801329083</v>
      </c>
      <c r="L39" s="239">
        <f t="shared" si="12"/>
        <v>34333.198013290828</v>
      </c>
      <c r="M39" s="239">
        <f t="shared" si="13"/>
        <v>20599.9188079745</v>
      </c>
    </row>
    <row r="40" spans="3:13" x14ac:dyDescent="0.3">
      <c r="C40" s="222">
        <f>'Aufgabe 1'!E61</f>
        <v>800</v>
      </c>
      <c r="D40" s="217">
        <f>'Aufgabe 3'!D30</f>
        <v>433.65688153048825</v>
      </c>
      <c r="E40" s="215">
        <f t="shared" si="7"/>
        <v>91701.981332995914</v>
      </c>
      <c r="F40" s="215">
        <f>'Aufgabe 3'!I30</f>
        <v>4464.8263494539069</v>
      </c>
      <c r="G40" s="216">
        <f>MIN('Aufgabe 1'!I61,D40)</f>
        <v>300</v>
      </c>
      <c r="H40" s="223">
        <f t="shared" si="8"/>
        <v>133.65688153048825</v>
      </c>
      <c r="I40" s="230">
        <f t="shared" si="9"/>
        <v>120000</v>
      </c>
      <c r="J40" s="50">
        <f t="shared" si="10"/>
        <v>3000</v>
      </c>
      <c r="K40" s="231">
        <f t="shared" si="11"/>
        <v>10567.32711099864</v>
      </c>
      <c r="L40" s="239">
        <f t="shared" si="12"/>
        <v>30567.327110998638</v>
      </c>
      <c r="M40" s="239">
        <f t="shared" si="13"/>
        <v>18340.396266599182</v>
      </c>
    </row>
    <row r="41" spans="3:13" x14ac:dyDescent="0.3">
      <c r="C41" s="222">
        <f>'Aufgabe 1'!E62</f>
        <v>1000</v>
      </c>
      <c r="D41" s="217">
        <f>'Aufgabe 3'!D31</f>
        <v>392.09114627137149</v>
      </c>
      <c r="E41" s="215">
        <f t="shared" si="7"/>
        <v>82574.802780185972</v>
      </c>
      <c r="F41" s="215">
        <f>'Aufgabe 3'!I31</f>
        <v>4020.4382707407872</v>
      </c>
      <c r="G41" s="216">
        <f>MIN('Aufgabe 1'!I62,D41)</f>
        <v>300</v>
      </c>
      <c r="H41" s="223">
        <f t="shared" si="8"/>
        <v>92.091146271371485</v>
      </c>
      <c r="I41" s="230">
        <f t="shared" si="9"/>
        <v>120000</v>
      </c>
      <c r="J41" s="50">
        <f t="shared" si="10"/>
        <v>3000</v>
      </c>
      <c r="K41" s="231">
        <f t="shared" si="11"/>
        <v>7524.9342600619902</v>
      </c>
      <c r="L41" s="239">
        <f t="shared" si="12"/>
        <v>27524.934260061989</v>
      </c>
      <c r="M41" s="239">
        <f t="shared" si="13"/>
        <v>16514.960556037193</v>
      </c>
    </row>
    <row r="42" spans="3:13" x14ac:dyDescent="0.3">
      <c r="C42" s="222">
        <f>'Aufgabe 1'!E63</f>
        <v>1200</v>
      </c>
      <c r="D42" s="217">
        <f>'Aufgabe 3'!D32</f>
        <v>356.03961272076015</v>
      </c>
      <c r="E42" s="215">
        <f t="shared" si="7"/>
        <v>74813.07589921316</v>
      </c>
      <c r="F42" s="215">
        <f>'Aufgabe 3'!I32</f>
        <v>3642.5319028337426</v>
      </c>
      <c r="G42" s="216">
        <f>MIN('Aufgabe 1'!I63,D42)</f>
        <v>300</v>
      </c>
      <c r="H42" s="223">
        <f t="shared" si="8"/>
        <v>56.039612720760147</v>
      </c>
      <c r="I42" s="230">
        <f t="shared" si="9"/>
        <v>120000</v>
      </c>
      <c r="J42" s="50">
        <f t="shared" si="10"/>
        <v>3000</v>
      </c>
      <c r="K42" s="231">
        <f t="shared" si="11"/>
        <v>4937.691966404388</v>
      </c>
      <c r="L42" s="239">
        <f t="shared" si="12"/>
        <v>24937.691966404385</v>
      </c>
      <c r="M42" s="239">
        <f t="shared" si="13"/>
        <v>14962.615179842633</v>
      </c>
    </row>
    <row r="43" spans="3:13" x14ac:dyDescent="0.3">
      <c r="C43" s="222">
        <f>'Aufgabe 1'!E64</f>
        <v>1400</v>
      </c>
      <c r="D43" s="217">
        <f>'Aufgabe 3'!D33</f>
        <v>324.00942402543637</v>
      </c>
      <c r="E43" s="215">
        <f t="shared" si="7"/>
        <v>68004.903674619651</v>
      </c>
      <c r="F43" s="215">
        <f>'Aufgabe 3'!I33</f>
        <v>3311.0526229084371</v>
      </c>
      <c r="G43" s="216">
        <f>MIN('Aufgabe 1'!I64,D43)</f>
        <v>300</v>
      </c>
      <c r="H43" s="223">
        <f t="shared" si="8"/>
        <v>24.009424025436374</v>
      </c>
      <c r="I43" s="230">
        <f t="shared" si="9"/>
        <v>120000</v>
      </c>
      <c r="J43" s="50">
        <f t="shared" si="10"/>
        <v>3000</v>
      </c>
      <c r="K43" s="231">
        <f t="shared" si="11"/>
        <v>2668.3012248732175</v>
      </c>
      <c r="L43" s="239">
        <f t="shared" si="12"/>
        <v>22668.301224873216</v>
      </c>
      <c r="M43" s="239">
        <f t="shared" si="13"/>
        <v>13600.980734923931</v>
      </c>
    </row>
    <row r="44" spans="3:13" x14ac:dyDescent="0.3">
      <c r="C44" s="222">
        <f>'Aufgabe 1'!E65</f>
        <v>1600</v>
      </c>
      <c r="D44" s="217">
        <f>'Aufgabe 3'!D34</f>
        <v>295.06216397502556</v>
      </c>
      <c r="E44" s="215">
        <f t="shared" si="7"/>
        <v>61907.158800046192</v>
      </c>
      <c r="F44" s="215">
        <f>'Aufgabe 3'!I34</f>
        <v>3014.162941873301</v>
      </c>
      <c r="G44" s="216">
        <f>MIN('Aufgabe 1'!I65,D44)</f>
        <v>295.06216397502556</v>
      </c>
      <c r="H44" s="223">
        <f t="shared" si="8"/>
        <v>0</v>
      </c>
      <c r="I44" s="230">
        <f t="shared" si="9"/>
        <v>119012.43279500511</v>
      </c>
      <c r="J44" s="50">
        <f t="shared" si="10"/>
        <v>2975.3108198751279</v>
      </c>
      <c r="K44" s="231">
        <f t="shared" si="11"/>
        <v>800.31413418121247</v>
      </c>
      <c r="L44" s="239">
        <f t="shared" si="12"/>
        <v>20635.719600015396</v>
      </c>
      <c r="M44" s="239">
        <f t="shared" si="13"/>
        <v>12381.431760009238</v>
      </c>
    </row>
    <row r="45" spans="3:13" x14ac:dyDescent="0.3">
      <c r="C45" s="222">
        <f>'Aufgabe 1'!E66</f>
        <v>1800</v>
      </c>
      <c r="D45" s="217">
        <f>'Aufgabe 3'!D35</f>
        <v>268.56548399032653</v>
      </c>
      <c r="E45" s="215">
        <f t="shared" si="7"/>
        <v>56362.764796535201</v>
      </c>
      <c r="F45" s="215">
        <f>'Aufgabe 3'!I35</f>
        <v>2744.2150511212076</v>
      </c>
      <c r="G45" s="216">
        <f>MIN('Aufgabe 1'!I66,D45)</f>
        <v>268.56548399032653</v>
      </c>
      <c r="H45" s="223">
        <f t="shared" si="8"/>
        <v>0</v>
      </c>
      <c r="I45" s="230">
        <f t="shared" si="9"/>
        <v>112725.5295930704</v>
      </c>
      <c r="J45" s="50">
        <f t="shared" si="10"/>
        <v>2818.1382398267601</v>
      </c>
      <c r="K45" s="231">
        <f t="shared" si="11"/>
        <v>0</v>
      </c>
      <c r="L45" s="239">
        <f t="shared" si="12"/>
        <v>18787.588265511735</v>
      </c>
      <c r="M45" s="239">
        <f t="shared" si="13"/>
        <v>11272.552959307041</v>
      </c>
    </row>
    <row r="46" spans="3:13" x14ac:dyDescent="0.3">
      <c r="C46" s="222">
        <f>'Aufgabe 1'!E67</f>
        <v>2000</v>
      </c>
      <c r="D46" s="217">
        <f>'Aufgabe 3'!D36</f>
        <v>244.07093699911772</v>
      </c>
      <c r="E46" s="215">
        <f t="shared" si="7"/>
        <v>51263.642098944423</v>
      </c>
      <c r="F46" s="215">
        <f>'Aufgabe 3'!I36</f>
        <v>2495.9467253079465</v>
      </c>
      <c r="G46" s="216">
        <f>MIN('Aufgabe 1'!I67,D46)</f>
        <v>244.07093699911772</v>
      </c>
      <c r="H46" s="223">
        <f t="shared" si="8"/>
        <v>0</v>
      </c>
      <c r="I46" s="230">
        <f t="shared" si="9"/>
        <v>102527.28419788885</v>
      </c>
      <c r="J46" s="50">
        <f t="shared" si="10"/>
        <v>2563.1821049472214</v>
      </c>
      <c r="K46" s="231">
        <f t="shared" si="11"/>
        <v>0</v>
      </c>
      <c r="L46" s="239">
        <f t="shared" si="12"/>
        <v>17087.88069964814</v>
      </c>
      <c r="M46" s="239">
        <f t="shared" si="13"/>
        <v>10252.728419788884</v>
      </c>
    </row>
    <row r="47" spans="3:13" x14ac:dyDescent="0.3">
      <c r="C47" s="222">
        <f>'Aufgabe 1'!E68</f>
        <v>2200</v>
      </c>
      <c r="D47" s="217">
        <f>'Aufgabe 3'!D37</f>
        <v>221.24776814147188</v>
      </c>
      <c r="E47" s="215">
        <f t="shared" si="7"/>
        <v>46531.870514058959</v>
      </c>
      <c r="F47" s="215">
        <f>'Aufgabe 3'!I37</f>
        <v>2265.5641518379421</v>
      </c>
      <c r="G47" s="216">
        <f>MIN('Aufgabe 1'!I68,D47)</f>
        <v>221.24776814147188</v>
      </c>
      <c r="H47" s="223">
        <f t="shared" si="8"/>
        <v>0</v>
      </c>
      <c r="I47" s="230">
        <f t="shared" si="9"/>
        <v>93063.741028117918</v>
      </c>
      <c r="J47" s="50">
        <f t="shared" si="10"/>
        <v>2326.5935257029482</v>
      </c>
      <c r="K47" s="231">
        <f t="shared" si="11"/>
        <v>0</v>
      </c>
      <c r="L47" s="239">
        <f t="shared" si="12"/>
        <v>15510.62350468632</v>
      </c>
      <c r="M47" s="239">
        <f t="shared" si="13"/>
        <v>9306.3741028117911</v>
      </c>
    </row>
    <row r="48" spans="3:13" x14ac:dyDescent="0.3">
      <c r="C48" s="222">
        <f>'Aufgabe 1'!E69</f>
        <v>2400</v>
      </c>
      <c r="D48" s="217">
        <f>'Aufgabe 3'!D38</f>
        <v>199.84431815913058</v>
      </c>
      <c r="E48" s="215">
        <f t="shared" si="7"/>
        <v>42109.208630060246</v>
      </c>
      <c r="F48" s="215">
        <f>'Aufgabe 3'!I38</f>
        <v>2050.2316472686239</v>
      </c>
      <c r="G48" s="216">
        <f>MIN('Aufgabe 1'!I69,D48)</f>
        <v>199.84431815913058</v>
      </c>
      <c r="H48" s="223">
        <f t="shared" si="8"/>
        <v>0</v>
      </c>
      <c r="I48" s="230">
        <f t="shared" si="9"/>
        <v>84218.417260120492</v>
      </c>
      <c r="J48" s="50">
        <f t="shared" si="10"/>
        <v>2105.4604315030124</v>
      </c>
      <c r="K48" s="231">
        <f t="shared" si="11"/>
        <v>0</v>
      </c>
      <c r="L48" s="239">
        <f t="shared" si="12"/>
        <v>14036.402876686749</v>
      </c>
      <c r="M48" s="239">
        <f t="shared" si="13"/>
        <v>8421.8417260120495</v>
      </c>
    </row>
    <row r="49" spans="3:13" x14ac:dyDescent="0.3">
      <c r="C49" s="222">
        <f>'Aufgabe 1'!E70</f>
        <v>2600</v>
      </c>
      <c r="D49" s="217">
        <f>'Aufgabe 3'!D39</f>
        <v>179.66420396718217</v>
      </c>
      <c r="E49" s="215">
        <f t="shared" si="7"/>
        <v>37950.852212631275</v>
      </c>
      <c r="F49" s="215">
        <f>'Aufgabe 3'!I39</f>
        <v>1847.7677633582211</v>
      </c>
      <c r="G49" s="216">
        <f>MIN('Aufgabe 1'!I70,D49)</f>
        <v>179.66420396718217</v>
      </c>
      <c r="H49" s="223">
        <f t="shared" si="8"/>
        <v>0</v>
      </c>
      <c r="I49" s="230">
        <f t="shared" si="9"/>
        <v>75901.704425262549</v>
      </c>
      <c r="J49" s="50">
        <f t="shared" si="10"/>
        <v>1897.5426106315638</v>
      </c>
      <c r="K49" s="231">
        <f t="shared" si="11"/>
        <v>0</v>
      </c>
      <c r="L49" s="239">
        <f t="shared" si="12"/>
        <v>12650.284070877091</v>
      </c>
      <c r="M49" s="239">
        <f t="shared" si="13"/>
        <v>7590.1704425262551</v>
      </c>
    </row>
    <row r="50" spans="3:13" x14ac:dyDescent="0.3">
      <c r="C50" s="222">
        <f>'Aufgabe 1'!E71</f>
        <v>2800</v>
      </c>
      <c r="D50" s="217">
        <f>'Aufgabe 3'!D40</f>
        <v>160.55092874443997</v>
      </c>
      <c r="E50" s="215">
        <f t="shared" si="7"/>
        <v>34021.513271162214</v>
      </c>
      <c r="F50" s="215">
        <f>'Aufgabe 3'!I40</f>
        <v>1656.4543829188192</v>
      </c>
      <c r="G50" s="216">
        <f>MIN('Aufgabe 1'!I71,D50)</f>
        <v>160.55092874443997</v>
      </c>
      <c r="H50" s="223">
        <f t="shared" si="8"/>
        <v>0</v>
      </c>
      <c r="I50" s="230">
        <f t="shared" si="9"/>
        <v>68043.026542324427</v>
      </c>
      <c r="J50" s="50">
        <f t="shared" si="10"/>
        <v>1701.0756635581108</v>
      </c>
      <c r="K50" s="231">
        <f t="shared" si="11"/>
        <v>0</v>
      </c>
      <c r="L50" s="239">
        <f t="shared" si="12"/>
        <v>11340.504423720738</v>
      </c>
      <c r="M50" s="239">
        <f t="shared" si="13"/>
        <v>6804.3026542324424</v>
      </c>
    </row>
    <row r="51" spans="3:13" x14ac:dyDescent="0.3">
      <c r="C51" s="222">
        <f>'Aufgabe 1'!E72</f>
        <v>3000</v>
      </c>
      <c r="D51" s="217">
        <f>'Aufgabe 3'!D41</f>
        <v>142.37755565879536</v>
      </c>
      <c r="E51" s="215">
        <f t="shared" si="7"/>
        <v>30292.848440323531</v>
      </c>
      <c r="F51" s="215">
        <f>'Aufgabe 3'!I41</f>
        <v>1474.9115117287452</v>
      </c>
      <c r="G51" s="216">
        <f>MIN('Aufgabe 1'!I72,D51)</f>
        <v>142.37755565879536</v>
      </c>
      <c r="H51" s="223">
        <f t="shared" si="8"/>
        <v>0</v>
      </c>
      <c r="I51" s="230">
        <f t="shared" si="9"/>
        <v>60585.696880647061</v>
      </c>
      <c r="J51" s="50">
        <f t="shared" si="10"/>
        <v>1514.6424220161766</v>
      </c>
      <c r="K51" s="231">
        <f t="shared" si="11"/>
        <v>0</v>
      </c>
      <c r="L51" s="239">
        <f t="shared" si="12"/>
        <v>10097.61614677451</v>
      </c>
      <c r="M51" s="239">
        <f t="shared" si="13"/>
        <v>6058.5696880647065</v>
      </c>
    </row>
    <row r="52" spans="3:13" x14ac:dyDescent="0.3">
      <c r="C52" s="222">
        <f>'Aufgabe 1'!E73</f>
        <v>3200</v>
      </c>
      <c r="D52" s="217">
        <f>'Aufgabe 3'!D42</f>
        <v>125.03955625554882</v>
      </c>
      <c r="E52" s="215">
        <f t="shared" si="7"/>
        <v>26741.711191434417</v>
      </c>
      <c r="F52" s="215">
        <f>'Aufgabe 3'!I42</f>
        <v>1302.0121814319155</v>
      </c>
      <c r="G52" s="216">
        <f>MIN('Aufgabe 1'!I73,D52)</f>
        <v>125.03955625554882</v>
      </c>
      <c r="H52" s="223">
        <f t="shared" si="8"/>
        <v>0</v>
      </c>
      <c r="I52" s="230">
        <f t="shared" si="9"/>
        <v>53483.422382868834</v>
      </c>
      <c r="J52" s="50">
        <f t="shared" si="10"/>
        <v>1337.085559571721</v>
      </c>
      <c r="K52" s="231">
        <f t="shared" si="11"/>
        <v>0</v>
      </c>
      <c r="L52" s="239">
        <f t="shared" si="12"/>
        <v>8913.9037304781396</v>
      </c>
      <c r="M52" s="239">
        <f t="shared" si="13"/>
        <v>5348.342238286883</v>
      </c>
    </row>
    <row r="53" spans="3:13" x14ac:dyDescent="0.3">
      <c r="C53" s="222">
        <f>'Aufgabe 1'!E74</f>
        <v>3360</v>
      </c>
      <c r="D53" s="217">
        <f>'Aufgabe 3'!D43</f>
        <v>111.71153983603914</v>
      </c>
      <c r="E53" s="215">
        <f t="shared" si="7"/>
        <v>18940.087687327035</v>
      </c>
      <c r="F53" s="215">
        <f>'Aufgabe 3'!I43</f>
        <v>922.16330921213853</v>
      </c>
      <c r="G53" s="216">
        <f>MIN('Aufgabe 1'!I74,D53)</f>
        <v>111.71153983603914</v>
      </c>
      <c r="H53" s="223">
        <f t="shared" si="8"/>
        <v>0</v>
      </c>
      <c r="I53" s="230">
        <f t="shared" si="9"/>
        <v>37880.175374654071</v>
      </c>
      <c r="J53" s="50">
        <f t="shared" si="10"/>
        <v>947.00438436635181</v>
      </c>
      <c r="K53" s="231">
        <f t="shared" si="11"/>
        <v>0</v>
      </c>
      <c r="L53" s="239">
        <f t="shared" si="12"/>
        <v>6313.3625624423448</v>
      </c>
      <c r="M53" s="239">
        <f t="shared" si="13"/>
        <v>3788.0175374654073</v>
      </c>
    </row>
    <row r="54" spans="3:13" x14ac:dyDescent="0.3">
      <c r="C54" s="222">
        <f>'Aufgabe 1'!E75</f>
        <v>3361</v>
      </c>
      <c r="D54" s="217">
        <f>'Aufgabe 3'!D44</f>
        <v>0</v>
      </c>
      <c r="E54" s="215">
        <f t="shared" si="7"/>
        <v>55.855769918019568</v>
      </c>
      <c r="F54" s="215">
        <f>'Aufgabe 3'!I44</f>
        <v>2.7195302617662778</v>
      </c>
      <c r="G54" s="216">
        <f>MIN('Aufgabe 1'!I75,D54)</f>
        <v>0</v>
      </c>
      <c r="H54" s="223">
        <f t="shared" si="8"/>
        <v>0</v>
      </c>
      <c r="I54" s="230">
        <f t="shared" si="9"/>
        <v>111.71153983603914</v>
      </c>
      <c r="J54" s="50">
        <f t="shared" si="10"/>
        <v>2.7927884959009788</v>
      </c>
      <c r="K54" s="231">
        <f t="shared" si="11"/>
        <v>0</v>
      </c>
      <c r="L54" s="239">
        <f t="shared" si="12"/>
        <v>18.618589972673188</v>
      </c>
      <c r="M54" s="239">
        <f t="shared" si="13"/>
        <v>11.171153983603913</v>
      </c>
    </row>
    <row r="55" spans="3:13" x14ac:dyDescent="0.3">
      <c r="C55" s="222">
        <f>'Aufgabe 1'!E76</f>
        <v>3361</v>
      </c>
      <c r="D55" s="217">
        <f>'Aufgabe 3'!D45</f>
        <v>0</v>
      </c>
      <c r="E55" s="215">
        <f t="shared" si="7"/>
        <v>0</v>
      </c>
      <c r="F55" s="215">
        <f>'Aufgabe 3'!I45</f>
        <v>0</v>
      </c>
      <c r="G55" s="216">
        <f>MIN('Aufgabe 1'!I76,D55)</f>
        <v>0</v>
      </c>
      <c r="H55" s="223">
        <f t="shared" si="8"/>
        <v>0</v>
      </c>
      <c r="I55" s="230">
        <f t="shared" si="9"/>
        <v>0</v>
      </c>
      <c r="J55" s="50">
        <f t="shared" si="10"/>
        <v>0</v>
      </c>
      <c r="K55" s="231">
        <f t="shared" si="11"/>
        <v>0</v>
      </c>
      <c r="L55" s="239">
        <f t="shared" si="12"/>
        <v>0</v>
      </c>
      <c r="M55" s="239">
        <f t="shared" si="13"/>
        <v>0</v>
      </c>
    </row>
    <row r="56" spans="3:13" x14ac:dyDescent="0.3">
      <c r="C56" s="222">
        <f>'Aufgabe 1'!E77</f>
        <v>3361</v>
      </c>
      <c r="D56" s="217">
        <f>'Aufgabe 3'!D46</f>
        <v>0</v>
      </c>
      <c r="E56" s="215">
        <f t="shared" si="7"/>
        <v>0</v>
      </c>
      <c r="F56" s="215">
        <f>'Aufgabe 3'!I46</f>
        <v>0</v>
      </c>
      <c r="G56" s="216">
        <f>MIN('Aufgabe 1'!I77,D56)</f>
        <v>0</v>
      </c>
      <c r="H56" s="223">
        <f t="shared" si="8"/>
        <v>0</v>
      </c>
      <c r="I56" s="230">
        <f t="shared" si="9"/>
        <v>0</v>
      </c>
      <c r="J56" s="50">
        <f t="shared" si="10"/>
        <v>0</v>
      </c>
      <c r="K56" s="231">
        <f t="shared" si="11"/>
        <v>0</v>
      </c>
      <c r="L56" s="239">
        <f t="shared" si="12"/>
        <v>0</v>
      </c>
      <c r="M56" s="239">
        <f t="shared" si="13"/>
        <v>0</v>
      </c>
    </row>
    <row r="57" spans="3:13" x14ac:dyDescent="0.3">
      <c r="C57" s="222">
        <f>'Aufgabe 1'!E78</f>
        <v>3361</v>
      </c>
      <c r="D57" s="217">
        <f>'Aufgabe 3'!D47</f>
        <v>0</v>
      </c>
      <c r="E57" s="215">
        <f t="shared" si="7"/>
        <v>0</v>
      </c>
      <c r="F57" s="215">
        <f>'Aufgabe 3'!I47</f>
        <v>0</v>
      </c>
      <c r="G57" s="216">
        <f>MIN('Aufgabe 1'!I78,D57)</f>
        <v>0</v>
      </c>
      <c r="H57" s="223">
        <f t="shared" si="8"/>
        <v>0</v>
      </c>
      <c r="I57" s="230">
        <f t="shared" si="9"/>
        <v>0</v>
      </c>
      <c r="J57" s="50">
        <f t="shared" si="10"/>
        <v>0</v>
      </c>
      <c r="K57" s="231">
        <f t="shared" si="11"/>
        <v>0</v>
      </c>
      <c r="L57" s="239">
        <f t="shared" si="12"/>
        <v>0</v>
      </c>
      <c r="M57" s="239">
        <f t="shared" si="13"/>
        <v>0</v>
      </c>
    </row>
    <row r="58" spans="3:13" x14ac:dyDescent="0.3">
      <c r="C58" s="222">
        <f>'Aufgabe 1'!E79</f>
        <v>3361</v>
      </c>
      <c r="D58" s="217">
        <f>'Aufgabe 3'!D48</f>
        <v>0</v>
      </c>
      <c r="E58" s="215">
        <f t="shared" si="7"/>
        <v>0</v>
      </c>
      <c r="F58" s="215">
        <f>'Aufgabe 3'!I48</f>
        <v>0</v>
      </c>
      <c r="G58" s="216">
        <f>MIN('Aufgabe 1'!I79,D58)</f>
        <v>0</v>
      </c>
      <c r="H58" s="223">
        <f t="shared" si="8"/>
        <v>0</v>
      </c>
      <c r="I58" s="230">
        <f t="shared" si="9"/>
        <v>0</v>
      </c>
      <c r="J58" s="50">
        <f t="shared" si="10"/>
        <v>0</v>
      </c>
      <c r="K58" s="231">
        <f t="shared" si="11"/>
        <v>0</v>
      </c>
      <c r="L58" s="239">
        <f t="shared" si="12"/>
        <v>0</v>
      </c>
      <c r="M58" s="239">
        <f t="shared" si="13"/>
        <v>0</v>
      </c>
    </row>
    <row r="59" spans="3:13" x14ac:dyDescent="0.3">
      <c r="C59" s="222">
        <f>'Aufgabe 1'!E80</f>
        <v>3361</v>
      </c>
      <c r="D59" s="217">
        <f>'Aufgabe 3'!D49</f>
        <v>0</v>
      </c>
      <c r="E59" s="215">
        <f t="shared" si="7"/>
        <v>0</v>
      </c>
      <c r="F59" s="215">
        <f>'Aufgabe 3'!I49</f>
        <v>0</v>
      </c>
      <c r="G59" s="216">
        <f>MIN('Aufgabe 1'!I80,D59)</f>
        <v>0</v>
      </c>
      <c r="H59" s="223">
        <f t="shared" si="8"/>
        <v>0</v>
      </c>
      <c r="I59" s="230">
        <f t="shared" si="9"/>
        <v>0</v>
      </c>
      <c r="J59" s="50">
        <f t="shared" si="10"/>
        <v>0</v>
      </c>
      <c r="K59" s="231">
        <f t="shared" si="11"/>
        <v>0</v>
      </c>
      <c r="L59" s="239">
        <f t="shared" si="12"/>
        <v>0</v>
      </c>
      <c r="M59" s="239">
        <f t="shared" si="13"/>
        <v>0</v>
      </c>
    </row>
    <row r="60" spans="3:13" ht="15" thickBot="1" x14ac:dyDescent="0.35">
      <c r="C60" s="224">
        <f>'Aufgabe 1'!E81</f>
        <v>3361</v>
      </c>
      <c r="D60" s="225">
        <f>'Aufgabe 3'!D50</f>
        <v>0</v>
      </c>
      <c r="E60" s="226">
        <f t="shared" si="7"/>
        <v>0</v>
      </c>
      <c r="F60" s="226">
        <f>'Aufgabe 3'!I50</f>
        <v>0</v>
      </c>
      <c r="G60" s="227">
        <f>MIN('Aufgabe 1'!I81,D60)</f>
        <v>0</v>
      </c>
      <c r="H60" s="223">
        <f t="shared" si="8"/>
        <v>0</v>
      </c>
      <c r="I60" s="232">
        <f t="shared" si="9"/>
        <v>0</v>
      </c>
      <c r="J60" s="52">
        <f t="shared" si="10"/>
        <v>0</v>
      </c>
      <c r="K60" s="233">
        <f t="shared" si="11"/>
        <v>0</v>
      </c>
      <c r="L60" s="240">
        <f t="shared" si="12"/>
        <v>0</v>
      </c>
      <c r="M60" s="240">
        <f t="shared" si="13"/>
        <v>0</v>
      </c>
    </row>
  </sheetData>
  <mergeCells count="20">
    <mergeCell ref="O14:Q14"/>
    <mergeCell ref="R14:T14"/>
    <mergeCell ref="O13:T13"/>
    <mergeCell ref="C4:G4"/>
    <mergeCell ref="G13:M13"/>
    <mergeCell ref="E14:G14"/>
    <mergeCell ref="H14:J14"/>
    <mergeCell ref="K14:M14"/>
    <mergeCell ref="D5:G5"/>
    <mergeCell ref="D6:G6"/>
    <mergeCell ref="D7:G7"/>
    <mergeCell ref="D8:G8"/>
    <mergeCell ref="D9:G9"/>
    <mergeCell ref="D10:G10"/>
    <mergeCell ref="D11:G11"/>
    <mergeCell ref="D23:M23"/>
    <mergeCell ref="D24:M24"/>
    <mergeCell ref="D25:M25"/>
    <mergeCell ref="G29:H29"/>
    <mergeCell ref="I29:M29"/>
  </mergeCells>
  <conditionalFormatting sqref="D32:D60">
    <cfRule type="dataBar" priority="17">
      <dataBar>
        <cfvo type="min"/>
        <cfvo type="max"/>
        <color rgb="FF008AEF"/>
      </dataBar>
      <extLst>
        <ext xmlns:x14="http://schemas.microsoft.com/office/spreadsheetml/2009/9/main" uri="{B025F937-C7B1-47D3-B67F-A62EFF666E3E}">
          <x14:id>{DA43BC9A-5DD4-400A-A611-EF0EC6B415DC}</x14:id>
        </ext>
      </extLst>
    </cfRule>
  </conditionalFormatting>
  <conditionalFormatting sqref="E32:E60">
    <cfRule type="dataBar" priority="4">
      <dataBar>
        <cfvo type="min"/>
        <cfvo type="max"/>
        <color rgb="FFFF555A"/>
      </dataBar>
      <extLst>
        <ext xmlns:x14="http://schemas.microsoft.com/office/spreadsheetml/2009/9/main" uri="{B025F937-C7B1-47D3-B67F-A62EFF666E3E}">
          <x14:id>{8A5769F5-838E-4410-8D43-146CD3C5B584}</x14:id>
        </ext>
      </extLst>
    </cfRule>
  </conditionalFormatting>
  <conditionalFormatting sqref="F32:F60">
    <cfRule type="dataBar" priority="15">
      <dataBar>
        <cfvo type="min"/>
        <cfvo type="max"/>
        <color rgb="FFFFB628"/>
      </dataBar>
      <extLst>
        <ext xmlns:x14="http://schemas.microsoft.com/office/spreadsheetml/2009/9/main" uri="{B025F937-C7B1-47D3-B67F-A62EFF666E3E}">
          <x14:id>{EEC27969-05FD-4810-A897-E059585B74E1}</x14:id>
        </ext>
      </extLst>
    </cfRule>
  </conditionalFormatting>
  <conditionalFormatting sqref="E32:F60">
    <cfRule type="dataBar" priority="5">
      <dataBar>
        <cfvo type="min"/>
        <cfvo type="max"/>
        <color rgb="FFFFB628"/>
      </dataBar>
      <extLst>
        <ext xmlns:x14="http://schemas.microsoft.com/office/spreadsheetml/2009/9/main" uri="{B025F937-C7B1-47D3-B67F-A62EFF666E3E}">
          <x14:id>{B06C7C3F-E2EC-439D-8CC9-B951C5EA35CE}</x14:id>
        </ext>
      </extLst>
    </cfRule>
  </conditionalFormatting>
  <conditionalFormatting sqref="G32:H60">
    <cfRule type="dataBar" priority="13">
      <dataBar>
        <cfvo type="min"/>
        <cfvo type="max"/>
        <color rgb="FF008AEF"/>
      </dataBar>
      <extLst>
        <ext xmlns:x14="http://schemas.microsoft.com/office/spreadsheetml/2009/9/main" uri="{B025F937-C7B1-47D3-B67F-A62EFF666E3E}">
          <x14:id>{20671C9A-5446-4E5B-ADC5-21E6E0324C58}</x14:id>
        </ext>
      </extLst>
    </cfRule>
  </conditionalFormatting>
  <conditionalFormatting sqref="I33:J60">
    <cfRule type="dataBar" priority="12">
      <dataBar>
        <cfvo type="min"/>
        <cfvo type="max"/>
        <color rgb="FFFF555A"/>
      </dataBar>
      <extLst>
        <ext xmlns:x14="http://schemas.microsoft.com/office/spreadsheetml/2009/9/main" uri="{B025F937-C7B1-47D3-B67F-A62EFF666E3E}">
          <x14:id>{51D7FFC9-EFAD-4F54-9A68-21F9B3C6BFA9}</x14:id>
        </ext>
      </extLst>
    </cfRule>
  </conditionalFormatting>
  <conditionalFormatting sqref="K33:L60">
    <cfRule type="dataBar" priority="11">
      <dataBar>
        <cfvo type="min"/>
        <cfvo type="max"/>
        <color rgb="FFFF555A"/>
      </dataBar>
      <extLst>
        <ext xmlns:x14="http://schemas.microsoft.com/office/spreadsheetml/2009/9/main" uri="{B025F937-C7B1-47D3-B67F-A62EFF666E3E}">
          <x14:id>{55F721B5-5269-4CFB-A074-35F245CFFEE4}</x14:id>
        </ext>
      </extLst>
    </cfRule>
  </conditionalFormatting>
  <conditionalFormatting sqref="I32:L60">
    <cfRule type="dataBar" priority="10">
      <dataBar>
        <cfvo type="min"/>
        <cfvo type="max"/>
        <color rgb="FFFFB628"/>
      </dataBar>
      <extLst>
        <ext xmlns:x14="http://schemas.microsoft.com/office/spreadsheetml/2009/9/main" uri="{B025F937-C7B1-47D3-B67F-A62EFF666E3E}">
          <x14:id>{5BC52E6C-EBD9-4D95-9544-461C2773900F}</x14:id>
        </ext>
      </extLst>
    </cfRule>
  </conditionalFormatting>
  <conditionalFormatting sqref="M33:M60">
    <cfRule type="dataBar" priority="9">
      <dataBar>
        <cfvo type="min"/>
        <cfvo type="max"/>
        <color rgb="FFFF555A"/>
      </dataBar>
      <extLst>
        <ext xmlns:x14="http://schemas.microsoft.com/office/spreadsheetml/2009/9/main" uri="{B025F937-C7B1-47D3-B67F-A62EFF666E3E}">
          <x14:id>{C206A9D9-3136-48E5-8488-DD008391F2DF}</x14:id>
        </ext>
      </extLst>
    </cfRule>
  </conditionalFormatting>
  <conditionalFormatting sqref="M33:M60">
    <cfRule type="dataBar" priority="8">
      <dataBar>
        <cfvo type="min"/>
        <cfvo type="max"/>
        <color rgb="FFFFB628"/>
      </dataBar>
      <extLst>
        <ext xmlns:x14="http://schemas.microsoft.com/office/spreadsheetml/2009/9/main" uri="{B025F937-C7B1-47D3-B67F-A62EFF666E3E}">
          <x14:id>{1EF1C774-704B-433C-9998-66096841F220}</x14:id>
        </ext>
      </extLst>
    </cfRule>
  </conditionalFormatting>
  <conditionalFormatting sqref="I32:M60">
    <cfRule type="dataBar" priority="7">
      <dataBar>
        <cfvo type="min"/>
        <cfvo type="max"/>
        <color rgb="FFFFB628"/>
      </dataBar>
      <extLst>
        <ext xmlns:x14="http://schemas.microsoft.com/office/spreadsheetml/2009/9/main" uri="{B025F937-C7B1-47D3-B67F-A62EFF666E3E}">
          <x14:id>{41F39FAB-10F5-41BF-B985-ACA51BAABDBE}</x14:id>
        </ext>
      </extLst>
    </cfRule>
  </conditionalFormatting>
  <conditionalFormatting sqref="I32:I60">
    <cfRule type="dataBar" priority="6">
      <dataBar>
        <cfvo type="min"/>
        <cfvo type="max"/>
        <color rgb="FFFF555A"/>
      </dataBar>
      <extLst>
        <ext xmlns:x14="http://schemas.microsoft.com/office/spreadsheetml/2009/9/main" uri="{B025F937-C7B1-47D3-B67F-A62EFF666E3E}">
          <x14:id>{FF7C460D-BB02-4EB1-80CA-4594CC8C5282}</x14:id>
        </ext>
      </extLst>
    </cfRule>
  </conditionalFormatting>
  <conditionalFormatting sqref="E17:G20">
    <cfRule type="dataBar" priority="3">
      <dataBar>
        <cfvo type="min"/>
        <cfvo type="max"/>
        <color rgb="FF638EC6"/>
      </dataBar>
      <extLst>
        <ext xmlns:x14="http://schemas.microsoft.com/office/spreadsheetml/2009/9/main" uri="{B025F937-C7B1-47D3-B67F-A62EFF666E3E}">
          <x14:id>{2D350B73-1766-4003-84DB-A8EE2B08CD84}</x14:id>
        </ext>
      </extLst>
    </cfRule>
  </conditionalFormatting>
  <conditionalFormatting sqref="H17:J20">
    <cfRule type="dataBar" priority="2">
      <dataBar>
        <cfvo type="min"/>
        <cfvo type="max"/>
        <color rgb="FFD6007B"/>
      </dataBar>
      <extLst>
        <ext xmlns:x14="http://schemas.microsoft.com/office/spreadsheetml/2009/9/main" uri="{B025F937-C7B1-47D3-B67F-A62EFF666E3E}">
          <x14:id>{BB2FF4F6-3D35-4E94-A134-7E431A07B99D}</x14:id>
        </ext>
      </extLst>
    </cfRule>
  </conditionalFormatting>
  <conditionalFormatting sqref="K17:M20">
    <cfRule type="dataBar" priority="1">
      <dataBar>
        <cfvo type="min"/>
        <cfvo type="max"/>
        <color theme="2" tint="-0.249977111117893"/>
      </dataBar>
      <extLst>
        <ext xmlns:x14="http://schemas.microsoft.com/office/spreadsheetml/2009/9/main" uri="{B025F937-C7B1-47D3-B67F-A62EFF666E3E}">
          <x14:id>{50142E88-5BAF-42BE-BE7B-FD6286E870D0}</x14:id>
        </ext>
      </extLst>
    </cfRule>
  </conditionalFormatting>
  <pageMargins left="0.7" right="0.7" top="0.78740157499999996" bottom="0.78740157499999996" header="0.3" footer="0.3"/>
  <pageSetup paperSize="9" orientation="portrait" verticalDpi="0" r:id="rId1"/>
  <ignoredErrors>
    <ignoredError sqref="C55:C60 C32:C35" unlockedFormula="1"/>
    <ignoredError sqref="C18:C19" twoDigitTextYear="1"/>
  </ignoredErrors>
  <extLst>
    <ext xmlns:x14="http://schemas.microsoft.com/office/spreadsheetml/2009/9/main" uri="{78C0D931-6437-407d-A8EE-F0AAD7539E65}">
      <x14:conditionalFormattings>
        <x14:conditionalFormatting xmlns:xm="http://schemas.microsoft.com/office/excel/2006/main">
          <x14:cfRule type="dataBar" id="{DA43BC9A-5DD4-400A-A611-EF0EC6B415DC}">
            <x14:dataBar minLength="0" maxLength="100" gradient="0">
              <x14:cfvo type="autoMin"/>
              <x14:cfvo type="autoMax"/>
              <x14:negativeFillColor rgb="FFFF0000"/>
              <x14:axisColor rgb="FF000000"/>
            </x14:dataBar>
          </x14:cfRule>
          <xm:sqref>D32:D60</xm:sqref>
        </x14:conditionalFormatting>
        <x14:conditionalFormatting xmlns:xm="http://schemas.microsoft.com/office/excel/2006/main">
          <x14:cfRule type="dataBar" id="{8A5769F5-838E-4410-8D43-146CD3C5B584}">
            <x14:dataBar minLength="0" maxLength="100" gradient="0">
              <x14:cfvo type="autoMin"/>
              <x14:cfvo type="autoMax"/>
              <x14:negativeFillColor rgb="FFFF0000"/>
              <x14:axisColor rgb="FF000000"/>
            </x14:dataBar>
          </x14:cfRule>
          <xm:sqref>E32:E60</xm:sqref>
        </x14:conditionalFormatting>
        <x14:conditionalFormatting xmlns:xm="http://schemas.microsoft.com/office/excel/2006/main">
          <x14:cfRule type="dataBar" id="{EEC27969-05FD-4810-A897-E059585B74E1}">
            <x14:dataBar minLength="0" maxLength="100" gradient="0">
              <x14:cfvo type="autoMin"/>
              <x14:cfvo type="autoMax"/>
              <x14:negativeFillColor rgb="FFFF0000"/>
              <x14:axisColor rgb="FF000000"/>
            </x14:dataBar>
          </x14:cfRule>
          <xm:sqref>F32:F60</xm:sqref>
        </x14:conditionalFormatting>
        <x14:conditionalFormatting xmlns:xm="http://schemas.microsoft.com/office/excel/2006/main">
          <x14:cfRule type="dataBar" id="{B06C7C3F-E2EC-439D-8CC9-B951C5EA35CE}">
            <x14:dataBar minLength="0" maxLength="100" gradient="0">
              <x14:cfvo type="autoMin"/>
              <x14:cfvo type="autoMax"/>
              <x14:negativeFillColor rgb="FFFF0000"/>
              <x14:axisColor rgb="FF000000"/>
            </x14:dataBar>
          </x14:cfRule>
          <xm:sqref>E32:F60</xm:sqref>
        </x14:conditionalFormatting>
        <x14:conditionalFormatting xmlns:xm="http://schemas.microsoft.com/office/excel/2006/main">
          <x14:cfRule type="dataBar" id="{20671C9A-5446-4E5B-ADC5-21E6E0324C58}">
            <x14:dataBar minLength="0" maxLength="100" gradient="0">
              <x14:cfvo type="autoMin"/>
              <x14:cfvo type="autoMax"/>
              <x14:negativeFillColor rgb="FFFF0000"/>
              <x14:axisColor rgb="FF000000"/>
            </x14:dataBar>
          </x14:cfRule>
          <xm:sqref>G32:H60</xm:sqref>
        </x14:conditionalFormatting>
        <x14:conditionalFormatting xmlns:xm="http://schemas.microsoft.com/office/excel/2006/main">
          <x14:cfRule type="dataBar" id="{51D7FFC9-EFAD-4F54-9A68-21F9B3C6BFA9}">
            <x14:dataBar minLength="0" maxLength="100" gradient="0">
              <x14:cfvo type="autoMin"/>
              <x14:cfvo type="autoMax"/>
              <x14:negativeFillColor rgb="FFFF0000"/>
              <x14:axisColor rgb="FF000000"/>
            </x14:dataBar>
          </x14:cfRule>
          <xm:sqref>I33:J60</xm:sqref>
        </x14:conditionalFormatting>
        <x14:conditionalFormatting xmlns:xm="http://schemas.microsoft.com/office/excel/2006/main">
          <x14:cfRule type="dataBar" id="{55F721B5-5269-4CFB-A074-35F245CFFEE4}">
            <x14:dataBar minLength="0" maxLength="100" gradient="0">
              <x14:cfvo type="autoMin"/>
              <x14:cfvo type="autoMax"/>
              <x14:negativeFillColor rgb="FFFF0000"/>
              <x14:axisColor rgb="FF000000"/>
            </x14:dataBar>
          </x14:cfRule>
          <xm:sqref>K33:L60</xm:sqref>
        </x14:conditionalFormatting>
        <x14:conditionalFormatting xmlns:xm="http://schemas.microsoft.com/office/excel/2006/main">
          <x14:cfRule type="dataBar" id="{5BC52E6C-EBD9-4D95-9544-461C2773900F}">
            <x14:dataBar minLength="0" maxLength="100" gradient="0">
              <x14:cfvo type="autoMin"/>
              <x14:cfvo type="autoMax"/>
              <x14:negativeFillColor rgb="FFFF0000"/>
              <x14:axisColor rgb="FF000000"/>
            </x14:dataBar>
          </x14:cfRule>
          <xm:sqref>I32:L60</xm:sqref>
        </x14:conditionalFormatting>
        <x14:conditionalFormatting xmlns:xm="http://schemas.microsoft.com/office/excel/2006/main">
          <x14:cfRule type="dataBar" id="{C206A9D9-3136-48E5-8488-DD008391F2DF}">
            <x14:dataBar minLength="0" maxLength="100" gradient="0">
              <x14:cfvo type="autoMin"/>
              <x14:cfvo type="autoMax"/>
              <x14:negativeFillColor rgb="FFFF0000"/>
              <x14:axisColor rgb="FF000000"/>
            </x14:dataBar>
          </x14:cfRule>
          <xm:sqref>M33:M60</xm:sqref>
        </x14:conditionalFormatting>
        <x14:conditionalFormatting xmlns:xm="http://schemas.microsoft.com/office/excel/2006/main">
          <x14:cfRule type="dataBar" id="{1EF1C774-704B-433C-9998-66096841F220}">
            <x14:dataBar minLength="0" maxLength="100" gradient="0">
              <x14:cfvo type="autoMin"/>
              <x14:cfvo type="autoMax"/>
              <x14:negativeFillColor rgb="FFFF0000"/>
              <x14:axisColor rgb="FF000000"/>
            </x14:dataBar>
          </x14:cfRule>
          <xm:sqref>M33:M60</xm:sqref>
        </x14:conditionalFormatting>
        <x14:conditionalFormatting xmlns:xm="http://schemas.microsoft.com/office/excel/2006/main">
          <x14:cfRule type="dataBar" id="{41F39FAB-10F5-41BF-B985-ACA51BAABDBE}">
            <x14:dataBar minLength="0" maxLength="100" gradient="0">
              <x14:cfvo type="autoMin"/>
              <x14:cfvo type="autoMax"/>
              <x14:negativeFillColor rgb="FFFF0000"/>
              <x14:axisColor rgb="FF000000"/>
            </x14:dataBar>
          </x14:cfRule>
          <xm:sqref>I32:M60</xm:sqref>
        </x14:conditionalFormatting>
        <x14:conditionalFormatting xmlns:xm="http://schemas.microsoft.com/office/excel/2006/main">
          <x14:cfRule type="dataBar" id="{FF7C460D-BB02-4EB1-80CA-4594CC8C5282}">
            <x14:dataBar minLength="0" maxLength="100" gradient="0">
              <x14:cfvo type="autoMin"/>
              <x14:cfvo type="autoMax"/>
              <x14:negativeFillColor rgb="FFFF0000"/>
              <x14:axisColor rgb="FF000000"/>
            </x14:dataBar>
          </x14:cfRule>
          <xm:sqref>I32:I60</xm:sqref>
        </x14:conditionalFormatting>
        <x14:conditionalFormatting xmlns:xm="http://schemas.microsoft.com/office/excel/2006/main">
          <x14:cfRule type="dataBar" id="{2D350B73-1766-4003-84DB-A8EE2B08CD84}">
            <x14:dataBar minLength="0" maxLength="100" gradient="0">
              <x14:cfvo type="autoMin"/>
              <x14:cfvo type="autoMax"/>
              <x14:negativeFillColor rgb="FFFF0000"/>
              <x14:axisColor rgb="FF000000"/>
            </x14:dataBar>
          </x14:cfRule>
          <xm:sqref>E17:G20</xm:sqref>
        </x14:conditionalFormatting>
        <x14:conditionalFormatting xmlns:xm="http://schemas.microsoft.com/office/excel/2006/main">
          <x14:cfRule type="dataBar" id="{BB2FF4F6-3D35-4E94-A134-7E431A07B99D}">
            <x14:dataBar minLength="0" maxLength="100" gradient="0">
              <x14:cfvo type="autoMin"/>
              <x14:cfvo type="autoMax"/>
              <x14:negativeFillColor rgb="FFFF0000"/>
              <x14:axisColor rgb="FF000000"/>
            </x14:dataBar>
          </x14:cfRule>
          <xm:sqref>H17:J20</xm:sqref>
        </x14:conditionalFormatting>
        <x14:conditionalFormatting xmlns:xm="http://schemas.microsoft.com/office/excel/2006/main">
          <x14:cfRule type="dataBar" id="{50142E88-5BAF-42BE-BE7B-FD6286E870D0}">
            <x14:dataBar minLength="0" maxLength="100" gradient="0">
              <x14:cfvo type="autoMin"/>
              <x14:cfvo type="autoMax"/>
              <x14:negativeFillColor rgb="FFFF0000"/>
              <x14:axisColor rgb="FF000000"/>
            </x14:dataBar>
          </x14:cfRule>
          <xm:sqref>K17:M20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40" workbookViewId="0">
      <selection activeCell="H54" sqref="H54"/>
    </sheetView>
  </sheetViews>
  <sheetFormatPr baseColWidth="10" defaultRowHeight="14.4" x14ac:dyDescent="0.3"/>
  <cols>
    <col min="1" max="1" width="4.33203125" style="173" customWidth="1"/>
    <col min="2" max="2" width="4.6640625" customWidth="1"/>
    <col min="4" max="4" width="39.6640625" customWidth="1"/>
  </cols>
  <sheetData>
    <row r="1" spans="1:13" x14ac:dyDescent="0.3">
      <c r="B1" s="173"/>
    </row>
    <row r="3" spans="1:13" ht="30.6" thickBot="1" x14ac:dyDescent="0.45">
      <c r="C3" s="1" t="s">
        <v>193</v>
      </c>
      <c r="D3" s="1"/>
      <c r="E3" s="6" t="s">
        <v>32</v>
      </c>
      <c r="F3" s="7" t="s">
        <v>31</v>
      </c>
      <c r="G3" s="8" t="s">
        <v>3</v>
      </c>
    </row>
    <row r="4" spans="1:13" ht="97.5" customHeight="1" thickTop="1" x14ac:dyDescent="0.3">
      <c r="C4" s="187">
        <v>5.0999999999999996</v>
      </c>
      <c r="D4" s="275" t="s">
        <v>194</v>
      </c>
      <c r="E4" s="275"/>
      <c r="F4" s="275"/>
      <c r="G4" s="275"/>
    </row>
    <row r="5" spans="1:13" x14ac:dyDescent="0.3">
      <c r="C5" s="188">
        <v>5.2</v>
      </c>
      <c r="D5" s="189" t="s">
        <v>195</v>
      </c>
      <c r="E5" s="190"/>
      <c r="F5" s="190"/>
      <c r="G5" s="190"/>
    </row>
    <row r="8" spans="1:13" ht="18" thickBot="1" x14ac:dyDescent="0.4">
      <c r="E8" s="2">
        <v>5.0999999999999996</v>
      </c>
      <c r="F8" s="2"/>
      <c r="G8" s="274" t="s">
        <v>215</v>
      </c>
      <c r="H8" s="274"/>
      <c r="I8" s="274"/>
      <c r="J8" s="274"/>
      <c r="K8" s="274"/>
      <c r="L8" s="274"/>
      <c r="M8" s="274"/>
    </row>
    <row r="9" spans="1:13" ht="15" thickTop="1" x14ac:dyDescent="0.3">
      <c r="C9" s="53"/>
      <c r="D9" s="39"/>
      <c r="E9" s="268" t="s">
        <v>204</v>
      </c>
      <c r="F9" s="269"/>
      <c r="G9" s="270"/>
      <c r="H9" s="260" t="s">
        <v>205</v>
      </c>
      <c r="I9" s="261"/>
      <c r="J9" s="262"/>
      <c r="K9" s="263" t="s">
        <v>206</v>
      </c>
      <c r="L9" s="264"/>
      <c r="M9" s="265"/>
    </row>
    <row r="10" spans="1:13" x14ac:dyDescent="0.3">
      <c r="A10" s="175"/>
      <c r="B10" s="172"/>
      <c r="C10" s="54"/>
      <c r="D10" s="42"/>
      <c r="E10" s="198" t="s">
        <v>200</v>
      </c>
      <c r="F10" s="199" t="s">
        <v>201</v>
      </c>
      <c r="G10" s="42" t="s">
        <v>30</v>
      </c>
      <c r="H10" s="198" t="s">
        <v>200</v>
      </c>
      <c r="I10" s="199" t="s">
        <v>201</v>
      </c>
      <c r="J10" s="42" t="s">
        <v>30</v>
      </c>
      <c r="K10" s="198" t="s">
        <v>200</v>
      </c>
      <c r="L10" s="199" t="s">
        <v>201</v>
      </c>
      <c r="M10" s="44" t="s">
        <v>30</v>
      </c>
    </row>
    <row r="11" spans="1:13" x14ac:dyDescent="0.3">
      <c r="A11" s="175"/>
      <c r="B11" s="172"/>
      <c r="C11" s="54"/>
      <c r="D11" s="42"/>
      <c r="E11" s="195" t="s">
        <v>43</v>
      </c>
      <c r="F11" s="112" t="s">
        <v>43</v>
      </c>
      <c r="G11" s="112" t="s">
        <v>43</v>
      </c>
      <c r="H11" s="195" t="s">
        <v>43</v>
      </c>
      <c r="I11" s="112" t="s">
        <v>43</v>
      </c>
      <c r="J11" s="112" t="s">
        <v>43</v>
      </c>
      <c r="K11" s="195" t="s">
        <v>211</v>
      </c>
      <c r="L11" s="112" t="s">
        <v>211</v>
      </c>
      <c r="M11" s="113" t="s">
        <v>211</v>
      </c>
    </row>
    <row r="12" spans="1:13" ht="18" thickBot="1" x14ac:dyDescent="0.4">
      <c r="C12" s="114">
        <v>4.0999999999999996</v>
      </c>
      <c r="D12" s="115" t="s">
        <v>202</v>
      </c>
      <c r="E12" s="196"/>
      <c r="F12" s="16"/>
      <c r="G12" s="193">
        <f>SUM(E12:F12)</f>
        <v>0</v>
      </c>
      <c r="H12" s="196"/>
      <c r="I12" s="16"/>
      <c r="J12" s="193">
        <f>SUM(H12:I12)</f>
        <v>0</v>
      </c>
      <c r="K12" s="196"/>
      <c r="L12" s="16"/>
      <c r="M12" s="176">
        <f>SUM(K12:L12)</f>
        <v>0</v>
      </c>
    </row>
    <row r="13" spans="1:13" ht="18.600000000000001" thickTop="1" thickBot="1" x14ac:dyDescent="0.4">
      <c r="C13" s="177" t="s">
        <v>189</v>
      </c>
      <c r="D13" s="115" t="s">
        <v>203</v>
      </c>
      <c r="E13" s="196"/>
      <c r="F13" s="16"/>
      <c r="G13" s="193">
        <f t="shared" ref="G13:G15" si="0">SUM(E13:F13)</f>
        <v>0</v>
      </c>
      <c r="H13" s="196"/>
      <c r="I13" s="16"/>
      <c r="J13" s="193">
        <f t="shared" ref="J13:J15" si="1">SUM(H13:I13)</f>
        <v>0</v>
      </c>
      <c r="K13" s="196"/>
      <c r="L13" s="16"/>
      <c r="M13" s="176">
        <f t="shared" ref="M13:M15" si="2">SUM(K13:L13)</f>
        <v>0</v>
      </c>
    </row>
    <row r="14" spans="1:13" ht="18.600000000000001" thickTop="1" thickBot="1" x14ac:dyDescent="0.4">
      <c r="C14" s="177" t="s">
        <v>190</v>
      </c>
      <c r="D14" s="115" t="s">
        <v>207</v>
      </c>
      <c r="E14" s="196"/>
      <c r="F14" s="16"/>
      <c r="G14" s="193">
        <f t="shared" si="0"/>
        <v>0</v>
      </c>
      <c r="H14" s="196"/>
      <c r="I14" s="16"/>
      <c r="J14" s="193">
        <f t="shared" si="1"/>
        <v>0</v>
      </c>
      <c r="K14" s="196"/>
      <c r="L14" s="16"/>
      <c r="M14" s="176">
        <f t="shared" si="2"/>
        <v>0</v>
      </c>
    </row>
    <row r="15" spans="1:13" ht="18.600000000000001" thickTop="1" thickBot="1" x14ac:dyDescent="0.4">
      <c r="C15" s="178" t="s">
        <v>191</v>
      </c>
      <c r="D15" s="179" t="s">
        <v>208</v>
      </c>
      <c r="E15" s="197"/>
      <c r="F15" s="180"/>
      <c r="G15" s="194">
        <f t="shared" si="0"/>
        <v>0</v>
      </c>
      <c r="H15" s="197"/>
      <c r="I15" s="180"/>
      <c r="J15" s="194">
        <f t="shared" si="1"/>
        <v>0</v>
      </c>
      <c r="K15" s="197"/>
      <c r="L15" s="180"/>
      <c r="M15" s="181">
        <f t="shared" si="2"/>
        <v>0</v>
      </c>
    </row>
  </sheetData>
  <mergeCells count="5">
    <mergeCell ref="G8:M8"/>
    <mergeCell ref="D4:G4"/>
    <mergeCell ref="E9:G9"/>
    <mergeCell ref="H9:J9"/>
    <mergeCell ref="K9:M9"/>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AA36"/>
  <sheetViews>
    <sheetView showGridLines="0" topLeftCell="A4" workbookViewId="0">
      <selection activeCell="J41" sqref="J41"/>
    </sheetView>
  </sheetViews>
  <sheetFormatPr baseColWidth="10" defaultRowHeight="14.4" x14ac:dyDescent="0.3"/>
  <cols>
    <col min="2" max="2" width="17.44140625" customWidth="1"/>
    <col min="3" max="3" width="24.6640625" customWidth="1"/>
    <col min="5" max="5" width="9" customWidth="1"/>
    <col min="6" max="7" width="6.33203125" customWidth="1"/>
    <col min="8" max="12" width="6.33203125" style="150" customWidth="1"/>
    <col min="13" max="19" width="6" style="150" customWidth="1"/>
    <col min="20" max="20" width="6.44140625" customWidth="1"/>
  </cols>
  <sheetData>
    <row r="4" spans="2:27" ht="11.25" customHeight="1" thickBot="1" x14ac:dyDescent="0.35"/>
    <row r="5" spans="2:27" ht="108" customHeight="1" thickBot="1" x14ac:dyDescent="0.4">
      <c r="B5" s="160" t="s">
        <v>20</v>
      </c>
      <c r="C5" s="161" t="s">
        <v>21</v>
      </c>
      <c r="D5" s="161"/>
      <c r="E5" s="171" t="s">
        <v>23</v>
      </c>
      <c r="F5" s="169" t="s">
        <v>174</v>
      </c>
      <c r="G5" s="169" t="s">
        <v>181</v>
      </c>
      <c r="H5" s="169" t="s">
        <v>181</v>
      </c>
      <c r="I5" s="169" t="s">
        <v>181</v>
      </c>
      <c r="J5" s="170" t="s">
        <v>175</v>
      </c>
      <c r="K5" s="169" t="s">
        <v>176</v>
      </c>
      <c r="L5" s="169" t="s">
        <v>177</v>
      </c>
    </row>
    <row r="6" spans="2:27" ht="15.6" thickTop="1" thickBot="1" x14ac:dyDescent="0.35">
      <c r="B6" s="61"/>
      <c r="C6" s="62"/>
      <c r="D6" s="62"/>
      <c r="E6" s="62" t="s">
        <v>19</v>
      </c>
      <c r="F6" s="152"/>
      <c r="G6" s="152"/>
      <c r="H6" s="152"/>
      <c r="I6" s="152"/>
      <c r="J6" s="152"/>
      <c r="K6" s="152"/>
      <c r="L6" s="162"/>
    </row>
    <row r="7" spans="2:27" x14ac:dyDescent="0.3">
      <c r="B7" s="54">
        <v>1.1000000000000001</v>
      </c>
      <c r="C7" s="148" t="s">
        <v>181</v>
      </c>
      <c r="D7" s="148"/>
      <c r="E7" s="51">
        <v>65200</v>
      </c>
      <c r="F7" s="163"/>
      <c r="G7" s="163">
        <v>13440</v>
      </c>
      <c r="H7" s="163">
        <v>13440</v>
      </c>
      <c r="I7" s="163">
        <v>13440</v>
      </c>
      <c r="J7" s="163"/>
      <c r="K7" s="163">
        <v>8064</v>
      </c>
      <c r="L7" s="164">
        <v>16816</v>
      </c>
      <c r="M7" s="153"/>
      <c r="S7" s="153"/>
      <c r="T7" s="153"/>
      <c r="U7" s="153"/>
      <c r="V7" s="153"/>
      <c r="W7" s="153"/>
      <c r="X7" s="153"/>
      <c r="Y7" s="153"/>
      <c r="Z7" s="153"/>
      <c r="AA7" s="153"/>
    </row>
    <row r="8" spans="2:27" x14ac:dyDescent="0.3">
      <c r="B8" s="54">
        <v>3.1</v>
      </c>
      <c r="C8" s="42" t="s">
        <v>8</v>
      </c>
      <c r="D8" s="42"/>
      <c r="E8" s="51">
        <v>4500</v>
      </c>
      <c r="F8" s="163">
        <v>2500</v>
      </c>
      <c r="G8" s="163"/>
      <c r="H8" s="163"/>
      <c r="I8" s="163"/>
      <c r="J8" s="163">
        <v>2000</v>
      </c>
      <c r="K8" s="163"/>
      <c r="L8" s="164"/>
      <c r="M8" s="153"/>
      <c r="S8" s="153"/>
      <c r="T8" s="153"/>
      <c r="U8" s="153"/>
      <c r="V8" s="153"/>
      <c r="W8" s="153"/>
      <c r="X8" s="153"/>
      <c r="Y8" s="153"/>
      <c r="Z8" s="153"/>
      <c r="AA8" s="153"/>
    </row>
    <row r="9" spans="2:27" x14ac:dyDescent="0.3">
      <c r="B9" s="54">
        <v>3.2</v>
      </c>
      <c r="C9" s="42" t="s">
        <v>9</v>
      </c>
      <c r="D9" s="42"/>
      <c r="E9" s="51">
        <v>4000</v>
      </c>
      <c r="F9" s="163">
        <v>2000</v>
      </c>
      <c r="G9" s="163"/>
      <c r="H9" s="163"/>
      <c r="I9" s="163"/>
      <c r="J9" s="163">
        <v>2000</v>
      </c>
      <c r="K9" s="163"/>
      <c r="L9" s="164"/>
      <c r="M9" s="153"/>
      <c r="S9" s="153"/>
      <c r="T9" s="153"/>
      <c r="U9" s="153"/>
      <c r="V9" s="153"/>
      <c r="W9" s="153"/>
      <c r="X9" s="153"/>
      <c r="Y9" s="153"/>
      <c r="Z9" s="153"/>
      <c r="AA9" s="153"/>
    </row>
    <row r="10" spans="2:27" x14ac:dyDescent="0.3">
      <c r="B10" s="54">
        <v>3.3</v>
      </c>
      <c r="C10" s="42" t="s">
        <v>10</v>
      </c>
      <c r="D10" s="42"/>
      <c r="E10" s="51">
        <v>1000</v>
      </c>
      <c r="F10" s="163">
        <v>500</v>
      </c>
      <c r="G10" s="163"/>
      <c r="H10" s="163"/>
      <c r="I10" s="163"/>
      <c r="J10" s="163">
        <v>500</v>
      </c>
      <c r="K10" s="163"/>
      <c r="L10" s="164"/>
      <c r="M10" s="153"/>
      <c r="S10" s="153"/>
      <c r="T10" s="153"/>
      <c r="U10" s="153"/>
      <c r="V10" s="153"/>
      <c r="W10" s="153"/>
      <c r="X10" s="153"/>
      <c r="Y10" s="153"/>
      <c r="Z10" s="153"/>
      <c r="AA10" s="153"/>
    </row>
    <row r="11" spans="2:27" x14ac:dyDescent="0.3">
      <c r="B11" s="54">
        <v>3.4</v>
      </c>
      <c r="C11" s="42" t="s">
        <v>11</v>
      </c>
      <c r="D11" s="42"/>
      <c r="E11" s="51">
        <v>1000</v>
      </c>
      <c r="F11" s="163">
        <v>500</v>
      </c>
      <c r="G11" s="163"/>
      <c r="H11" s="163"/>
      <c r="I11" s="163"/>
      <c r="J11" s="163">
        <v>500</v>
      </c>
      <c r="K11" s="163"/>
      <c r="L11" s="164"/>
      <c r="M11" s="153"/>
      <c r="S11" s="153"/>
      <c r="T11" s="153"/>
      <c r="U11" s="153"/>
      <c r="V11" s="153"/>
      <c r="W11" s="153"/>
      <c r="X11" s="153"/>
      <c r="Y11" s="153"/>
      <c r="Z11" s="153"/>
      <c r="AA11" s="153"/>
    </row>
    <row r="12" spans="2:27" x14ac:dyDescent="0.3">
      <c r="B12" s="54">
        <v>4.0999999999999996</v>
      </c>
      <c r="C12" s="42" t="s">
        <v>12</v>
      </c>
      <c r="D12" s="42"/>
      <c r="E12" s="51">
        <v>5800</v>
      </c>
      <c r="F12" s="163">
        <v>2800</v>
      </c>
      <c r="G12" s="163"/>
      <c r="H12" s="163"/>
      <c r="I12" s="163"/>
      <c r="J12" s="163">
        <v>3000</v>
      </c>
      <c r="K12" s="163"/>
      <c r="L12" s="164"/>
      <c r="M12" s="153"/>
      <c r="S12" s="153"/>
      <c r="T12" s="153"/>
      <c r="U12" s="153"/>
      <c r="V12" s="153"/>
      <c r="W12" s="153"/>
      <c r="X12" s="153"/>
      <c r="Y12" s="153"/>
      <c r="Z12" s="153"/>
      <c r="AA12" s="153"/>
    </row>
    <row r="13" spans="2:27" x14ac:dyDescent="0.3">
      <c r="B13" s="54">
        <v>4.2</v>
      </c>
      <c r="C13" s="42" t="s">
        <v>13</v>
      </c>
      <c r="D13" s="42"/>
      <c r="E13" s="51">
        <v>3620</v>
      </c>
      <c r="F13" s="163">
        <v>1620</v>
      </c>
      <c r="G13" s="163"/>
      <c r="H13" s="163"/>
      <c r="I13" s="163"/>
      <c r="J13" s="163">
        <v>2000</v>
      </c>
      <c r="K13" s="163"/>
      <c r="L13" s="164"/>
      <c r="M13" s="153"/>
      <c r="S13" s="153"/>
      <c r="T13" s="153"/>
      <c r="U13" s="153"/>
      <c r="V13" s="153"/>
      <c r="W13" s="153"/>
      <c r="X13" s="153"/>
      <c r="Y13" s="153"/>
      <c r="Z13" s="153"/>
      <c r="AA13" s="153"/>
    </row>
    <row r="14" spans="2:27" x14ac:dyDescent="0.3">
      <c r="B14" s="54">
        <v>4.3</v>
      </c>
      <c r="C14" s="42" t="s">
        <v>14</v>
      </c>
      <c r="D14" s="42"/>
      <c r="E14" s="51">
        <v>1000</v>
      </c>
      <c r="F14" s="163">
        <v>0</v>
      </c>
      <c r="G14" s="163"/>
      <c r="H14" s="163"/>
      <c r="I14" s="163"/>
      <c r="J14" s="163">
        <v>1000</v>
      </c>
      <c r="K14" s="163"/>
      <c r="L14" s="164"/>
      <c r="M14" s="153"/>
      <c r="S14" s="153"/>
      <c r="T14" s="153"/>
      <c r="U14" s="153"/>
      <c r="V14" s="153"/>
      <c r="W14" s="153"/>
      <c r="X14" s="153"/>
      <c r="Y14" s="153"/>
      <c r="Z14" s="153"/>
      <c r="AA14" s="153"/>
    </row>
    <row r="15" spans="2:27" x14ac:dyDescent="0.3">
      <c r="B15" s="54">
        <v>4.4000000000000004</v>
      </c>
      <c r="C15" s="42" t="s">
        <v>15</v>
      </c>
      <c r="D15" s="42"/>
      <c r="E15" s="51">
        <v>6000</v>
      </c>
      <c r="F15" s="163">
        <v>2000</v>
      </c>
      <c r="G15" s="163"/>
      <c r="H15" s="163"/>
      <c r="I15" s="163"/>
      <c r="J15" s="163">
        <v>4000</v>
      </c>
      <c r="K15" s="163"/>
      <c r="L15" s="164"/>
      <c r="M15" s="153"/>
      <c r="S15" s="153"/>
      <c r="T15" s="153"/>
      <c r="U15" s="153"/>
      <c r="V15" s="153"/>
      <c r="W15" s="153"/>
      <c r="X15" s="153"/>
      <c r="Y15" s="153"/>
      <c r="Z15" s="153"/>
      <c r="AA15" s="153"/>
    </row>
    <row r="16" spans="2:27" x14ac:dyDescent="0.3">
      <c r="B16" s="54">
        <v>9.3000000000000007</v>
      </c>
      <c r="C16" s="42" t="s">
        <v>16</v>
      </c>
      <c r="D16" s="42"/>
      <c r="E16" s="51">
        <v>6000</v>
      </c>
      <c r="F16" s="163">
        <v>3000</v>
      </c>
      <c r="G16" s="163"/>
      <c r="H16" s="163"/>
      <c r="I16" s="163"/>
      <c r="J16" s="163">
        <v>3000</v>
      </c>
      <c r="K16" s="163"/>
      <c r="L16" s="164"/>
      <c r="M16" s="153"/>
      <c r="S16" s="153"/>
      <c r="T16" s="153"/>
      <c r="U16" s="153"/>
      <c r="V16" s="153"/>
      <c r="W16" s="153"/>
      <c r="X16" s="153"/>
      <c r="Y16" s="153"/>
      <c r="Z16" s="153"/>
      <c r="AA16" s="153"/>
    </row>
    <row r="17" spans="2:27" x14ac:dyDescent="0.3">
      <c r="B17" s="54">
        <v>5.0999999999999996</v>
      </c>
      <c r="C17" s="148" t="s">
        <v>182</v>
      </c>
      <c r="D17" s="148"/>
      <c r="E17" s="51">
        <v>1000</v>
      </c>
      <c r="F17" s="163"/>
      <c r="G17" s="163"/>
      <c r="H17" s="163"/>
      <c r="I17" s="163"/>
      <c r="J17" s="163"/>
      <c r="K17" s="163"/>
      <c r="L17" s="164">
        <v>1000</v>
      </c>
      <c r="M17" s="153"/>
      <c r="S17" s="153"/>
      <c r="T17" s="153"/>
      <c r="U17" s="153"/>
      <c r="V17" s="153"/>
      <c r="W17" s="153"/>
      <c r="X17" s="153"/>
      <c r="Y17" s="153"/>
      <c r="Z17" s="153"/>
      <c r="AA17" s="153"/>
    </row>
    <row r="18" spans="2:27" x14ac:dyDescent="0.3">
      <c r="B18" s="149">
        <v>5.2</v>
      </c>
      <c r="C18" s="148" t="s">
        <v>183</v>
      </c>
      <c r="D18" s="148"/>
      <c r="E18" s="51">
        <v>1000</v>
      </c>
      <c r="F18" s="163"/>
      <c r="G18" s="163"/>
      <c r="H18" s="163"/>
      <c r="I18" s="163"/>
      <c r="J18" s="163"/>
      <c r="K18" s="163"/>
      <c r="L18" s="164">
        <v>1000</v>
      </c>
      <c r="M18" s="153"/>
      <c r="S18" s="153"/>
      <c r="T18" s="153"/>
      <c r="U18" s="153"/>
      <c r="V18" s="153"/>
      <c r="W18" s="153"/>
      <c r="X18" s="153"/>
      <c r="Y18" s="153"/>
      <c r="Z18" s="153"/>
      <c r="AA18" s="153"/>
    </row>
    <row r="19" spans="2:27" x14ac:dyDescent="0.3">
      <c r="B19" s="54">
        <v>12</v>
      </c>
      <c r="C19" s="148" t="s">
        <v>186</v>
      </c>
      <c r="D19" s="148"/>
      <c r="E19" s="51">
        <v>19344</v>
      </c>
      <c r="F19" s="163">
        <v>2880</v>
      </c>
      <c r="G19" s="163">
        <v>2560</v>
      </c>
      <c r="H19" s="163">
        <v>2560</v>
      </c>
      <c r="I19" s="163">
        <v>2560</v>
      </c>
      <c r="J19" s="163">
        <v>3664</v>
      </c>
      <c r="K19" s="163">
        <v>1536</v>
      </c>
      <c r="L19" s="164">
        <v>3584</v>
      </c>
      <c r="M19" s="153"/>
      <c r="S19" s="153"/>
      <c r="T19" s="153"/>
      <c r="U19" s="153"/>
      <c r="V19" s="153"/>
      <c r="W19" s="153"/>
      <c r="X19" s="153"/>
      <c r="Y19" s="153"/>
      <c r="Z19" s="153"/>
      <c r="AA19" s="153"/>
    </row>
    <row r="20" spans="2:27" x14ac:dyDescent="0.3">
      <c r="B20" s="54"/>
      <c r="C20" s="42"/>
      <c r="D20" s="42"/>
      <c r="E20" s="51"/>
      <c r="F20" s="163"/>
      <c r="G20" s="163"/>
      <c r="H20" s="163"/>
      <c r="I20" s="163"/>
      <c r="J20" s="163"/>
      <c r="K20" s="163"/>
      <c r="L20" s="164"/>
      <c r="M20" s="153"/>
      <c r="S20" s="153"/>
      <c r="T20" s="153"/>
      <c r="U20" s="153"/>
      <c r="V20" s="153"/>
      <c r="W20" s="153"/>
      <c r="X20" s="153"/>
      <c r="Y20" s="153"/>
      <c r="Z20" s="153"/>
      <c r="AA20" s="153"/>
    </row>
    <row r="21" spans="2:27" ht="15" thickBot="1" x14ac:dyDescent="0.35">
      <c r="B21" s="56"/>
      <c r="C21" s="5"/>
      <c r="D21" s="5"/>
      <c r="E21" s="67"/>
      <c r="F21" s="5"/>
      <c r="G21" s="5"/>
      <c r="H21" s="167"/>
      <c r="I21" s="167"/>
      <c r="J21" s="167"/>
      <c r="K21" s="167"/>
      <c r="L21" s="168"/>
    </row>
    <row r="22" spans="2:27" ht="15.6" thickTop="1" thickBot="1" x14ac:dyDescent="0.35">
      <c r="B22" s="57" t="s">
        <v>30</v>
      </c>
      <c r="C22" s="46"/>
      <c r="D22" s="46"/>
      <c r="E22" s="64">
        <f>SUM(E7:E21)</f>
        <v>119464</v>
      </c>
      <c r="F22" s="46"/>
      <c r="G22" s="46"/>
      <c r="H22" s="165"/>
      <c r="I22" s="165"/>
      <c r="J22" s="165"/>
      <c r="K22" s="165"/>
      <c r="L22" s="166"/>
    </row>
    <row r="26" spans="2:27" ht="84.6" hidden="1" thickBot="1" x14ac:dyDescent="0.35">
      <c r="B26" s="131" t="s">
        <v>173</v>
      </c>
      <c r="C26" s="136" t="s">
        <v>179</v>
      </c>
      <c r="D26" s="142" t="s">
        <v>180</v>
      </c>
      <c r="E26" s="154" t="s">
        <v>184</v>
      </c>
      <c r="F26" s="151" t="s">
        <v>181</v>
      </c>
      <c r="G26" s="151" t="s">
        <v>185</v>
      </c>
      <c r="H26" s="152" t="s">
        <v>8</v>
      </c>
      <c r="I26" s="152" t="s">
        <v>9</v>
      </c>
      <c r="J26" s="152" t="s">
        <v>11</v>
      </c>
      <c r="K26" s="152" t="s">
        <v>12</v>
      </c>
      <c r="L26" s="152" t="s">
        <v>13</v>
      </c>
      <c r="M26" s="152" t="s">
        <v>14</v>
      </c>
      <c r="N26" s="152" t="s">
        <v>15</v>
      </c>
      <c r="O26" s="152" t="s">
        <v>16</v>
      </c>
      <c r="P26" s="152" t="s">
        <v>59</v>
      </c>
      <c r="Q26" s="151" t="s">
        <v>182</v>
      </c>
      <c r="R26" s="151" t="s">
        <v>183</v>
      </c>
    </row>
    <row r="27" spans="2:27" ht="15" hidden="1" thickBot="1" x14ac:dyDescent="0.35">
      <c r="B27" s="132" t="s">
        <v>174</v>
      </c>
      <c r="C27" s="137">
        <v>22500</v>
      </c>
      <c r="D27" s="143">
        <v>18000</v>
      </c>
      <c r="E27">
        <f>SUM(F27:R27)</f>
        <v>17500</v>
      </c>
      <c r="F27" s="153"/>
      <c r="G27" s="153">
        <f>D27*16%</f>
        <v>2880</v>
      </c>
      <c r="H27" s="155">
        <v>2500</v>
      </c>
      <c r="I27" s="155">
        <v>2000</v>
      </c>
      <c r="J27" s="155">
        <v>500</v>
      </c>
      <c r="K27" s="157">
        <v>2800</v>
      </c>
      <c r="L27" s="158">
        <f>18000-16380</f>
        <v>1620</v>
      </c>
      <c r="M27" s="156">
        <v>0</v>
      </c>
      <c r="N27" s="153">
        <v>2000</v>
      </c>
      <c r="O27" s="153">
        <v>3000</v>
      </c>
      <c r="P27" s="156">
        <v>200</v>
      </c>
      <c r="Q27" s="153"/>
      <c r="R27" s="153"/>
    </row>
    <row r="28" spans="2:27" ht="15" hidden="1" thickBot="1" x14ac:dyDescent="0.35">
      <c r="B28" s="132" t="s">
        <v>181</v>
      </c>
      <c r="C28" s="138">
        <v>20000</v>
      </c>
      <c r="D28" s="144">
        <v>16000</v>
      </c>
      <c r="E28">
        <f>SUM(F28:R28)</f>
        <v>16000</v>
      </c>
      <c r="F28" s="159">
        <f>D28-G28</f>
        <v>13440</v>
      </c>
      <c r="G28" s="153">
        <f>D28*16%</f>
        <v>2560</v>
      </c>
      <c r="H28" s="153"/>
      <c r="I28" s="153"/>
      <c r="J28" s="153"/>
      <c r="K28" s="153"/>
      <c r="L28" s="153"/>
      <c r="M28" s="153"/>
      <c r="N28" s="153"/>
      <c r="O28" s="153"/>
      <c r="P28" s="153"/>
      <c r="Q28" s="153"/>
      <c r="R28" s="153"/>
    </row>
    <row r="29" spans="2:27" ht="15" hidden="1" thickBot="1" x14ac:dyDescent="0.35">
      <c r="B29" s="132" t="s">
        <v>181</v>
      </c>
      <c r="C29" s="138">
        <v>20000</v>
      </c>
      <c r="D29" s="144">
        <v>16000</v>
      </c>
      <c r="E29">
        <f>SUM(F29:R29)</f>
        <v>16000</v>
      </c>
      <c r="F29" s="159">
        <f t="shared" ref="F29:F30" si="0">D29-G29</f>
        <v>13440</v>
      </c>
      <c r="G29" s="153">
        <f t="shared" ref="G29:G30" si="1">D29*16%</f>
        <v>2560</v>
      </c>
      <c r="H29" s="153"/>
      <c r="I29" s="153"/>
      <c r="J29" s="153"/>
      <c r="K29" s="153"/>
      <c r="L29" s="153"/>
      <c r="M29" s="153"/>
      <c r="N29" s="153"/>
      <c r="O29" s="153"/>
      <c r="P29" s="153"/>
      <c r="Q29" s="153"/>
      <c r="R29" s="153"/>
    </row>
    <row r="30" spans="2:27" ht="15" hidden="1" thickBot="1" x14ac:dyDescent="0.35">
      <c r="B30" s="132" t="s">
        <v>181</v>
      </c>
      <c r="C30" s="138">
        <v>20000</v>
      </c>
      <c r="D30" s="144">
        <v>16000</v>
      </c>
      <c r="E30">
        <f>SUM(F30:R30)</f>
        <v>16000</v>
      </c>
      <c r="F30" s="159">
        <f t="shared" si="0"/>
        <v>13440</v>
      </c>
      <c r="G30" s="153">
        <f t="shared" si="1"/>
        <v>2560</v>
      </c>
      <c r="H30" s="153"/>
      <c r="I30" s="153"/>
      <c r="J30" s="153"/>
      <c r="K30" s="153"/>
      <c r="L30" s="153"/>
      <c r="M30" s="153"/>
      <c r="N30" s="153"/>
      <c r="O30" s="153"/>
      <c r="P30" s="153"/>
      <c r="Q30" s="153"/>
      <c r="R30" s="153"/>
    </row>
    <row r="31" spans="2:27" ht="15" hidden="1" thickBot="1" x14ac:dyDescent="0.35">
      <c r="B31" s="132"/>
      <c r="C31" s="138"/>
      <c r="D31" s="144"/>
      <c r="F31" s="159"/>
      <c r="G31" s="153"/>
      <c r="H31" s="153"/>
      <c r="I31" s="153"/>
      <c r="J31" s="153"/>
      <c r="K31" s="153"/>
      <c r="L31" s="153"/>
      <c r="M31" s="153"/>
      <c r="N31" s="153"/>
      <c r="O31" s="153"/>
      <c r="P31" s="153"/>
      <c r="Q31" s="153"/>
      <c r="R31" s="153"/>
    </row>
    <row r="32" spans="2:27" ht="15" hidden="1" thickBot="1" x14ac:dyDescent="0.35">
      <c r="B32" s="133" t="s">
        <v>175</v>
      </c>
      <c r="C32" s="139">
        <v>28625</v>
      </c>
      <c r="D32" s="145">
        <v>22900</v>
      </c>
      <c r="E32">
        <f>SUM(F32:R32)</f>
        <v>21664</v>
      </c>
      <c r="F32" s="159"/>
      <c r="G32" s="153">
        <f>D32*16%</f>
        <v>3664</v>
      </c>
      <c r="H32" s="153">
        <v>2000</v>
      </c>
      <c r="I32" s="153">
        <v>2000</v>
      </c>
      <c r="J32" s="153">
        <v>500</v>
      </c>
      <c r="K32" s="155">
        <v>3000</v>
      </c>
      <c r="L32" s="155">
        <v>2000</v>
      </c>
      <c r="M32" s="155">
        <v>1000</v>
      </c>
      <c r="N32" s="155">
        <v>4000</v>
      </c>
      <c r="O32" s="155">
        <v>3000</v>
      </c>
      <c r="P32" s="155">
        <v>500</v>
      </c>
      <c r="Q32" s="153"/>
      <c r="R32" s="153"/>
    </row>
    <row r="33" spans="2:18" ht="15" hidden="1" thickBot="1" x14ac:dyDescent="0.35">
      <c r="B33" s="134" t="s">
        <v>176</v>
      </c>
      <c r="C33" s="140">
        <v>12000</v>
      </c>
      <c r="D33" s="146">
        <v>9600</v>
      </c>
      <c r="E33">
        <f>SUM(F33:R33)</f>
        <v>9600</v>
      </c>
      <c r="F33" s="159">
        <f t="shared" ref="F33" si="2">D33-G33</f>
        <v>8064</v>
      </c>
      <c r="G33" s="153">
        <f t="shared" ref="G33" si="3">D33*16%</f>
        <v>1536</v>
      </c>
      <c r="H33" s="153"/>
      <c r="I33" s="153"/>
      <c r="J33" s="153"/>
      <c r="K33" s="153"/>
      <c r="L33" s="153"/>
      <c r="M33" s="153"/>
      <c r="N33" s="153"/>
      <c r="O33" s="153"/>
      <c r="P33" s="153"/>
      <c r="Q33" s="153"/>
      <c r="R33" s="153"/>
    </row>
    <row r="34" spans="2:18" ht="15" hidden="1" thickBot="1" x14ac:dyDescent="0.35">
      <c r="B34" s="134" t="s">
        <v>177</v>
      </c>
      <c r="C34" s="140">
        <v>28000</v>
      </c>
      <c r="D34" s="146">
        <v>22400</v>
      </c>
      <c r="E34">
        <f>SUM(F34:R34)</f>
        <v>22400</v>
      </c>
      <c r="F34" s="159">
        <f>D34-G34-Q34-R34</f>
        <v>16816</v>
      </c>
      <c r="G34" s="153">
        <f t="shared" ref="G34" si="4">D34*16%</f>
        <v>3584</v>
      </c>
      <c r="H34" s="153"/>
      <c r="I34" s="153"/>
      <c r="J34" s="153"/>
      <c r="K34" s="153"/>
      <c r="L34" s="153"/>
      <c r="M34" s="153"/>
      <c r="N34" s="153"/>
      <c r="O34" s="153"/>
      <c r="P34" s="153"/>
      <c r="Q34" s="155">
        <v>1000</v>
      </c>
      <c r="R34" s="155">
        <v>1000</v>
      </c>
    </row>
    <row r="35" spans="2:18" ht="15" hidden="1" thickBot="1" x14ac:dyDescent="0.35">
      <c r="B35" s="135" t="s">
        <v>178</v>
      </c>
      <c r="C35" s="141">
        <v>151125</v>
      </c>
      <c r="D35" s="147">
        <v>120900</v>
      </c>
      <c r="E35">
        <f>SUM(F35:R35)</f>
        <v>119164</v>
      </c>
      <c r="F35" s="153">
        <f t="shared" ref="F35:R35" si="5">SUM(F27:F34)</f>
        <v>65200</v>
      </c>
      <c r="G35" s="153">
        <f t="shared" si="5"/>
        <v>19344</v>
      </c>
      <c r="H35" s="153">
        <f t="shared" si="5"/>
        <v>4500</v>
      </c>
      <c r="I35" s="153">
        <f t="shared" si="5"/>
        <v>4000</v>
      </c>
      <c r="J35" s="153">
        <f t="shared" si="5"/>
        <v>1000</v>
      </c>
      <c r="K35" s="153">
        <f t="shared" si="5"/>
        <v>5800</v>
      </c>
      <c r="L35" s="153">
        <f t="shared" si="5"/>
        <v>3620</v>
      </c>
      <c r="M35" s="153">
        <f t="shared" si="5"/>
        <v>1000</v>
      </c>
      <c r="N35" s="153">
        <f t="shared" si="5"/>
        <v>6000</v>
      </c>
      <c r="O35" s="153">
        <f t="shared" si="5"/>
        <v>6000</v>
      </c>
      <c r="P35" s="153">
        <f t="shared" si="5"/>
        <v>700</v>
      </c>
      <c r="Q35" s="153">
        <f t="shared" si="5"/>
        <v>1000</v>
      </c>
      <c r="R35" s="153">
        <f t="shared" si="5"/>
        <v>1000</v>
      </c>
    </row>
    <row r="36" spans="2:18" hidden="1" x14ac:dyDescent="0.3"/>
  </sheetData>
  <conditionalFormatting sqref="D35:E35">
    <cfRule type="dataBar" priority="5">
      <dataBar>
        <cfvo type="min"/>
        <cfvo type="max"/>
        <color rgb="FF638EC6"/>
      </dataBar>
      <extLst>
        <ext xmlns:x14="http://schemas.microsoft.com/office/spreadsheetml/2009/9/main" uri="{B025F937-C7B1-47D3-B67F-A62EFF666E3E}">
          <x14:id>{88F3C0E6-B8A4-4F4E-AE53-A007624A37AB}</x14:id>
        </ext>
      </extLst>
    </cfRule>
  </conditionalFormatting>
  <conditionalFormatting sqref="K27:P27 D27:G27 D28:P35">
    <cfRule type="dataBar" priority="4">
      <dataBar>
        <cfvo type="min"/>
        <cfvo type="max"/>
        <color rgb="FF638EC6"/>
      </dataBar>
      <extLst>
        <ext xmlns:x14="http://schemas.microsoft.com/office/spreadsheetml/2009/9/main" uri="{B025F937-C7B1-47D3-B67F-A62EFF666E3E}">
          <x14:id>{93B816EF-6519-410D-AF9D-F2BF898A0F9E}</x14:id>
        </ext>
      </extLst>
    </cfRule>
  </conditionalFormatting>
  <conditionalFormatting sqref="G27:R35">
    <cfRule type="dataBar" priority="15">
      <dataBar>
        <cfvo type="min"/>
        <cfvo type="max"/>
        <color rgb="FFFF555A"/>
      </dataBar>
      <extLst>
        <ext xmlns:x14="http://schemas.microsoft.com/office/spreadsheetml/2009/9/main" uri="{B025F937-C7B1-47D3-B67F-A62EFF666E3E}">
          <x14:id>{730A53CD-6951-4678-ACC0-1C58FB5D2A45}</x14:id>
        </ext>
      </extLst>
    </cfRule>
  </conditionalFormatting>
  <conditionalFormatting sqref="F27:R34">
    <cfRule type="dataBar" priority="17">
      <dataBar>
        <cfvo type="min"/>
        <cfvo type="max"/>
        <color rgb="FFFF555A"/>
      </dataBar>
      <extLst>
        <ext xmlns:x14="http://schemas.microsoft.com/office/spreadsheetml/2009/9/main" uri="{B025F937-C7B1-47D3-B67F-A62EFF666E3E}">
          <x14:id>{6D988010-0ED5-45BA-A61D-D0D4B0D13FA0}</x14:id>
        </ext>
      </extLst>
    </cfRule>
  </conditionalFormatting>
  <conditionalFormatting sqref="E7:L20">
    <cfRule type="dataBar" priority="19">
      <dataBar>
        <cfvo type="min"/>
        <cfvo type="max"/>
        <color rgb="FF008AEF"/>
      </dataBar>
      <extLst>
        <ext xmlns:x14="http://schemas.microsoft.com/office/spreadsheetml/2009/9/main" uri="{B025F937-C7B1-47D3-B67F-A62EFF666E3E}">
          <x14:id>{7304D3AF-AE77-41BA-8B79-FB29F0B54394}</x14:id>
        </ext>
      </extLst>
    </cfRule>
  </conditionalFormatting>
  <pageMargins left="0.7" right="0.7" top="0.78740157499999996" bottom="0.78740157499999996" header="0.3" footer="0.3"/>
  <pageSetup paperSize="9" orientation="portrait" verticalDpi="0" r:id="rId1"/>
  <legacyDrawing r:id="rId2"/>
  <extLst>
    <ext xmlns:x14="http://schemas.microsoft.com/office/spreadsheetml/2009/9/main" uri="{78C0D931-6437-407d-A8EE-F0AAD7539E65}">
      <x14:conditionalFormattings>
        <x14:conditionalFormatting xmlns:xm="http://schemas.microsoft.com/office/excel/2006/main">
          <x14:cfRule type="dataBar" id="{88F3C0E6-B8A4-4F4E-AE53-A007624A37AB}">
            <x14:dataBar minLength="0" maxLength="100" border="1" negativeBarBorderColorSameAsPositive="0">
              <x14:cfvo type="autoMin"/>
              <x14:cfvo type="autoMax"/>
              <x14:borderColor rgb="FF638EC6"/>
              <x14:negativeFillColor rgb="FFFF0000"/>
              <x14:negativeBorderColor rgb="FFFF0000"/>
              <x14:axisColor rgb="FF000000"/>
            </x14:dataBar>
          </x14:cfRule>
          <xm:sqref>D35:E35</xm:sqref>
        </x14:conditionalFormatting>
        <x14:conditionalFormatting xmlns:xm="http://schemas.microsoft.com/office/excel/2006/main">
          <x14:cfRule type="dataBar" id="{93B816EF-6519-410D-AF9D-F2BF898A0F9E}">
            <x14:dataBar minLength="0" maxLength="100" gradient="0">
              <x14:cfvo type="autoMin"/>
              <x14:cfvo type="autoMax"/>
              <x14:negativeFillColor rgb="FFFF0000"/>
              <x14:axisColor rgb="FF000000"/>
            </x14:dataBar>
          </x14:cfRule>
          <xm:sqref>K27:P27 D27:G27 D28:P35</xm:sqref>
        </x14:conditionalFormatting>
        <x14:conditionalFormatting xmlns:xm="http://schemas.microsoft.com/office/excel/2006/main">
          <x14:cfRule type="dataBar" id="{730A53CD-6951-4678-ACC0-1C58FB5D2A45}">
            <x14:dataBar minLength="0" maxLength="100" gradient="0">
              <x14:cfvo type="autoMin"/>
              <x14:cfvo type="autoMax"/>
              <x14:negativeFillColor rgb="FFFF0000"/>
              <x14:axisColor rgb="FF000000"/>
            </x14:dataBar>
          </x14:cfRule>
          <xm:sqref>G27:R35</xm:sqref>
        </x14:conditionalFormatting>
        <x14:conditionalFormatting xmlns:xm="http://schemas.microsoft.com/office/excel/2006/main">
          <x14:cfRule type="dataBar" id="{6D988010-0ED5-45BA-A61D-D0D4B0D13FA0}">
            <x14:dataBar minLength="0" maxLength="100" gradient="0">
              <x14:cfvo type="autoMin"/>
              <x14:cfvo type="autoMax"/>
              <x14:negativeFillColor rgb="FFFF0000"/>
              <x14:axisColor rgb="FF000000"/>
            </x14:dataBar>
          </x14:cfRule>
          <xm:sqref>F27:R34</xm:sqref>
        </x14:conditionalFormatting>
        <x14:conditionalFormatting xmlns:xm="http://schemas.microsoft.com/office/excel/2006/main">
          <x14:cfRule type="dataBar" id="{7304D3AF-AE77-41BA-8B79-FB29F0B54394}">
            <x14:dataBar minLength="0" maxLength="100" gradient="0">
              <x14:cfvo type="autoMin"/>
              <x14:cfvo type="autoMax"/>
              <x14:negativeFillColor rgb="FFFF0000"/>
              <x14:axisColor rgb="FF000000"/>
            </x14:dataBar>
          </x14:cfRule>
          <xm:sqref>E7:L20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19</vt:i4>
      </vt:variant>
    </vt:vector>
  </HeadingPairs>
  <TitlesOfParts>
    <vt:vector size="25" baseType="lpstr">
      <vt:lpstr>Aufgabe 1</vt:lpstr>
      <vt:lpstr>Aufgabe 2</vt:lpstr>
      <vt:lpstr>Aufgabe 3</vt:lpstr>
      <vt:lpstr>Aufgabe 4</vt:lpstr>
      <vt:lpstr>Aufgabe 5</vt:lpstr>
      <vt:lpstr>Flächen</vt:lpstr>
      <vt:lpstr>cooling_demand</vt:lpstr>
      <vt:lpstr>cooling_demand_specific</vt:lpstr>
      <vt:lpstr>cooling_full_load_hours</vt:lpstr>
      <vt:lpstr>cooling_load</vt:lpstr>
      <vt:lpstr>cooling_power_specific</vt:lpstr>
      <vt:lpstr>customers</vt:lpstr>
      <vt:lpstr>NGF_1.1</vt:lpstr>
      <vt:lpstr>NGF_12</vt:lpstr>
      <vt:lpstr>NGF_3.1</vt:lpstr>
      <vt:lpstr>NGF_3.2</vt:lpstr>
      <vt:lpstr>NGF_3.3</vt:lpstr>
      <vt:lpstr>NGF_3.4</vt:lpstr>
      <vt:lpstr>NGF_4.1</vt:lpstr>
      <vt:lpstr>NGF_4.2</vt:lpstr>
      <vt:lpstr>NGF_4.3</vt:lpstr>
      <vt:lpstr>NGF_4.4</vt:lpstr>
      <vt:lpstr>NGF_5.1</vt:lpstr>
      <vt:lpstr>NGF_5.2</vt:lpstr>
      <vt:lpstr>NGF_9.3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Schneider</dc:creator>
  <cp:lastModifiedBy>Simon Schneider</cp:lastModifiedBy>
  <dcterms:created xsi:type="dcterms:W3CDTF">2020-05-17T11:39:54Z</dcterms:created>
  <dcterms:modified xsi:type="dcterms:W3CDTF">2020-06-14T18:32:33Z</dcterms:modified>
</cp:coreProperties>
</file>